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 defaultThemeVersion="124226"/>
  <bookViews>
    <workbookView minimized="1" xWindow="13" yWindow="0" windowWidth="21587" windowHeight="13800" tabRatio="657" activeTab="2"/>
  </bookViews>
  <sheets>
    <sheet name="T1 2019 Pipeline Data Lagasco" sheetId="8" r:id="rId1"/>
    <sheet name="T2 2019 Pipeline Values Lagasco" sheetId="9" r:id="rId2"/>
    <sheet name="Dec 31 2018 OFFS" sheetId="4" r:id="rId3"/>
    <sheet name="2017-2020 Lookup Tables" sheetId="1" r:id="rId4"/>
    <sheet name="2017-2020 RATES" sheetId="6" r:id="rId5"/>
    <sheet name="OntReg" sheetId="5" r:id="rId6"/>
    <sheet name="2013-16 look up table" sheetId="7" r:id="rId7"/>
  </sheets>
  <definedNames>
    <definedName name="_xlnm._FilterDatabase" localSheetId="2" hidden="1">'Dec 31 2018 OFFS'!$A$2:$AM$1194</definedName>
    <definedName name="_xlnm._FilterDatabase" localSheetId="0" hidden="1">'T1 2019 Pipeline Data Lagasco'!$A$2:$S$1648</definedName>
    <definedName name="depreciation">'2017-2020 Lookup Tables'!$A$23:$B$84</definedName>
    <definedName name="millrates">'2017-2020 Lookup Tables'!$A$90:$B$109</definedName>
    <definedName name="plasticrates">'2017-2020 Lookup Tables'!$A$13:$B$19</definedName>
    <definedName name="_xlnm.Print_Area" localSheetId="2">'Dec 31 2018 OFFS'!$E$2:$AI$1200</definedName>
    <definedName name="_xlnm.Print_Titles" localSheetId="2">'Dec 31 2018 OFFS'!$2:$2</definedName>
    <definedName name="steelrates">'2017-2020 Lookup Tables'!$A$3:$B$9</definedName>
  </definedNames>
  <calcPr fullCalcOnLoad="1"/>
  <extLst/>
</workbook>
</file>

<file path=xl/sharedStrings.xml><?xml version="1.0" encoding="utf-8"?>
<sst xmlns="http://schemas.openxmlformats.org/spreadsheetml/2006/main" count="17786" uniqueCount="1569">
  <si>
    <t xml:space="preserve"> SIZE</t>
  </si>
  <si>
    <t>AGE OF PIPE</t>
  </si>
  <si>
    <t>LOOP</t>
  </si>
  <si>
    <t>SUBSTANCE</t>
  </si>
  <si>
    <t>FIELD</t>
  </si>
  <si>
    <t>PIPE MATERIAL</t>
  </si>
  <si>
    <t>24U1TWPLNE</t>
  </si>
  <si>
    <t>25P1</t>
  </si>
  <si>
    <t>WAINFLEET</t>
  </si>
  <si>
    <t>36L2J</t>
  </si>
  <si>
    <t>36M1</t>
  </si>
  <si>
    <t>36L2TWPLNE</t>
  </si>
  <si>
    <t>36M2TWPLNE</t>
  </si>
  <si>
    <t>24H4TWPLNE</t>
  </si>
  <si>
    <t>24I1</t>
  </si>
  <si>
    <t>36M1TWPLNE</t>
  </si>
  <si>
    <t>18M3J</t>
  </si>
  <si>
    <t>HALDIMAND</t>
  </si>
  <si>
    <t>18Q2A</t>
  </si>
  <si>
    <t>18V2</t>
  </si>
  <si>
    <t>18U1</t>
  </si>
  <si>
    <t>18Q4</t>
  </si>
  <si>
    <t>18X1</t>
  </si>
  <si>
    <t>43C2</t>
  </si>
  <si>
    <t>20L1</t>
  </si>
  <si>
    <t>20K2 TWPNE</t>
  </si>
  <si>
    <t>20W2</t>
  </si>
  <si>
    <t>20X1</t>
  </si>
  <si>
    <t>43B2</t>
  </si>
  <si>
    <t>43A1</t>
  </si>
  <si>
    <t>40O1</t>
  </si>
  <si>
    <t>18G4</t>
  </si>
  <si>
    <t>18M2</t>
  </si>
  <si>
    <t>18P1</t>
  </si>
  <si>
    <t>19P4J</t>
  </si>
  <si>
    <t>19G3</t>
  </si>
  <si>
    <t>19F2</t>
  </si>
  <si>
    <t>PAJO</t>
  </si>
  <si>
    <t>19L1</t>
  </si>
  <si>
    <t>19I2</t>
  </si>
  <si>
    <t>19N3</t>
  </si>
  <si>
    <t>19O4</t>
  </si>
  <si>
    <t>19O2</t>
  </si>
  <si>
    <t>19Q2</t>
  </si>
  <si>
    <t>19S1J</t>
  </si>
  <si>
    <t>19X1</t>
  </si>
  <si>
    <t>19W3</t>
  </si>
  <si>
    <t>19S1</t>
  </si>
  <si>
    <t>19V1</t>
  </si>
  <si>
    <t>19T4</t>
  </si>
  <si>
    <t>20P1J</t>
  </si>
  <si>
    <t>19Y1</t>
  </si>
  <si>
    <t>20M1</t>
  </si>
  <si>
    <t>20H3</t>
  </si>
  <si>
    <t>20P3J</t>
  </si>
  <si>
    <t>20O1</t>
  </si>
  <si>
    <t>20Y2</t>
  </si>
  <si>
    <t>20R2J</t>
  </si>
  <si>
    <t>ELPASO#1</t>
  </si>
  <si>
    <t>20R3J</t>
  </si>
  <si>
    <t>20W4</t>
  </si>
  <si>
    <t>20V3</t>
  </si>
  <si>
    <t>19U4</t>
  </si>
  <si>
    <t>40F3</t>
  </si>
  <si>
    <t>TRUSTCO</t>
  </si>
  <si>
    <t>40O1TWPLNE</t>
  </si>
  <si>
    <t>40N2TWPLNE</t>
  </si>
  <si>
    <t>40Q3</t>
  </si>
  <si>
    <t>40Q4TWPLNE</t>
  </si>
  <si>
    <t>40X3</t>
  </si>
  <si>
    <t>70C2TWPLNE</t>
  </si>
  <si>
    <t>40Y2J</t>
  </si>
  <si>
    <t>41U2</t>
  </si>
  <si>
    <t>40Y4J</t>
  </si>
  <si>
    <t>41J2</t>
  </si>
  <si>
    <t>41N4</t>
  </si>
  <si>
    <t>41M1</t>
  </si>
  <si>
    <t>41N4J</t>
  </si>
  <si>
    <t>N42°</t>
  </si>
  <si>
    <t>42'</t>
  </si>
  <si>
    <t>09.220"</t>
  </si>
  <si>
    <t>41O4</t>
  </si>
  <si>
    <t>41S2</t>
  </si>
  <si>
    <t>41O1J</t>
  </si>
  <si>
    <t>52.830"</t>
  </si>
  <si>
    <t>41N2</t>
  </si>
  <si>
    <t>41P3</t>
  </si>
  <si>
    <t>42U1</t>
  </si>
  <si>
    <t>41P4J</t>
  </si>
  <si>
    <t>41Q4</t>
  </si>
  <si>
    <t>41X2</t>
  </si>
  <si>
    <t>41W2</t>
  </si>
  <si>
    <t>41V3</t>
  </si>
  <si>
    <t>41T1</t>
  </si>
  <si>
    <t>41T4</t>
  </si>
  <si>
    <t>69B1</t>
  </si>
  <si>
    <t>41V2</t>
  </si>
  <si>
    <t>69D1</t>
  </si>
  <si>
    <t>41Y3</t>
  </si>
  <si>
    <t>68A3</t>
  </si>
  <si>
    <t>42V4</t>
  </si>
  <si>
    <t>42A3</t>
  </si>
  <si>
    <t>42A4J</t>
  </si>
  <si>
    <t>42J3</t>
  </si>
  <si>
    <t>41E3</t>
  </si>
  <si>
    <t>42B4</t>
  </si>
  <si>
    <t>42F4</t>
  </si>
  <si>
    <t>42G4A</t>
  </si>
  <si>
    <t>42F4J</t>
  </si>
  <si>
    <t>43H3</t>
  </si>
  <si>
    <t>42O2J</t>
  </si>
  <si>
    <t>42F2A</t>
  </si>
  <si>
    <t>42L2A</t>
  </si>
  <si>
    <t>42I2</t>
  </si>
  <si>
    <t>42K4</t>
  </si>
  <si>
    <t>42S1J</t>
  </si>
  <si>
    <t>42N3</t>
  </si>
  <si>
    <t>42T3</t>
  </si>
  <si>
    <t>42S1</t>
  </si>
  <si>
    <t>42V2</t>
  </si>
  <si>
    <t>42W2</t>
  </si>
  <si>
    <t>43I1</t>
  </si>
  <si>
    <t>43I4</t>
  </si>
  <si>
    <t>43K3J</t>
  </si>
  <si>
    <t>43K4</t>
  </si>
  <si>
    <t>43L2</t>
  </si>
  <si>
    <t>43R4J</t>
  </si>
  <si>
    <t>43S4</t>
  </si>
  <si>
    <t>43W2TWPLNE(NORTH)</t>
  </si>
  <si>
    <t>67B3TWPLNE</t>
  </si>
  <si>
    <t>67B4</t>
  </si>
  <si>
    <t>67J1</t>
  </si>
  <si>
    <t>67J4</t>
  </si>
  <si>
    <t>68F4</t>
  </si>
  <si>
    <t>67K4</t>
  </si>
  <si>
    <t>68P2</t>
  </si>
  <si>
    <t>67U4</t>
  </si>
  <si>
    <t>86E2</t>
  </si>
  <si>
    <t>PEM-EAST</t>
  </si>
  <si>
    <t>67U4TWPLNE</t>
  </si>
  <si>
    <t>67T2</t>
  </si>
  <si>
    <t>68N3</t>
  </si>
  <si>
    <t>68H3</t>
  </si>
  <si>
    <t>68G1</t>
  </si>
  <si>
    <t>68M3</t>
  </si>
  <si>
    <t>68Q2</t>
  </si>
  <si>
    <t>69F2</t>
  </si>
  <si>
    <t>69G3</t>
  </si>
  <si>
    <t>69N2</t>
  </si>
  <si>
    <t>69I3</t>
  </si>
  <si>
    <t>69J2</t>
  </si>
  <si>
    <t>69A3</t>
  </si>
  <si>
    <t>70E2J</t>
  </si>
  <si>
    <t>70F3</t>
  </si>
  <si>
    <t>70G2</t>
  </si>
  <si>
    <t>70H2TWPLNE</t>
  </si>
  <si>
    <t>70Q4</t>
  </si>
  <si>
    <t>70H3</t>
  </si>
  <si>
    <t>70D4</t>
  </si>
  <si>
    <t>70H4TWPLNE</t>
  </si>
  <si>
    <t>70M3</t>
  </si>
  <si>
    <t>70L3TWPLNE</t>
  </si>
  <si>
    <t>70R1</t>
  </si>
  <si>
    <t>70N2</t>
  </si>
  <si>
    <t>70O4</t>
  </si>
  <si>
    <t>70N2J</t>
  </si>
  <si>
    <t>70W1</t>
  </si>
  <si>
    <t>20T1TWPLNE(SOUTH)</t>
  </si>
  <si>
    <t>40X1TWPLNE</t>
  </si>
  <si>
    <t>20U1TWPLNE</t>
  </si>
  <si>
    <t>43W2TWPLNE(SOUTH)</t>
  </si>
  <si>
    <t>185D4</t>
  </si>
  <si>
    <t>MALAHIDE</t>
  </si>
  <si>
    <t>159J2</t>
  </si>
  <si>
    <t>100F3J</t>
  </si>
  <si>
    <t>100G3</t>
  </si>
  <si>
    <t>100I2</t>
  </si>
  <si>
    <t>120X4J</t>
  </si>
  <si>
    <t>120W3</t>
  </si>
  <si>
    <t>157F2</t>
  </si>
  <si>
    <t>157O1J</t>
  </si>
  <si>
    <t>158K2S</t>
  </si>
  <si>
    <t>157Q2J</t>
  </si>
  <si>
    <t>157R1</t>
  </si>
  <si>
    <t>157Q4J</t>
  </si>
  <si>
    <t>157X1</t>
  </si>
  <si>
    <t>157R1TWPLNE</t>
  </si>
  <si>
    <t>157W3J</t>
  </si>
  <si>
    <t>185C4</t>
  </si>
  <si>
    <t>158A3</t>
  </si>
  <si>
    <t>157E2J</t>
  </si>
  <si>
    <t>158C3J</t>
  </si>
  <si>
    <t>158D3</t>
  </si>
  <si>
    <t>158I3</t>
  </si>
  <si>
    <t>158O1J</t>
  </si>
  <si>
    <t>158O2</t>
  </si>
  <si>
    <t>183V1</t>
  </si>
  <si>
    <t>183S1</t>
  </si>
  <si>
    <t>119U4J</t>
  </si>
  <si>
    <t>26'</t>
  </si>
  <si>
    <t>01.260"</t>
  </si>
  <si>
    <t>119P3J</t>
  </si>
  <si>
    <t>119Q3J</t>
  </si>
  <si>
    <t>158I4</t>
  </si>
  <si>
    <t>158J3</t>
  </si>
  <si>
    <t>100N1J</t>
  </si>
  <si>
    <t>119K4J</t>
  </si>
  <si>
    <t>119T3J</t>
  </si>
  <si>
    <t>120Y4J</t>
  </si>
  <si>
    <t>157B2TWPLNE</t>
  </si>
  <si>
    <t>185E3</t>
  </si>
  <si>
    <t>185C1TWPLNE</t>
  </si>
  <si>
    <t>158B3</t>
  </si>
  <si>
    <t>183C1J</t>
  </si>
  <si>
    <t>159B3J</t>
  </si>
  <si>
    <t>159C4TWPLNE</t>
  </si>
  <si>
    <t>183M4TWPLNE</t>
  </si>
  <si>
    <t>183C1TWPLNE</t>
  </si>
  <si>
    <t>184J1J</t>
  </si>
  <si>
    <t>184I4</t>
  </si>
  <si>
    <t>119Q4J</t>
  </si>
  <si>
    <t>101B4(M)J</t>
  </si>
  <si>
    <t>101B4(N)J</t>
  </si>
  <si>
    <t>101B4(S)J</t>
  </si>
  <si>
    <t>101C4BTWPLNE(MIDDLE)</t>
  </si>
  <si>
    <t>101C4CTWPLNE(NORTH)</t>
  </si>
  <si>
    <t>99S3TWPLNE</t>
  </si>
  <si>
    <t>16V1</t>
  </si>
  <si>
    <t>16S4</t>
  </si>
  <si>
    <t>NANTICOKE</t>
  </si>
  <si>
    <t>16U1</t>
  </si>
  <si>
    <t>ELPASO#2</t>
  </si>
  <si>
    <t>44E3</t>
  </si>
  <si>
    <t>44D3</t>
  </si>
  <si>
    <t>45A2J</t>
  </si>
  <si>
    <t>16X3</t>
  </si>
  <si>
    <t>45D1</t>
  </si>
  <si>
    <t>45B2</t>
  </si>
  <si>
    <t>45D4</t>
  </si>
  <si>
    <t>45H2</t>
  </si>
  <si>
    <t>45I2</t>
  </si>
  <si>
    <t>45M2</t>
  </si>
  <si>
    <t>45J4</t>
  </si>
  <si>
    <t>45L1</t>
  </si>
  <si>
    <t>45M3</t>
  </si>
  <si>
    <t>45N2</t>
  </si>
  <si>
    <t>45Q2</t>
  </si>
  <si>
    <t>46K2J</t>
  </si>
  <si>
    <t>45P1</t>
  </si>
  <si>
    <t>45Y4</t>
  </si>
  <si>
    <t>14R3</t>
  </si>
  <si>
    <t>14U4</t>
  </si>
  <si>
    <t>14U4J</t>
  </si>
  <si>
    <t>46E4</t>
  </si>
  <si>
    <t>14V2A</t>
  </si>
  <si>
    <t>14V2J</t>
  </si>
  <si>
    <t>14V3J</t>
  </si>
  <si>
    <t>15V4J</t>
  </si>
  <si>
    <t>45'</t>
  </si>
  <si>
    <t>11.300"</t>
  </si>
  <si>
    <t>16Y3J</t>
  </si>
  <si>
    <t>46B1</t>
  </si>
  <si>
    <t>45D2</t>
  </si>
  <si>
    <t>43E3</t>
  </si>
  <si>
    <t>43W2</t>
  </si>
  <si>
    <t>43Y2A</t>
  </si>
  <si>
    <t>44I2J</t>
  </si>
  <si>
    <t>44L2J</t>
  </si>
  <si>
    <t>44I1</t>
  </si>
  <si>
    <t>44I4A</t>
  </si>
  <si>
    <t>44I4J</t>
  </si>
  <si>
    <t>44I3</t>
  </si>
  <si>
    <t>44J1</t>
  </si>
  <si>
    <t>43F2</t>
  </si>
  <si>
    <t>44L2</t>
  </si>
  <si>
    <t>44J3</t>
  </si>
  <si>
    <t>44M4</t>
  </si>
  <si>
    <t>44W2</t>
  </si>
  <si>
    <t>44Q1</t>
  </si>
  <si>
    <t>44Y3J</t>
  </si>
  <si>
    <t>40'</t>
  </si>
  <si>
    <t>07.800"</t>
  </si>
  <si>
    <t>44S1</t>
  </si>
  <si>
    <t>45V2</t>
  </si>
  <si>
    <t>45E4A</t>
  </si>
  <si>
    <t>46C1</t>
  </si>
  <si>
    <t>46F2J</t>
  </si>
  <si>
    <t>46F2</t>
  </si>
  <si>
    <t>46M3</t>
  </si>
  <si>
    <t>46L4</t>
  </si>
  <si>
    <t>46S2</t>
  </si>
  <si>
    <t>46O3J</t>
  </si>
  <si>
    <t>46U4</t>
  </si>
  <si>
    <t>DOVER</t>
  </si>
  <si>
    <t>46W2</t>
  </si>
  <si>
    <t>46Y2</t>
  </si>
  <si>
    <t>48A3TWPLNE</t>
  </si>
  <si>
    <t>48A4J</t>
  </si>
  <si>
    <t>47E3</t>
  </si>
  <si>
    <t>14Q3J</t>
  </si>
  <si>
    <t>65R1TWPLNE</t>
  </si>
  <si>
    <t>66I3</t>
  </si>
  <si>
    <t>66M1</t>
  </si>
  <si>
    <t>66N1</t>
  </si>
  <si>
    <t>66K4A</t>
  </si>
  <si>
    <t>67Q1A</t>
  </si>
  <si>
    <t>66L4J</t>
  </si>
  <si>
    <t>66L4</t>
  </si>
  <si>
    <t>66P2A</t>
  </si>
  <si>
    <t>66S3J</t>
  </si>
  <si>
    <t>66T3A</t>
  </si>
  <si>
    <t>66X4J</t>
  </si>
  <si>
    <t>89A1</t>
  </si>
  <si>
    <t>67D2J</t>
  </si>
  <si>
    <t>67F2J</t>
  </si>
  <si>
    <t>66A4</t>
  </si>
  <si>
    <t>67F4</t>
  </si>
  <si>
    <t>67N2</t>
  </si>
  <si>
    <t>67O4A</t>
  </si>
  <si>
    <t>67M1</t>
  </si>
  <si>
    <t>67R3</t>
  </si>
  <si>
    <t>67V1</t>
  </si>
  <si>
    <t>67S3</t>
  </si>
  <si>
    <t>88G4</t>
  </si>
  <si>
    <t>PEM-WEST</t>
  </si>
  <si>
    <t>89J4</t>
  </si>
  <si>
    <t>89K2TWPLNE</t>
  </si>
  <si>
    <t>89K4TWPLNE</t>
  </si>
  <si>
    <t>89K4</t>
  </si>
  <si>
    <t>17Y3</t>
  </si>
  <si>
    <t>NANTICOKE VAULT</t>
  </si>
  <si>
    <t>47J1J</t>
  </si>
  <si>
    <t>64E1TWPLNE</t>
  </si>
  <si>
    <t>89J3TWPLNE</t>
  </si>
  <si>
    <t>122I4J</t>
  </si>
  <si>
    <t>123O3</t>
  </si>
  <si>
    <t>NORFOLK</t>
  </si>
  <si>
    <t>122J1</t>
  </si>
  <si>
    <t>123E3J</t>
  </si>
  <si>
    <t>122L4</t>
  </si>
  <si>
    <t>122J3</t>
  </si>
  <si>
    <t>123D1</t>
  </si>
  <si>
    <t>123C1</t>
  </si>
  <si>
    <t>123H2J</t>
  </si>
  <si>
    <t>123H3</t>
  </si>
  <si>
    <t>123H4</t>
  </si>
  <si>
    <t>123J3J</t>
  </si>
  <si>
    <t>123J3</t>
  </si>
  <si>
    <t>123L4</t>
  </si>
  <si>
    <t>123K1J</t>
  </si>
  <si>
    <t>123N1</t>
  </si>
  <si>
    <t>123N3</t>
  </si>
  <si>
    <t>124B4</t>
  </si>
  <si>
    <t>124A3</t>
  </si>
  <si>
    <t>124C4J</t>
  </si>
  <si>
    <t>124E2J</t>
  </si>
  <si>
    <t>95Y3</t>
  </si>
  <si>
    <t>124D3A</t>
  </si>
  <si>
    <t>124F2</t>
  </si>
  <si>
    <t>123T1</t>
  </si>
  <si>
    <t>124P1</t>
  </si>
  <si>
    <t>124P3J</t>
  </si>
  <si>
    <t>124P3</t>
  </si>
  <si>
    <t>124Y4</t>
  </si>
  <si>
    <t>153D3</t>
  </si>
  <si>
    <t>125J1</t>
  </si>
  <si>
    <t>125A2</t>
  </si>
  <si>
    <t>125J3</t>
  </si>
  <si>
    <t>154F3</t>
  </si>
  <si>
    <t>155K1</t>
  </si>
  <si>
    <t>154D4</t>
  </si>
  <si>
    <t>154G2J</t>
  </si>
  <si>
    <t>154O1</t>
  </si>
  <si>
    <t>154V4J</t>
  </si>
  <si>
    <t>188A3</t>
  </si>
  <si>
    <t>154W4J</t>
  </si>
  <si>
    <t>154S3</t>
  </si>
  <si>
    <t>154W4</t>
  </si>
  <si>
    <t>155A4J</t>
  </si>
  <si>
    <t>154E1</t>
  </si>
  <si>
    <t>155J2</t>
  </si>
  <si>
    <t>155B1</t>
  </si>
  <si>
    <t>155B4J</t>
  </si>
  <si>
    <t>122V4</t>
  </si>
  <si>
    <t>27.000"</t>
  </si>
  <si>
    <t>155I1</t>
  </si>
  <si>
    <t>155J3</t>
  </si>
  <si>
    <t>155H3</t>
  </si>
  <si>
    <t>155N2TWPLNE</t>
  </si>
  <si>
    <t>155H4</t>
  </si>
  <si>
    <t>155L2</t>
  </si>
  <si>
    <t>155Q2TWPLNE(NORTH)</t>
  </si>
  <si>
    <t>155Q2</t>
  </si>
  <si>
    <t>155U1</t>
  </si>
  <si>
    <t>188E2</t>
  </si>
  <si>
    <t>62J4A</t>
  </si>
  <si>
    <t>62J2TWPLNE</t>
  </si>
  <si>
    <t>62K2</t>
  </si>
  <si>
    <t>62I4</t>
  </si>
  <si>
    <t>62T2</t>
  </si>
  <si>
    <t>62S2</t>
  </si>
  <si>
    <t>63F3</t>
  </si>
  <si>
    <t>63Q1</t>
  </si>
  <si>
    <t>95M4</t>
  </si>
  <si>
    <t>95M1</t>
  </si>
  <si>
    <t>95N4</t>
  </si>
  <si>
    <t>95N1</t>
  </si>
  <si>
    <t>95Q4</t>
  </si>
  <si>
    <t>95N3</t>
  </si>
  <si>
    <t>95R2</t>
  </si>
  <si>
    <t>95K4</t>
  </si>
  <si>
    <t>95P3</t>
  </si>
  <si>
    <t>95X2</t>
  </si>
  <si>
    <t>96U1</t>
  </si>
  <si>
    <t>96T4</t>
  </si>
  <si>
    <t>125G3</t>
  </si>
  <si>
    <t>152D2</t>
  </si>
  <si>
    <t>126I2J</t>
  </si>
  <si>
    <t>126J1</t>
  </si>
  <si>
    <t>127E3</t>
  </si>
  <si>
    <t>127A3</t>
  </si>
  <si>
    <t>91Y1J</t>
  </si>
  <si>
    <t>127C3</t>
  </si>
  <si>
    <t>127D3</t>
  </si>
  <si>
    <t>130F4</t>
  </si>
  <si>
    <t>130M4</t>
  </si>
  <si>
    <t>63F2TWPLNE</t>
  </si>
  <si>
    <t>63F4</t>
  </si>
  <si>
    <t>63G3</t>
  </si>
  <si>
    <t>63G4</t>
  </si>
  <si>
    <t>63I3</t>
  </si>
  <si>
    <t>63N4</t>
  </si>
  <si>
    <t>63N2</t>
  </si>
  <si>
    <t>63M2</t>
  </si>
  <si>
    <t>63N3</t>
  </si>
  <si>
    <t>63O1</t>
  </si>
  <si>
    <t>63O2</t>
  </si>
  <si>
    <t>62K3</t>
  </si>
  <si>
    <t>62K4</t>
  </si>
  <si>
    <t>63P1</t>
  </si>
  <si>
    <t>62T1</t>
  </si>
  <si>
    <t>63Q2</t>
  </si>
  <si>
    <t>63Q2J</t>
  </si>
  <si>
    <t>63Q4J</t>
  </si>
  <si>
    <t>63R4</t>
  </si>
  <si>
    <t>63K4</t>
  </si>
  <si>
    <t>63L4A</t>
  </si>
  <si>
    <t>LVO</t>
  </si>
  <si>
    <t>63W4</t>
  </si>
  <si>
    <t>64Y2</t>
  </si>
  <si>
    <t>63T3J</t>
  </si>
  <si>
    <t>63T2</t>
  </si>
  <si>
    <t>63T3</t>
  </si>
  <si>
    <t>64Y3</t>
  </si>
  <si>
    <t>63U3</t>
  </si>
  <si>
    <t>63V4</t>
  </si>
  <si>
    <t>91B2</t>
  </si>
  <si>
    <t>64A4</t>
  </si>
  <si>
    <t>65D3</t>
  </si>
  <si>
    <t>64B3J</t>
  </si>
  <si>
    <t>64B1</t>
  </si>
  <si>
    <t>65E2</t>
  </si>
  <si>
    <t>64E4</t>
  </si>
  <si>
    <t>63A1</t>
  </si>
  <si>
    <t>64E4J</t>
  </si>
  <si>
    <t>64R2J</t>
  </si>
  <si>
    <t>64R2</t>
  </si>
  <si>
    <t>64U4</t>
  </si>
  <si>
    <t>65Y2</t>
  </si>
  <si>
    <t>65X3</t>
  </si>
  <si>
    <t>65E2J</t>
  </si>
  <si>
    <t>64J4</t>
  </si>
  <si>
    <t>65R4</t>
  </si>
  <si>
    <t>65W2</t>
  </si>
  <si>
    <t>65Q4</t>
  </si>
  <si>
    <t>89G4J</t>
  </si>
  <si>
    <t>89I2</t>
  </si>
  <si>
    <t>89H2</t>
  </si>
  <si>
    <t>89C2</t>
  </si>
  <si>
    <t>89L1</t>
  </si>
  <si>
    <t>89M1J</t>
  </si>
  <si>
    <t>89M4</t>
  </si>
  <si>
    <t>89P4J</t>
  </si>
  <si>
    <t>90C1J</t>
  </si>
  <si>
    <t>64W4</t>
  </si>
  <si>
    <t>90V1J</t>
  </si>
  <si>
    <t>90V4</t>
  </si>
  <si>
    <t>91A4</t>
  </si>
  <si>
    <t>91B4</t>
  </si>
  <si>
    <t>91C4</t>
  </si>
  <si>
    <t>91A3</t>
  </si>
  <si>
    <t>92R4J</t>
  </si>
  <si>
    <t>92N3J</t>
  </si>
  <si>
    <t>93T3</t>
  </si>
  <si>
    <t>92O1</t>
  </si>
  <si>
    <t>93J4</t>
  </si>
  <si>
    <t>93O2</t>
  </si>
  <si>
    <t>92Q1</t>
  </si>
  <si>
    <t>94J3</t>
  </si>
  <si>
    <t>94K3</t>
  </si>
  <si>
    <t>94R3</t>
  </si>
  <si>
    <t>125F2</t>
  </si>
  <si>
    <t>125G3J</t>
  </si>
  <si>
    <t>122B3AJ</t>
  </si>
  <si>
    <t>122B3BJ</t>
  </si>
  <si>
    <t>122C4J</t>
  </si>
  <si>
    <t>122A3AJ</t>
  </si>
  <si>
    <t>124P2J</t>
  </si>
  <si>
    <t>124F3J</t>
  </si>
  <si>
    <t>124H1</t>
  </si>
  <si>
    <t>124C1</t>
  </si>
  <si>
    <t>95V2</t>
  </si>
  <si>
    <t>124D1</t>
  </si>
  <si>
    <t>124H4AJ</t>
  </si>
  <si>
    <t>126F4</t>
  </si>
  <si>
    <t>154H2</t>
  </si>
  <si>
    <t>154H4</t>
  </si>
  <si>
    <t>154Y1</t>
  </si>
  <si>
    <t>155D2TWPLNE</t>
  </si>
  <si>
    <t>155Q2TWPLNE(SOUTH)</t>
  </si>
  <si>
    <t>155R4J</t>
  </si>
  <si>
    <t>155U1J</t>
  </si>
  <si>
    <t>122D2TWPLNE</t>
  </si>
  <si>
    <t>154I1</t>
  </si>
  <si>
    <t>64G4J</t>
  </si>
  <si>
    <t>89L2J</t>
  </si>
  <si>
    <t>90X1J</t>
  </si>
  <si>
    <t>91U1J</t>
  </si>
  <si>
    <t>20K2TWPLNE</t>
  </si>
  <si>
    <t>20K2</t>
  </si>
  <si>
    <t>21M1</t>
  </si>
  <si>
    <t>21P3J</t>
  </si>
  <si>
    <t>23A3J</t>
  </si>
  <si>
    <t>24E1</t>
  </si>
  <si>
    <t>23A3</t>
  </si>
  <si>
    <t>23B1J</t>
  </si>
  <si>
    <t>23B1</t>
  </si>
  <si>
    <t>8V1</t>
  </si>
  <si>
    <t>23F2J</t>
  </si>
  <si>
    <t>23F1</t>
  </si>
  <si>
    <t>22J4</t>
  </si>
  <si>
    <t>23H4</t>
  </si>
  <si>
    <t>23M1J</t>
  </si>
  <si>
    <t>23J1J</t>
  </si>
  <si>
    <t>23J1</t>
  </si>
  <si>
    <t>23L1J</t>
  </si>
  <si>
    <t>23L1</t>
  </si>
  <si>
    <t>23N1J</t>
  </si>
  <si>
    <t>23N1</t>
  </si>
  <si>
    <t>23T1A</t>
  </si>
  <si>
    <t>24R2J</t>
  </si>
  <si>
    <t>24L3</t>
  </si>
  <si>
    <t>36N4</t>
  </si>
  <si>
    <t>37A2J</t>
  </si>
  <si>
    <t>37T4</t>
  </si>
  <si>
    <t>39Q2</t>
  </si>
  <si>
    <t>20T1TWPLNE(NORTH)</t>
  </si>
  <si>
    <t>21Y1J</t>
  </si>
  <si>
    <t>40C4</t>
  </si>
  <si>
    <t>22G1</t>
  </si>
  <si>
    <t>22E4</t>
  </si>
  <si>
    <t>22L1EJ</t>
  </si>
  <si>
    <t>22S4</t>
  </si>
  <si>
    <t>23O1J</t>
  </si>
  <si>
    <t>23G3</t>
  </si>
  <si>
    <t>23O1</t>
  </si>
  <si>
    <t>23P1</t>
  </si>
  <si>
    <t>23O4J</t>
  </si>
  <si>
    <t>23Y2</t>
  </si>
  <si>
    <t>24G1</t>
  </si>
  <si>
    <t>24M1</t>
  </si>
  <si>
    <t>24N3</t>
  </si>
  <si>
    <t>24Q2</t>
  </si>
  <si>
    <t>24O1J</t>
  </si>
  <si>
    <t>37Q4</t>
  </si>
  <si>
    <t>37W2</t>
  </si>
  <si>
    <t>37S3</t>
  </si>
  <si>
    <t>39O4J</t>
  </si>
  <si>
    <t>39P2</t>
  </si>
  <si>
    <t>39S3J</t>
  </si>
  <si>
    <t>39T2</t>
  </si>
  <si>
    <t>39Y3</t>
  </si>
  <si>
    <t>70B1</t>
  </si>
  <si>
    <t>70A1</t>
  </si>
  <si>
    <t>39X3</t>
  </si>
  <si>
    <t>40I1</t>
  </si>
  <si>
    <t>40N4</t>
  </si>
  <si>
    <t>40M2</t>
  </si>
  <si>
    <t>40R2</t>
  </si>
  <si>
    <t>40G3</t>
  </si>
  <si>
    <t>40R1J</t>
  </si>
  <si>
    <t>40W1</t>
  </si>
  <si>
    <t>40T3J</t>
  </si>
  <si>
    <t>40T3</t>
  </si>
  <si>
    <t>40V1</t>
  </si>
  <si>
    <t>70A3J</t>
  </si>
  <si>
    <t>71E3</t>
  </si>
  <si>
    <t>70J2</t>
  </si>
  <si>
    <t>70C2</t>
  </si>
  <si>
    <t>70C4</t>
  </si>
  <si>
    <t>70I3</t>
  </si>
  <si>
    <t>70L3</t>
  </si>
  <si>
    <t>70S1A</t>
  </si>
  <si>
    <t>70K3</t>
  </si>
  <si>
    <t>70V1</t>
  </si>
  <si>
    <t>71D3</t>
  </si>
  <si>
    <t>71G2</t>
  </si>
  <si>
    <t>71I3</t>
  </si>
  <si>
    <t>71M1</t>
  </si>
  <si>
    <t>72F3</t>
  </si>
  <si>
    <t>71N1</t>
  </si>
  <si>
    <t>72D2</t>
  </si>
  <si>
    <t>72C2</t>
  </si>
  <si>
    <t>72E2J</t>
  </si>
  <si>
    <t>23K1J</t>
  </si>
  <si>
    <t>24N3S</t>
  </si>
  <si>
    <t>24N4S</t>
  </si>
  <si>
    <t>36G4J</t>
  </si>
  <si>
    <t>39R3</t>
  </si>
  <si>
    <t>39U2</t>
  </si>
  <si>
    <t>38Y2</t>
  </si>
  <si>
    <t>40K1J</t>
  </si>
  <si>
    <t>40U1</t>
  </si>
  <si>
    <t>71H2</t>
  </si>
  <si>
    <t>72E3</t>
  </si>
  <si>
    <t>21Q1J</t>
  </si>
  <si>
    <t>21R1J</t>
  </si>
  <si>
    <t>PORT MAITLAND VAULT</t>
  </si>
  <si>
    <t>23J4(N)J</t>
  </si>
  <si>
    <t>23J3J</t>
  </si>
  <si>
    <t>23K2J</t>
  </si>
  <si>
    <t>23J4A(S)J</t>
  </si>
  <si>
    <t>23M1AJ</t>
  </si>
  <si>
    <t>47'</t>
  </si>
  <si>
    <t>38I2</t>
  </si>
  <si>
    <t>8W2J</t>
  </si>
  <si>
    <t>21Q1AJ</t>
  </si>
  <si>
    <t>21Q2AJ</t>
  </si>
  <si>
    <t>21Q3J</t>
  </si>
  <si>
    <t>22L1WJ</t>
  </si>
  <si>
    <t>62I1</t>
  </si>
  <si>
    <t>DELHI</t>
  </si>
  <si>
    <t>48I4</t>
  </si>
  <si>
    <t>48M3</t>
  </si>
  <si>
    <t>48T3J</t>
  </si>
  <si>
    <t>48S4</t>
  </si>
  <si>
    <t>48U2J</t>
  </si>
  <si>
    <t>48U1</t>
  </si>
  <si>
    <t>63F2</t>
  </si>
  <si>
    <t>234M1J</t>
  </si>
  <si>
    <t>07'</t>
  </si>
  <si>
    <t>46.420"</t>
  </si>
  <si>
    <t>234M1B</t>
  </si>
  <si>
    <t>ROMNEY</t>
  </si>
  <si>
    <t>235G1J</t>
  </si>
  <si>
    <t>235C3</t>
  </si>
  <si>
    <t>234G4A</t>
  </si>
  <si>
    <t>234G4</t>
  </si>
  <si>
    <t>234L3</t>
  </si>
  <si>
    <t>234M1C</t>
  </si>
  <si>
    <t>234M2</t>
  </si>
  <si>
    <t>234H3</t>
  </si>
  <si>
    <t>234L2A</t>
  </si>
  <si>
    <t>234S1</t>
  </si>
  <si>
    <t>234S1A</t>
  </si>
  <si>
    <t>234S1J</t>
  </si>
  <si>
    <t>( Anchutz ) 286D2</t>
  </si>
  <si>
    <t>234W2J</t>
  </si>
  <si>
    <t>287B3</t>
  </si>
  <si>
    <t>235C3ATWPLNE</t>
  </si>
  <si>
    <t>235D4D</t>
  </si>
  <si>
    <t>235D4B</t>
  </si>
  <si>
    <t>235C3TWPLNE</t>
  </si>
  <si>
    <t>235H2A</t>
  </si>
  <si>
    <t>235F4A</t>
  </si>
  <si>
    <t>235D3</t>
  </si>
  <si>
    <t>235H2B</t>
  </si>
  <si>
    <t>235C3A</t>
  </si>
  <si>
    <t>235H3</t>
  </si>
  <si>
    <t>235G1C</t>
  </si>
  <si>
    <t>235L1</t>
  </si>
  <si>
    <t>235L3J</t>
  </si>
  <si>
    <t>235M1J</t>
  </si>
  <si>
    <t>235I4TWPLNE</t>
  </si>
  <si>
    <t>235M2</t>
  </si>
  <si>
    <t>235M4</t>
  </si>
  <si>
    <t>235R1</t>
  </si>
  <si>
    <t>235S2J</t>
  </si>
  <si>
    <t>236P2A</t>
  </si>
  <si>
    <t>235T3J</t>
  </si>
  <si>
    <t>235T2</t>
  </si>
  <si>
    <t>235T4J</t>
  </si>
  <si>
    <t>236P2</t>
  </si>
  <si>
    <t>236P4J</t>
  </si>
  <si>
    <t>236P1TWPLNE</t>
  </si>
  <si>
    <t>236P4</t>
  </si>
  <si>
    <t>236P4ATWPLNE</t>
  </si>
  <si>
    <t>236P4(N)TWPLNE</t>
  </si>
  <si>
    <t>236P4(S)TWPLNE</t>
  </si>
  <si>
    <t>236Q3</t>
  </si>
  <si>
    <t>236Q3TWPLNE</t>
  </si>
  <si>
    <t>236W3</t>
  </si>
  <si>
    <t>236X1J</t>
  </si>
  <si>
    <t>236X1TWPLNE</t>
  </si>
  <si>
    <t>236X3</t>
  </si>
  <si>
    <t>236Y1</t>
  </si>
  <si>
    <t>285D2</t>
  </si>
  <si>
    <t>235D1AJP</t>
  </si>
  <si>
    <t>235C2TWPLNE</t>
  </si>
  <si>
    <t>235D2S</t>
  </si>
  <si>
    <t>PORT ALMA VAULT</t>
  </si>
  <si>
    <t>235G1</t>
  </si>
  <si>
    <t>235M1</t>
  </si>
  <si>
    <t>287E1J</t>
  </si>
  <si>
    <t>288M3S</t>
  </si>
  <si>
    <t>288Y2J</t>
  </si>
  <si>
    <t>TILBURY</t>
  </si>
  <si>
    <t>289T4S</t>
  </si>
  <si>
    <t>288Y3S</t>
  </si>
  <si>
    <t>308B4</t>
  </si>
  <si>
    <t>308M1S</t>
  </si>
  <si>
    <t>308W2</t>
  </si>
  <si>
    <t>308X1</t>
  </si>
  <si>
    <t>353H4</t>
  </si>
  <si>
    <t>353M4</t>
  </si>
  <si>
    <t>(SUSP)235D1JTWPLNE</t>
  </si>
  <si>
    <t>52D3(M)J</t>
  </si>
  <si>
    <t>52M2JTWPLNE(MIDDLE)</t>
  </si>
  <si>
    <t>SOUTHWOLD</t>
  </si>
  <si>
    <t>52D3(N)J</t>
  </si>
  <si>
    <t>52M2JTWPLNE(NORTH)</t>
  </si>
  <si>
    <t>52M2JTWPLNE(SOUTH)</t>
  </si>
  <si>
    <t>PORT STANLEY VAULT</t>
  </si>
  <si>
    <t>52D3(S)J</t>
  </si>
  <si>
    <t>181U2</t>
  </si>
  <si>
    <t>217B1J</t>
  </si>
  <si>
    <t>YARMOUTH</t>
  </si>
  <si>
    <t>159C3</t>
  </si>
  <si>
    <t>182U4J</t>
  </si>
  <si>
    <t>183H2J</t>
  </si>
  <si>
    <t>183G3</t>
  </si>
  <si>
    <t>160R4</t>
  </si>
  <si>
    <t>52M2(M)J</t>
  </si>
  <si>
    <t>53P2(M)J</t>
  </si>
  <si>
    <t>52M2(N)J</t>
  </si>
  <si>
    <t>53P2(N)J</t>
  </si>
  <si>
    <t>53P2(S)J</t>
  </si>
  <si>
    <t>52M2(S)J</t>
  </si>
  <si>
    <t>53Q1(M)J</t>
  </si>
  <si>
    <t>53Q1(N)J</t>
  </si>
  <si>
    <t>53Q1(S)J</t>
  </si>
  <si>
    <t>53S3(M)J</t>
  </si>
  <si>
    <t>53S3(N)J</t>
  </si>
  <si>
    <t>53S3(S)J</t>
  </si>
  <si>
    <t>54Y4(M)J</t>
  </si>
  <si>
    <t>54Y4(N)J</t>
  </si>
  <si>
    <t>54Y4(S)J</t>
  </si>
  <si>
    <t>101C4ATWPLNE(SOUTH)</t>
  </si>
  <si>
    <t>235C4</t>
  </si>
  <si>
    <t>235C3B</t>
  </si>
  <si>
    <t>235I4</t>
  </si>
  <si>
    <t>235J4</t>
  </si>
  <si>
    <t>236Q2</t>
  </si>
  <si>
    <t>236Q4J</t>
  </si>
  <si>
    <t>235B1</t>
  </si>
  <si>
    <t>229Y3TWPLNE</t>
  </si>
  <si>
    <t>235B1S</t>
  </si>
  <si>
    <t>(SUSP)235C2</t>
  </si>
  <si>
    <t>(SUSP)229J2</t>
  </si>
  <si>
    <t>RALEIGH</t>
  </si>
  <si>
    <t>(SUSP)229J4</t>
  </si>
  <si>
    <t>(SUSP)228O2J</t>
  </si>
  <si>
    <t>(SUSP)229K1</t>
  </si>
  <si>
    <t>(SUSP)229I1J</t>
  </si>
  <si>
    <t>(SUSP)229J3</t>
  </si>
  <si>
    <t>(SUSP)SHORE-229C1</t>
  </si>
  <si>
    <t>227O4S</t>
  </si>
  <si>
    <t>227L2TWPLNE</t>
  </si>
  <si>
    <t>228R1S</t>
  </si>
  <si>
    <t>229T4S</t>
  </si>
  <si>
    <t>229X1S</t>
  </si>
  <si>
    <t>221T2</t>
  </si>
  <si>
    <t>221S1</t>
  </si>
  <si>
    <t>MORPETH</t>
  </si>
  <si>
    <t>ORFORD</t>
  </si>
  <si>
    <t>221J2</t>
  </si>
  <si>
    <t>222C4TWPLNE(SOUR GAS)</t>
  </si>
  <si>
    <t>221H1J</t>
  </si>
  <si>
    <t>220F1</t>
  </si>
  <si>
    <t>221I3</t>
  </si>
  <si>
    <t>244D4J</t>
  </si>
  <si>
    <t>HOWARD</t>
  </si>
  <si>
    <t>175H3</t>
  </si>
  <si>
    <t>175O1J</t>
  </si>
  <si>
    <t>223L4J</t>
  </si>
  <si>
    <t>223K3</t>
  </si>
  <si>
    <t>244E1J</t>
  </si>
  <si>
    <t>221Y4</t>
  </si>
  <si>
    <t>244H1J</t>
  </si>
  <si>
    <t>244B4</t>
  </si>
  <si>
    <t>222K4</t>
  </si>
  <si>
    <t>221O3</t>
  </si>
  <si>
    <t>222M4</t>
  </si>
  <si>
    <t>222R1</t>
  </si>
  <si>
    <t>222N1</t>
  </si>
  <si>
    <t>222N3</t>
  </si>
  <si>
    <t>222O1</t>
  </si>
  <si>
    <t>222P3</t>
  </si>
  <si>
    <t>222X4J</t>
  </si>
  <si>
    <t>222T1</t>
  </si>
  <si>
    <t>222V3J</t>
  </si>
  <si>
    <t>222V1</t>
  </si>
  <si>
    <t>223E2NJ</t>
  </si>
  <si>
    <t>222C4TWPLNE</t>
  </si>
  <si>
    <t>223I3J</t>
  </si>
  <si>
    <t>223E2SJ</t>
  </si>
  <si>
    <t>224A2</t>
  </si>
  <si>
    <t>224A4J</t>
  </si>
  <si>
    <t>223G2</t>
  </si>
  <si>
    <t>223L2</t>
  </si>
  <si>
    <t>223K2</t>
  </si>
  <si>
    <t>223K1</t>
  </si>
  <si>
    <t>223T1</t>
  </si>
  <si>
    <t>174F1TWPLNE</t>
  </si>
  <si>
    <t>174F1S</t>
  </si>
  <si>
    <t>168P4S</t>
  </si>
  <si>
    <t>MORPETH VAULT</t>
  </si>
  <si>
    <t>168P3J</t>
  </si>
  <si>
    <t>168W2S</t>
  </si>
  <si>
    <t>174B3S</t>
  </si>
  <si>
    <t>174B4S</t>
  </si>
  <si>
    <t>175S3S</t>
  </si>
  <si>
    <t>175U4S</t>
  </si>
  <si>
    <t>223E2J</t>
  </si>
  <si>
    <t>174P1S</t>
  </si>
  <si>
    <t>HARWICH</t>
  </si>
  <si>
    <t>226A1S</t>
  </si>
  <si>
    <t>227I4S</t>
  </si>
  <si>
    <t>120V4</t>
  </si>
  <si>
    <t>BAYHAM</t>
  </si>
  <si>
    <t>122Q3</t>
  </si>
  <si>
    <t>122Y2J</t>
  </si>
  <si>
    <t>122Y2</t>
  </si>
  <si>
    <t>155E3J</t>
  </si>
  <si>
    <t>156A4</t>
  </si>
  <si>
    <t>155F2J</t>
  </si>
  <si>
    <t>155F3</t>
  </si>
  <si>
    <t>155O4</t>
  </si>
  <si>
    <t>120T4</t>
  </si>
  <si>
    <t>120I4</t>
  </si>
  <si>
    <t>155P1</t>
  </si>
  <si>
    <t>155P2J</t>
  </si>
  <si>
    <t>156U1</t>
  </si>
  <si>
    <t>186F2</t>
  </si>
  <si>
    <t>186F2J</t>
  </si>
  <si>
    <t>186F4</t>
  </si>
  <si>
    <t>120U4</t>
  </si>
  <si>
    <t>120U2</t>
  </si>
  <si>
    <t>121K1J</t>
  </si>
  <si>
    <t>185A4J</t>
  </si>
  <si>
    <t>185A1</t>
  </si>
  <si>
    <t>186J2</t>
  </si>
  <si>
    <t>186J4</t>
  </si>
  <si>
    <t>186K2</t>
  </si>
  <si>
    <t>156N3</t>
  </si>
  <si>
    <t>156P3</t>
  </si>
  <si>
    <t>157L4</t>
  </si>
  <si>
    <t>121Y2</t>
  </si>
  <si>
    <t>156E1J</t>
  </si>
  <si>
    <t>156E1</t>
  </si>
  <si>
    <t>157A2J</t>
  </si>
  <si>
    <t>156K4</t>
  </si>
  <si>
    <t>156J3</t>
  </si>
  <si>
    <t>185L3</t>
  </si>
  <si>
    <t>185T2</t>
  </si>
  <si>
    <t>155E2J</t>
  </si>
  <si>
    <t>155O3J</t>
  </si>
  <si>
    <t>157B2J</t>
  </si>
  <si>
    <t>186G1</t>
  </si>
  <si>
    <t>186H3</t>
  </si>
  <si>
    <t>186J3J</t>
  </si>
  <si>
    <t>186J1</t>
  </si>
  <si>
    <t>187O1</t>
  </si>
  <si>
    <t>121A1J</t>
  </si>
  <si>
    <t>121T4J</t>
  </si>
  <si>
    <t>122Y2AJ</t>
  </si>
  <si>
    <t>98W4J</t>
  </si>
  <si>
    <t>26R1J</t>
  </si>
  <si>
    <t>26X1</t>
  </si>
  <si>
    <t>LEEPFROG</t>
  </si>
  <si>
    <t>PORT COLBORNE</t>
  </si>
  <si>
    <t>27F2AJ</t>
  </si>
  <si>
    <t>27F2</t>
  </si>
  <si>
    <t>27N2J</t>
  </si>
  <si>
    <t>27N2</t>
  </si>
  <si>
    <t>27F3</t>
  </si>
  <si>
    <t>35C3J</t>
  </si>
  <si>
    <t>35D3</t>
  </si>
  <si>
    <t>36L1J</t>
  </si>
  <si>
    <t>36L1</t>
  </si>
  <si>
    <t>26L1J</t>
  </si>
  <si>
    <t>26M1A</t>
  </si>
  <si>
    <t>26U4J</t>
  </si>
  <si>
    <t>35A2J</t>
  </si>
  <si>
    <t>27F2CJ</t>
  </si>
  <si>
    <t>27H3J</t>
  </si>
  <si>
    <t>27O2J</t>
  </si>
  <si>
    <t>27Y2J</t>
  </si>
  <si>
    <t>27Y3J</t>
  </si>
  <si>
    <t>Offshore</t>
  </si>
  <si>
    <t>STEEL</t>
  </si>
  <si>
    <t>ASSESSMENT OFFICE</t>
  </si>
  <si>
    <t>COUNTY</t>
  </si>
  <si>
    <t>STATUS</t>
  </si>
  <si>
    <t>Value</t>
  </si>
  <si>
    <t>Depreciation</t>
  </si>
  <si>
    <t>Market Value</t>
  </si>
  <si>
    <t>Chatham-Kent</t>
  </si>
  <si>
    <t>Brantford</t>
  </si>
  <si>
    <t>London</t>
  </si>
  <si>
    <t>Elgin</t>
  </si>
  <si>
    <t>Kent</t>
  </si>
  <si>
    <t>St Catherines</t>
  </si>
  <si>
    <t>Diameter</t>
  </si>
  <si>
    <t>Rate per Foot for</t>
  </si>
  <si>
    <t>(in inches)</t>
  </si>
  <si>
    <t>Year of Installion of Pipe Line</t>
  </si>
  <si>
    <t>FROM LOCATION</t>
  </si>
  <si>
    <t>TO LOCATION</t>
  </si>
  <si>
    <t>18M1</t>
  </si>
  <si>
    <t>18R4</t>
  </si>
  <si>
    <t>18W1</t>
  </si>
  <si>
    <t>41I2</t>
  </si>
  <si>
    <t>159A4J</t>
  </si>
  <si>
    <t>119U3</t>
  </si>
  <si>
    <t xml:space="preserve">101B4(S)J </t>
  </si>
  <si>
    <t>101C4ATWPLNE</t>
  </si>
  <si>
    <t>14V2</t>
  </si>
  <si>
    <t>44C4</t>
  </si>
  <si>
    <t>65S2A</t>
  </si>
  <si>
    <t>123A4J</t>
  </si>
  <si>
    <t>21P3</t>
  </si>
  <si>
    <t>23D4</t>
  </si>
  <si>
    <t>22K1J</t>
  </si>
  <si>
    <t>235G3</t>
  </si>
  <si>
    <t>236P3</t>
  </si>
  <si>
    <t>353S2</t>
  </si>
  <si>
    <t>235D1J</t>
  </si>
  <si>
    <t xml:space="preserve">52D3(S)J </t>
  </si>
  <si>
    <t xml:space="preserve">52M2(S)J </t>
  </si>
  <si>
    <t xml:space="preserve">53P2(S)J </t>
  </si>
  <si>
    <t>235B3</t>
  </si>
  <si>
    <t>236P1</t>
  </si>
  <si>
    <t>235D1JTWPLNE</t>
  </si>
  <si>
    <t>228F2</t>
  </si>
  <si>
    <t>228F3</t>
  </si>
  <si>
    <t>228F4</t>
  </si>
  <si>
    <t>228O2J</t>
  </si>
  <si>
    <t>229A3</t>
  </si>
  <si>
    <t>229J2</t>
  </si>
  <si>
    <t>229J3</t>
  </si>
  <si>
    <t>229J4</t>
  </si>
  <si>
    <t>229K1</t>
  </si>
  <si>
    <t>220E3</t>
  </si>
  <si>
    <t>244I1</t>
  </si>
  <si>
    <t>244G2</t>
  </si>
  <si>
    <t>223E3</t>
  </si>
  <si>
    <t>21'</t>
  </si>
  <si>
    <t>10.800"</t>
  </si>
  <si>
    <t>W81°</t>
  </si>
  <si>
    <t>49'</t>
  </si>
  <si>
    <t>26.160"</t>
  </si>
  <si>
    <t>168S3S</t>
  </si>
  <si>
    <t>46'</t>
  </si>
  <si>
    <t>48.000"</t>
  </si>
  <si>
    <t>167P1S</t>
  </si>
  <si>
    <t>43.800"</t>
  </si>
  <si>
    <t>44'</t>
  </si>
  <si>
    <t>10.380"</t>
  </si>
  <si>
    <t>167R1TWPLNE</t>
  </si>
  <si>
    <t>55.938"</t>
  </si>
  <si>
    <t>06.675"</t>
  </si>
  <si>
    <t>116U4S</t>
  </si>
  <si>
    <t>25'</t>
  </si>
  <si>
    <t>12.000"</t>
  </si>
  <si>
    <t>10'</t>
  </si>
  <si>
    <t>00.000"</t>
  </si>
  <si>
    <t>117W4S</t>
  </si>
  <si>
    <t>27.420"</t>
  </si>
  <si>
    <t>118Y2S</t>
  </si>
  <si>
    <t>40.44"</t>
  </si>
  <si>
    <t>04'</t>
  </si>
  <si>
    <t>44.520"</t>
  </si>
  <si>
    <t>118W1TWPLNE</t>
  </si>
  <si>
    <t>55.791"</t>
  </si>
  <si>
    <t>02'</t>
  </si>
  <si>
    <t>13.583"</t>
  </si>
  <si>
    <t>161C2S</t>
  </si>
  <si>
    <t>24'</t>
  </si>
  <si>
    <t>55.200"</t>
  </si>
  <si>
    <t>12'</t>
  </si>
  <si>
    <t>37.980"</t>
  </si>
  <si>
    <t>161C2TWPLNE</t>
  </si>
  <si>
    <t>51.997"</t>
  </si>
  <si>
    <t>13'</t>
  </si>
  <si>
    <t>00.593"</t>
  </si>
  <si>
    <t>118W1S</t>
  </si>
  <si>
    <t>56.220"</t>
  </si>
  <si>
    <t>06.720"</t>
  </si>
  <si>
    <t>07.200"</t>
  </si>
  <si>
    <t>W80°</t>
  </si>
  <si>
    <t>59'</t>
  </si>
  <si>
    <t>37.080"</t>
  </si>
  <si>
    <t>55U1S</t>
  </si>
  <si>
    <t>35'</t>
  </si>
  <si>
    <t>40.980"</t>
  </si>
  <si>
    <t>55'</t>
  </si>
  <si>
    <t>10.020"</t>
  </si>
  <si>
    <t>56P2S</t>
  </si>
  <si>
    <t>36'</t>
  </si>
  <si>
    <t>16.320"</t>
  </si>
  <si>
    <t>54'</t>
  </si>
  <si>
    <t>17.760"</t>
  </si>
  <si>
    <t>162-A1-S</t>
  </si>
  <si>
    <t>39.480"</t>
  </si>
  <si>
    <t>15'</t>
  </si>
  <si>
    <t>15.660"</t>
  </si>
  <si>
    <t>161-C2-TWP LINE</t>
  </si>
  <si>
    <t>DUNWICH</t>
  </si>
  <si>
    <t>162-C-3-TWP LINE</t>
  </si>
  <si>
    <t>162-A-1S</t>
  </si>
  <si>
    <t>ALDBOROUGH</t>
  </si>
  <si>
    <t>162-C-3S</t>
  </si>
  <si>
    <t>163-A-3S</t>
  </si>
  <si>
    <t>163-G-1S</t>
  </si>
  <si>
    <t>164-G-4S</t>
  </si>
  <si>
    <t>164-J-2S</t>
  </si>
  <si>
    <t>165-I-4S</t>
  </si>
  <si>
    <t>165-N-1 TWP LINE</t>
  </si>
  <si>
    <t>165-N-2S</t>
  </si>
  <si>
    <t>166-L-1S</t>
  </si>
  <si>
    <t>166-N-3S</t>
  </si>
  <si>
    <t>167-R-1 TWP LINE</t>
  </si>
  <si>
    <t>167-S-2S</t>
  </si>
  <si>
    <t>100-A-2S</t>
  </si>
  <si>
    <t>55-U-1S</t>
  </si>
  <si>
    <t>100-I-4S</t>
  </si>
  <si>
    <t>100-R-4S</t>
  </si>
  <si>
    <t>119-D-1S</t>
  </si>
  <si>
    <t>119-N-2S</t>
  </si>
  <si>
    <t>119-P-3J</t>
  </si>
  <si>
    <t>ABAND</t>
  </si>
  <si>
    <t>D'CLUTE/MIDCON</t>
  </si>
  <si>
    <t>ELPASO#3</t>
  </si>
  <si>
    <t>PORT STANLEY</t>
  </si>
  <si>
    <t>PLACE DOVER</t>
  </si>
  <si>
    <t>SELKIRK</t>
  </si>
  <si>
    <t>AREA</t>
  </si>
  <si>
    <t>Township</t>
  </si>
  <si>
    <t>Rate</t>
  </si>
  <si>
    <t>Port Colborne</t>
  </si>
  <si>
    <t>Wainfleet</t>
  </si>
  <si>
    <t>Norfolk</t>
  </si>
  <si>
    <t>Delhi</t>
  </si>
  <si>
    <t>Dunnville</t>
  </si>
  <si>
    <t>Romney</t>
  </si>
  <si>
    <t>Raleigh</t>
  </si>
  <si>
    <t>Howard</t>
  </si>
  <si>
    <t>Harwich</t>
  </si>
  <si>
    <t>Central Elgin</t>
  </si>
  <si>
    <t>Bayham</t>
  </si>
  <si>
    <t>Malahide</t>
  </si>
  <si>
    <t>Southwold</t>
  </si>
  <si>
    <t>Gosfield North</t>
  </si>
  <si>
    <t>Yarmouth</t>
  </si>
  <si>
    <t>Orford</t>
  </si>
  <si>
    <t>Haldimand</t>
  </si>
  <si>
    <t>DUNNVILLE</t>
  </si>
  <si>
    <t>Aldborough</t>
  </si>
  <si>
    <t>Dunwich</t>
  </si>
  <si>
    <t>Year of the</t>
  </si>
  <si>
    <t>SWEET GAS &amp; PRODUCED FLUIDS</t>
  </si>
  <si>
    <t>SOUR GAS &amp; PRODUCED FLUIDS</t>
  </si>
  <si>
    <t>122C2J</t>
  </si>
  <si>
    <t>29'</t>
  </si>
  <si>
    <t>35.94"</t>
  </si>
  <si>
    <t>44.94"</t>
  </si>
  <si>
    <t>28'</t>
  </si>
  <si>
    <t>58.442"</t>
  </si>
  <si>
    <t>11.31"</t>
  </si>
  <si>
    <t>37'</t>
  </si>
  <si>
    <t>51.0"</t>
  </si>
  <si>
    <t>29.706"</t>
  </si>
  <si>
    <t>38.994"</t>
  </si>
  <si>
    <t>45.906"</t>
  </si>
  <si>
    <t>34'</t>
  </si>
  <si>
    <t>38.072"</t>
  </si>
  <si>
    <t>23'</t>
  </si>
  <si>
    <t>53.318"</t>
  </si>
  <si>
    <t>00'</t>
  </si>
  <si>
    <t>31.160"</t>
  </si>
  <si>
    <t>29.1"</t>
  </si>
  <si>
    <t>11.1"</t>
  </si>
  <si>
    <t>222X4A Hz</t>
  </si>
  <si>
    <t>28.86"</t>
  </si>
  <si>
    <t>33'</t>
  </si>
  <si>
    <t>19.56"</t>
  </si>
  <si>
    <t>221L2A Hz</t>
  </si>
  <si>
    <t>34.08"</t>
  </si>
  <si>
    <t>221L2J</t>
  </si>
  <si>
    <t>56.10'</t>
  </si>
  <si>
    <t>44.58"</t>
  </si>
  <si>
    <t>50.28"</t>
  </si>
  <si>
    <t>220P2AHz</t>
  </si>
  <si>
    <t>11'</t>
  </si>
  <si>
    <t>57.06"</t>
  </si>
  <si>
    <t>38.58"</t>
  </si>
  <si>
    <t>123E4</t>
  </si>
  <si>
    <t>20.571"</t>
  </si>
  <si>
    <t>39'</t>
  </si>
  <si>
    <t>15.025"</t>
  </si>
  <si>
    <t>00.00"</t>
  </si>
  <si>
    <t>59.854"</t>
  </si>
  <si>
    <t>158D1</t>
  </si>
  <si>
    <t>55T2A</t>
  </si>
  <si>
    <t>J158D1</t>
  </si>
  <si>
    <t>221T1</t>
  </si>
  <si>
    <t>221T1J</t>
  </si>
  <si>
    <t>221R1</t>
  </si>
  <si>
    <t>221Q4J</t>
  </si>
  <si>
    <t>221X4</t>
  </si>
  <si>
    <t>J221T2</t>
  </si>
  <si>
    <t>221Q3J</t>
  </si>
  <si>
    <t xml:space="preserve"> 222U2S</t>
  </si>
  <si>
    <t>222V1J</t>
  </si>
  <si>
    <t>222S3S</t>
  </si>
  <si>
    <t xml:space="preserve">   222V1J</t>
  </si>
  <si>
    <t>222N1J</t>
  </si>
  <si>
    <t>223I4S</t>
  </si>
  <si>
    <t>223D3S</t>
  </si>
  <si>
    <t>175N2S</t>
  </si>
  <si>
    <t>174J2S</t>
  </si>
  <si>
    <t>168W3S</t>
  </si>
  <si>
    <t>168P3B</t>
  </si>
  <si>
    <t>183P2</t>
  </si>
  <si>
    <t>221K3</t>
  </si>
  <si>
    <t>LOOP -25% OF Market Value</t>
  </si>
  <si>
    <t>SUSP -20% OF Market Value</t>
  </si>
  <si>
    <t>FINAL MARKET VALUE</t>
  </si>
  <si>
    <t>158J4</t>
  </si>
  <si>
    <t>158I2</t>
  </si>
  <si>
    <t>TOWNSHIP</t>
  </si>
  <si>
    <t>LENGTH IN FEET</t>
  </si>
  <si>
    <t>55-H-4J</t>
  </si>
  <si>
    <t>54-MTWPLNE</t>
  </si>
  <si>
    <t>Beach</t>
  </si>
  <si>
    <t>56P2</t>
  </si>
  <si>
    <t>56P2J</t>
  </si>
  <si>
    <t>158H3</t>
  </si>
  <si>
    <t>158H1</t>
  </si>
  <si>
    <t>158I2J</t>
  </si>
  <si>
    <t>221V1A</t>
  </si>
  <si>
    <t>221T2J</t>
  </si>
  <si>
    <t>41K2</t>
  </si>
  <si>
    <t>69E4</t>
  </si>
  <si>
    <t>38W2</t>
  </si>
  <si>
    <t>56P3B</t>
  </si>
  <si>
    <t xml:space="preserve"> Rates / Foot for</t>
  </si>
  <si>
    <t>No rate at this time - reg says to use rate to closest size in the table</t>
  </si>
  <si>
    <t>Depreciation Percentage Reduction</t>
  </si>
  <si>
    <t>39S4</t>
  </si>
  <si>
    <t>123-H-4J</t>
  </si>
  <si>
    <t>100R4A</t>
  </si>
  <si>
    <t>46D1</t>
  </si>
  <si>
    <t>24T1</t>
  </si>
  <si>
    <t>124E3</t>
  </si>
  <si>
    <t>124E3J</t>
  </si>
  <si>
    <t>220Q3HZ</t>
  </si>
  <si>
    <t>55L1</t>
  </si>
  <si>
    <t>55L3</t>
  </si>
  <si>
    <t>223E3a</t>
  </si>
  <si>
    <t>221L2Hz</t>
  </si>
  <si>
    <t>244C4</t>
  </si>
  <si>
    <t>72G3</t>
  </si>
  <si>
    <t>24V4J</t>
  </si>
  <si>
    <t>185F3</t>
  </si>
  <si>
    <t>RATES &amp; DEPRECIATION FROM INTERNET</t>
  </si>
  <si>
    <t>18S2</t>
  </si>
  <si>
    <t>41S4</t>
  </si>
  <si>
    <t>41S2J</t>
  </si>
  <si>
    <t>40W4</t>
  </si>
  <si>
    <t>41U4</t>
  </si>
  <si>
    <t>41F1</t>
  </si>
  <si>
    <t>41E3J</t>
  </si>
  <si>
    <t>70D3</t>
  </si>
  <si>
    <t>70D4J</t>
  </si>
  <si>
    <t>40U3</t>
  </si>
  <si>
    <t>40V1J</t>
  </si>
  <si>
    <t>42S3</t>
  </si>
  <si>
    <t>69C1</t>
  </si>
  <si>
    <t>41V3J</t>
  </si>
  <si>
    <t>152B2</t>
  </si>
  <si>
    <t>152D2J</t>
  </si>
  <si>
    <t>184C4</t>
  </si>
  <si>
    <t>22N2</t>
  </si>
  <si>
    <t>22U1</t>
  </si>
  <si>
    <t>22N3J</t>
  </si>
  <si>
    <t>23Y2J</t>
  </si>
  <si>
    <t>68N1</t>
  </si>
  <si>
    <t>68N3J</t>
  </si>
  <si>
    <t>40D1A</t>
  </si>
  <si>
    <t>40D1J</t>
  </si>
  <si>
    <t>42L4</t>
  </si>
  <si>
    <t>40T2</t>
  </si>
  <si>
    <t>39P2J</t>
  </si>
  <si>
    <t>41Q3</t>
  </si>
  <si>
    <t>41Q4J</t>
  </si>
  <si>
    <t>159C3J</t>
  </si>
  <si>
    <t xml:space="preserve">55T2 </t>
  </si>
  <si>
    <t>55T2J</t>
  </si>
  <si>
    <t>WHEATLEY</t>
  </si>
  <si>
    <t>PLACE MAIT</t>
  </si>
  <si>
    <t>PT ALMA</t>
  </si>
  <si>
    <t>CLEAR CREEK</t>
  </si>
  <si>
    <t>20L3</t>
  </si>
  <si>
    <t>19K3</t>
  </si>
  <si>
    <t>19M3a</t>
  </si>
  <si>
    <t>19Q1J</t>
  </si>
  <si>
    <t>19H3</t>
  </si>
  <si>
    <t>19M3aJ</t>
  </si>
  <si>
    <t>42P3</t>
  </si>
  <si>
    <t>42Q4d</t>
  </si>
  <si>
    <t>42P3J</t>
  </si>
  <si>
    <t>42R1</t>
  </si>
  <si>
    <t>42Q4dJ</t>
  </si>
  <si>
    <t>41H3a</t>
  </si>
  <si>
    <t>41N2J</t>
  </si>
  <si>
    <t xml:space="preserve"> </t>
  </si>
  <si>
    <t>41R2d</t>
  </si>
  <si>
    <t>41R1J-HT</t>
  </si>
  <si>
    <t>42G2</t>
  </si>
  <si>
    <t>55S1b</t>
  </si>
  <si>
    <t>184K3a</t>
  </si>
  <si>
    <t>184I4J</t>
  </si>
  <si>
    <t>156G1b</t>
  </si>
  <si>
    <t>156H1a</t>
  </si>
  <si>
    <t>156G1bJ</t>
  </si>
  <si>
    <t>95F3a</t>
  </si>
  <si>
    <t>St Catharines</t>
  </si>
  <si>
    <t>124G4AJ</t>
  </si>
  <si>
    <t>123J1</t>
  </si>
  <si>
    <t>122A1J</t>
  </si>
  <si>
    <t>97V3</t>
  </si>
  <si>
    <t>97X3</t>
  </si>
  <si>
    <t>98T3</t>
  </si>
  <si>
    <t>98R2</t>
  </si>
  <si>
    <t>98P1</t>
  </si>
  <si>
    <t>99L4</t>
  </si>
  <si>
    <t>9L2TWPLNE</t>
  </si>
  <si>
    <t>99M2</t>
  </si>
  <si>
    <t>99F4</t>
  </si>
  <si>
    <t>100J3J</t>
  </si>
  <si>
    <t>124N2</t>
  </si>
  <si>
    <t>124G4a</t>
  </si>
  <si>
    <t>89LI</t>
  </si>
  <si>
    <t>Niagara Region</t>
  </si>
  <si>
    <t>Haldimand-Norfolk</t>
  </si>
  <si>
    <t>PT MTLD VAULT(WEST LNE-JP01)</t>
  </si>
  <si>
    <t>PT MTLD VAULT(WEST LNE-JP02)</t>
  </si>
  <si>
    <t>PT MTLD VAULT(WEST LNE-JP03)</t>
  </si>
  <si>
    <t>88F1</t>
  </si>
  <si>
    <t>89J4J</t>
  </si>
  <si>
    <t>86H2</t>
  </si>
  <si>
    <t>86E2J</t>
  </si>
  <si>
    <t>122I3</t>
  </si>
  <si>
    <t>124F3</t>
  </si>
  <si>
    <t>119P4</t>
  </si>
  <si>
    <t>89W2J</t>
  </si>
  <si>
    <t>21M3</t>
  </si>
  <si>
    <t>43D4</t>
  </si>
  <si>
    <t>19G1</t>
  </si>
  <si>
    <t>42Y3</t>
  </si>
  <si>
    <t>67A2</t>
  </si>
  <si>
    <t>86D3</t>
  </si>
  <si>
    <t>88N4</t>
  </si>
  <si>
    <t>122S2d</t>
  </si>
  <si>
    <t>130K4c</t>
  </si>
  <si>
    <t>183K3a</t>
  </si>
  <si>
    <t>157M2b</t>
  </si>
  <si>
    <t>157W4TWPLNE</t>
  </si>
  <si>
    <t>157V4d</t>
  </si>
  <si>
    <t>94M3d</t>
  </si>
  <si>
    <t>127F4d</t>
  </si>
  <si>
    <t>93Q2d</t>
  </si>
  <si>
    <t>127E3J</t>
  </si>
  <si>
    <t>123D2</t>
  </si>
  <si>
    <t>63R3J</t>
  </si>
  <si>
    <t>63S3J</t>
  </si>
  <si>
    <t>183O1J</t>
  </si>
  <si>
    <t>183N3B</t>
  </si>
  <si>
    <t>155H-4</t>
  </si>
  <si>
    <t>TABLES ARE FOR ONSHORE PIPELINE ONLY</t>
  </si>
  <si>
    <t>PLASTIC/FIBREG (Table #12)</t>
  </si>
  <si>
    <t>45D2J</t>
  </si>
  <si>
    <t>95Y3J</t>
  </si>
  <si>
    <t>119Y4J</t>
  </si>
  <si>
    <t>154H2J</t>
  </si>
  <si>
    <t>122J1J</t>
  </si>
  <si>
    <t>184J2</t>
  </si>
  <si>
    <t>72E2</t>
  </si>
  <si>
    <t>123C4J</t>
  </si>
  <si>
    <t>96-V-3</t>
  </si>
  <si>
    <t>122-V-4</t>
  </si>
  <si>
    <t>122-V-1</t>
  </si>
  <si>
    <t>23S1J</t>
  </si>
  <si>
    <t>71J3J</t>
  </si>
  <si>
    <t>155G3TWPLNE</t>
  </si>
  <si>
    <t>221E3JHT</t>
  </si>
  <si>
    <t>221F1H1</t>
  </si>
  <si>
    <t>221E3H1</t>
  </si>
  <si>
    <t>221F1J</t>
  </si>
  <si>
    <t>159A3AH1</t>
  </si>
  <si>
    <t>20N1C</t>
  </si>
  <si>
    <t>45M3J</t>
  </si>
  <si>
    <t>46C1J</t>
  </si>
  <si>
    <t>124G4A</t>
  </si>
  <si>
    <t>123B2J</t>
  </si>
  <si>
    <t>156F1S</t>
  </si>
  <si>
    <t>235D4</t>
  </si>
  <si>
    <t>235C1S</t>
  </si>
  <si>
    <t>230V4S</t>
  </si>
  <si>
    <t>230U3S</t>
  </si>
  <si>
    <t>229Y2WS</t>
  </si>
  <si>
    <t>229Y2ETWPLNE</t>
  </si>
  <si>
    <t>229Q1S</t>
  </si>
  <si>
    <t>229L2S</t>
  </si>
  <si>
    <t>124B4A</t>
  </si>
  <si>
    <t>w79</t>
  </si>
  <si>
    <t>W82</t>
  </si>
  <si>
    <t>LATITUDE NAD 83</t>
  </si>
  <si>
    <t>W79</t>
  </si>
  <si>
    <t>http://www.e-laws.gov.on.ca/html/regs/english/elaws_regs_980282_e.htm#BK49</t>
  </si>
  <si>
    <t>Outside Diameter (in inches)</t>
  </si>
  <si>
    <t>Rate (in dollars per foot)</t>
  </si>
  <si>
    <t>1.25 to 1.5</t>
  </si>
  <si>
    <t>2 to 2.5</t>
  </si>
  <si>
    <t>4 to 4.5</t>
  </si>
  <si>
    <r>
      <t>5 to 5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/</t>
    </r>
    <r>
      <rPr>
        <vertAlign val="subscript"/>
        <sz val="9"/>
        <rFont val="Times New Roman"/>
        <family val="1"/>
      </rPr>
      <t>8</t>
    </r>
  </si>
  <si>
    <t>6 to less than 8</t>
  </si>
  <si>
    <t>Year of Installation of Pipe Line</t>
  </si>
  <si>
    <t>Percentage Reduction</t>
  </si>
  <si>
    <t>185A3</t>
  </si>
  <si>
    <t>46D1J</t>
  </si>
  <si>
    <t>46E4J</t>
  </si>
  <si>
    <t>89B4TWPLNE</t>
  </si>
  <si>
    <t>89G2J</t>
  </si>
  <si>
    <t>121K3J</t>
  </si>
  <si>
    <t>308B4J</t>
  </si>
  <si>
    <t>289P4 WHTLY BCH</t>
  </si>
  <si>
    <t>289X1 TWPLNE</t>
  </si>
  <si>
    <t>MERSEA</t>
  </si>
  <si>
    <t>22S1aHz</t>
  </si>
  <si>
    <t>287B4bHz</t>
  </si>
  <si>
    <t>89B3J</t>
  </si>
  <si>
    <t>64S2J</t>
  </si>
  <si>
    <t>89E1J</t>
  </si>
  <si>
    <t>64U4J</t>
  </si>
  <si>
    <t>100V2S</t>
  </si>
  <si>
    <t>119B2S</t>
  </si>
  <si>
    <t>119I1J</t>
  </si>
  <si>
    <t>119J3S</t>
  </si>
  <si>
    <t>119K2S</t>
  </si>
  <si>
    <t>119T4S</t>
  </si>
  <si>
    <t>119U1S</t>
  </si>
  <si>
    <t>56-F-2S</t>
  </si>
  <si>
    <t>55-K-1S</t>
  </si>
  <si>
    <t>55-T-1S</t>
  </si>
  <si>
    <t>55-U-1J</t>
  </si>
  <si>
    <t>100-L-2J</t>
  </si>
  <si>
    <t>RENAMED</t>
  </si>
  <si>
    <t>Replacement</t>
  </si>
  <si>
    <t>Installed</t>
  </si>
  <si>
    <t>155O4S</t>
  </si>
  <si>
    <t>PART X</t>
  </si>
  <si>
    <t>TABLES RE ASSESSMENT OF PIPE LINES</t>
  </si>
  <si>
    <t>TABLE 1</t>
  </si>
  <si>
    <t>TABLE 2</t>
  </si>
  <si>
    <t>TABLE 3</t>
  </si>
  <si>
    <t>0.75 to 1.0</t>
  </si>
  <si>
    <t>TABLE 4</t>
  </si>
  <si>
    <t>TABLE 5</t>
  </si>
  <si>
    <t>1944 or earlier</t>
  </si>
  <si>
    <t>Back to top</t>
  </si>
  <si>
    <r>
      <t>6 to 6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/</t>
    </r>
    <r>
      <rPr>
        <vertAlign val="subscript"/>
        <sz val="9"/>
        <rFont val="Times New Roman"/>
        <family val="1"/>
      </rPr>
      <t>8</t>
    </r>
  </si>
  <si>
    <t>1956 or earlier</t>
  </si>
  <si>
    <t>E-LAWS.GOV.ON.CA - OCTOBER 2013</t>
  </si>
  <si>
    <t>PIPELINE Rates by Township</t>
  </si>
  <si>
    <t>( Town of Kingsville)</t>
  </si>
  <si>
    <t>Municip. Of Chatham - Kent</t>
  </si>
  <si>
    <t>Tilbury East</t>
  </si>
  <si>
    <t>Municip. West Elgin</t>
  </si>
  <si>
    <t>Twp of Norfolk</t>
  </si>
  <si>
    <t>County of Haldimand</t>
  </si>
  <si>
    <t>99L2TWPLNE</t>
  </si>
  <si>
    <t>J24H3</t>
  </si>
  <si>
    <t>24V3</t>
  </si>
  <si>
    <t>40W1J</t>
  </si>
  <si>
    <t>70S1AJ</t>
  </si>
  <si>
    <t>41Y3J</t>
  </si>
  <si>
    <t>124J3J</t>
  </si>
  <si>
    <t>97V3S</t>
  </si>
  <si>
    <t>97X3S</t>
  </si>
  <si>
    <t>222P3J</t>
  </si>
  <si>
    <t>Rates / Foot for</t>
  </si>
  <si>
    <t>STEEL  (Table #13)</t>
  </si>
  <si>
    <t xml:space="preserve"> — 2013 TO 2016 TAXATION YEARS</t>
  </si>
  <si>
    <t>(Table #15)</t>
  </si>
  <si>
    <t>Mill Rates by Township</t>
  </si>
  <si>
    <t>Leamington</t>
  </si>
  <si>
    <t>Mersea</t>
  </si>
  <si>
    <t>Nanticoke</t>
  </si>
  <si>
    <t>Rochester</t>
  </si>
  <si>
    <t>Tilbury</t>
  </si>
  <si>
    <t>replacement</t>
  </si>
  <si>
    <t>95V2J</t>
  </si>
  <si>
    <t>95R2J</t>
  </si>
  <si>
    <t>186J4J</t>
  </si>
  <si>
    <t>185-A-3</t>
  </si>
  <si>
    <t>Relocated</t>
  </si>
  <si>
    <t>Roll Number</t>
  </si>
  <si>
    <t>OFFSHORE PIPE LINES — 2017 TO 2020 TAXATION YEARS</t>
  </si>
  <si>
    <t>PLASTIC FIELD GATHERING PIPE LINES AND PLASTIC GAS DISTRIBUTION PIPE LINES — 2017 TO 2020 TAXATION YEARS</t>
  </si>
  <si>
    <t>O. Reg. 397/16, s.5.</t>
  </si>
  <si>
    <t>PIPE LINES OTHER THAN THOSE TO WHICH TABLE 1 OR 2 APPLIES — 2017 TO 2020 TAXATION YEARS</t>
  </si>
  <si>
    <r>
      <t>DEPRECIATION RATES FOR</t>
    </r>
    <r>
      <rPr>
        <b/>
        <sz val="13"/>
        <color rgb="FFFF0000"/>
        <rFont val="Times New Roman"/>
        <family val="1"/>
      </rPr>
      <t xml:space="preserve"> OFFSHORE PIPE LINES — 2017 TO 2020 TAXATION YEARS</t>
    </r>
  </si>
  <si>
    <t>1985 or earlier</t>
  </si>
  <si>
    <t>PIPE LINES OTHER THAN THOSE TO WHICH TABLE 4 APPLIES — 2017 TO 2020 TAXATION YEARS</t>
  </si>
  <si>
    <t>1948 or earlier</t>
  </si>
  <si>
    <t>E-LAWS.GOV.ON.CA - May 8, 2018</t>
  </si>
  <si>
    <t>STEEL  (Table #1)</t>
  </si>
  <si>
    <t>PLASTIC/FIBREG (Table #2)</t>
  </si>
  <si>
    <t>(Table #4)</t>
  </si>
  <si>
    <t>Roll# Group MVA</t>
  </si>
  <si>
    <t>Essex</t>
  </si>
  <si>
    <t>17'</t>
  </si>
  <si>
    <t>Revised</t>
  </si>
  <si>
    <t>LAKE ERIE OFFSHORE PIPELINES - 2018 ACTIVITY</t>
  </si>
  <si>
    <t>LONGITUDE NAD 83</t>
  </si>
  <si>
    <t>3434 000 050 50000</t>
  </si>
  <si>
    <t>3401 000 009 00901</t>
  </si>
  <si>
    <t>3429 000 002 50000</t>
  </si>
  <si>
    <t>3408 000 070 00701</t>
  </si>
  <si>
    <t>3424 000 010 00701</t>
  </si>
  <si>
    <t>3418 000 011 00901</t>
  </si>
  <si>
    <t>3310 493 110 53800</t>
  </si>
  <si>
    <t>2810 021 003 24200</t>
  </si>
  <si>
    <t>2810 157 002 26000</t>
  </si>
  <si>
    <t>2810 332 001 50300</t>
  </si>
  <si>
    <t>3310 543 040 15100</t>
  </si>
  <si>
    <t>3650 140 010 95500</t>
  </si>
  <si>
    <t>3650 210 004 40217</t>
  </si>
  <si>
    <t>3650 260 003 20800</t>
  </si>
  <si>
    <t>3650 110 012 36100</t>
  </si>
  <si>
    <t>3650 010 003 23302</t>
  </si>
  <si>
    <t>3706 920 000 05100</t>
  </si>
  <si>
    <t>3650 060 003 79200</t>
  </si>
  <si>
    <t>2711 040 006 19800</t>
  </si>
  <si>
    <t>2714 000 006 24500</t>
  </si>
  <si>
    <t>CVA</t>
  </si>
  <si>
    <r>
      <rPr>
        <sz val="11"/>
        <rFont val="Calibri"/>
        <family val="2"/>
      </rPr>
      <t>2016 CVA</t>
    </r>
  </si>
  <si>
    <r>
      <rPr>
        <sz val="11"/>
        <rFont val="Calibri"/>
        <family val="2"/>
      </rPr>
      <t>Roll Number</t>
    </r>
  </si>
  <si>
    <r>
      <rPr>
        <sz val="11"/>
        <rFont val="Calibri"/>
        <family val="2"/>
      </rPr>
      <t>Municipality</t>
    </r>
  </si>
  <si>
    <r>
      <rPr>
        <sz val="11"/>
        <rFont val="Calibri"/>
        <family val="2"/>
      </rPr>
      <t xml:space="preserve">Type of
</t>
    </r>
    <r>
      <rPr>
        <sz val="11"/>
        <rFont val="Calibri"/>
        <family val="2"/>
      </rPr>
      <t>Pipe</t>
    </r>
  </si>
  <si>
    <r>
      <rPr>
        <sz val="11"/>
        <rFont val="Calibri"/>
        <family val="2"/>
      </rPr>
      <t xml:space="preserve">Description
</t>
    </r>
    <r>
      <rPr>
        <sz val="11"/>
        <rFont val="Calibri"/>
        <family val="2"/>
      </rPr>
      <t>of Pipe</t>
    </r>
  </si>
  <si>
    <r>
      <rPr>
        <sz val="11"/>
        <rFont val="Calibri"/>
        <family val="2"/>
      </rPr>
      <t xml:space="preserve">Diameter of
</t>
    </r>
    <r>
      <rPr>
        <sz val="11"/>
        <rFont val="Calibri"/>
        <family val="2"/>
      </rPr>
      <t>Pipe</t>
    </r>
  </si>
  <si>
    <r>
      <rPr>
        <sz val="11"/>
        <rFont val="Calibri"/>
        <family val="2"/>
      </rPr>
      <t>Length</t>
    </r>
  </si>
  <si>
    <r>
      <rPr>
        <sz val="11"/>
        <rFont val="Calibri"/>
        <family val="2"/>
      </rPr>
      <t>Year Installed</t>
    </r>
  </si>
  <si>
    <r>
      <rPr>
        <sz val="11"/>
        <rFont val="Calibri"/>
        <family val="2"/>
      </rPr>
      <t xml:space="preserve">Loop line
</t>
    </r>
    <r>
      <rPr>
        <sz val="11"/>
        <rFont val="Calibri"/>
        <family val="2"/>
      </rPr>
      <t>Percent</t>
    </r>
  </si>
  <si>
    <r>
      <rPr>
        <sz val="11"/>
        <rFont val="Calibri"/>
        <family val="2"/>
      </rPr>
      <t xml:space="preserve">Idle/Aband
</t>
    </r>
    <r>
      <rPr>
        <sz val="11"/>
        <rFont val="Calibri"/>
        <family val="2"/>
      </rPr>
      <t>%</t>
    </r>
  </si>
  <si>
    <r>
      <rPr>
        <sz val="11"/>
        <rFont val="Calibri"/>
        <family val="2"/>
      </rPr>
      <t xml:space="preserve">Number of
</t>
    </r>
    <r>
      <rPr>
        <sz val="11"/>
        <rFont val="Calibri"/>
        <family val="2"/>
      </rPr>
      <t>Connections</t>
    </r>
  </si>
  <si>
    <r>
      <rPr>
        <sz val="11"/>
        <rFont val="Calibri"/>
        <family val="2"/>
      </rPr>
      <t>RCN</t>
    </r>
  </si>
  <si>
    <r>
      <rPr>
        <sz val="11"/>
        <rFont val="Calibri"/>
        <family val="2"/>
      </rPr>
      <t>Depreciation</t>
    </r>
  </si>
  <si>
    <r>
      <rPr>
        <sz val="11"/>
        <rFont val="Calibri"/>
        <family val="2"/>
      </rPr>
      <t>RCNLD</t>
    </r>
  </si>
  <si>
    <r>
      <rPr>
        <sz val="11"/>
        <rFont val="Calibri"/>
        <family val="2"/>
      </rPr>
      <t>Rate_Per_Foot</t>
    </r>
  </si>
  <si>
    <r>
      <rPr>
        <sz val="11"/>
        <rFont val="Calibri"/>
        <family val="2"/>
      </rPr>
      <t>CVA</t>
    </r>
  </si>
  <si>
    <t>NOTES</t>
  </si>
  <si>
    <r>
      <rPr>
        <sz val="11"/>
        <rFont val="Calibri"/>
        <family val="2"/>
      </rPr>
      <t>2711 040 006 19800</t>
    </r>
  </si>
  <si>
    <r>
      <rPr>
        <sz val="11"/>
        <rFont val="Calibri"/>
        <family val="2"/>
      </rPr>
      <t>PORT COLBORNE</t>
    </r>
  </si>
  <si>
    <r>
      <rPr>
        <sz val="11"/>
        <rFont val="Calibri"/>
        <family val="2"/>
      </rPr>
      <t>Offshore</t>
    </r>
  </si>
  <si>
    <r>
      <rPr>
        <sz val="11"/>
        <rFont val="Calibri"/>
        <family val="2"/>
      </rPr>
      <t>2714 000 006 24500</t>
    </r>
  </si>
  <si>
    <r>
      <rPr>
        <sz val="11"/>
        <rFont val="Calibri"/>
        <family val="2"/>
      </rPr>
      <t>WAINFLEET</t>
    </r>
  </si>
  <si>
    <r>
      <rPr>
        <sz val="11"/>
        <rFont val="Calibri"/>
        <family val="2"/>
      </rPr>
      <t>2810 021 003 24200</t>
    </r>
  </si>
  <si>
    <r>
      <rPr>
        <sz val="11"/>
        <rFont val="Calibri"/>
        <family val="2"/>
      </rPr>
      <t>DUNNVILLE</t>
    </r>
  </si>
  <si>
    <r>
      <rPr>
        <sz val="11"/>
        <rFont val="Calibri"/>
        <family val="2"/>
      </rPr>
      <t>All Other</t>
    </r>
  </si>
  <si>
    <r>
      <rPr>
        <sz val="11"/>
        <rFont val="Calibri"/>
        <family val="2"/>
      </rPr>
      <t>2810 157 002 26000</t>
    </r>
  </si>
  <si>
    <r>
      <rPr>
        <sz val="11"/>
        <rFont val="Calibri"/>
        <family val="2"/>
      </rPr>
      <t>HALDIMAND</t>
    </r>
  </si>
  <si>
    <r>
      <rPr>
        <sz val="11"/>
        <rFont val="Calibri"/>
        <family val="2"/>
      </rPr>
      <t>2810 332 001 50300</t>
    </r>
  </si>
  <si>
    <r>
      <rPr>
        <sz val="11"/>
        <rFont val="Calibri"/>
        <family val="2"/>
      </rPr>
      <t>NANTICOKE</t>
    </r>
  </si>
  <si>
    <r>
      <rPr>
        <sz val="11"/>
        <rFont val="Calibri"/>
        <family val="2"/>
      </rPr>
      <t>3310 493 110 53800</t>
    </r>
  </si>
  <si>
    <r>
      <rPr>
        <sz val="11"/>
        <rFont val="Calibri"/>
        <family val="2"/>
      </rPr>
      <t>DELHI</t>
    </r>
  </si>
  <si>
    <r>
      <rPr>
        <sz val="11"/>
        <rFont val="Calibri"/>
        <family val="2"/>
      </rPr>
      <t>3310 543 040 15100</t>
    </r>
  </si>
  <si>
    <r>
      <rPr>
        <sz val="11"/>
        <rFont val="Calibri"/>
        <family val="2"/>
      </rPr>
      <t>NORFOLK</t>
    </r>
  </si>
  <si>
    <r>
      <rPr>
        <sz val="11"/>
        <rFont val="Calibri"/>
        <family val="2"/>
      </rPr>
      <t>3401 000 009 00901</t>
    </r>
  </si>
  <si>
    <r>
      <rPr>
        <sz val="11"/>
        <rFont val="Calibri"/>
        <family val="2"/>
      </rPr>
      <t>BAYHAM</t>
    </r>
  </si>
  <si>
    <r>
      <rPr>
        <sz val="11"/>
        <rFont val="Calibri"/>
        <family val="2"/>
      </rPr>
      <t>3408 000 070 00701</t>
    </r>
  </si>
  <si>
    <r>
      <rPr>
        <sz val="11"/>
        <rFont val="Calibri"/>
        <family val="2"/>
      </rPr>
      <t>MALAHIDE</t>
    </r>
  </si>
  <si>
    <r>
      <rPr>
        <sz val="11"/>
        <rFont val="Calibri"/>
        <family val="2"/>
      </rPr>
      <t>3418 000 011 00901</t>
    </r>
  </si>
  <si>
    <r>
      <rPr>
        <sz val="11"/>
        <rFont val="Calibri"/>
        <family val="2"/>
      </rPr>
      <t>YARMOUTH</t>
    </r>
  </si>
  <si>
    <r>
      <rPr>
        <sz val="11"/>
        <rFont val="Calibri"/>
        <family val="2"/>
      </rPr>
      <t>3424 000 010 00701</t>
    </r>
  </si>
  <si>
    <r>
      <rPr>
        <sz val="11"/>
        <rFont val="Calibri"/>
        <family val="2"/>
      </rPr>
      <t>SOUTHWOLD</t>
    </r>
  </si>
  <si>
    <r>
      <rPr>
        <sz val="11"/>
        <rFont val="Calibri"/>
        <family val="2"/>
      </rPr>
      <t>3429 000 002 50000</t>
    </r>
  </si>
  <si>
    <r>
      <rPr>
        <sz val="11"/>
        <rFont val="Calibri"/>
        <family val="2"/>
      </rPr>
      <t>DUNWICH</t>
    </r>
  </si>
  <si>
    <r>
      <rPr>
        <sz val="11"/>
        <rFont val="Calibri"/>
        <family val="2"/>
      </rPr>
      <t>3434 000 050 50000</t>
    </r>
  </si>
  <si>
    <r>
      <rPr>
        <sz val="11"/>
        <rFont val="Calibri"/>
        <family val="2"/>
      </rPr>
      <t>ALDBOROUGH</t>
    </r>
  </si>
  <si>
    <r>
      <rPr>
        <sz val="11"/>
        <rFont val="Calibri"/>
        <family val="2"/>
      </rPr>
      <t>3650 010 001 90202</t>
    </r>
  </si>
  <si>
    <r>
      <rPr>
        <sz val="11"/>
        <rFont val="Calibri"/>
        <family val="2"/>
      </rPr>
      <t>ROMNEY</t>
    </r>
  </si>
  <si>
    <r>
      <rPr>
        <sz val="11"/>
        <rFont val="Calibri"/>
        <family val="2"/>
      </rPr>
      <t>Plastic</t>
    </r>
  </si>
  <si>
    <t>6789.5706</t>
  </si>
  <si>
    <t>3326.889594</t>
  </si>
  <si>
    <t>NO PIPELINE</t>
  </si>
  <si>
    <t>10523.4297</t>
  </si>
  <si>
    <t>5051.246256</t>
  </si>
  <si>
    <t>30132.4483</t>
  </si>
  <si>
    <t>14463.57518</t>
  </si>
  <si>
    <t>6613.7379</t>
  </si>
  <si>
    <t>3703.693224</t>
  </si>
  <si>
    <r>
      <rPr>
        <sz val="11"/>
        <rFont val="Calibri"/>
        <family val="2"/>
      </rPr>
      <t>3650 010 003 23302</t>
    </r>
  </si>
  <si>
    <r>
      <rPr>
        <sz val="11"/>
        <rFont val="Calibri"/>
        <family val="2"/>
      </rPr>
      <t>3650 060 003 79200</t>
    </r>
  </si>
  <si>
    <r>
      <rPr>
        <sz val="11"/>
        <rFont val="Calibri"/>
        <family val="2"/>
      </rPr>
      <t>TILBURY</t>
    </r>
  </si>
  <si>
    <r>
      <rPr>
        <sz val="11"/>
        <rFont val="Calibri"/>
        <family val="2"/>
      </rPr>
      <t>3650 110 012 36100</t>
    </r>
  </si>
  <si>
    <r>
      <rPr>
        <sz val="11"/>
        <rFont val="Calibri"/>
        <family val="2"/>
      </rPr>
      <t>RALEIGH</t>
    </r>
  </si>
  <si>
    <r>
      <rPr>
        <sz val="11"/>
        <rFont val="Calibri"/>
        <family val="2"/>
      </rPr>
      <t>3650 140 010 95500</t>
    </r>
  </si>
  <si>
    <r>
      <rPr>
        <sz val="11"/>
        <rFont val="Calibri"/>
        <family val="2"/>
      </rPr>
      <t>HARWICH</t>
    </r>
  </si>
  <si>
    <r>
      <rPr>
        <sz val="11"/>
        <rFont val="Calibri"/>
        <family val="2"/>
      </rPr>
      <t>3650 210 004 40217</t>
    </r>
  </si>
  <si>
    <r>
      <rPr>
        <sz val="11"/>
        <rFont val="Calibri"/>
        <family val="2"/>
      </rPr>
      <t>HOWARD</t>
    </r>
  </si>
  <si>
    <r>
      <rPr>
        <sz val="11"/>
        <rFont val="Calibri"/>
        <family val="2"/>
      </rPr>
      <t>3650 210 004 40299</t>
    </r>
  </si>
  <si>
    <r>
      <rPr>
        <sz val="11"/>
        <rFont val="Calibri"/>
        <family val="2"/>
      </rPr>
      <t>3650 260 003 20800</t>
    </r>
  </si>
  <si>
    <r>
      <rPr>
        <sz val="11"/>
        <rFont val="Calibri"/>
        <family val="2"/>
      </rPr>
      <t>OXFORD</t>
    </r>
  </si>
  <si>
    <r>
      <rPr>
        <sz val="11"/>
        <rFont val="Calibri"/>
        <family val="2"/>
      </rPr>
      <t>3706 920 000 05100</t>
    </r>
  </si>
  <si>
    <r>
      <rPr>
        <sz val="11"/>
        <rFont val="Calibri"/>
        <family val="2"/>
      </rPr>
      <t>MERSEA</t>
    </r>
  </si>
  <si>
    <t>37792.6381</t>
  </si>
  <si>
    <t>18896.31905</t>
  </si>
  <si>
    <t>77249.2616</t>
  </si>
  <si>
    <t>40942.10865</t>
  </si>
  <si>
    <r>
      <rPr>
        <sz val="11"/>
        <rFont val="Calibri"/>
        <family val="2"/>
      </rPr>
      <t>3711 670 000 05100</t>
    </r>
  </si>
  <si>
    <r>
      <rPr>
        <sz val="11"/>
        <rFont val="Calibri"/>
        <family val="2"/>
      </rPr>
      <t>GOSFIELD NORTH</t>
    </r>
  </si>
  <si>
    <r>
      <rPr>
        <sz val="11"/>
        <rFont val="Calibri"/>
        <family val="2"/>
      </rPr>
      <t>3751 630 000 08600</t>
    </r>
  </si>
  <si>
    <r>
      <rPr>
        <sz val="11"/>
        <rFont val="Calibri"/>
        <family val="2"/>
      </rPr>
      <t>ROCHESTER</t>
    </r>
  </si>
  <si>
    <t>SUBTOTAL</t>
  </si>
  <si>
    <r>
      <rPr>
        <sz val="11"/>
        <rFont val="Calibri"/>
        <family val="2"/>
      </rPr>
      <t>Region</t>
    </r>
  </si>
  <si>
    <r>
      <rPr>
        <sz val="11"/>
        <rFont val="Calibri"/>
        <family val="2"/>
      </rPr>
      <t>Ownership</t>
    </r>
  </si>
  <si>
    <r>
      <rPr>
        <sz val="11"/>
        <rFont val="Calibri"/>
        <family val="2"/>
      </rPr>
      <t>2019 Roll</t>
    </r>
  </si>
  <si>
    <t>LAGASCO INC.</t>
  </si>
  <si>
    <t>Rounded Length</t>
  </si>
  <si>
    <t>CVA On MPAC List</t>
  </si>
  <si>
    <t>Diff to Lagasco List</t>
  </si>
  <si>
    <t>CVA on Lagasco List</t>
  </si>
  <si>
    <t>Diff to MPAC List</t>
  </si>
  <si>
    <t>ABAND 2018</t>
  </si>
  <si>
    <t>ABAND 4442 OF 13440 FT IN 2018</t>
  </si>
  <si>
    <t>Missed by MPAC/Dundee</t>
  </si>
  <si>
    <t>ABAND 744 OF 8952 FT IN 2015</t>
  </si>
  <si>
    <t>we had 3650 210 004 40217</t>
  </si>
  <si>
    <t>MPAC has Roll 3650 010 003 23302 Romney</t>
  </si>
  <si>
    <t>we have Roll 3706 920 000 05100 Mersea</t>
  </si>
  <si>
    <t>see Replacement below 12287ft</t>
  </si>
  <si>
    <t>Lagasco</t>
  </si>
  <si>
    <t>Dundee</t>
  </si>
  <si>
    <t>ABAND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</si>
</sst>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General_)"/>
    <numFmt numFmtId="167" formatCode="\N00\°"/>
    <numFmt numFmtId="168" formatCode="00\'"/>
    <numFmt numFmtId="169" formatCode="00.000\&quot;"/>
    <numFmt numFmtId="170" formatCode="\W00\°"/>
    <numFmt numFmtId="171" formatCode="0.000\&quot;"/>
    <numFmt numFmtId="172" formatCode="&quot;$&quot;#,##0.00"/>
    <numFmt numFmtId="173" formatCode="0.00000000"/>
    <numFmt numFmtId="174" formatCode="&quot;$&quot;#,##0_);[Red]\(&quot;$&quot;#,##0\)"/>
    <numFmt numFmtId="175" formatCode="###0;###0"/>
    <numFmt numFmtId="176" formatCode="###0.000000;###0.000000"/>
    <numFmt numFmtId="177" formatCode="###0.0000;###0.0000"/>
    <numFmt numFmtId="178" formatCode="###0.00000;###0.00000"/>
    <numFmt numFmtId="179" formatCode="###0.00;###0.00"/>
    <numFmt numFmtId="180" formatCode="###0.0000000;###0.0000000"/>
    <numFmt numFmtId="181" formatCode="###0.0;###0.0"/>
    <numFmt numFmtId="182" formatCode="###0.000;###0.000"/>
    <numFmt numFmtId="183" formatCode="###0.00000000;###0.00000000"/>
    <numFmt numFmtId="184" formatCode="_-* #,##0_-;\-* #,##0_-;_-* &quot;-&quot;??_-;_-@_-"/>
    <numFmt numFmtId="185" formatCode="#,##0;#,##0"/>
  </numFmts>
  <fonts count="3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 val="single"/>
      <sz val="10"/>
      <color indexed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vertAlign val="subscript"/>
      <sz val="9"/>
      <name val="Times New Roman"/>
      <family val="1"/>
    </font>
    <font>
      <sz val="10"/>
      <color indexed="9"/>
      <name val="Arial"/>
      <family val="2"/>
    </font>
    <font>
      <sz val="11"/>
      <color rgb="FFFF0000"/>
      <name val="Cambria"/>
      <family val="1"/>
    </font>
    <font>
      <b/>
      <sz val="13"/>
      <color rgb="FFFF0000"/>
      <name val="Times New Roman"/>
      <family val="1"/>
    </font>
    <font>
      <sz val="10"/>
      <color rgb="FFFF000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11">
    <fill>
      <patternFill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4" tint="0.79997998476028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double">
        <color auto="1"/>
      </bottom>
    </border>
    <border>
      <left/>
      <right style="medium">
        <color auto="1"/>
      </right>
      <top/>
      <bottom style="double">
        <color auto="1"/>
      </bottom>
    </border>
    <border>
      <left style="medium">
        <color auto="1"/>
      </left>
      <right/>
      <top/>
      <bottom/>
    </border>
    <border>
      <left style="hair">
        <color indexed="22"/>
      </left>
      <right style="hair">
        <color indexed="22"/>
      </right>
      <top style="thin">
        <color auto="1"/>
      </top>
      <bottom style="hair">
        <color indexed="22"/>
      </bottom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</border>
    <border>
      <left style="thin">
        <color auto="1"/>
      </left>
      <right style="hair">
        <color indexed="22"/>
      </right>
      <top style="hair">
        <color indexed="22"/>
      </top>
      <bottom style="thin">
        <color auto="1"/>
      </bottom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hair">
        <color indexed="22"/>
      </left>
      <right style="hair">
        <color indexed="22"/>
      </right>
      <top style="hair">
        <color indexed="22"/>
      </top>
      <bottom/>
    </border>
    <border>
      <left style="hair">
        <color indexed="22"/>
      </left>
      <right style="hair">
        <color indexed="22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hair">
        <color indexed="22"/>
      </right>
      <top style="hair">
        <color indexed="22"/>
      </top>
      <bottom style="hair">
        <color indexed="22"/>
      </bottom>
    </border>
    <border>
      <left style="hair">
        <color indexed="22"/>
      </left>
      <right style="hair">
        <color indexed="22"/>
      </right>
      <top/>
      <bottom style="hair">
        <color indexed="22"/>
      </bottom>
    </border>
    <border>
      <left style="hair">
        <color indexed="22"/>
      </left>
      <right/>
      <top style="hair">
        <color indexed="22"/>
      </top>
      <bottom style="hair">
        <color indexed="22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hair">
        <color indexed="22"/>
      </right>
      <top style="thin">
        <color auto="1"/>
      </top>
      <bottom style="hair">
        <color indexed="22"/>
      </bottom>
    </border>
    <border>
      <left style="thin">
        <color auto="1"/>
      </left>
      <right style="hair">
        <color indexed="22"/>
      </right>
      <top style="hair">
        <color indexed="22"/>
      </top>
      <bottom style="hair">
        <color indexed="22"/>
      </bottom>
    </border>
    <border>
      <left style="thin">
        <color auto="1"/>
      </left>
      <right style="hair">
        <color indexed="22"/>
      </right>
      <top/>
      <bottom/>
    </border>
    <border>
      <left style="thin">
        <color auto="1"/>
      </left>
      <right style="hair">
        <color indexed="22"/>
      </right>
      <top style="hair">
        <color indexed="22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5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0" borderId="0" applyNumberFormat="0" applyFill="0" applyBorder="0">
      <alignment/>
      <protection locked="0"/>
    </xf>
    <xf numFmtId="0" fontId="1" fillId="0" borderId="0">
      <alignment/>
      <protection/>
    </xf>
    <xf numFmtId="0" fontId="24" fillId="0" borderId="0">
      <alignment/>
      <protection/>
    </xf>
    <xf numFmtId="43" fontId="24" fillId="0" borderId="0" applyFont="0" applyFill="0" applyBorder="0" applyAlignment="0" applyProtection="0"/>
    <xf numFmtId="0" fontId="24" fillId="0" borderId="0">
      <alignment/>
      <protection/>
    </xf>
  </cellStyleXfs>
  <cellXfs count="34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73" fontId="0" fillId="0" borderId="2" xfId="0" applyNumberFormat="1" applyBorder="1"/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72" fontId="0" fillId="3" borderId="1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 applyAlignment="1">
      <alignment horizontal="right"/>
    </xf>
    <xf numFmtId="0" fontId="0" fillId="0" borderId="10" xfId="0" applyFill="1" applyBorder="1"/>
    <xf numFmtId="173" fontId="0" fillId="0" borderId="2" xfId="0" applyNumberFormat="1" applyFont="1" applyFill="1" applyBorder="1"/>
    <xf numFmtId="173" fontId="0" fillId="0" borderId="2" xfId="0" applyNumberFormat="1" applyFill="1" applyBorder="1"/>
    <xf numFmtId="173" fontId="2" fillId="0" borderId="2" xfId="0" applyNumberFormat="1" applyFont="1" applyFill="1" applyBorder="1"/>
    <xf numFmtId="14" fontId="0" fillId="0" borderId="0" xfId="0" applyNumberFormat="1"/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 quotePrefix="1">
      <alignment horizontal="center" vertical="top" wrapText="1"/>
    </xf>
    <xf numFmtId="0" fontId="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0" fontId="0" fillId="0" borderId="0" xfId="0" applyNumberFormat="1" applyFont="1" applyFill="1" applyAlignment="1">
      <alignment horizontal="center"/>
    </xf>
    <xf numFmtId="0" fontId="0" fillId="0" borderId="11" xfId="0" applyFont="1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/>
    </xf>
    <xf numFmtId="169" fontId="0" fillId="0" borderId="11" xfId="0" applyNumberFormat="1" applyFont="1" applyFill="1" applyBorder="1" applyAlignment="1">
      <alignment horizontal="center"/>
    </xf>
    <xf numFmtId="170" fontId="0" fillId="0" borderId="11" xfId="0" applyNumberFormat="1" applyFont="1" applyFill="1" applyBorder="1" applyAlignment="1">
      <alignment horizontal="center"/>
    </xf>
    <xf numFmtId="171" fontId="0" fillId="0" borderId="11" xfId="0" applyNumberFormat="1" applyFont="1" applyFill="1" applyBorder="1" applyAlignment="1">
      <alignment horizontal="center"/>
    </xf>
    <xf numFmtId="49" fontId="0" fillId="0" borderId="11" xfId="0" applyNumberFormat="1" applyFont="1" applyFill="1" applyBorder="1" applyAlignment="1">
      <alignment horizontal="center"/>
    </xf>
    <xf numFmtId="40" fontId="0" fillId="0" borderId="11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/>
    </xf>
    <xf numFmtId="172" fontId="0" fillId="0" borderId="11" xfId="0" applyNumberFormat="1" applyFont="1" applyFill="1" applyBorder="1" applyAlignment="1">
      <alignment horizontal="center"/>
    </xf>
    <xf numFmtId="165" fontId="0" fillId="0" borderId="11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49" fontId="0" fillId="0" borderId="12" xfId="0" applyNumberFormat="1" applyFont="1" applyFill="1" applyBorder="1" applyAlignment="1">
      <alignment horizontal="center"/>
    </xf>
    <xf numFmtId="167" fontId="0" fillId="0" borderId="12" xfId="0" applyNumberFormat="1" applyFont="1" applyFill="1" applyBorder="1" applyAlignment="1">
      <alignment horizontal="center"/>
    </xf>
    <xf numFmtId="168" fontId="0" fillId="0" borderId="12" xfId="0" applyNumberFormat="1" applyFont="1" applyFill="1" applyBorder="1" applyAlignment="1">
      <alignment horizontal="center"/>
    </xf>
    <xf numFmtId="169" fontId="0" fillId="0" borderId="12" xfId="0" applyNumberFormat="1" applyFont="1" applyFill="1" applyBorder="1" applyAlignment="1">
      <alignment horizontal="center"/>
    </xf>
    <xf numFmtId="170" fontId="0" fillId="0" borderId="12" xfId="0" applyNumberFormat="1" applyFont="1" applyFill="1" applyBorder="1" applyAlignment="1">
      <alignment horizontal="center"/>
    </xf>
    <xf numFmtId="171" fontId="0" fillId="0" borderId="12" xfId="0" applyNumberFormat="1" applyFont="1" applyFill="1" applyBorder="1" applyAlignment="1">
      <alignment horizontal="center"/>
    </xf>
    <xf numFmtId="40" fontId="0" fillId="0" borderId="12" xfId="0" applyNumberFormat="1" applyFont="1" applyFill="1" applyBorder="1" applyAlignment="1">
      <alignment horizontal="center"/>
    </xf>
    <xf numFmtId="0" fontId="0" fillId="0" borderId="12" xfId="0" applyNumberFormat="1" applyFont="1" applyFill="1" applyBorder="1" applyAlignment="1">
      <alignment horizontal="center"/>
    </xf>
    <xf numFmtId="172" fontId="0" fillId="0" borderId="12" xfId="0" applyNumberFormat="1" applyFont="1" applyFill="1" applyBorder="1" applyAlignment="1">
      <alignment horizontal="center"/>
    </xf>
    <xf numFmtId="165" fontId="0" fillId="0" borderId="12" xfId="0" applyNumberFormat="1" applyFont="1" applyFill="1" applyBorder="1" applyAlignment="1">
      <alignment horizontal="center"/>
    </xf>
    <xf numFmtId="166" fontId="0" fillId="0" borderId="12" xfId="0" applyNumberFormat="1" applyFont="1" applyFill="1" applyBorder="1" applyAlignment="1" applyProtection="1">
      <alignment horizontal="center"/>
      <protection/>
    </xf>
    <xf numFmtId="0" fontId="6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11" fontId="0" fillId="0" borderId="12" xfId="0" applyNumberFormat="1" applyFont="1" applyFill="1" applyBorder="1" applyAlignment="1">
      <alignment horizontal="center"/>
    </xf>
    <xf numFmtId="0" fontId="6" fillId="0" borderId="12" xfId="0" applyFont="1" applyFill="1" applyBorder="1" applyAlignment="1" quotePrefix="1">
      <alignment horizontal="center"/>
    </xf>
    <xf numFmtId="40" fontId="0" fillId="0" borderId="12" xfId="0" applyNumberFormat="1" applyFont="1" applyFill="1" applyBorder="1" applyAlignment="1" applyProtection="1">
      <alignment horizontal="center"/>
      <protection locked="0"/>
    </xf>
    <xf numFmtId="1" fontId="0" fillId="0" borderId="12" xfId="0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67" fontId="0" fillId="0" borderId="14" xfId="0" applyNumberFormat="1" applyFont="1" applyFill="1" applyBorder="1" applyAlignment="1">
      <alignment horizontal="center"/>
    </xf>
    <xf numFmtId="168" fontId="0" fillId="0" borderId="14" xfId="0" applyNumberFormat="1" applyFont="1" applyFill="1" applyBorder="1" applyAlignment="1">
      <alignment horizontal="center"/>
    </xf>
    <xf numFmtId="169" fontId="0" fillId="0" borderId="14" xfId="0" applyNumberFormat="1" applyFont="1" applyFill="1" applyBorder="1" applyAlignment="1">
      <alignment horizontal="center"/>
    </xf>
    <xf numFmtId="170" fontId="0" fillId="0" borderId="14" xfId="0" applyNumberFormat="1" applyFont="1" applyFill="1" applyBorder="1" applyAlignment="1">
      <alignment horizontal="center"/>
    </xf>
    <xf numFmtId="171" fontId="0" fillId="0" borderId="14" xfId="0" applyNumberFormat="1" applyFont="1" applyFill="1" applyBorder="1" applyAlignment="1">
      <alignment horizontal="center"/>
    </xf>
    <xf numFmtId="40" fontId="0" fillId="0" borderId="14" xfId="0" applyNumberFormat="1" applyFont="1" applyFill="1" applyBorder="1" applyAlignment="1">
      <alignment horizontal="center"/>
    </xf>
    <xf numFmtId="0" fontId="0" fillId="0" borderId="14" xfId="0" applyNumberFormat="1" applyFont="1" applyFill="1" applyBorder="1" applyAlignment="1">
      <alignment horizontal="center"/>
    </xf>
    <xf numFmtId="172" fontId="0" fillId="0" borderId="14" xfId="0" applyNumberFormat="1" applyFont="1" applyFill="1" applyBorder="1" applyAlignment="1">
      <alignment horizontal="center"/>
    </xf>
    <xf numFmtId="165" fontId="0" fillId="0" borderId="14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9" fontId="0" fillId="0" borderId="12" xfId="15" applyFont="1" applyFill="1" applyBorder="1" applyAlignment="1">
      <alignment horizontal="center"/>
    </xf>
    <xf numFmtId="9" fontId="0" fillId="0" borderId="11" xfId="15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9" fontId="0" fillId="0" borderId="14" xfId="15" applyFon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72" fontId="0" fillId="0" borderId="0" xfId="0" applyNumberFormat="1" applyFont="1" applyFill="1" applyBorder="1" applyAlignment="1">
      <alignment horizontal="center"/>
    </xf>
    <xf numFmtId="9" fontId="0" fillId="0" borderId="0" xfId="15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167" fontId="0" fillId="0" borderId="17" xfId="0" applyNumberFormat="1" applyFont="1" applyFill="1" applyBorder="1" applyAlignment="1">
      <alignment horizontal="center"/>
    </xf>
    <xf numFmtId="168" fontId="0" fillId="0" borderId="17" xfId="0" applyNumberFormat="1" applyFont="1" applyFill="1" applyBorder="1" applyAlignment="1">
      <alignment horizontal="center"/>
    </xf>
    <xf numFmtId="169" fontId="0" fillId="0" borderId="17" xfId="0" applyNumberFormat="1" applyFont="1" applyFill="1" applyBorder="1" applyAlignment="1">
      <alignment horizontal="center"/>
    </xf>
    <xf numFmtId="170" fontId="0" fillId="0" borderId="17" xfId="0" applyNumberFormat="1" applyFont="1" applyFill="1" applyBorder="1" applyAlignment="1">
      <alignment horizontal="center"/>
    </xf>
    <xf numFmtId="171" fontId="0" fillId="0" borderId="17" xfId="0" applyNumberFormat="1" applyFont="1" applyFill="1" applyBorder="1" applyAlignment="1">
      <alignment horizontal="center"/>
    </xf>
    <xf numFmtId="49" fontId="0" fillId="0" borderId="17" xfId="0" applyNumberFormat="1" applyFont="1" applyFill="1" applyBorder="1" applyAlignment="1">
      <alignment horizontal="center"/>
    </xf>
    <xf numFmtId="40" fontId="0" fillId="0" borderId="17" xfId="0" applyNumberFormat="1" applyFont="1" applyFill="1" applyBorder="1" applyAlignment="1">
      <alignment horizontal="center"/>
    </xf>
    <xf numFmtId="0" fontId="0" fillId="0" borderId="17" xfId="0" applyNumberFormat="1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167" fontId="0" fillId="0" borderId="18" xfId="0" applyNumberFormat="1" applyFont="1" applyFill="1" applyBorder="1" applyAlignment="1">
      <alignment horizontal="center"/>
    </xf>
    <xf numFmtId="168" fontId="0" fillId="0" borderId="18" xfId="0" applyNumberFormat="1" applyFont="1" applyFill="1" applyBorder="1" applyAlignment="1">
      <alignment horizontal="center"/>
    </xf>
    <xf numFmtId="169" fontId="0" fillId="0" borderId="18" xfId="0" applyNumberFormat="1" applyFont="1" applyFill="1" applyBorder="1" applyAlignment="1">
      <alignment horizontal="center"/>
    </xf>
    <xf numFmtId="170" fontId="0" fillId="0" borderId="18" xfId="0" applyNumberFormat="1" applyFont="1" applyFill="1" applyBorder="1" applyAlignment="1">
      <alignment horizontal="center"/>
    </xf>
    <xf numFmtId="171" fontId="0" fillId="0" borderId="18" xfId="0" applyNumberFormat="1" applyFont="1" applyFill="1" applyBorder="1" applyAlignment="1">
      <alignment horizontal="center"/>
    </xf>
    <xf numFmtId="49" fontId="0" fillId="0" borderId="18" xfId="0" applyNumberFormat="1" applyFont="1" applyFill="1" applyBorder="1" applyAlignment="1">
      <alignment horizontal="center"/>
    </xf>
    <xf numFmtId="40" fontId="0" fillId="0" borderId="18" xfId="0" applyNumberFormat="1" applyFont="1" applyFill="1" applyBorder="1" applyAlignment="1">
      <alignment horizontal="center"/>
    </xf>
    <xf numFmtId="0" fontId="0" fillId="0" borderId="18" xfId="0" applyNumberFormat="1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0" xfId="0" quotePrefix="1"/>
    <xf numFmtId="17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2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40" fontId="5" fillId="0" borderId="20" xfId="0" applyNumberFormat="1" applyFont="1" applyFill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 wrapText="1"/>
    </xf>
    <xf numFmtId="165" fontId="0" fillId="0" borderId="20" xfId="0" applyNumberFormat="1" applyFont="1" applyFill="1" applyBorder="1" applyAlignment="1">
      <alignment horizontal="center"/>
    </xf>
    <xf numFmtId="0" fontId="8" fillId="0" borderId="10" xfId="20" applyBorder="1" applyAlignment="1" applyProtection="1">
      <alignment/>
      <protection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3" fontId="0" fillId="0" borderId="12" xfId="0" applyNumberFormat="1" applyFont="1" applyFill="1" applyBorder="1" applyAlignment="1">
      <alignment horizontal="center"/>
    </xf>
    <xf numFmtId="40" fontId="0" fillId="0" borderId="12" xfId="0" applyNumberFormat="1" applyFont="1" applyFill="1" applyBorder="1" applyAlignment="1" applyProtection="1">
      <alignment horizontal="center"/>
      <protection/>
    </xf>
    <xf numFmtId="0" fontId="5" fillId="0" borderId="0" xfId="0" applyFont="1" applyFill="1" applyAlignment="1">
      <alignment horizontal="center"/>
    </xf>
    <xf numFmtId="0" fontId="1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21" xfId="0" applyFont="1" applyBorder="1" applyAlignment="1">
      <alignment horizontal="left" vertical="center" wrapText="1"/>
    </xf>
    <xf numFmtId="0" fontId="8" fillId="0" borderId="0" xfId="20" applyAlignment="1" applyProtection="1">
      <alignment horizontal="left" vertical="center"/>
      <protection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/>
    <xf numFmtId="0" fontId="18" fillId="4" borderId="0" xfId="0" applyFont="1" applyFill="1" applyAlignment="1">
      <alignment horizontal="left" vertical="center"/>
    </xf>
    <xf numFmtId="2" fontId="13" fillId="0" borderId="21" xfId="0" applyNumberFormat="1" applyFont="1" applyBorder="1" applyAlignment="1">
      <alignment horizontal="right" vertical="center" wrapText="1"/>
    </xf>
    <xf numFmtId="0" fontId="0" fillId="0" borderId="12" xfId="0" applyFont="1" applyFill="1" applyBorder="1" applyAlignment="1">
      <alignment horizontal="center"/>
    </xf>
    <xf numFmtId="0" fontId="0" fillId="0" borderId="10" xfId="0" applyFont="1" applyFill="1" applyBorder="1"/>
    <xf numFmtId="0" fontId="19" fillId="0" borderId="16" xfId="0" applyFont="1" applyBorder="1" applyAlignment="1">
      <alignment horizontal="center"/>
    </xf>
    <xf numFmtId="0" fontId="0" fillId="0" borderId="10" xfId="0" applyFont="1" applyBorder="1"/>
    <xf numFmtId="0" fontId="0" fillId="0" borderId="22" xfId="0" applyFont="1" applyBorder="1"/>
    <xf numFmtId="173" fontId="0" fillId="0" borderId="2" xfId="0" applyNumberFormat="1" applyFont="1" applyFill="1" applyBorder="1"/>
    <xf numFmtId="173" fontId="0" fillId="0" borderId="23" xfId="0" applyNumberFormat="1" applyFill="1" applyBorder="1"/>
    <xf numFmtId="0" fontId="0" fillId="0" borderId="0" xfId="0" applyFont="1" quotePrefix="1"/>
    <xf numFmtId="0" fontId="0" fillId="0" borderId="12" xfId="0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center"/>
    </xf>
    <xf numFmtId="167" fontId="0" fillId="0" borderId="24" xfId="0" applyNumberFormat="1" applyFont="1" applyFill="1" applyBorder="1" applyAlignment="1">
      <alignment horizontal="center"/>
    </xf>
    <xf numFmtId="168" fontId="0" fillId="0" borderId="24" xfId="0" applyNumberFormat="1" applyFont="1" applyFill="1" applyBorder="1" applyAlignment="1">
      <alignment horizontal="center"/>
    </xf>
    <xf numFmtId="169" fontId="0" fillId="0" borderId="24" xfId="0" applyNumberFormat="1" applyFont="1" applyFill="1" applyBorder="1" applyAlignment="1">
      <alignment horizontal="center"/>
    </xf>
    <xf numFmtId="170" fontId="0" fillId="0" borderId="24" xfId="0" applyNumberFormat="1" applyFont="1" applyFill="1" applyBorder="1" applyAlignment="1">
      <alignment horizontal="center"/>
    </xf>
    <xf numFmtId="171" fontId="0" fillId="0" borderId="24" xfId="0" applyNumberFormat="1" applyFont="1" applyFill="1" applyBorder="1" applyAlignment="1">
      <alignment horizontal="center"/>
    </xf>
    <xf numFmtId="49" fontId="0" fillId="0" borderId="12" xfId="0" applyNumberFormat="1" applyFont="1" applyFill="1" applyBorder="1" applyAlignment="1">
      <alignment horizontal="center"/>
    </xf>
    <xf numFmtId="11" fontId="0" fillId="0" borderId="12" xfId="0" applyNumberFormat="1" applyFont="1" applyFill="1" applyBorder="1" applyAlignment="1">
      <alignment horizontal="center"/>
    </xf>
    <xf numFmtId="165" fontId="0" fillId="0" borderId="17" xfId="0" applyNumberFormat="1" applyFont="1" applyFill="1" applyBorder="1" applyAlignment="1">
      <alignment horizontal="center"/>
    </xf>
    <xf numFmtId="165" fontId="0" fillId="0" borderId="25" xfId="0" applyNumberFormat="1" applyFont="1" applyFill="1" applyBorder="1" applyAlignment="1">
      <alignment horizontal="center"/>
    </xf>
    <xf numFmtId="172" fontId="0" fillId="0" borderId="1" xfId="0" applyNumberFormat="1" applyFont="1" applyFill="1" applyBorder="1" applyAlignment="1">
      <alignment horizontal="center"/>
    </xf>
    <xf numFmtId="165" fontId="0" fillId="0" borderId="26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quotePrefix="1">
      <alignment horizontal="center" vertical="top" wrapText="1"/>
    </xf>
    <xf numFmtId="9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73" fontId="10" fillId="0" borderId="2" xfId="0" applyNumberFormat="1" applyFont="1" applyFill="1" applyBorder="1"/>
    <xf numFmtId="0" fontId="0" fillId="0" borderId="22" xfId="0" applyFont="1" applyFill="1" applyBorder="1"/>
    <xf numFmtId="173" fontId="0" fillId="0" borderId="23" xfId="0" applyNumberFormat="1" applyBorder="1"/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40" fontId="0" fillId="5" borderId="12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165" fontId="0" fillId="0" borderId="0" xfId="0" applyNumberFormat="1" applyFont="1" applyFill="1" applyBorder="1" applyAlignment="1">
      <alignment horizontal="center"/>
    </xf>
    <xf numFmtId="9" fontId="0" fillId="3" borderId="0" xfId="0" applyNumberForma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174" fontId="5" fillId="0" borderId="20" xfId="0" applyNumberFormat="1" applyFont="1" applyFill="1" applyBorder="1" applyAlignment="1">
      <alignment horizontal="center"/>
    </xf>
    <xf numFmtId="165" fontId="0" fillId="0" borderId="24" xfId="0" applyNumberFormat="1" applyFont="1" applyFill="1" applyBorder="1" applyAlignment="1">
      <alignment horizontal="center"/>
    </xf>
    <xf numFmtId="174" fontId="0" fillId="0" borderId="11" xfId="0" applyNumberFormat="1" applyFont="1" applyFill="1" applyBorder="1" applyAlignment="1">
      <alignment horizontal="center"/>
    </xf>
    <xf numFmtId="174" fontId="0" fillId="0" borderId="12" xfId="0" applyNumberFormat="1" applyFont="1" applyFill="1" applyBorder="1" applyAlignment="1">
      <alignment horizontal="center"/>
    </xf>
    <xf numFmtId="0" fontId="23" fillId="6" borderId="30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167" fontId="0" fillId="6" borderId="12" xfId="0" applyNumberFormat="1" applyFont="1" applyFill="1" applyBorder="1" applyAlignment="1">
      <alignment horizontal="center"/>
    </xf>
    <xf numFmtId="168" fontId="0" fillId="6" borderId="12" xfId="0" applyNumberFormat="1" applyFont="1" applyFill="1" applyBorder="1" applyAlignment="1">
      <alignment horizontal="center"/>
    </xf>
    <xf numFmtId="169" fontId="0" fillId="6" borderId="12" xfId="0" applyNumberFormat="1" applyFont="1" applyFill="1" applyBorder="1" applyAlignment="1">
      <alignment horizontal="center"/>
    </xf>
    <xf numFmtId="170" fontId="0" fillId="6" borderId="12" xfId="0" applyNumberFormat="1" applyFont="1" applyFill="1" applyBorder="1" applyAlignment="1">
      <alignment horizontal="center"/>
    </xf>
    <xf numFmtId="171" fontId="0" fillId="6" borderId="12" xfId="0" applyNumberFormat="1" applyFont="1" applyFill="1" applyBorder="1" applyAlignment="1">
      <alignment horizontal="center"/>
    </xf>
    <xf numFmtId="49" fontId="0" fillId="6" borderId="12" xfId="0" applyNumberFormat="1" applyFont="1" applyFill="1" applyBorder="1" applyAlignment="1">
      <alignment horizontal="center"/>
    </xf>
    <xf numFmtId="40" fontId="0" fillId="6" borderId="12" xfId="0" applyNumberFormat="1" applyFont="1" applyFill="1" applyBorder="1" applyAlignment="1">
      <alignment horizontal="center"/>
    </xf>
    <xf numFmtId="0" fontId="0" fillId="6" borderId="12" xfId="0" applyNumberFormat="1" applyFont="1" applyFill="1" applyBorder="1" applyAlignment="1">
      <alignment horizontal="center"/>
    </xf>
    <xf numFmtId="172" fontId="0" fillId="6" borderId="12" xfId="0" applyNumberFormat="1" applyFont="1" applyFill="1" applyBorder="1" applyAlignment="1">
      <alignment horizontal="center"/>
    </xf>
    <xf numFmtId="9" fontId="0" fillId="6" borderId="12" xfId="15" applyFont="1" applyFill="1" applyBorder="1" applyAlignment="1">
      <alignment horizontal="center"/>
    </xf>
    <xf numFmtId="165" fontId="0" fillId="6" borderId="12" xfId="0" applyNumberFormat="1" applyFont="1" applyFill="1" applyBorder="1" applyAlignment="1">
      <alignment horizontal="center"/>
    </xf>
    <xf numFmtId="174" fontId="0" fillId="6" borderId="12" xfId="0" applyNumberFormat="1" applyFont="1" applyFill="1" applyBorder="1" applyAlignment="1">
      <alignment horizontal="center"/>
    </xf>
    <xf numFmtId="165" fontId="0" fillId="6" borderId="0" xfId="0" applyNumberFormat="1" applyFont="1" applyFill="1" applyBorder="1" applyAlignment="1">
      <alignment horizontal="center"/>
    </xf>
    <xf numFmtId="0" fontId="0" fillId="6" borderId="0" xfId="0" applyFont="1" applyFill="1" applyAlignment="1">
      <alignment horizontal="left"/>
    </xf>
    <xf numFmtId="0" fontId="24" fillId="0" borderId="0" xfId="22" applyFill="1" applyBorder="1" applyAlignment="1">
      <alignment horizontal="left" vertical="top"/>
      <protection/>
    </xf>
    <xf numFmtId="0" fontId="25" fillId="0" borderId="0" xfId="22" applyFont="1" applyFill="1" applyBorder="1" applyAlignment="1">
      <alignment vertical="top" wrapText="1"/>
      <protection/>
    </xf>
    <xf numFmtId="0" fontId="25" fillId="0" borderId="0" xfId="22" applyFont="1" applyFill="1" applyBorder="1" applyAlignment="1">
      <alignment horizontal="right" vertical="top" wrapText="1"/>
      <protection/>
    </xf>
    <xf numFmtId="0" fontId="25" fillId="0" borderId="0" xfId="22" applyFont="1" applyFill="1" applyBorder="1" applyAlignment="1">
      <alignment horizontal="center" vertical="center" wrapText="1"/>
      <protection/>
    </xf>
    <xf numFmtId="0" fontId="24" fillId="0" borderId="0" xfId="22" applyFill="1" applyBorder="1" applyAlignment="1">
      <alignment horizontal="center" vertical="top" wrapText="1"/>
      <protection/>
    </xf>
    <xf numFmtId="0" fontId="25" fillId="0" borderId="0" xfId="22" applyFont="1" applyFill="1" applyBorder="1" applyAlignment="1">
      <alignment vertical="center" wrapText="1"/>
      <protection/>
    </xf>
    <xf numFmtId="175" fontId="26" fillId="0" borderId="0" xfId="22" applyNumberFormat="1" applyFont="1" applyFill="1" applyBorder="1" applyAlignment="1">
      <alignment vertical="top" wrapText="1"/>
      <protection/>
    </xf>
    <xf numFmtId="0" fontId="25" fillId="0" borderId="0" xfId="22" applyFont="1" applyFill="1" applyBorder="1" applyAlignment="1">
      <alignment horizontal="left" vertical="top" wrapText="1"/>
      <protection/>
    </xf>
    <xf numFmtId="175" fontId="26" fillId="5" borderId="0" xfId="22" applyNumberFormat="1" applyFont="1" applyFill="1" applyBorder="1" applyAlignment="1">
      <alignment vertical="top" wrapText="1"/>
      <protection/>
    </xf>
    <xf numFmtId="176" fontId="26" fillId="0" borderId="0" xfId="22" applyNumberFormat="1" applyFont="1" applyFill="1" applyBorder="1" applyAlignment="1">
      <alignment vertical="top" wrapText="1"/>
      <protection/>
    </xf>
    <xf numFmtId="0" fontId="24" fillId="0" borderId="0" xfId="22" applyFill="1" applyBorder="1" applyAlignment="1">
      <alignment horizontal="left" vertical="top" wrapText="1"/>
      <protection/>
    </xf>
    <xf numFmtId="177" fontId="26" fillId="0" borderId="0" xfId="22" applyNumberFormat="1" applyFont="1" applyFill="1" applyBorder="1" applyAlignment="1">
      <alignment horizontal="right" vertical="top" wrapText="1"/>
      <protection/>
    </xf>
    <xf numFmtId="178" fontId="26" fillId="0" borderId="0" xfId="22" applyNumberFormat="1" applyFont="1" applyFill="1" applyBorder="1" applyAlignment="1">
      <alignment horizontal="right" vertical="top" wrapText="1"/>
      <protection/>
    </xf>
    <xf numFmtId="179" fontId="26" fillId="0" borderId="0" xfId="22" applyNumberFormat="1" applyFont="1" applyFill="1" applyBorder="1" applyAlignment="1">
      <alignment vertical="top" wrapText="1"/>
      <protection/>
    </xf>
    <xf numFmtId="1" fontId="26" fillId="0" borderId="0" xfId="22" applyNumberFormat="1" applyFont="1" applyFill="1" applyBorder="1" applyAlignment="1">
      <alignment horizontal="right" vertical="top" wrapText="1"/>
      <protection/>
    </xf>
    <xf numFmtId="180" fontId="26" fillId="0" borderId="0" xfId="22" applyNumberFormat="1" applyFont="1" applyFill="1" applyBorder="1" applyAlignment="1">
      <alignment vertical="top" wrapText="1"/>
      <protection/>
    </xf>
    <xf numFmtId="176" fontId="26" fillId="0" borderId="0" xfId="22" applyNumberFormat="1" applyFont="1" applyFill="1" applyBorder="1" applyAlignment="1">
      <alignment horizontal="right" vertical="top" wrapText="1"/>
      <protection/>
    </xf>
    <xf numFmtId="180" fontId="26" fillId="0" borderId="0" xfId="22" applyNumberFormat="1" applyFont="1" applyFill="1" applyBorder="1" applyAlignment="1">
      <alignment horizontal="right" vertical="top" wrapText="1"/>
      <protection/>
    </xf>
    <xf numFmtId="177" fontId="26" fillId="0" borderId="0" xfId="22" applyNumberFormat="1" applyFont="1" applyFill="1" applyBorder="1" applyAlignment="1">
      <alignment vertical="top" wrapText="1"/>
      <protection/>
    </xf>
    <xf numFmtId="178" fontId="26" fillId="0" borderId="0" xfId="22" applyNumberFormat="1" applyFont="1" applyFill="1" applyBorder="1" applyAlignment="1">
      <alignment vertical="top" wrapText="1"/>
      <protection/>
    </xf>
    <xf numFmtId="181" fontId="26" fillId="0" borderId="0" xfId="22" applyNumberFormat="1" applyFont="1" applyFill="1" applyBorder="1" applyAlignment="1">
      <alignment horizontal="right" vertical="top" wrapText="1"/>
      <protection/>
    </xf>
    <xf numFmtId="179" fontId="26" fillId="0" borderId="0" xfId="22" applyNumberFormat="1" applyFont="1" applyFill="1" applyBorder="1" applyAlignment="1">
      <alignment horizontal="right" vertical="top" wrapText="1"/>
      <protection/>
    </xf>
    <xf numFmtId="182" fontId="26" fillId="0" borderId="0" xfId="22" applyNumberFormat="1" applyFont="1" applyFill="1" applyBorder="1" applyAlignment="1">
      <alignment horizontal="right" vertical="top" wrapText="1"/>
      <protection/>
    </xf>
    <xf numFmtId="175" fontId="26" fillId="0" borderId="0" xfId="22" applyNumberFormat="1" applyFont="1" applyFill="1" applyBorder="1" applyAlignment="1">
      <alignment horizontal="right" vertical="top" wrapText="1"/>
      <protection/>
    </xf>
    <xf numFmtId="175" fontId="26" fillId="0" borderId="0" xfId="22" applyNumberFormat="1" applyFont="1" applyFill="1" applyBorder="1" applyAlignment="1">
      <alignment horizontal="left" vertical="top" wrapText="1"/>
      <protection/>
    </xf>
    <xf numFmtId="181" fontId="26" fillId="0" borderId="0" xfId="22" applyNumberFormat="1" applyFont="1" applyFill="1" applyBorder="1" applyAlignment="1">
      <alignment vertical="top" wrapText="1"/>
      <protection/>
    </xf>
    <xf numFmtId="175" fontId="26" fillId="5" borderId="0" xfId="22" applyNumberFormat="1" applyFont="1" applyFill="1" applyBorder="1" applyAlignment="1">
      <alignment horizontal="right" vertical="top" wrapText="1"/>
      <protection/>
    </xf>
    <xf numFmtId="183" fontId="26" fillId="0" borderId="0" xfId="22" applyNumberFormat="1" applyFont="1" applyFill="1" applyBorder="1" applyAlignment="1">
      <alignment vertical="top" wrapText="1"/>
      <protection/>
    </xf>
    <xf numFmtId="183" fontId="26" fillId="0" borderId="0" xfId="22" applyNumberFormat="1" applyFont="1" applyFill="1" applyBorder="1" applyAlignment="1">
      <alignment horizontal="right" vertical="top" wrapText="1"/>
      <protection/>
    </xf>
    <xf numFmtId="175" fontId="26" fillId="6" borderId="0" xfId="22" applyNumberFormat="1" applyFont="1" applyFill="1" applyBorder="1" applyAlignment="1">
      <alignment vertical="top" wrapText="1"/>
      <protection/>
    </xf>
    <xf numFmtId="0" fontId="26" fillId="0" borderId="0" xfId="22" applyNumberFormat="1" applyFont="1" applyFill="1" applyBorder="1" applyAlignment="1">
      <alignment horizontal="right" vertical="top" wrapText="1"/>
      <protection/>
    </xf>
    <xf numFmtId="1" fontId="26" fillId="6" borderId="0" xfId="22" applyNumberFormat="1" applyFont="1" applyFill="1" applyBorder="1" applyAlignment="1">
      <alignment horizontal="right" vertical="top" wrapText="1"/>
      <protection/>
    </xf>
    <xf numFmtId="0" fontId="25" fillId="7" borderId="0" xfId="22" applyFont="1" applyFill="1" applyBorder="1" applyAlignment="1">
      <alignment horizontal="left" vertical="top" wrapText="1"/>
      <protection/>
    </xf>
    <xf numFmtId="0" fontId="25" fillId="7" borderId="0" xfId="22" applyFont="1" applyFill="1" applyBorder="1" applyAlignment="1">
      <alignment vertical="top" wrapText="1"/>
      <protection/>
    </xf>
    <xf numFmtId="175" fontId="26" fillId="7" borderId="0" xfId="22" applyNumberFormat="1" applyFont="1" applyFill="1" applyBorder="1" applyAlignment="1">
      <alignment vertical="top" wrapText="1"/>
      <protection/>
    </xf>
    <xf numFmtId="179" fontId="26" fillId="7" borderId="0" xfId="22" applyNumberFormat="1" applyFont="1" applyFill="1" applyBorder="1" applyAlignment="1">
      <alignment vertical="top" wrapText="1"/>
      <protection/>
    </xf>
    <xf numFmtId="177" fontId="26" fillId="7" borderId="0" xfId="22" applyNumberFormat="1" applyFont="1" applyFill="1" applyBorder="1" applyAlignment="1" quotePrefix="1">
      <alignment horizontal="right" vertical="top" wrapText="1"/>
      <protection/>
    </xf>
    <xf numFmtId="175" fontId="26" fillId="7" borderId="0" xfId="22" applyNumberFormat="1" applyFont="1" applyFill="1" applyBorder="1" applyAlignment="1">
      <alignment horizontal="left" vertical="top" wrapText="1"/>
      <protection/>
    </xf>
    <xf numFmtId="176" fontId="26" fillId="7" borderId="0" xfId="22" applyNumberFormat="1" applyFont="1" applyFill="1" applyBorder="1" applyAlignment="1" quotePrefix="1">
      <alignment horizontal="right" vertical="top" wrapText="1"/>
      <protection/>
    </xf>
    <xf numFmtId="1" fontId="26" fillId="7" borderId="0" xfId="22" applyNumberFormat="1" applyFont="1" applyFill="1" applyBorder="1" applyAlignment="1">
      <alignment horizontal="right" vertical="top" wrapText="1"/>
      <protection/>
    </xf>
    <xf numFmtId="179" fontId="26" fillId="6" borderId="0" xfId="22" applyNumberFormat="1" applyFont="1" applyFill="1" applyBorder="1" applyAlignment="1">
      <alignment vertical="top" wrapText="1"/>
      <protection/>
    </xf>
    <xf numFmtId="178" fontId="26" fillId="7" borderId="0" xfId="22" applyNumberFormat="1" applyFont="1" applyFill="1" applyBorder="1" applyAlignment="1" quotePrefix="1">
      <alignment horizontal="right" vertical="top" wrapText="1"/>
      <protection/>
    </xf>
    <xf numFmtId="175" fontId="26" fillId="7" borderId="0" xfId="22" applyNumberFormat="1" applyFont="1" applyFill="1" applyBorder="1" applyAlignment="1">
      <alignment horizontal="right" vertical="top" wrapText="1"/>
      <protection/>
    </xf>
    <xf numFmtId="181" fontId="26" fillId="6" borderId="0" xfId="22" applyNumberFormat="1" applyFont="1" applyFill="1" applyBorder="1" applyAlignment="1">
      <alignment vertical="top" wrapText="1"/>
      <protection/>
    </xf>
    <xf numFmtId="0" fontId="24" fillId="0" borderId="0" xfId="22" applyFill="1" applyBorder="1" applyAlignment="1">
      <alignment vertical="top"/>
      <protection/>
    </xf>
    <xf numFmtId="43" fontId="0" fillId="0" borderId="0" xfId="23" applyFont="1" applyFill="1" applyBorder="1" applyAlignment="1">
      <alignment horizontal="right" vertical="top"/>
    </xf>
    <xf numFmtId="0" fontId="24" fillId="0" borderId="0" xfId="22" applyFont="1" applyFill="1" applyBorder="1" applyAlignment="1">
      <alignment horizontal="left" vertical="top"/>
      <protection/>
    </xf>
    <xf numFmtId="43" fontId="0" fillId="0" borderId="0" xfId="23" applyFont="1" applyFill="1" applyBorder="1" applyAlignment="1">
      <alignment horizontal="left" vertical="top"/>
    </xf>
    <xf numFmtId="49" fontId="26" fillId="0" borderId="0" xfId="22" applyNumberFormat="1" applyFont="1" applyFill="1" applyBorder="1" applyAlignment="1">
      <alignment horizontal="right" vertical="top" wrapText="1"/>
      <protection/>
    </xf>
    <xf numFmtId="0" fontId="24" fillId="0" borderId="0" xfId="22" applyFill="1" applyBorder="1" applyAlignment="1">
      <alignment horizontal="right" vertical="top"/>
      <protection/>
    </xf>
    <xf numFmtId="0" fontId="24" fillId="0" borderId="0" xfId="24" applyFill="1" applyBorder="1" applyAlignment="1">
      <alignment horizontal="left" vertical="top"/>
      <protection/>
    </xf>
    <xf numFmtId="0" fontId="25" fillId="0" borderId="0" xfId="24" applyFont="1" applyFill="1" applyBorder="1" applyAlignment="1">
      <alignment horizontal="center" vertical="top" wrapText="1"/>
      <protection/>
    </xf>
    <xf numFmtId="0" fontId="25" fillId="0" borderId="0" xfId="24" applyFont="1" applyFill="1" applyBorder="1" applyAlignment="1">
      <alignment horizontal="left" vertical="top" wrapText="1"/>
      <protection/>
    </xf>
    <xf numFmtId="184" fontId="27" fillId="0" borderId="0" xfId="23" applyNumberFormat="1" applyFont="1" applyFill="1" applyBorder="1" applyAlignment="1">
      <alignment horizontal="left" vertical="top"/>
    </xf>
    <xf numFmtId="185" fontId="26" fillId="0" borderId="0" xfId="24" applyNumberFormat="1" applyFont="1" applyFill="1" applyBorder="1" applyAlignment="1">
      <alignment vertical="top" wrapText="1"/>
      <protection/>
    </xf>
    <xf numFmtId="3" fontId="26" fillId="0" borderId="0" xfId="23" applyNumberFormat="1" applyFont="1" applyFill="1" applyBorder="1" applyAlignment="1">
      <alignment vertical="top" wrapText="1"/>
    </xf>
    <xf numFmtId="0" fontId="24" fillId="0" borderId="0" xfId="24" applyFill="1" applyBorder="1" applyAlignment="1">
      <alignment vertical="top"/>
      <protection/>
    </xf>
    <xf numFmtId="174" fontId="0" fillId="0" borderId="0" xfId="0" applyNumberFormat="1" applyFont="1" applyFill="1" applyAlignment="1">
      <alignment horizontal="center"/>
    </xf>
    <xf numFmtId="0" fontId="26" fillId="0" borderId="0" xfId="22" applyNumberFormat="1" applyFont="1" applyFill="1" applyBorder="1" applyAlignment="1">
      <alignment vertical="top" wrapText="1"/>
      <protection/>
    </xf>
    <xf numFmtId="2" fontId="26" fillId="0" borderId="0" xfId="22" applyNumberFormat="1" applyFont="1" applyFill="1" applyBorder="1" applyAlignment="1">
      <alignment vertical="top" wrapText="1"/>
      <protection/>
    </xf>
    <xf numFmtId="2" fontId="0" fillId="0" borderId="0" xfId="0" applyNumberFormat="1" applyFont="1" applyFill="1" applyAlignment="1">
      <alignment/>
    </xf>
    <xf numFmtId="0" fontId="24" fillId="0" borderId="0" xfId="22" applyFill="1" applyBorder="1" applyAlignment="1">
      <alignment horizontal="center" vertical="top"/>
      <protection/>
    </xf>
    <xf numFmtId="2" fontId="26" fillId="8" borderId="0" xfId="22" applyNumberFormat="1" applyFont="1" applyFill="1" applyBorder="1" applyAlignment="1">
      <alignment vertical="top" wrapText="1"/>
      <protection/>
    </xf>
    <xf numFmtId="40" fontId="0" fillId="9" borderId="12" xfId="0" applyNumberFormat="1" applyFont="1" applyFill="1" applyBorder="1" applyAlignment="1">
      <alignment horizontal="center"/>
    </xf>
    <xf numFmtId="40" fontId="0" fillId="10" borderId="12" xfId="0" applyNumberFormat="1" applyFont="1" applyFill="1" applyBorder="1" applyAlignment="1">
      <alignment horizontal="center"/>
    </xf>
    <xf numFmtId="2" fontId="0" fillId="8" borderId="0" xfId="0" applyNumberFormat="1" applyFont="1" applyFill="1" applyAlignment="1">
      <alignment/>
    </xf>
    <xf numFmtId="2" fontId="0" fillId="6" borderId="0" xfId="0" applyNumberFormat="1" applyFont="1" applyFill="1" applyAlignment="1">
      <alignment/>
    </xf>
    <xf numFmtId="0" fontId="0" fillId="6" borderId="0" xfId="0" applyFont="1" applyFill="1" applyAlignment="1">
      <alignment horizontal="center"/>
    </xf>
    <xf numFmtId="174" fontId="0" fillId="6" borderId="0" xfId="0" applyNumberFormat="1" applyFont="1" applyFill="1" applyAlignment="1">
      <alignment horizontal="center"/>
    </xf>
    <xf numFmtId="40" fontId="0" fillId="6" borderId="12" xfId="0" applyNumberFormat="1" applyFont="1" applyFill="1" applyBorder="1" applyAlignment="1" applyProtection="1">
      <alignment horizontal="center"/>
      <protection locked="0"/>
    </xf>
    <xf numFmtId="1" fontId="26" fillId="5" borderId="0" xfId="22" applyNumberFormat="1" applyFont="1" applyFill="1" applyBorder="1" applyAlignment="1">
      <alignment horizontal="right" vertical="top" wrapText="1"/>
      <protection/>
    </xf>
    <xf numFmtId="0" fontId="23" fillId="5" borderId="30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49" fontId="0" fillId="5" borderId="12" xfId="0" applyNumberFormat="1" applyFont="1" applyFill="1" applyBorder="1" applyAlignment="1">
      <alignment horizontal="center"/>
    </xf>
    <xf numFmtId="167" fontId="0" fillId="5" borderId="12" xfId="0" applyNumberFormat="1" applyFont="1" applyFill="1" applyBorder="1" applyAlignment="1">
      <alignment horizontal="center"/>
    </xf>
    <xf numFmtId="168" fontId="0" fillId="5" borderId="12" xfId="0" applyNumberFormat="1" applyFont="1" applyFill="1" applyBorder="1" applyAlignment="1">
      <alignment horizontal="center"/>
    </xf>
    <xf numFmtId="169" fontId="0" fillId="5" borderId="12" xfId="0" applyNumberFormat="1" applyFont="1" applyFill="1" applyBorder="1" applyAlignment="1">
      <alignment horizontal="center"/>
    </xf>
    <xf numFmtId="170" fontId="0" fillId="5" borderId="12" xfId="0" applyNumberFormat="1" applyFont="1" applyFill="1" applyBorder="1" applyAlignment="1">
      <alignment horizontal="center"/>
    </xf>
    <xf numFmtId="171" fontId="0" fillId="5" borderId="12" xfId="0" applyNumberFormat="1" applyFont="1" applyFill="1" applyBorder="1" applyAlignment="1">
      <alignment horizontal="center"/>
    </xf>
    <xf numFmtId="49" fontId="0" fillId="5" borderId="12" xfId="0" applyNumberFormat="1" applyFont="1" applyFill="1" applyBorder="1" applyAlignment="1">
      <alignment horizontal="center"/>
    </xf>
    <xf numFmtId="0" fontId="0" fillId="5" borderId="12" xfId="0" applyNumberFormat="1" applyFont="1" applyFill="1" applyBorder="1" applyAlignment="1">
      <alignment horizontal="center"/>
    </xf>
    <xf numFmtId="172" fontId="0" fillId="5" borderId="12" xfId="0" applyNumberFormat="1" applyFont="1" applyFill="1" applyBorder="1" applyAlignment="1">
      <alignment horizontal="center"/>
    </xf>
    <xf numFmtId="9" fontId="0" fillId="5" borderId="12" xfId="15" applyFont="1" applyFill="1" applyBorder="1" applyAlignment="1">
      <alignment horizontal="center"/>
    </xf>
    <xf numFmtId="165" fontId="0" fillId="5" borderId="12" xfId="0" applyNumberFormat="1" applyFont="1" applyFill="1" applyBorder="1" applyAlignment="1">
      <alignment horizontal="center"/>
    </xf>
    <xf numFmtId="174" fontId="0" fillId="5" borderId="12" xfId="0" applyNumberFormat="1" applyFont="1" applyFill="1" applyBorder="1" applyAlignment="1">
      <alignment horizontal="center"/>
    </xf>
    <xf numFmtId="165" fontId="0" fillId="5" borderId="0" xfId="0" applyNumberFormat="1" applyFont="1" applyFill="1" applyBorder="1" applyAlignment="1">
      <alignment horizontal="center"/>
    </xf>
    <xf numFmtId="168" fontId="0" fillId="5" borderId="12" xfId="0" applyNumberFormat="1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179" fontId="26" fillId="5" borderId="0" xfId="22" applyNumberFormat="1" applyFont="1" applyFill="1" applyBorder="1" applyAlignment="1">
      <alignment horizontal="right" vertical="top" wrapText="1"/>
      <protection/>
    </xf>
    <xf numFmtId="0" fontId="27" fillId="6" borderId="0" xfId="22" applyFont="1" applyFill="1" applyBorder="1" applyAlignment="1">
      <alignment horizontal="left" vertical="top"/>
      <protection/>
    </xf>
    <xf numFmtId="0" fontId="26" fillId="0" borderId="0" xfId="22" applyFont="1" applyFill="1" applyBorder="1" applyAlignment="1">
      <alignment horizontal="left" vertical="top"/>
      <protection/>
    </xf>
    <xf numFmtId="0" fontId="7" fillId="6" borderId="12" xfId="0" applyFont="1" applyFill="1" applyBorder="1" applyAlignment="1">
      <alignment horizontal="center"/>
    </xf>
    <xf numFmtId="179" fontId="26" fillId="6" borderId="0" xfId="22" applyNumberFormat="1" applyFont="1" applyFill="1" applyBorder="1" applyAlignment="1">
      <alignment horizontal="right" vertical="top" wrapText="1"/>
      <protection/>
    </xf>
    <xf numFmtId="177" fontId="26" fillId="6" borderId="0" xfId="22" applyNumberFormat="1" applyFont="1" applyFill="1" applyBorder="1" applyAlignment="1">
      <alignment horizontal="right" vertical="top" wrapText="1"/>
      <protection/>
    </xf>
    <xf numFmtId="0" fontId="28" fillId="6" borderId="0" xfId="22" applyFont="1" applyFill="1" applyBorder="1" applyAlignment="1">
      <alignment horizontal="left" vertical="top"/>
      <protection/>
    </xf>
    <xf numFmtId="175" fontId="26" fillId="0" borderId="0" xfId="22" applyNumberFormat="1" applyFont="1" applyFill="1" applyBorder="1" applyAlignment="1">
      <alignment horizontal="center" vertical="top" wrapText="1"/>
      <protection/>
    </xf>
    <xf numFmtId="0" fontId="26" fillId="0" borderId="0" xfId="22" applyFont="1" applyFill="1" applyBorder="1" applyAlignment="1">
      <alignment horizontal="center" vertical="top"/>
      <protection/>
    </xf>
    <xf numFmtId="179" fontId="26" fillId="0" borderId="0" xfId="22" applyNumberFormat="1" applyFont="1" applyFill="1" applyBorder="1" applyAlignment="1">
      <alignment horizontal="center" vertical="top" wrapText="1"/>
      <protection/>
    </xf>
    <xf numFmtId="179" fontId="26" fillId="5" borderId="0" xfId="22" applyNumberFormat="1" applyFont="1" applyFill="1" applyBorder="1" applyAlignment="1">
      <alignment horizontal="center" vertical="top" wrapText="1"/>
      <protection/>
    </xf>
    <xf numFmtId="179" fontId="26" fillId="6" borderId="0" xfId="22" applyNumberFormat="1" applyFont="1" applyFill="1" applyBorder="1" applyAlignment="1">
      <alignment horizontal="center" vertical="top" wrapText="1"/>
      <protection/>
    </xf>
    <xf numFmtId="0" fontId="26" fillId="5" borderId="0" xfId="22" applyFont="1" applyFill="1" applyBorder="1" applyAlignment="1">
      <alignment horizontal="center" vertical="top"/>
      <protection/>
    </xf>
    <xf numFmtId="0" fontId="26" fillId="6" borderId="0" xfId="22" applyFont="1" applyFill="1" applyBorder="1" applyAlignment="1">
      <alignment horizontal="center" vertical="top"/>
      <protection/>
    </xf>
    <xf numFmtId="0" fontId="25" fillId="5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26" fillId="8" borderId="0" xfId="22" applyNumberFormat="1" applyFont="1" applyFill="1" applyBorder="1" applyAlignment="1">
      <alignment vertical="top" wrapText="1"/>
      <protection/>
    </xf>
    <xf numFmtId="40" fontId="0" fillId="8" borderId="12" xfId="0" applyNumberFormat="1" applyFont="1" applyFill="1" applyBorder="1" applyAlignment="1">
      <alignment horizontal="center"/>
    </xf>
    <xf numFmtId="0" fontId="26" fillId="0" borderId="0" xfId="22" applyFont="1" applyFill="1" applyBorder="1" applyAlignment="1">
      <alignment vertical="top"/>
      <protection/>
    </xf>
    <xf numFmtId="0" fontId="26" fillId="0" borderId="0" xfId="22" applyFont="1" applyFill="1" applyBorder="1" applyAlignment="1">
      <alignment horizontal="right" vertical="top"/>
      <protection/>
    </xf>
    <xf numFmtId="0" fontId="26" fillId="9" borderId="0" xfId="22" applyFont="1" applyFill="1" applyBorder="1" applyAlignment="1">
      <alignment horizontal="left" vertical="top"/>
      <protection/>
    </xf>
    <xf numFmtId="175" fontId="26" fillId="9" borderId="0" xfId="22" applyNumberFormat="1" applyFont="1" applyFill="1" applyBorder="1" applyAlignment="1">
      <alignment vertical="top" wrapText="1"/>
      <protection/>
    </xf>
    <xf numFmtId="0" fontId="26" fillId="9" borderId="0" xfId="22" applyFont="1" applyFill="1" applyBorder="1" applyAlignment="1">
      <alignment vertical="top"/>
      <protection/>
    </xf>
    <xf numFmtId="0" fontId="26" fillId="9" borderId="0" xfId="22" applyFont="1" applyFill="1" applyBorder="1" applyAlignment="1">
      <alignment horizontal="right" vertical="top"/>
      <protection/>
    </xf>
    <xf numFmtId="0" fontId="25" fillId="6" borderId="0" xfId="22" applyFont="1" applyFill="1" applyBorder="1" applyAlignment="1">
      <alignment horizontal="left" vertical="top" wrapText="1"/>
      <protection/>
    </xf>
    <xf numFmtId="0" fontId="25" fillId="6" borderId="0" xfId="22" applyFont="1" applyFill="1" applyBorder="1" applyAlignment="1">
      <alignment vertical="top" wrapText="1"/>
      <protection/>
    </xf>
    <xf numFmtId="0" fontId="29" fillId="0" borderId="33" xfId="24" applyFont="1" applyFill="1" applyBorder="1" applyAlignment="1">
      <alignment horizontal="center" vertical="top"/>
      <protection/>
    </xf>
    <xf numFmtId="175" fontId="26" fillId="0" borderId="0" xfId="24" applyNumberFormat="1" applyFont="1" applyFill="1" applyBorder="1" applyAlignment="1">
      <alignment horizontal="center" vertical="top" wrapText="1"/>
      <protection/>
    </xf>
    <xf numFmtId="0" fontId="25" fillId="0" borderId="33" xfId="24" applyFont="1" applyFill="1" applyBorder="1" applyAlignment="1">
      <alignment horizontal="center" vertical="top" wrapText="1"/>
      <protection/>
    </xf>
    <xf numFmtId="0" fontId="29" fillId="0" borderId="0" xfId="24" applyFont="1" applyFill="1" applyBorder="1" applyAlignment="1">
      <alignment horizontal="center" vertical="top"/>
      <protection/>
    </xf>
    <xf numFmtId="49" fontId="0" fillId="0" borderId="34" xfId="0" applyNumberFormat="1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49" fontId="0" fillId="0" borderId="27" xfId="0" applyNumberFormat="1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/>
    </xf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link" xfId="20"/>
    <cellStyle name="Normal 2" xfId="21"/>
    <cellStyle name="Normal 3" xfId="22"/>
    <cellStyle name="Comma 2" xfId="23"/>
    <cellStyle name="Normal 2 2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2" Type="http://schemas.openxmlformats.org/officeDocument/2006/relationships/worksheet" Target="worksheets/sheet2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8" Type="http://schemas.openxmlformats.org/officeDocument/2006/relationships/styles" Target="styles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10" Type="http://schemas.openxmlformats.org/officeDocument/2006/relationships/theme" Target="theme/theme1.xml" /><Relationship Id="rId5" Type="http://schemas.openxmlformats.org/officeDocument/2006/relationships/worksheet" Target="worksheets/sheet5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24</xdr:col>
      <xdr:colOff>1269</xdr:colOff>
      <xdr:row>52</xdr:row>
      <xdr:rowOff>61721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630400" cy="8477250"/>
        </a:xfrm>
        <a:prstGeom prst="rect"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www.e-laws.gov.on.ca/html/regs/english/elaws_regs_980282_e.htm#Top" TargetMode="External" /><Relationship Id="rId2" Type="http://schemas.openxmlformats.org/officeDocument/2006/relationships/hyperlink" Target="http://www.e-laws.gov.on.ca/html/regs/english/elaws_regs_980282_e.htm#BK49" TargetMode="Externa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61"/>
  <sheetViews>
    <sheetView workbookViewId="0" topLeftCell="A1">
      <pane xSplit="2" ySplit="2" topLeftCell="F3" activePane="bottomRight" state="frozen"/>
      <selection pane="topLeft" activeCell="A1" sqref="A1"/>
      <selection pane="bottomLeft" activeCell="A3" sqref="A3"/>
      <selection pane="topRight" activeCell="C1" sqref="C1"/>
      <selection pane="bottomRight" activeCell="A1" sqref="A1"/>
    </sheetView>
  </sheetViews>
  <sheetFormatPr defaultColWidth="9.1171875" defaultRowHeight="12.75"/>
  <cols>
    <col min="1" max="1" width="17.5714285714286" style="217" bestFit="1" customWidth="1"/>
    <col min="2" max="2" width="16.5714285714286" style="217" bestFit="1" customWidth="1"/>
    <col min="3" max="3" width="12.1428571428571" style="217" bestFit="1" customWidth="1"/>
    <col min="4" max="4" width="15.7142857142857" style="217" bestFit="1" customWidth="1"/>
    <col min="5" max="5" width="16.1428571428571" style="217" bestFit="1" customWidth="1"/>
    <col min="6" max="6" width="11.5714285714286" style="217" bestFit="1" customWidth="1"/>
    <col min="7" max="7" width="13.2857142857143" style="217" bestFit="1" customWidth="1"/>
    <col min="8" max="8" width="13.7142857142857" style="261" bestFit="1" customWidth="1"/>
    <col min="9" max="9" width="15.5714285714286" style="217" bestFit="1" customWidth="1"/>
    <col min="10" max="10" width="16.5714285714286" style="217" bestFit="1" customWidth="1"/>
    <col min="11" max="11" width="15" style="266" bestFit="1" customWidth="1"/>
    <col min="12" max="12" width="6.14285714285714" style="217" customWidth="1"/>
    <col min="13" max="13" width="14" style="266" bestFit="1" customWidth="1"/>
    <col min="14" max="14" width="8.42857142857143" style="217" customWidth="1"/>
    <col min="15" max="15" width="14" style="217" bestFit="1" customWidth="1"/>
    <col min="16" max="16" width="31" style="217" bestFit="1" customWidth="1"/>
    <col min="17" max="17" width="12" style="217" customWidth="1"/>
    <col min="18" max="18" width="9.14285714285714" style="217" customWidth="1"/>
    <col min="19" max="19" width="11.2857142857143" style="217" customWidth="1"/>
    <col min="20" max="20" width="9.14285714285714" style="278"/>
    <col min="21" max="16384" width="9.14285714285714" style="217"/>
  </cols>
  <sheetData>
    <row r="1" spans="2:19" ht="15" customHeight="1">
      <c r="B1" s="218"/>
      <c r="C1" s="218"/>
      <c r="D1" s="218"/>
      <c r="E1" s="218"/>
      <c r="F1" s="218"/>
      <c r="G1" s="218"/>
      <c r="H1" s="218"/>
      <c r="I1" s="218"/>
      <c r="J1" s="218"/>
      <c r="K1" s="219"/>
      <c r="L1" s="218"/>
      <c r="M1" s="218" t="s">
        <v>1469</v>
      </c>
      <c r="N1" s="218"/>
      <c r="P1" s="218"/>
      <c r="Q1" s="218"/>
      <c r="R1" s="218"/>
      <c r="S1" s="218"/>
    </row>
    <row r="2" spans="1:19" ht="35.1" customHeight="1">
      <c r="A2" s="220" t="s">
        <v>1470</v>
      </c>
      <c r="B2" s="220" t="s">
        <v>1471</v>
      </c>
      <c r="C2" s="221" t="s">
        <v>1472</v>
      </c>
      <c r="D2" s="221" t="s">
        <v>1473</v>
      </c>
      <c r="E2" s="221" t="s">
        <v>1474</v>
      </c>
      <c r="F2" s="220" t="s">
        <v>1475</v>
      </c>
      <c r="G2" s="220" t="s">
        <v>1476</v>
      </c>
      <c r="H2" s="221" t="s">
        <v>1477</v>
      </c>
      <c r="I2" s="221" t="s">
        <v>1478</v>
      </c>
      <c r="J2" s="221" t="s">
        <v>1479</v>
      </c>
      <c r="K2" s="220" t="s">
        <v>1480</v>
      </c>
      <c r="L2" s="220" t="s">
        <v>1481</v>
      </c>
      <c r="M2" s="220" t="s">
        <v>1482</v>
      </c>
      <c r="N2" s="220" t="s">
        <v>1483</v>
      </c>
      <c r="O2" s="220" t="s">
        <v>1484</v>
      </c>
      <c r="P2" s="220" t="s">
        <v>1485</v>
      </c>
      <c r="Q2" s="222" t="s">
        <v>1553</v>
      </c>
      <c r="R2" s="222" t="s">
        <v>1556</v>
      </c>
      <c r="S2" s="222" t="s">
        <v>1557</v>
      </c>
    </row>
    <row r="3" spans="1:20" ht="14.35">
      <c r="A3" s="218" t="s">
        <v>1486</v>
      </c>
      <c r="B3" s="218" t="s">
        <v>1487</v>
      </c>
      <c r="C3" s="223">
        <v>1</v>
      </c>
      <c r="D3" s="224" t="s">
        <v>1488</v>
      </c>
      <c r="E3" s="223">
        <v>2</v>
      </c>
      <c r="F3" s="226">
        <v>7661.942035</v>
      </c>
      <c r="G3" s="223">
        <v>1981</v>
      </c>
      <c r="H3" s="223">
        <v>1</v>
      </c>
      <c r="I3" s="223">
        <v>0</v>
      </c>
      <c r="J3" s="227"/>
      <c r="K3" s="228">
        <v>124429.9387</v>
      </c>
      <c r="L3" s="223">
        <v>80</v>
      </c>
      <c r="M3" s="229">
        <v>24885.987730000001</v>
      </c>
      <c r="N3" s="230">
        <v>16.239999999999998</v>
      </c>
      <c r="O3" s="231">
        <v>0</v>
      </c>
      <c r="P3" s="313"/>
      <c r="Q3" s="275">
        <f>ROUND(F3,2)</f>
        <v>7661.94</v>
      </c>
      <c r="R3" s="275">
        <f>(SUMIFS('Dec 31 2018 OFFS'!$AG:$AG,'Dec 31 2018 OFFS'!$AI:$AI,'T1 2019 Pipeline Data Lagasco'!$A3,'Dec 31 2018 OFFS'!$U:$U,'T1 2019 Pipeline Data Lagasco'!$E3,'Dec 31 2018 OFFS'!$AK:$AK,'T1 2019 Pipeline Data Lagasco'!$Q3,'Dec 31 2018 OFFS'!$W:$W,'T1 2019 Pipeline Data Lagasco'!$G3))/(MAX(COUNTIFS('Dec 31 2018 OFFS'!$AI:$AI,'T1 2019 Pipeline Data Lagasco'!$A3,'Dec 31 2018 OFFS'!$U:$U,'T1 2019 Pipeline Data Lagasco'!$E3,'Dec 31 2018 OFFS'!$AK:$AK,'T1 2019 Pipeline Data Lagasco'!$Q3,'Dec 31 2018 OFFS'!$W:$W,'T1 2019 Pipeline Data Lagasco'!$G3),1))</f>
        <v>0</v>
      </c>
      <c r="S3" s="275">
        <f>O3-R3</f>
        <v>0</v>
      </c>
      <c r="T3" s="217"/>
    </row>
    <row r="4" spans="1:20" ht="14.1" customHeight="1">
      <c r="A4" s="218" t="s">
        <v>1486</v>
      </c>
      <c r="B4" s="218" t="s">
        <v>1487</v>
      </c>
      <c r="C4" s="223">
        <v>1</v>
      </c>
      <c r="D4" s="224" t="s">
        <v>1488</v>
      </c>
      <c r="E4" s="223">
        <v>2</v>
      </c>
      <c r="F4" s="232">
        <v>125.6561643</v>
      </c>
      <c r="G4" s="223">
        <v>1969</v>
      </c>
      <c r="H4" s="223">
        <v>1</v>
      </c>
      <c r="I4" s="223">
        <v>1</v>
      </c>
      <c r="J4" s="227"/>
      <c r="K4" s="233">
        <v>2040.656109</v>
      </c>
      <c r="L4" s="223">
        <v>80</v>
      </c>
      <c r="M4" s="234">
        <v>408.13122179999999</v>
      </c>
      <c r="N4" s="230">
        <v>16.239999999999998</v>
      </c>
      <c r="O4" s="231">
        <v>408</v>
      </c>
      <c r="P4" s="313"/>
      <c r="Q4" s="276">
        <f t="shared" si="0" ref="Q4:Q67">ROUND(F4,2)</f>
        <v>125.66</v>
      </c>
      <c r="R4" s="275">
        <f>(SUMIFS('Dec 31 2018 OFFS'!$AG:$AG,'Dec 31 2018 OFFS'!$AI:$AI,'T1 2019 Pipeline Data Lagasco'!$A4,'Dec 31 2018 OFFS'!$U:$U,'T1 2019 Pipeline Data Lagasco'!$E4,'Dec 31 2018 OFFS'!$AK:$AK,'T1 2019 Pipeline Data Lagasco'!$Q4,'Dec 31 2018 OFFS'!$W:$W,'T1 2019 Pipeline Data Lagasco'!$G4))/(MAX(COUNTIFS('Dec 31 2018 OFFS'!$AI:$AI,'T1 2019 Pipeline Data Lagasco'!$A4,'Dec 31 2018 OFFS'!$U:$U,'T1 2019 Pipeline Data Lagasco'!$E4,'Dec 31 2018 OFFS'!$AK:$AK,'T1 2019 Pipeline Data Lagasco'!$Q4,'Dec 31 2018 OFFS'!$W:$W,'T1 2019 Pipeline Data Lagasco'!$G4),1))</f>
        <v>408</v>
      </c>
      <c r="S4" s="275">
        <f t="shared" si="1" ref="S4:S67">O4-R4</f>
        <v>0</v>
      </c>
      <c r="T4" s="217"/>
    </row>
    <row r="5" spans="1:20" ht="14.1" customHeight="1">
      <c r="A5" s="218" t="s">
        <v>1486</v>
      </c>
      <c r="B5" s="218" t="s">
        <v>1487</v>
      </c>
      <c r="C5" s="223">
        <v>1</v>
      </c>
      <c r="D5" s="224" t="s">
        <v>1488</v>
      </c>
      <c r="E5" s="223">
        <v>2</v>
      </c>
      <c r="F5" s="232">
        <v>256.56167240000002</v>
      </c>
      <c r="G5" s="223">
        <v>1969</v>
      </c>
      <c r="H5" s="223">
        <v>1</v>
      </c>
      <c r="I5" s="223">
        <v>1</v>
      </c>
      <c r="J5" s="227"/>
      <c r="K5" s="233">
        <v>4166.5615589999998</v>
      </c>
      <c r="L5" s="223">
        <v>80</v>
      </c>
      <c r="M5" s="234">
        <v>833.31231179999997</v>
      </c>
      <c r="N5" s="230">
        <v>16.239999999999998</v>
      </c>
      <c r="O5" s="231">
        <v>833</v>
      </c>
      <c r="P5" s="313"/>
      <c r="Q5" s="276">
        <f t="shared" si="0"/>
        <v>256.56</v>
      </c>
      <c r="R5" s="275">
        <f>(SUMIFS('Dec 31 2018 OFFS'!$AG:$AG,'Dec 31 2018 OFFS'!$AI:$AI,'T1 2019 Pipeline Data Lagasco'!$A5,'Dec 31 2018 OFFS'!$U:$U,'T1 2019 Pipeline Data Lagasco'!$E5,'Dec 31 2018 OFFS'!$AK:$AK,'T1 2019 Pipeline Data Lagasco'!$Q5,'Dec 31 2018 OFFS'!$W:$W,'T1 2019 Pipeline Data Lagasco'!$G5))/(MAX(COUNTIFS('Dec 31 2018 OFFS'!$AI:$AI,'T1 2019 Pipeline Data Lagasco'!$A5,'Dec 31 2018 OFFS'!$U:$U,'T1 2019 Pipeline Data Lagasco'!$E5,'Dec 31 2018 OFFS'!$AK:$AK,'T1 2019 Pipeline Data Lagasco'!$Q5,'Dec 31 2018 OFFS'!$W:$W,'T1 2019 Pipeline Data Lagasco'!$G5),1))</f>
        <v>833</v>
      </c>
      <c r="S5" s="275">
        <f t="shared" si="1"/>
        <v>0</v>
      </c>
      <c r="T5" s="217"/>
    </row>
    <row r="6" spans="1:20" ht="14.1" customHeight="1">
      <c r="A6" s="218" t="s">
        <v>1486</v>
      </c>
      <c r="B6" s="218" t="s">
        <v>1487</v>
      </c>
      <c r="C6" s="223">
        <v>1</v>
      </c>
      <c r="D6" s="224" t="s">
        <v>1488</v>
      </c>
      <c r="E6" s="223">
        <v>2</v>
      </c>
      <c r="F6" s="226">
        <v>1211.318863</v>
      </c>
      <c r="G6" s="223">
        <v>1966</v>
      </c>
      <c r="H6" s="223">
        <v>1</v>
      </c>
      <c r="I6" s="223">
        <v>0</v>
      </c>
      <c r="J6" s="227"/>
      <c r="K6" s="229">
        <v>19671.818329999998</v>
      </c>
      <c r="L6" s="223">
        <v>80</v>
      </c>
      <c r="M6" s="233">
        <v>3934.3636660000002</v>
      </c>
      <c r="N6" s="230">
        <v>16.239999999999998</v>
      </c>
      <c r="O6" s="231">
        <v>0</v>
      </c>
      <c r="P6" s="313"/>
      <c r="Q6" s="276">
        <f t="shared" si="0"/>
        <v>1211.32</v>
      </c>
      <c r="R6" s="275">
        <f>(SUMIFS('Dec 31 2018 OFFS'!$AG:$AG,'Dec 31 2018 OFFS'!$AI:$AI,'T1 2019 Pipeline Data Lagasco'!$A6,'Dec 31 2018 OFFS'!$U:$U,'T1 2019 Pipeline Data Lagasco'!$E6,'Dec 31 2018 OFFS'!$AK:$AK,'T1 2019 Pipeline Data Lagasco'!$Q6,'Dec 31 2018 OFFS'!$W:$W,'T1 2019 Pipeline Data Lagasco'!$G6))/(MAX(COUNTIFS('Dec 31 2018 OFFS'!$AI:$AI,'T1 2019 Pipeline Data Lagasco'!$A6,'Dec 31 2018 OFFS'!$U:$U,'T1 2019 Pipeline Data Lagasco'!$E6,'Dec 31 2018 OFFS'!$AK:$AK,'T1 2019 Pipeline Data Lagasco'!$Q6,'Dec 31 2018 OFFS'!$W:$W,'T1 2019 Pipeline Data Lagasco'!$G6),1))</f>
        <v>0</v>
      </c>
      <c r="S6" s="275">
        <f t="shared" si="1"/>
        <v>0</v>
      </c>
      <c r="T6" s="217"/>
    </row>
    <row r="7" spans="1:20" ht="14.1" customHeight="1">
      <c r="A7" s="218" t="s">
        <v>1486</v>
      </c>
      <c r="B7" s="218" t="s">
        <v>1487</v>
      </c>
      <c r="C7" s="223">
        <v>1</v>
      </c>
      <c r="D7" s="224" t="s">
        <v>1488</v>
      </c>
      <c r="E7" s="223">
        <v>2</v>
      </c>
      <c r="F7" s="226">
        <v>3193.4054190000002</v>
      </c>
      <c r="G7" s="223">
        <v>1968</v>
      </c>
      <c r="H7" s="223">
        <v>1</v>
      </c>
      <c r="I7" s="223">
        <v>0</v>
      </c>
      <c r="J7" s="227"/>
      <c r="K7" s="229">
        <v>51860.904009999998</v>
      </c>
      <c r="L7" s="223">
        <v>80</v>
      </c>
      <c r="M7" s="228">
        <v>10372.1808</v>
      </c>
      <c r="N7" s="230">
        <v>16.239999999999998</v>
      </c>
      <c r="O7" s="231">
        <v>0</v>
      </c>
      <c r="P7" s="313"/>
      <c r="Q7" s="276">
        <f t="shared" si="0"/>
        <v>3193.41</v>
      </c>
      <c r="R7" s="275">
        <f>(SUMIFS('Dec 31 2018 OFFS'!$AG:$AG,'Dec 31 2018 OFFS'!$AI:$AI,'T1 2019 Pipeline Data Lagasco'!$A7,'Dec 31 2018 OFFS'!$U:$U,'T1 2019 Pipeline Data Lagasco'!$E7,'Dec 31 2018 OFFS'!$AK:$AK,'T1 2019 Pipeline Data Lagasco'!$Q7,'Dec 31 2018 OFFS'!$W:$W,'T1 2019 Pipeline Data Lagasco'!$G7))/(MAX(COUNTIFS('Dec 31 2018 OFFS'!$AI:$AI,'T1 2019 Pipeline Data Lagasco'!$A7,'Dec 31 2018 OFFS'!$U:$U,'T1 2019 Pipeline Data Lagasco'!$E7,'Dec 31 2018 OFFS'!$AK:$AK,'T1 2019 Pipeline Data Lagasco'!$Q7,'Dec 31 2018 OFFS'!$W:$W,'T1 2019 Pipeline Data Lagasco'!$G7),1))</f>
        <v>0</v>
      </c>
      <c r="S7" s="275">
        <f t="shared" si="1"/>
        <v>0</v>
      </c>
      <c r="T7" s="217"/>
    </row>
    <row r="8" spans="1:20" ht="14.1" customHeight="1">
      <c r="A8" s="218" t="s">
        <v>1486</v>
      </c>
      <c r="B8" s="218" t="s">
        <v>1487</v>
      </c>
      <c r="C8" s="223">
        <v>1</v>
      </c>
      <c r="D8" s="224" t="s">
        <v>1488</v>
      </c>
      <c r="E8" s="223">
        <v>2</v>
      </c>
      <c r="F8" s="230">
        <v>905.12</v>
      </c>
      <c r="G8" s="223">
        <v>1975</v>
      </c>
      <c r="H8" s="223">
        <v>1</v>
      </c>
      <c r="I8" s="223">
        <v>0</v>
      </c>
      <c r="J8" s="227"/>
      <c r="K8" s="228">
        <v>14699.148800000001</v>
      </c>
      <c r="L8" s="223">
        <v>80</v>
      </c>
      <c r="M8" s="229">
        <v>2939.8297600000001</v>
      </c>
      <c r="N8" s="230">
        <v>16.239999999999998</v>
      </c>
      <c r="O8" s="231">
        <v>0</v>
      </c>
      <c r="P8" s="313"/>
      <c r="Q8" s="276">
        <f t="shared" si="0"/>
        <v>905.12</v>
      </c>
      <c r="R8" s="275">
        <f>(SUMIFS('Dec 31 2018 OFFS'!$AG:$AG,'Dec 31 2018 OFFS'!$AI:$AI,'T1 2019 Pipeline Data Lagasco'!$A8,'Dec 31 2018 OFFS'!$U:$U,'T1 2019 Pipeline Data Lagasco'!$E8,'Dec 31 2018 OFFS'!$AK:$AK,'T1 2019 Pipeline Data Lagasco'!$Q8,'Dec 31 2018 OFFS'!$W:$W,'T1 2019 Pipeline Data Lagasco'!$G8))/(MAX(COUNTIFS('Dec 31 2018 OFFS'!$AI:$AI,'T1 2019 Pipeline Data Lagasco'!$A8,'Dec 31 2018 OFFS'!$U:$U,'T1 2019 Pipeline Data Lagasco'!$E8,'Dec 31 2018 OFFS'!$AK:$AK,'T1 2019 Pipeline Data Lagasco'!$Q8,'Dec 31 2018 OFFS'!$W:$W,'T1 2019 Pipeline Data Lagasco'!$G8),1))</f>
        <v>0</v>
      </c>
      <c r="S8" s="275">
        <f t="shared" si="1"/>
        <v>0</v>
      </c>
      <c r="T8" s="217"/>
    </row>
    <row r="9" spans="1:20" ht="14.1" customHeight="1">
      <c r="A9" s="218" t="s">
        <v>1486</v>
      </c>
      <c r="B9" s="218" t="s">
        <v>1487</v>
      </c>
      <c r="C9" s="223">
        <v>1</v>
      </c>
      <c r="D9" s="224" t="s">
        <v>1488</v>
      </c>
      <c r="E9" s="223">
        <v>2</v>
      </c>
      <c r="F9" s="226">
        <v>2646.9815509999999</v>
      </c>
      <c r="G9" s="223">
        <v>1975</v>
      </c>
      <c r="H9" s="223">
        <v>1</v>
      </c>
      <c r="I9" s="223">
        <v>1</v>
      </c>
      <c r="J9" s="227"/>
      <c r="K9" s="229">
        <v>42986.980380000001</v>
      </c>
      <c r="L9" s="223">
        <v>80</v>
      </c>
      <c r="M9" s="233">
        <v>8597.3960760000009</v>
      </c>
      <c r="N9" s="230">
        <v>16.239999999999998</v>
      </c>
      <c r="O9" s="231">
        <v>8597</v>
      </c>
      <c r="P9" s="313"/>
      <c r="Q9" s="276">
        <f t="shared" si="0"/>
        <v>2646.98</v>
      </c>
      <c r="R9" s="275">
        <f>(SUMIFS('Dec 31 2018 OFFS'!$AG:$AG,'Dec 31 2018 OFFS'!$AI:$AI,'T1 2019 Pipeline Data Lagasco'!$A9,'Dec 31 2018 OFFS'!$U:$U,'T1 2019 Pipeline Data Lagasco'!$E9,'Dec 31 2018 OFFS'!$AK:$AK,'T1 2019 Pipeline Data Lagasco'!$Q9,'Dec 31 2018 OFFS'!$W:$W,'T1 2019 Pipeline Data Lagasco'!$G9))/(MAX(COUNTIFS('Dec 31 2018 OFFS'!$AI:$AI,'T1 2019 Pipeline Data Lagasco'!$A9,'Dec 31 2018 OFFS'!$U:$U,'T1 2019 Pipeline Data Lagasco'!$E9,'Dec 31 2018 OFFS'!$AK:$AK,'T1 2019 Pipeline Data Lagasco'!$Q9,'Dec 31 2018 OFFS'!$W:$W,'T1 2019 Pipeline Data Lagasco'!$G9),1))</f>
        <v>8597</v>
      </c>
      <c r="S9" s="275">
        <f t="shared" si="1"/>
        <v>0</v>
      </c>
      <c r="T9" s="217"/>
    </row>
    <row r="10" spans="1:20" ht="14.1" customHeight="1">
      <c r="A10" s="218" t="s">
        <v>1486</v>
      </c>
      <c r="B10" s="218" t="s">
        <v>1487</v>
      </c>
      <c r="C10" s="223">
        <v>1</v>
      </c>
      <c r="D10" s="224" t="s">
        <v>1488</v>
      </c>
      <c r="E10" s="223">
        <v>3</v>
      </c>
      <c r="F10" s="226">
        <v>5302.0667759999997</v>
      </c>
      <c r="G10" s="223">
        <v>1969</v>
      </c>
      <c r="H10" s="223">
        <v>1</v>
      </c>
      <c r="I10" s="223">
        <v>1</v>
      </c>
      <c r="J10" s="227"/>
      <c r="K10" s="228">
        <v>125075.7552</v>
      </c>
      <c r="L10" s="223">
        <v>80</v>
      </c>
      <c r="M10" s="229">
        <v>25015.15105</v>
      </c>
      <c r="N10" s="230">
        <v>23.59</v>
      </c>
      <c r="O10" s="231">
        <v>25015</v>
      </c>
      <c r="P10" s="313"/>
      <c r="Q10" s="276">
        <f t="shared" si="0"/>
        <v>5302.07</v>
      </c>
      <c r="R10" s="275">
        <f>(SUMIFS('Dec 31 2018 OFFS'!$AG:$AG,'Dec 31 2018 OFFS'!$AI:$AI,'T1 2019 Pipeline Data Lagasco'!$A10,'Dec 31 2018 OFFS'!$U:$U,'T1 2019 Pipeline Data Lagasco'!$E10,'Dec 31 2018 OFFS'!$AK:$AK,'T1 2019 Pipeline Data Lagasco'!$Q10,'Dec 31 2018 OFFS'!$W:$W,'T1 2019 Pipeline Data Lagasco'!$G10))/(MAX(COUNTIFS('Dec 31 2018 OFFS'!$AI:$AI,'T1 2019 Pipeline Data Lagasco'!$A10,'Dec 31 2018 OFFS'!$U:$U,'T1 2019 Pipeline Data Lagasco'!$E10,'Dec 31 2018 OFFS'!$AK:$AK,'T1 2019 Pipeline Data Lagasco'!$Q10,'Dec 31 2018 OFFS'!$W:$W,'T1 2019 Pipeline Data Lagasco'!$G10),1))</f>
        <v>25015</v>
      </c>
      <c r="S10" s="275">
        <f t="shared" si="1"/>
        <v>0</v>
      </c>
      <c r="T10" s="217"/>
    </row>
    <row r="11" spans="1:20" ht="14.1" customHeight="1">
      <c r="A11" s="218" t="s">
        <v>1486</v>
      </c>
      <c r="B11" s="218" t="s">
        <v>1487</v>
      </c>
      <c r="C11" s="223">
        <v>1</v>
      </c>
      <c r="D11" s="224" t="s">
        <v>1488</v>
      </c>
      <c r="E11" s="223">
        <v>4</v>
      </c>
      <c r="F11" s="226">
        <v>7285.4000509999996</v>
      </c>
      <c r="G11" s="223">
        <v>1969</v>
      </c>
      <c r="H11" s="223">
        <v>1</v>
      </c>
      <c r="I11" s="223">
        <v>0</v>
      </c>
      <c r="J11" s="227"/>
      <c r="K11" s="228">
        <v>192698.8314</v>
      </c>
      <c r="L11" s="223">
        <v>80</v>
      </c>
      <c r="M11" s="229">
        <v>38539.76627</v>
      </c>
      <c r="N11" s="230">
        <v>26.45</v>
      </c>
      <c r="O11" s="231">
        <v>0</v>
      </c>
      <c r="P11" s="313"/>
      <c r="Q11" s="276">
        <f t="shared" si="0"/>
        <v>7285.40</v>
      </c>
      <c r="R11" s="275">
        <f>(SUMIFS('Dec 31 2018 OFFS'!$AG:$AG,'Dec 31 2018 OFFS'!$AI:$AI,'T1 2019 Pipeline Data Lagasco'!$A11,'Dec 31 2018 OFFS'!$U:$U,'T1 2019 Pipeline Data Lagasco'!$E11,'Dec 31 2018 OFFS'!$AK:$AK,'T1 2019 Pipeline Data Lagasco'!$Q11,'Dec 31 2018 OFFS'!$W:$W,'T1 2019 Pipeline Data Lagasco'!$G11))/(MAX(COUNTIFS('Dec 31 2018 OFFS'!$AI:$AI,'T1 2019 Pipeline Data Lagasco'!$A11,'Dec 31 2018 OFFS'!$U:$U,'T1 2019 Pipeline Data Lagasco'!$E11,'Dec 31 2018 OFFS'!$AK:$AK,'T1 2019 Pipeline Data Lagasco'!$Q11,'Dec 31 2018 OFFS'!$W:$W,'T1 2019 Pipeline Data Lagasco'!$G11),1))</f>
        <v>0</v>
      </c>
      <c r="S11" s="275">
        <f t="shared" si="1"/>
        <v>0</v>
      </c>
      <c r="T11" s="217"/>
    </row>
    <row r="12" spans="1:20" ht="14.1" customHeight="1">
      <c r="A12" s="218" t="s">
        <v>1486</v>
      </c>
      <c r="B12" s="218" t="s">
        <v>1487</v>
      </c>
      <c r="C12" s="223">
        <v>1</v>
      </c>
      <c r="D12" s="224" t="s">
        <v>1488</v>
      </c>
      <c r="E12" s="223">
        <v>4</v>
      </c>
      <c r="F12" s="226">
        <v>2546.2925770000002</v>
      </c>
      <c r="G12" s="223">
        <v>1969</v>
      </c>
      <c r="H12" s="223">
        <v>1</v>
      </c>
      <c r="I12" s="223">
        <v>1</v>
      </c>
      <c r="J12" s="227"/>
      <c r="K12" s="229">
        <v>67349.438670000003</v>
      </c>
      <c r="L12" s="223">
        <v>80</v>
      </c>
      <c r="M12" s="229">
        <v>13469.88773</v>
      </c>
      <c r="N12" s="230">
        <v>26.45</v>
      </c>
      <c r="O12" s="231">
        <v>13469</v>
      </c>
      <c r="P12" s="313"/>
      <c r="Q12" s="276">
        <f t="shared" si="0"/>
        <v>2546.29</v>
      </c>
      <c r="R12" s="275">
        <f>(SUMIFS('Dec 31 2018 OFFS'!$AG:$AG,'Dec 31 2018 OFFS'!$AI:$AI,'T1 2019 Pipeline Data Lagasco'!$A12,'Dec 31 2018 OFFS'!$U:$U,'T1 2019 Pipeline Data Lagasco'!$E12,'Dec 31 2018 OFFS'!$AK:$AK,'T1 2019 Pipeline Data Lagasco'!$Q12,'Dec 31 2018 OFFS'!$W:$W,'T1 2019 Pipeline Data Lagasco'!$G12))/(MAX(COUNTIFS('Dec 31 2018 OFFS'!$AI:$AI,'T1 2019 Pipeline Data Lagasco'!$A12,'Dec 31 2018 OFFS'!$U:$U,'T1 2019 Pipeline Data Lagasco'!$E12,'Dec 31 2018 OFFS'!$AK:$AK,'T1 2019 Pipeline Data Lagasco'!$Q12,'Dec 31 2018 OFFS'!$W:$W,'T1 2019 Pipeline Data Lagasco'!$G12),1))</f>
        <v>13469</v>
      </c>
      <c r="S12" s="275">
        <f t="shared" si="1"/>
        <v>0</v>
      </c>
      <c r="T12" s="217"/>
    </row>
    <row r="13" spans="1:20" ht="14.1" customHeight="1">
      <c r="A13" s="218" t="s">
        <v>1486</v>
      </c>
      <c r="B13" s="218" t="s">
        <v>1487</v>
      </c>
      <c r="C13" s="223">
        <v>1</v>
      </c>
      <c r="D13" s="224" t="s">
        <v>1488</v>
      </c>
      <c r="E13" s="223">
        <v>4</v>
      </c>
      <c r="F13" s="226">
        <v>9179.8225689999999</v>
      </c>
      <c r="G13" s="223">
        <v>1970</v>
      </c>
      <c r="H13" s="223">
        <v>1</v>
      </c>
      <c r="I13" s="223">
        <v>1</v>
      </c>
      <c r="J13" s="227"/>
      <c r="K13" s="228">
        <v>242806.3069</v>
      </c>
      <c r="L13" s="223">
        <v>80</v>
      </c>
      <c r="M13" s="229">
        <v>48561.26139</v>
      </c>
      <c r="N13" s="230">
        <v>26.45</v>
      </c>
      <c r="O13" s="231">
        <v>48561</v>
      </c>
      <c r="P13" s="313"/>
      <c r="Q13" s="276">
        <f t="shared" si="0"/>
        <v>9179.82</v>
      </c>
      <c r="R13" s="275">
        <f>(SUMIFS('Dec 31 2018 OFFS'!$AG:$AG,'Dec 31 2018 OFFS'!$AI:$AI,'T1 2019 Pipeline Data Lagasco'!$A13,'Dec 31 2018 OFFS'!$U:$U,'T1 2019 Pipeline Data Lagasco'!$E13,'Dec 31 2018 OFFS'!$AK:$AK,'T1 2019 Pipeline Data Lagasco'!$Q13,'Dec 31 2018 OFFS'!$W:$W,'T1 2019 Pipeline Data Lagasco'!$G13))/(MAX(COUNTIFS('Dec 31 2018 OFFS'!$AI:$AI,'T1 2019 Pipeline Data Lagasco'!$A13,'Dec 31 2018 OFFS'!$U:$U,'T1 2019 Pipeline Data Lagasco'!$E13,'Dec 31 2018 OFFS'!$AK:$AK,'T1 2019 Pipeline Data Lagasco'!$Q13,'Dec 31 2018 OFFS'!$W:$W,'T1 2019 Pipeline Data Lagasco'!$G13),1))</f>
        <v>48561</v>
      </c>
      <c r="S13" s="275">
        <f t="shared" si="1"/>
        <v>0</v>
      </c>
      <c r="T13" s="217"/>
    </row>
    <row r="14" spans="1:20" ht="14.1" customHeight="1">
      <c r="A14" s="218" t="s">
        <v>1486</v>
      </c>
      <c r="B14" s="218" t="s">
        <v>1487</v>
      </c>
      <c r="C14" s="223">
        <v>1</v>
      </c>
      <c r="D14" s="224" t="s">
        <v>1488</v>
      </c>
      <c r="E14" s="223">
        <v>4</v>
      </c>
      <c r="F14" s="226">
        <v>1402.4277810000001</v>
      </c>
      <c r="G14" s="223">
        <v>1969</v>
      </c>
      <c r="H14" s="223">
        <v>1</v>
      </c>
      <c r="I14" s="223">
        <v>1</v>
      </c>
      <c r="J14" s="227"/>
      <c r="K14" s="229">
        <v>37094.214809999998</v>
      </c>
      <c r="L14" s="223">
        <v>80</v>
      </c>
      <c r="M14" s="233">
        <v>7418.8429610000003</v>
      </c>
      <c r="N14" s="230">
        <v>26.45</v>
      </c>
      <c r="O14" s="231">
        <v>7418</v>
      </c>
      <c r="P14" s="313"/>
      <c r="Q14" s="276">
        <f t="shared" si="0"/>
        <v>1402.43</v>
      </c>
      <c r="R14" s="275">
        <f>(SUMIFS('Dec 31 2018 OFFS'!$AG:$AG,'Dec 31 2018 OFFS'!$AI:$AI,'T1 2019 Pipeline Data Lagasco'!$A14,'Dec 31 2018 OFFS'!$U:$U,'T1 2019 Pipeline Data Lagasco'!$E14,'Dec 31 2018 OFFS'!$AK:$AK,'T1 2019 Pipeline Data Lagasco'!$Q14,'Dec 31 2018 OFFS'!$W:$W,'T1 2019 Pipeline Data Lagasco'!$G14))/(MAX(COUNTIFS('Dec 31 2018 OFFS'!$AI:$AI,'T1 2019 Pipeline Data Lagasco'!$A14,'Dec 31 2018 OFFS'!$U:$U,'T1 2019 Pipeline Data Lagasco'!$E14,'Dec 31 2018 OFFS'!$AK:$AK,'T1 2019 Pipeline Data Lagasco'!$Q14,'Dec 31 2018 OFFS'!$W:$W,'T1 2019 Pipeline Data Lagasco'!$G14),1))</f>
        <v>7418</v>
      </c>
      <c r="S14" s="275">
        <f t="shared" si="1"/>
        <v>0</v>
      </c>
      <c r="T14" s="217"/>
    </row>
    <row r="15" spans="1:20" ht="14.1" customHeight="1">
      <c r="A15" s="218" t="s">
        <v>1486</v>
      </c>
      <c r="B15" s="218" t="s">
        <v>1487</v>
      </c>
      <c r="C15" s="223">
        <v>1</v>
      </c>
      <c r="D15" s="224" t="s">
        <v>1488</v>
      </c>
      <c r="E15" s="223">
        <v>4</v>
      </c>
      <c r="F15" s="235">
        <v>3648.4578999999999</v>
      </c>
      <c r="G15" s="223">
        <v>1968</v>
      </c>
      <c r="H15" s="223">
        <v>1</v>
      </c>
      <c r="I15" s="223">
        <v>1</v>
      </c>
      <c r="J15" s="227"/>
      <c r="K15" s="229">
        <v>96501.711439999999</v>
      </c>
      <c r="L15" s="223">
        <v>80</v>
      </c>
      <c r="M15" s="229">
        <v>19300.342290000001</v>
      </c>
      <c r="N15" s="230">
        <v>26.45</v>
      </c>
      <c r="O15" s="231">
        <v>19300</v>
      </c>
      <c r="P15" s="313"/>
      <c r="Q15" s="276">
        <f t="shared" si="0"/>
        <v>3648.46</v>
      </c>
      <c r="R15" s="275">
        <f>(SUMIFS('Dec 31 2018 OFFS'!$AG:$AG,'Dec 31 2018 OFFS'!$AI:$AI,'T1 2019 Pipeline Data Lagasco'!$A15,'Dec 31 2018 OFFS'!$U:$U,'T1 2019 Pipeline Data Lagasco'!$E15,'Dec 31 2018 OFFS'!$AK:$AK,'T1 2019 Pipeline Data Lagasco'!$Q15,'Dec 31 2018 OFFS'!$W:$W,'T1 2019 Pipeline Data Lagasco'!$G15))/(MAX(COUNTIFS('Dec 31 2018 OFFS'!$AI:$AI,'T1 2019 Pipeline Data Lagasco'!$A15,'Dec 31 2018 OFFS'!$U:$U,'T1 2019 Pipeline Data Lagasco'!$E15,'Dec 31 2018 OFFS'!$AK:$AK,'T1 2019 Pipeline Data Lagasco'!$Q15,'Dec 31 2018 OFFS'!$W:$W,'T1 2019 Pipeline Data Lagasco'!$G15),1))</f>
        <v>19300</v>
      </c>
      <c r="S15" s="275">
        <f t="shared" si="1"/>
        <v>0</v>
      </c>
      <c r="T15" s="217"/>
    </row>
    <row r="16" spans="1:20" ht="14.1" customHeight="1">
      <c r="A16" s="218" t="s">
        <v>1486</v>
      </c>
      <c r="B16" s="218" t="s">
        <v>1487</v>
      </c>
      <c r="C16" s="223">
        <v>1</v>
      </c>
      <c r="D16" s="224" t="s">
        <v>1488</v>
      </c>
      <c r="E16" s="223">
        <v>4</v>
      </c>
      <c r="F16" s="226">
        <v>4517.1586619999998</v>
      </c>
      <c r="G16" s="223">
        <v>1968</v>
      </c>
      <c r="H16" s="223">
        <v>1</v>
      </c>
      <c r="I16" s="223">
        <v>1</v>
      </c>
      <c r="J16" s="227"/>
      <c r="K16" s="228">
        <v>119478.8466</v>
      </c>
      <c r="L16" s="223">
        <v>80</v>
      </c>
      <c r="M16" s="229">
        <v>23895.769319999999</v>
      </c>
      <c r="N16" s="230">
        <v>26.45</v>
      </c>
      <c r="O16" s="231">
        <v>23895</v>
      </c>
      <c r="P16" s="313"/>
      <c r="Q16" s="276">
        <f t="shared" si="0"/>
        <v>4517.16</v>
      </c>
      <c r="R16" s="275">
        <f>(SUMIFS('Dec 31 2018 OFFS'!$AG:$AG,'Dec 31 2018 OFFS'!$AI:$AI,'T1 2019 Pipeline Data Lagasco'!$A16,'Dec 31 2018 OFFS'!$U:$U,'T1 2019 Pipeline Data Lagasco'!$E16,'Dec 31 2018 OFFS'!$AK:$AK,'T1 2019 Pipeline Data Lagasco'!$Q16,'Dec 31 2018 OFFS'!$W:$W,'T1 2019 Pipeline Data Lagasco'!$G16))/(MAX(COUNTIFS('Dec 31 2018 OFFS'!$AI:$AI,'T1 2019 Pipeline Data Lagasco'!$A16,'Dec 31 2018 OFFS'!$U:$U,'T1 2019 Pipeline Data Lagasco'!$E16,'Dec 31 2018 OFFS'!$AK:$AK,'T1 2019 Pipeline Data Lagasco'!$Q16,'Dec 31 2018 OFFS'!$W:$W,'T1 2019 Pipeline Data Lagasco'!$G16),1))</f>
        <v>23895</v>
      </c>
      <c r="S16" s="275">
        <f t="shared" si="1"/>
        <v>0</v>
      </c>
      <c r="T16" s="217"/>
    </row>
    <row r="17" spans="1:19" s="217" customFormat="1" ht="14.1" customHeight="1">
      <c r="A17" s="218" t="s">
        <v>1486</v>
      </c>
      <c r="B17" s="218" t="s">
        <v>1487</v>
      </c>
      <c r="C17" s="223">
        <v>1</v>
      </c>
      <c r="D17" s="224" t="s">
        <v>1488</v>
      </c>
      <c r="E17" s="223">
        <v>4</v>
      </c>
      <c r="F17" s="226">
        <v>6340.0588719999996</v>
      </c>
      <c r="G17" s="223">
        <v>1969</v>
      </c>
      <c r="H17" s="223">
        <v>1</v>
      </c>
      <c r="I17" s="223">
        <v>1</v>
      </c>
      <c r="J17" s="227"/>
      <c r="K17" s="228">
        <v>167694.55720000001</v>
      </c>
      <c r="L17" s="223">
        <v>80</v>
      </c>
      <c r="M17" s="229">
        <v>33538.91143</v>
      </c>
      <c r="N17" s="230">
        <v>26.45</v>
      </c>
      <c r="O17" s="231">
        <v>33538</v>
      </c>
      <c r="P17" s="313"/>
      <c r="Q17" s="276">
        <f t="shared" si="0"/>
        <v>6340.06</v>
      </c>
      <c r="R17" s="275">
        <f>(SUMIFS('Dec 31 2018 OFFS'!$AG:$AG,'Dec 31 2018 OFFS'!$AI:$AI,'T1 2019 Pipeline Data Lagasco'!$A17,'Dec 31 2018 OFFS'!$U:$U,'T1 2019 Pipeline Data Lagasco'!$E17,'Dec 31 2018 OFFS'!$AK:$AK,'T1 2019 Pipeline Data Lagasco'!$Q17,'Dec 31 2018 OFFS'!$W:$W,'T1 2019 Pipeline Data Lagasco'!$G17))/(MAX(COUNTIFS('Dec 31 2018 OFFS'!$AI:$AI,'T1 2019 Pipeline Data Lagasco'!$A17,'Dec 31 2018 OFFS'!$U:$U,'T1 2019 Pipeline Data Lagasco'!$E17,'Dec 31 2018 OFFS'!$AK:$AK,'T1 2019 Pipeline Data Lagasco'!$Q17,'Dec 31 2018 OFFS'!$W:$W,'T1 2019 Pipeline Data Lagasco'!$G17),1))</f>
        <v>33538</v>
      </c>
      <c r="S17" s="275">
        <f t="shared" si="1"/>
        <v>0</v>
      </c>
    </row>
    <row r="18" spans="1:19" s="217" customFormat="1" ht="14.1" customHeight="1">
      <c r="A18" s="218" t="s">
        <v>1486</v>
      </c>
      <c r="B18" s="218" t="s">
        <v>1487</v>
      </c>
      <c r="C18" s="223">
        <v>1</v>
      </c>
      <c r="D18" s="224" t="s">
        <v>1488</v>
      </c>
      <c r="E18" s="223">
        <v>4</v>
      </c>
      <c r="F18" s="236">
        <v>12580.24898</v>
      </c>
      <c r="G18" s="223">
        <v>1969</v>
      </c>
      <c r="H18" s="223">
        <v>1</v>
      </c>
      <c r="I18" s="223">
        <v>1</v>
      </c>
      <c r="J18" s="227"/>
      <c r="K18" s="228">
        <v>332747.58549999999</v>
      </c>
      <c r="L18" s="223">
        <v>80</v>
      </c>
      <c r="M18" s="228">
        <v>66549.517099999997</v>
      </c>
      <c r="N18" s="230">
        <v>26.45</v>
      </c>
      <c r="O18" s="231">
        <v>66549</v>
      </c>
      <c r="P18" s="313"/>
      <c r="Q18" s="276">
        <f t="shared" si="0"/>
        <v>12580.25</v>
      </c>
      <c r="R18" s="275">
        <f>(SUMIFS('Dec 31 2018 OFFS'!$AG:$AG,'Dec 31 2018 OFFS'!$AI:$AI,'T1 2019 Pipeline Data Lagasco'!$A18,'Dec 31 2018 OFFS'!$U:$U,'T1 2019 Pipeline Data Lagasco'!$E18,'Dec 31 2018 OFFS'!$AK:$AK,'T1 2019 Pipeline Data Lagasco'!$Q18,'Dec 31 2018 OFFS'!$W:$W,'T1 2019 Pipeline Data Lagasco'!$G18))/(MAX(COUNTIFS('Dec 31 2018 OFFS'!$AI:$AI,'T1 2019 Pipeline Data Lagasco'!$A18,'Dec 31 2018 OFFS'!$U:$U,'T1 2019 Pipeline Data Lagasco'!$E18,'Dec 31 2018 OFFS'!$AK:$AK,'T1 2019 Pipeline Data Lagasco'!$Q18,'Dec 31 2018 OFFS'!$W:$W,'T1 2019 Pipeline Data Lagasco'!$G18),1))</f>
        <v>66549</v>
      </c>
      <c r="S18" s="275">
        <f t="shared" si="1"/>
        <v>0</v>
      </c>
    </row>
    <row r="19" spans="1:19" s="217" customFormat="1" ht="14.1" customHeight="1">
      <c r="A19" s="218" t="s">
        <v>1486</v>
      </c>
      <c r="B19" s="218" t="s">
        <v>1487</v>
      </c>
      <c r="C19" s="223">
        <v>1</v>
      </c>
      <c r="D19" s="224" t="s">
        <v>1488</v>
      </c>
      <c r="E19" s="223">
        <v>4</v>
      </c>
      <c r="F19" s="226">
        <v>2736.0235429999998</v>
      </c>
      <c r="G19" s="223">
        <v>1969</v>
      </c>
      <c r="H19" s="223">
        <v>1</v>
      </c>
      <c r="I19" s="223">
        <v>1</v>
      </c>
      <c r="J19" s="227"/>
      <c r="K19" s="229">
        <v>72367.822709999993</v>
      </c>
      <c r="L19" s="223">
        <v>80</v>
      </c>
      <c r="M19" s="229">
        <v>14473.564539999999</v>
      </c>
      <c r="N19" s="230">
        <v>26.45</v>
      </c>
      <c r="O19" s="231">
        <v>14473</v>
      </c>
      <c r="P19" s="313"/>
      <c r="Q19" s="276">
        <f t="shared" si="0"/>
        <v>2736.02</v>
      </c>
      <c r="R19" s="275">
        <f>(SUMIFS('Dec 31 2018 OFFS'!$AG:$AG,'Dec 31 2018 OFFS'!$AI:$AI,'T1 2019 Pipeline Data Lagasco'!$A19,'Dec 31 2018 OFFS'!$U:$U,'T1 2019 Pipeline Data Lagasco'!$E19,'Dec 31 2018 OFFS'!$AK:$AK,'T1 2019 Pipeline Data Lagasco'!$Q19,'Dec 31 2018 OFFS'!$W:$W,'T1 2019 Pipeline Data Lagasco'!$G19))/(MAX(COUNTIFS('Dec 31 2018 OFFS'!$AI:$AI,'T1 2019 Pipeline Data Lagasco'!$A19,'Dec 31 2018 OFFS'!$U:$U,'T1 2019 Pipeline Data Lagasco'!$E19,'Dec 31 2018 OFFS'!$AK:$AK,'T1 2019 Pipeline Data Lagasco'!$Q19,'Dec 31 2018 OFFS'!$W:$W,'T1 2019 Pipeline Data Lagasco'!$G19),1))</f>
        <v>14473</v>
      </c>
      <c r="S19" s="275">
        <f t="shared" si="1"/>
        <v>0</v>
      </c>
    </row>
    <row r="20" spans="1:19" s="217" customFormat="1" ht="14.1" customHeight="1">
      <c r="A20" s="218" t="s">
        <v>1486</v>
      </c>
      <c r="B20" s="218" t="s">
        <v>1487</v>
      </c>
      <c r="C20" s="223">
        <v>1</v>
      </c>
      <c r="D20" s="224" t="s">
        <v>1488</v>
      </c>
      <c r="E20" s="223">
        <v>4</v>
      </c>
      <c r="F20" s="226">
        <v>2390.4854949999999</v>
      </c>
      <c r="G20" s="223">
        <v>1969</v>
      </c>
      <c r="H20" s="223">
        <v>1</v>
      </c>
      <c r="I20" s="223">
        <v>1</v>
      </c>
      <c r="J20" s="227"/>
      <c r="K20" s="229">
        <v>63228.341339999999</v>
      </c>
      <c r="L20" s="223">
        <v>80</v>
      </c>
      <c r="M20" s="229">
        <v>12645.66827</v>
      </c>
      <c r="N20" s="230">
        <v>26.45</v>
      </c>
      <c r="O20" s="231">
        <v>12645</v>
      </c>
      <c r="P20" s="313"/>
      <c r="Q20" s="276">
        <f t="shared" si="0"/>
        <v>2390.4899999999998</v>
      </c>
      <c r="R20" s="275">
        <f>(SUMIFS('Dec 31 2018 OFFS'!$AG:$AG,'Dec 31 2018 OFFS'!$AI:$AI,'T1 2019 Pipeline Data Lagasco'!$A20,'Dec 31 2018 OFFS'!$U:$U,'T1 2019 Pipeline Data Lagasco'!$E20,'Dec 31 2018 OFFS'!$AK:$AK,'T1 2019 Pipeline Data Lagasco'!$Q20,'Dec 31 2018 OFFS'!$W:$W,'T1 2019 Pipeline Data Lagasco'!$G20))/(MAX(COUNTIFS('Dec 31 2018 OFFS'!$AI:$AI,'T1 2019 Pipeline Data Lagasco'!$A20,'Dec 31 2018 OFFS'!$U:$U,'T1 2019 Pipeline Data Lagasco'!$E20,'Dec 31 2018 OFFS'!$AK:$AK,'T1 2019 Pipeline Data Lagasco'!$Q20,'Dec 31 2018 OFFS'!$W:$W,'T1 2019 Pipeline Data Lagasco'!$G20),1))</f>
        <v>12645</v>
      </c>
      <c r="S20" s="275">
        <f t="shared" si="1"/>
        <v>0</v>
      </c>
    </row>
    <row r="21" spans="1:19" s="217" customFormat="1" ht="14.1" customHeight="1">
      <c r="A21" s="218" t="s">
        <v>1486</v>
      </c>
      <c r="B21" s="218" t="s">
        <v>1487</v>
      </c>
      <c r="C21" s="223">
        <v>1</v>
      </c>
      <c r="D21" s="224" t="s">
        <v>1488</v>
      </c>
      <c r="E21" s="223">
        <v>4</v>
      </c>
      <c r="F21" s="223">
        <v>16604</v>
      </c>
      <c r="G21" s="223">
        <v>1969</v>
      </c>
      <c r="H21" s="223">
        <v>1</v>
      </c>
      <c r="I21" s="223">
        <v>1</v>
      </c>
      <c r="J21" s="227"/>
      <c r="K21" s="237">
        <v>439175.80</v>
      </c>
      <c r="L21" s="223">
        <v>80</v>
      </c>
      <c r="M21" s="238">
        <v>87835.16</v>
      </c>
      <c r="N21" s="230">
        <v>26.45</v>
      </c>
      <c r="O21" s="231">
        <v>87835</v>
      </c>
      <c r="P21" s="313"/>
      <c r="Q21" s="276">
        <f t="shared" si="0"/>
        <v>16604</v>
      </c>
      <c r="R21" s="275">
        <f>(SUMIFS('Dec 31 2018 OFFS'!$AG:$AG,'Dec 31 2018 OFFS'!$AI:$AI,'T1 2019 Pipeline Data Lagasco'!$A21,'Dec 31 2018 OFFS'!$U:$U,'T1 2019 Pipeline Data Lagasco'!$E21,'Dec 31 2018 OFFS'!$AK:$AK,'T1 2019 Pipeline Data Lagasco'!$Q21,'Dec 31 2018 OFFS'!$W:$W,'T1 2019 Pipeline Data Lagasco'!$G21))/(MAX(COUNTIFS('Dec 31 2018 OFFS'!$AI:$AI,'T1 2019 Pipeline Data Lagasco'!$A21,'Dec 31 2018 OFFS'!$U:$U,'T1 2019 Pipeline Data Lagasco'!$E21,'Dec 31 2018 OFFS'!$AK:$AK,'T1 2019 Pipeline Data Lagasco'!$Q21,'Dec 31 2018 OFFS'!$W:$W,'T1 2019 Pipeline Data Lagasco'!$G21),1))</f>
        <v>87835</v>
      </c>
      <c r="S21" s="275">
        <f t="shared" si="1"/>
        <v>0</v>
      </c>
    </row>
    <row r="22" spans="1:19" s="217" customFormat="1" ht="14.1" customHeight="1">
      <c r="A22" s="218" t="s">
        <v>1486</v>
      </c>
      <c r="B22" s="218" t="s">
        <v>1487</v>
      </c>
      <c r="C22" s="223">
        <v>1</v>
      </c>
      <c r="D22" s="224" t="s">
        <v>1488</v>
      </c>
      <c r="E22" s="223">
        <v>4</v>
      </c>
      <c r="F22" s="236">
        <v>11207.808069999999</v>
      </c>
      <c r="G22" s="223">
        <v>1968</v>
      </c>
      <c r="H22" s="223">
        <v>1</v>
      </c>
      <c r="I22" s="223">
        <v>1</v>
      </c>
      <c r="J22" s="227"/>
      <c r="K22" s="228">
        <v>296446.52360000001</v>
      </c>
      <c r="L22" s="223">
        <v>80</v>
      </c>
      <c r="M22" s="229">
        <v>59289.304709999997</v>
      </c>
      <c r="N22" s="230">
        <v>26.45</v>
      </c>
      <c r="O22" s="231">
        <v>59289</v>
      </c>
      <c r="P22" s="313"/>
      <c r="Q22" s="276">
        <f t="shared" si="0"/>
        <v>11207.81</v>
      </c>
      <c r="R22" s="275">
        <f>(SUMIFS('Dec 31 2018 OFFS'!$AG:$AG,'Dec 31 2018 OFFS'!$AI:$AI,'T1 2019 Pipeline Data Lagasco'!$A22,'Dec 31 2018 OFFS'!$U:$U,'T1 2019 Pipeline Data Lagasco'!$E22,'Dec 31 2018 OFFS'!$AK:$AK,'T1 2019 Pipeline Data Lagasco'!$Q22,'Dec 31 2018 OFFS'!$W:$W,'T1 2019 Pipeline Data Lagasco'!$G22))/(MAX(COUNTIFS('Dec 31 2018 OFFS'!$AI:$AI,'T1 2019 Pipeline Data Lagasco'!$A22,'Dec 31 2018 OFFS'!$U:$U,'T1 2019 Pipeline Data Lagasco'!$E22,'Dec 31 2018 OFFS'!$AK:$AK,'T1 2019 Pipeline Data Lagasco'!$Q22,'Dec 31 2018 OFFS'!$W:$W,'T1 2019 Pipeline Data Lagasco'!$G22),1))</f>
        <v>59289</v>
      </c>
      <c r="S22" s="275">
        <f t="shared" si="1"/>
        <v>0</v>
      </c>
    </row>
    <row r="23" spans="1:19" s="217" customFormat="1" ht="14.1" customHeight="1">
      <c r="A23" s="218" t="s">
        <v>1489</v>
      </c>
      <c r="B23" s="218" t="s">
        <v>1490</v>
      </c>
      <c r="C23" s="223">
        <v>1</v>
      </c>
      <c r="D23" s="224" t="s">
        <v>1488</v>
      </c>
      <c r="E23" s="223">
        <v>2</v>
      </c>
      <c r="F23" s="226">
        <v>7723.0968890000004</v>
      </c>
      <c r="G23" s="223">
        <v>1975</v>
      </c>
      <c r="H23" s="223">
        <v>1</v>
      </c>
      <c r="I23" s="223">
        <v>1</v>
      </c>
      <c r="J23" s="227"/>
      <c r="K23" s="228">
        <v>125423.0935</v>
      </c>
      <c r="L23" s="223">
        <v>80</v>
      </c>
      <c r="M23" s="228">
        <v>25084.618699999999</v>
      </c>
      <c r="N23" s="230">
        <v>16.239999999999998</v>
      </c>
      <c r="O23" s="231">
        <v>25084</v>
      </c>
      <c r="P23" s="313"/>
      <c r="Q23" s="276">
        <f t="shared" si="0"/>
        <v>7723.10</v>
      </c>
      <c r="R23" s="275">
        <f>(SUMIFS('Dec 31 2018 OFFS'!$AG:$AG,'Dec 31 2018 OFFS'!$AI:$AI,'T1 2019 Pipeline Data Lagasco'!$A23,'Dec 31 2018 OFFS'!$U:$U,'T1 2019 Pipeline Data Lagasco'!$E23,'Dec 31 2018 OFFS'!$AK:$AK,'T1 2019 Pipeline Data Lagasco'!$Q23,'Dec 31 2018 OFFS'!$W:$W,'T1 2019 Pipeline Data Lagasco'!$G23))/(MAX(COUNTIFS('Dec 31 2018 OFFS'!$AI:$AI,'T1 2019 Pipeline Data Lagasco'!$A23,'Dec 31 2018 OFFS'!$U:$U,'T1 2019 Pipeline Data Lagasco'!$E23,'Dec 31 2018 OFFS'!$AK:$AK,'T1 2019 Pipeline Data Lagasco'!$Q23,'Dec 31 2018 OFFS'!$W:$W,'T1 2019 Pipeline Data Lagasco'!$G23),1))</f>
        <v>25084</v>
      </c>
      <c r="S23" s="275">
        <f t="shared" si="1"/>
        <v>0</v>
      </c>
    </row>
    <row r="24" spans="1:19" s="217" customFormat="1" ht="14.1" customHeight="1">
      <c r="A24" s="218" t="s">
        <v>1489</v>
      </c>
      <c r="B24" s="218" t="s">
        <v>1490</v>
      </c>
      <c r="C24" s="223">
        <v>1</v>
      </c>
      <c r="D24" s="224" t="s">
        <v>1488</v>
      </c>
      <c r="E24" s="223">
        <v>2</v>
      </c>
      <c r="F24" s="226">
        <v>1775.7545419999999</v>
      </c>
      <c r="G24" s="223">
        <v>1975</v>
      </c>
      <c r="H24" s="223">
        <v>1</v>
      </c>
      <c r="I24" s="223">
        <v>1</v>
      </c>
      <c r="J24" s="227"/>
      <c r="K24" s="229">
        <v>28838.25376</v>
      </c>
      <c r="L24" s="223">
        <v>80</v>
      </c>
      <c r="M24" s="233">
        <v>5767.6507519999996</v>
      </c>
      <c r="N24" s="230">
        <v>16.239999999999998</v>
      </c>
      <c r="O24" s="231">
        <v>5767</v>
      </c>
      <c r="P24" s="313"/>
      <c r="Q24" s="276">
        <f t="shared" si="0"/>
        <v>1775.75</v>
      </c>
      <c r="R24" s="275">
        <f>(SUMIFS('Dec 31 2018 OFFS'!$AG:$AG,'Dec 31 2018 OFFS'!$AI:$AI,'T1 2019 Pipeline Data Lagasco'!$A24,'Dec 31 2018 OFFS'!$U:$U,'T1 2019 Pipeline Data Lagasco'!$E24,'Dec 31 2018 OFFS'!$AK:$AK,'T1 2019 Pipeline Data Lagasco'!$Q24,'Dec 31 2018 OFFS'!$W:$W,'T1 2019 Pipeline Data Lagasco'!$G24))/(MAX(COUNTIFS('Dec 31 2018 OFFS'!$AI:$AI,'T1 2019 Pipeline Data Lagasco'!$A24,'Dec 31 2018 OFFS'!$U:$U,'T1 2019 Pipeline Data Lagasco'!$E24,'Dec 31 2018 OFFS'!$AK:$AK,'T1 2019 Pipeline Data Lagasco'!$Q24,'Dec 31 2018 OFFS'!$W:$W,'T1 2019 Pipeline Data Lagasco'!$G24),1))</f>
        <v>5767</v>
      </c>
      <c r="S24" s="275">
        <f t="shared" si="1"/>
        <v>0</v>
      </c>
    </row>
    <row r="25" spans="1:19" s="217" customFormat="1" ht="14.1" customHeight="1">
      <c r="A25" s="218" t="s">
        <v>1489</v>
      </c>
      <c r="B25" s="218" t="s">
        <v>1490</v>
      </c>
      <c r="C25" s="223">
        <v>1</v>
      </c>
      <c r="D25" s="224" t="s">
        <v>1488</v>
      </c>
      <c r="E25" s="223">
        <v>2</v>
      </c>
      <c r="F25" s="232">
        <v>264.14041229999998</v>
      </c>
      <c r="G25" s="223">
        <v>1975</v>
      </c>
      <c r="H25" s="223">
        <v>1</v>
      </c>
      <c r="I25" s="223">
        <v>1</v>
      </c>
      <c r="J25" s="227"/>
      <c r="K25" s="233">
        <v>4289.6402959999996</v>
      </c>
      <c r="L25" s="223">
        <v>80</v>
      </c>
      <c r="M25" s="234">
        <v>857.92805910000004</v>
      </c>
      <c r="N25" s="230">
        <v>16.239999999999998</v>
      </c>
      <c r="O25" s="231">
        <v>857</v>
      </c>
      <c r="P25" s="313"/>
      <c r="Q25" s="276">
        <f t="shared" si="0"/>
        <v>264.14</v>
      </c>
      <c r="R25" s="275">
        <f>(SUMIFS('Dec 31 2018 OFFS'!$AG:$AG,'Dec 31 2018 OFFS'!$AI:$AI,'T1 2019 Pipeline Data Lagasco'!$A25,'Dec 31 2018 OFFS'!$U:$U,'T1 2019 Pipeline Data Lagasco'!$E25,'Dec 31 2018 OFFS'!$AK:$AK,'T1 2019 Pipeline Data Lagasco'!$Q25,'Dec 31 2018 OFFS'!$W:$W,'T1 2019 Pipeline Data Lagasco'!$G25))/(MAX(COUNTIFS('Dec 31 2018 OFFS'!$AI:$AI,'T1 2019 Pipeline Data Lagasco'!$A25,'Dec 31 2018 OFFS'!$U:$U,'T1 2019 Pipeline Data Lagasco'!$E25,'Dec 31 2018 OFFS'!$AK:$AK,'T1 2019 Pipeline Data Lagasco'!$Q25,'Dec 31 2018 OFFS'!$W:$W,'T1 2019 Pipeline Data Lagasco'!$G25),1))</f>
        <v>857</v>
      </c>
      <c r="S25" s="275">
        <f t="shared" si="1"/>
        <v>0</v>
      </c>
    </row>
    <row r="26" spans="1:19" s="217" customFormat="1" ht="14.1" customHeight="1">
      <c r="A26" s="218" t="s">
        <v>1489</v>
      </c>
      <c r="B26" s="218" t="s">
        <v>1490</v>
      </c>
      <c r="C26" s="223">
        <v>1</v>
      </c>
      <c r="D26" s="224" t="s">
        <v>1488</v>
      </c>
      <c r="E26" s="223">
        <v>2</v>
      </c>
      <c r="F26" s="226">
        <v>4362.2045980000003</v>
      </c>
      <c r="G26" s="223">
        <v>1975</v>
      </c>
      <c r="H26" s="223">
        <v>1</v>
      </c>
      <c r="I26" s="223">
        <v>1</v>
      </c>
      <c r="J26" s="227"/>
      <c r="K26" s="229">
        <v>70842.202669999999</v>
      </c>
      <c r="L26" s="223">
        <v>80</v>
      </c>
      <c r="M26" s="229">
        <v>14168.44053</v>
      </c>
      <c r="N26" s="230">
        <v>16.239999999999998</v>
      </c>
      <c r="O26" s="231">
        <v>14168</v>
      </c>
      <c r="P26" s="313"/>
      <c r="Q26" s="276">
        <f t="shared" si="0"/>
        <v>4362.20</v>
      </c>
      <c r="R26" s="275">
        <f>(SUMIFS('Dec 31 2018 OFFS'!$AG:$AG,'Dec 31 2018 OFFS'!$AI:$AI,'T1 2019 Pipeline Data Lagasco'!$A26,'Dec 31 2018 OFFS'!$U:$U,'T1 2019 Pipeline Data Lagasco'!$E26,'Dec 31 2018 OFFS'!$AK:$AK,'T1 2019 Pipeline Data Lagasco'!$Q26,'Dec 31 2018 OFFS'!$W:$W,'T1 2019 Pipeline Data Lagasco'!$G26))/(MAX(COUNTIFS('Dec 31 2018 OFFS'!$AI:$AI,'T1 2019 Pipeline Data Lagasco'!$A26,'Dec 31 2018 OFFS'!$U:$U,'T1 2019 Pipeline Data Lagasco'!$E26,'Dec 31 2018 OFFS'!$AK:$AK,'T1 2019 Pipeline Data Lagasco'!$Q26,'Dec 31 2018 OFFS'!$W:$W,'T1 2019 Pipeline Data Lagasco'!$G26),1))</f>
        <v>14168</v>
      </c>
      <c r="S26" s="275">
        <f t="shared" si="1"/>
        <v>0</v>
      </c>
    </row>
    <row r="27" spans="1:19" s="217" customFormat="1" ht="14.1" customHeight="1">
      <c r="A27" s="218" t="s">
        <v>1489</v>
      </c>
      <c r="B27" s="218" t="s">
        <v>1490</v>
      </c>
      <c r="C27" s="223">
        <v>1</v>
      </c>
      <c r="D27" s="224" t="s">
        <v>1488</v>
      </c>
      <c r="E27" s="223">
        <v>3</v>
      </c>
      <c r="F27" s="226">
        <v>5858.0378879999998</v>
      </c>
      <c r="G27" s="223">
        <v>1977</v>
      </c>
      <c r="H27" s="223">
        <v>1</v>
      </c>
      <c r="I27" s="223">
        <v>1</v>
      </c>
      <c r="J27" s="227"/>
      <c r="K27" s="228">
        <v>138191.11379999999</v>
      </c>
      <c r="L27" s="223">
        <v>80</v>
      </c>
      <c r="M27" s="229">
        <v>27638.222760000001</v>
      </c>
      <c r="N27" s="230">
        <v>23.59</v>
      </c>
      <c r="O27" s="231">
        <v>27638</v>
      </c>
      <c r="P27" s="313"/>
      <c r="Q27" s="276">
        <f t="shared" si="0"/>
        <v>5858.04</v>
      </c>
      <c r="R27" s="275">
        <f>(SUMIFS('Dec 31 2018 OFFS'!$AG:$AG,'Dec 31 2018 OFFS'!$AI:$AI,'T1 2019 Pipeline Data Lagasco'!$A27,'Dec 31 2018 OFFS'!$U:$U,'T1 2019 Pipeline Data Lagasco'!$E27,'Dec 31 2018 OFFS'!$AK:$AK,'T1 2019 Pipeline Data Lagasco'!$Q27,'Dec 31 2018 OFFS'!$W:$W,'T1 2019 Pipeline Data Lagasco'!$G27))/(MAX(COUNTIFS('Dec 31 2018 OFFS'!$AI:$AI,'T1 2019 Pipeline Data Lagasco'!$A27,'Dec 31 2018 OFFS'!$U:$U,'T1 2019 Pipeline Data Lagasco'!$E27,'Dec 31 2018 OFFS'!$AK:$AK,'T1 2019 Pipeline Data Lagasco'!$Q27,'Dec 31 2018 OFFS'!$W:$W,'T1 2019 Pipeline Data Lagasco'!$G27),1))</f>
        <v>27638</v>
      </c>
      <c r="S27" s="275">
        <f t="shared" si="1"/>
        <v>0</v>
      </c>
    </row>
    <row r="28" spans="1:19" s="217" customFormat="1" ht="14.1" customHeight="1">
      <c r="A28" s="218" t="s">
        <v>1489</v>
      </c>
      <c r="B28" s="218" t="s">
        <v>1490</v>
      </c>
      <c r="C28" s="223">
        <v>1</v>
      </c>
      <c r="D28" s="224" t="s">
        <v>1488</v>
      </c>
      <c r="E28" s="223">
        <v>3</v>
      </c>
      <c r="F28" s="223">
        <v>5190</v>
      </c>
      <c r="G28" s="223">
        <v>2003</v>
      </c>
      <c r="H28" s="223">
        <v>1</v>
      </c>
      <c r="I28" s="223">
        <v>0</v>
      </c>
      <c r="J28" s="227"/>
      <c r="K28" s="237">
        <v>122432.10</v>
      </c>
      <c r="L28" s="223">
        <v>57</v>
      </c>
      <c r="M28" s="239">
        <v>52645.803</v>
      </c>
      <c r="N28" s="230">
        <v>23.59</v>
      </c>
      <c r="O28" s="231">
        <v>0</v>
      </c>
      <c r="P28" s="313"/>
      <c r="Q28" s="276">
        <f t="shared" si="0"/>
        <v>5190</v>
      </c>
      <c r="R28" s="275">
        <f>(SUMIFS('Dec 31 2018 OFFS'!$AG:$AG,'Dec 31 2018 OFFS'!$AI:$AI,'T1 2019 Pipeline Data Lagasco'!$A28,'Dec 31 2018 OFFS'!$U:$U,'T1 2019 Pipeline Data Lagasco'!$E28,'Dec 31 2018 OFFS'!$AK:$AK,'T1 2019 Pipeline Data Lagasco'!$Q28,'Dec 31 2018 OFFS'!$W:$W,'T1 2019 Pipeline Data Lagasco'!$G28))/(MAX(COUNTIFS('Dec 31 2018 OFFS'!$AI:$AI,'T1 2019 Pipeline Data Lagasco'!$A28,'Dec 31 2018 OFFS'!$U:$U,'T1 2019 Pipeline Data Lagasco'!$E28,'Dec 31 2018 OFFS'!$AK:$AK,'T1 2019 Pipeline Data Lagasco'!$Q28,'Dec 31 2018 OFFS'!$W:$W,'T1 2019 Pipeline Data Lagasco'!$G28),1))</f>
        <v>0</v>
      </c>
      <c r="S28" s="275">
        <f t="shared" si="1"/>
        <v>0</v>
      </c>
    </row>
    <row r="29" spans="1:19" s="217" customFormat="1" ht="14.1" customHeight="1">
      <c r="A29" s="218" t="s">
        <v>1489</v>
      </c>
      <c r="B29" s="218" t="s">
        <v>1490</v>
      </c>
      <c r="C29" s="223">
        <v>1</v>
      </c>
      <c r="D29" s="224" t="s">
        <v>1488</v>
      </c>
      <c r="E29" s="223">
        <v>4</v>
      </c>
      <c r="F29" s="226">
        <v>2719.8490029999998</v>
      </c>
      <c r="G29" s="223">
        <v>1975</v>
      </c>
      <c r="H29" s="223">
        <v>1</v>
      </c>
      <c r="I29" s="223">
        <v>1</v>
      </c>
      <c r="J29" s="227"/>
      <c r="K29" s="229">
        <v>71940.006120000005</v>
      </c>
      <c r="L29" s="223">
        <v>80</v>
      </c>
      <c r="M29" s="229">
        <v>14388.00122</v>
      </c>
      <c r="N29" s="230">
        <v>26.45</v>
      </c>
      <c r="O29" s="231">
        <v>14388</v>
      </c>
      <c r="P29" s="313"/>
      <c r="Q29" s="276">
        <f t="shared" si="0"/>
        <v>2719.85</v>
      </c>
      <c r="R29" s="275">
        <f>(SUMIFS('Dec 31 2018 OFFS'!$AG:$AG,'Dec 31 2018 OFFS'!$AI:$AI,'T1 2019 Pipeline Data Lagasco'!$A29,'Dec 31 2018 OFFS'!$U:$U,'T1 2019 Pipeline Data Lagasco'!$E29,'Dec 31 2018 OFFS'!$AK:$AK,'T1 2019 Pipeline Data Lagasco'!$Q29,'Dec 31 2018 OFFS'!$W:$W,'T1 2019 Pipeline Data Lagasco'!$G29))/(MAX(COUNTIFS('Dec 31 2018 OFFS'!$AI:$AI,'T1 2019 Pipeline Data Lagasco'!$A29,'Dec 31 2018 OFFS'!$U:$U,'T1 2019 Pipeline Data Lagasco'!$E29,'Dec 31 2018 OFFS'!$AK:$AK,'T1 2019 Pipeline Data Lagasco'!$Q29,'Dec 31 2018 OFFS'!$W:$W,'T1 2019 Pipeline Data Lagasco'!$G29),1))</f>
        <v>14388</v>
      </c>
      <c r="S29" s="275">
        <f t="shared" si="1"/>
        <v>0</v>
      </c>
    </row>
    <row r="30" spans="1:19" s="217" customFormat="1" ht="14.1" customHeight="1">
      <c r="A30" s="218" t="s">
        <v>1491</v>
      </c>
      <c r="B30" s="218" t="s">
        <v>1492</v>
      </c>
      <c r="C30" s="223">
        <v>1</v>
      </c>
      <c r="D30" s="224" t="s">
        <v>1488</v>
      </c>
      <c r="E30" s="223">
        <v>2</v>
      </c>
      <c r="F30" s="226">
        <v>1293.5367080000001</v>
      </c>
      <c r="G30" s="223">
        <v>1977</v>
      </c>
      <c r="H30" s="223">
        <v>1</v>
      </c>
      <c r="I30" s="223">
        <v>0</v>
      </c>
      <c r="J30" s="227"/>
      <c r="K30" s="229">
        <v>21007.03614</v>
      </c>
      <c r="L30" s="223">
        <v>80</v>
      </c>
      <c r="M30" s="233">
        <v>4201.4072269999997</v>
      </c>
      <c r="N30" s="230">
        <v>16.239999999999998</v>
      </c>
      <c r="O30" s="231">
        <v>0</v>
      </c>
      <c r="P30" s="313"/>
      <c r="Q30" s="276">
        <f t="shared" si="0"/>
        <v>1293.54</v>
      </c>
      <c r="R30" s="275">
        <f>(SUMIFS('Dec 31 2018 OFFS'!$AG:$AG,'Dec 31 2018 OFFS'!$AI:$AI,'T1 2019 Pipeline Data Lagasco'!$A30,'Dec 31 2018 OFFS'!$U:$U,'T1 2019 Pipeline Data Lagasco'!$E30,'Dec 31 2018 OFFS'!$AK:$AK,'T1 2019 Pipeline Data Lagasco'!$Q30,'Dec 31 2018 OFFS'!$W:$W,'T1 2019 Pipeline Data Lagasco'!$G30))/(MAX(COUNTIFS('Dec 31 2018 OFFS'!$AI:$AI,'T1 2019 Pipeline Data Lagasco'!$A30,'Dec 31 2018 OFFS'!$U:$U,'T1 2019 Pipeline Data Lagasco'!$E30,'Dec 31 2018 OFFS'!$AK:$AK,'T1 2019 Pipeline Data Lagasco'!$Q30,'Dec 31 2018 OFFS'!$W:$W,'T1 2019 Pipeline Data Lagasco'!$G30),1))</f>
        <v>0</v>
      </c>
      <c r="S30" s="275">
        <f t="shared" si="1"/>
        <v>0</v>
      </c>
    </row>
    <row r="31" spans="1:19" s="217" customFormat="1" ht="14.1" customHeight="1">
      <c r="A31" s="218" t="s">
        <v>1491</v>
      </c>
      <c r="B31" s="218" t="s">
        <v>1492</v>
      </c>
      <c r="C31" s="223">
        <v>1</v>
      </c>
      <c r="D31" s="224" t="s">
        <v>1488</v>
      </c>
      <c r="E31" s="223">
        <v>2</v>
      </c>
      <c r="F31" s="230">
        <v>2794.98</v>
      </c>
      <c r="G31" s="223">
        <v>1971</v>
      </c>
      <c r="H31" s="223">
        <v>1</v>
      </c>
      <c r="I31" s="223">
        <v>0</v>
      </c>
      <c r="J31" s="227"/>
      <c r="K31" s="228">
        <v>45390.475200000001</v>
      </c>
      <c r="L31" s="223">
        <v>80</v>
      </c>
      <c r="M31" s="229">
        <v>9078.0950400000002</v>
      </c>
      <c r="N31" s="230">
        <v>16.239999999999998</v>
      </c>
      <c r="O31" s="231">
        <v>0</v>
      </c>
      <c r="P31" s="313"/>
      <c r="Q31" s="276">
        <f t="shared" si="0"/>
        <v>2794.98</v>
      </c>
      <c r="R31" s="275">
        <f>(SUMIFS('Dec 31 2018 OFFS'!$AG:$AG,'Dec 31 2018 OFFS'!$AI:$AI,'T1 2019 Pipeline Data Lagasco'!$A31,'Dec 31 2018 OFFS'!$U:$U,'T1 2019 Pipeline Data Lagasco'!$E31,'Dec 31 2018 OFFS'!$AK:$AK,'T1 2019 Pipeline Data Lagasco'!$Q31,'Dec 31 2018 OFFS'!$W:$W,'T1 2019 Pipeline Data Lagasco'!$G31))/(MAX(COUNTIFS('Dec 31 2018 OFFS'!$AI:$AI,'T1 2019 Pipeline Data Lagasco'!$A31,'Dec 31 2018 OFFS'!$U:$U,'T1 2019 Pipeline Data Lagasco'!$E31,'Dec 31 2018 OFFS'!$AK:$AK,'T1 2019 Pipeline Data Lagasco'!$Q31,'Dec 31 2018 OFFS'!$W:$W,'T1 2019 Pipeline Data Lagasco'!$G31),1))</f>
        <v>0</v>
      </c>
      <c r="S31" s="275">
        <f t="shared" si="1"/>
        <v>0</v>
      </c>
    </row>
    <row r="32" spans="1:19" s="217" customFormat="1" ht="14.1" customHeight="1">
      <c r="A32" s="218" t="s">
        <v>1491</v>
      </c>
      <c r="B32" s="218" t="s">
        <v>1492</v>
      </c>
      <c r="C32" s="223">
        <v>1</v>
      </c>
      <c r="D32" s="224" t="s">
        <v>1488</v>
      </c>
      <c r="E32" s="223">
        <v>2</v>
      </c>
      <c r="F32" s="226">
        <v>5172.4736030000004</v>
      </c>
      <c r="G32" s="223">
        <v>1977</v>
      </c>
      <c r="H32" s="223">
        <v>1</v>
      </c>
      <c r="I32" s="223">
        <v>1</v>
      </c>
      <c r="J32" s="227"/>
      <c r="K32" s="229">
        <v>84000.971319999997</v>
      </c>
      <c r="L32" s="223">
        <v>80</v>
      </c>
      <c r="M32" s="229">
        <v>16800.19426</v>
      </c>
      <c r="N32" s="230">
        <v>16.239999999999998</v>
      </c>
      <c r="O32" s="231">
        <v>16800</v>
      </c>
      <c r="P32" s="313"/>
      <c r="Q32" s="276">
        <f t="shared" si="0"/>
        <v>5172.47</v>
      </c>
      <c r="R32" s="275">
        <f>(SUMIFS('Dec 31 2018 OFFS'!$AG:$AG,'Dec 31 2018 OFFS'!$AI:$AI,'T1 2019 Pipeline Data Lagasco'!$A32,'Dec 31 2018 OFFS'!$U:$U,'T1 2019 Pipeline Data Lagasco'!$E32,'Dec 31 2018 OFFS'!$AK:$AK,'T1 2019 Pipeline Data Lagasco'!$Q32,'Dec 31 2018 OFFS'!$W:$W,'T1 2019 Pipeline Data Lagasco'!$G32))/(MAX(COUNTIFS('Dec 31 2018 OFFS'!$AI:$AI,'T1 2019 Pipeline Data Lagasco'!$A32,'Dec 31 2018 OFFS'!$U:$U,'T1 2019 Pipeline Data Lagasco'!$E32,'Dec 31 2018 OFFS'!$AK:$AK,'T1 2019 Pipeline Data Lagasco'!$Q32,'Dec 31 2018 OFFS'!$W:$W,'T1 2019 Pipeline Data Lagasco'!$G32),1))</f>
        <v>16800</v>
      </c>
      <c r="S32" s="275">
        <f t="shared" si="1"/>
        <v>0</v>
      </c>
    </row>
    <row r="33" spans="1:19" s="217" customFormat="1" ht="14.1" customHeight="1">
      <c r="A33" s="218" t="s">
        <v>1491</v>
      </c>
      <c r="B33" s="218" t="s">
        <v>1492</v>
      </c>
      <c r="C33" s="223">
        <v>1</v>
      </c>
      <c r="D33" s="224" t="s">
        <v>1488</v>
      </c>
      <c r="E33" s="223">
        <v>2</v>
      </c>
      <c r="F33" s="230">
        <v>7650.79</v>
      </c>
      <c r="G33" s="223">
        <v>1977</v>
      </c>
      <c r="H33" s="223">
        <v>1</v>
      </c>
      <c r="I33" s="223">
        <v>0</v>
      </c>
      <c r="J33" s="227"/>
      <c r="K33" s="228">
        <v>124248.8296</v>
      </c>
      <c r="L33" s="223">
        <v>80</v>
      </c>
      <c r="M33" s="229">
        <v>24849.765920000002</v>
      </c>
      <c r="N33" s="230">
        <v>16.239999999999998</v>
      </c>
      <c r="O33" s="231">
        <v>0</v>
      </c>
      <c r="P33" s="313"/>
      <c r="Q33" s="276">
        <f t="shared" si="0"/>
        <v>7650.79</v>
      </c>
      <c r="R33" s="275">
        <f>(SUMIFS('Dec 31 2018 OFFS'!$AG:$AG,'Dec 31 2018 OFFS'!$AI:$AI,'T1 2019 Pipeline Data Lagasco'!$A33,'Dec 31 2018 OFFS'!$U:$U,'T1 2019 Pipeline Data Lagasco'!$E33,'Dec 31 2018 OFFS'!$AK:$AK,'T1 2019 Pipeline Data Lagasco'!$Q33,'Dec 31 2018 OFFS'!$W:$W,'T1 2019 Pipeline Data Lagasco'!$G33))/(MAX(COUNTIFS('Dec 31 2018 OFFS'!$AI:$AI,'T1 2019 Pipeline Data Lagasco'!$A33,'Dec 31 2018 OFFS'!$U:$U,'T1 2019 Pipeline Data Lagasco'!$E33,'Dec 31 2018 OFFS'!$AK:$AK,'T1 2019 Pipeline Data Lagasco'!$Q33,'Dec 31 2018 OFFS'!$W:$W,'T1 2019 Pipeline Data Lagasco'!$G33),1))</f>
        <v>0</v>
      </c>
      <c r="S33" s="275">
        <f t="shared" si="1"/>
        <v>0</v>
      </c>
    </row>
    <row r="34" spans="1:19" s="217" customFormat="1" ht="14.1" customHeight="1">
      <c r="A34" s="218" t="s">
        <v>1491</v>
      </c>
      <c r="B34" s="218" t="s">
        <v>1492</v>
      </c>
      <c r="C34" s="223">
        <v>1</v>
      </c>
      <c r="D34" s="224" t="s">
        <v>1488</v>
      </c>
      <c r="E34" s="223">
        <v>2</v>
      </c>
      <c r="F34" s="230">
        <v>490.09</v>
      </c>
      <c r="G34" s="223">
        <v>1977</v>
      </c>
      <c r="H34" s="223">
        <v>1</v>
      </c>
      <c r="I34" s="223">
        <v>0</v>
      </c>
      <c r="J34" s="227"/>
      <c r="K34" s="228">
        <v>7959.0616</v>
      </c>
      <c r="L34" s="223">
        <v>80</v>
      </c>
      <c r="M34" s="229">
        <v>1591.81232</v>
      </c>
      <c r="N34" s="230">
        <v>16.239999999999998</v>
      </c>
      <c r="O34" s="231">
        <v>0</v>
      </c>
      <c r="P34" s="313"/>
      <c r="Q34" s="276">
        <f t="shared" si="0"/>
        <v>490.09</v>
      </c>
      <c r="R34" s="275">
        <f>(SUMIFS('Dec 31 2018 OFFS'!$AG:$AG,'Dec 31 2018 OFFS'!$AI:$AI,'T1 2019 Pipeline Data Lagasco'!$A34,'Dec 31 2018 OFFS'!$U:$U,'T1 2019 Pipeline Data Lagasco'!$E34,'Dec 31 2018 OFFS'!$AK:$AK,'T1 2019 Pipeline Data Lagasco'!$Q34,'Dec 31 2018 OFFS'!$W:$W,'T1 2019 Pipeline Data Lagasco'!$G34))/(MAX(COUNTIFS('Dec 31 2018 OFFS'!$AI:$AI,'T1 2019 Pipeline Data Lagasco'!$A34,'Dec 31 2018 OFFS'!$U:$U,'T1 2019 Pipeline Data Lagasco'!$E34,'Dec 31 2018 OFFS'!$AK:$AK,'T1 2019 Pipeline Data Lagasco'!$Q34,'Dec 31 2018 OFFS'!$W:$W,'T1 2019 Pipeline Data Lagasco'!$G34),1))</f>
        <v>0</v>
      </c>
      <c r="S34" s="275">
        <f t="shared" si="1"/>
        <v>0</v>
      </c>
    </row>
    <row r="35" spans="1:19" s="217" customFormat="1" ht="14.1" customHeight="1">
      <c r="A35" s="218" t="s">
        <v>1491</v>
      </c>
      <c r="B35" s="218" t="s">
        <v>1492</v>
      </c>
      <c r="C35" s="223">
        <v>1</v>
      </c>
      <c r="D35" s="224" t="s">
        <v>1488</v>
      </c>
      <c r="E35" s="223">
        <v>2</v>
      </c>
      <c r="F35" s="232">
        <v>543.63515489999997</v>
      </c>
      <c r="G35" s="223">
        <v>1977</v>
      </c>
      <c r="H35" s="223">
        <v>1</v>
      </c>
      <c r="I35" s="223">
        <v>0</v>
      </c>
      <c r="J35" s="227"/>
      <c r="K35" s="233">
        <v>8828.6349150000005</v>
      </c>
      <c r="L35" s="223">
        <v>80</v>
      </c>
      <c r="M35" s="233">
        <v>1765.726983</v>
      </c>
      <c r="N35" s="230">
        <v>16.239999999999998</v>
      </c>
      <c r="O35" s="231">
        <v>0</v>
      </c>
      <c r="P35" s="313"/>
      <c r="Q35" s="276">
        <f t="shared" si="0"/>
        <v>543.64</v>
      </c>
      <c r="R35" s="275">
        <f>(SUMIFS('Dec 31 2018 OFFS'!$AG:$AG,'Dec 31 2018 OFFS'!$AI:$AI,'T1 2019 Pipeline Data Lagasco'!$A35,'Dec 31 2018 OFFS'!$U:$U,'T1 2019 Pipeline Data Lagasco'!$E35,'Dec 31 2018 OFFS'!$AK:$AK,'T1 2019 Pipeline Data Lagasco'!$Q35,'Dec 31 2018 OFFS'!$W:$W,'T1 2019 Pipeline Data Lagasco'!$G35))/(MAX(COUNTIFS('Dec 31 2018 OFFS'!$AI:$AI,'T1 2019 Pipeline Data Lagasco'!$A35,'Dec 31 2018 OFFS'!$U:$U,'T1 2019 Pipeline Data Lagasco'!$E35,'Dec 31 2018 OFFS'!$AK:$AK,'T1 2019 Pipeline Data Lagasco'!$Q35,'Dec 31 2018 OFFS'!$W:$W,'T1 2019 Pipeline Data Lagasco'!$G35),1))</f>
        <v>0</v>
      </c>
      <c r="S35" s="275">
        <f t="shared" si="1"/>
        <v>0</v>
      </c>
    </row>
    <row r="36" spans="1:19" s="217" customFormat="1" ht="14.1" customHeight="1">
      <c r="A36" s="218" t="s">
        <v>1491</v>
      </c>
      <c r="B36" s="218" t="s">
        <v>1492</v>
      </c>
      <c r="C36" s="223">
        <v>1</v>
      </c>
      <c r="D36" s="224" t="s">
        <v>1488</v>
      </c>
      <c r="E36" s="223">
        <v>2</v>
      </c>
      <c r="F36" s="230">
        <v>6290.81</v>
      </c>
      <c r="G36" s="223">
        <v>1977</v>
      </c>
      <c r="H36" s="223">
        <v>1</v>
      </c>
      <c r="I36" s="223">
        <v>0</v>
      </c>
      <c r="J36" s="227"/>
      <c r="K36" s="228">
        <v>102162.75440000001</v>
      </c>
      <c r="L36" s="223">
        <v>80</v>
      </c>
      <c r="M36" s="229">
        <v>20432.550879999999</v>
      </c>
      <c r="N36" s="230">
        <v>16.239999999999998</v>
      </c>
      <c r="O36" s="231">
        <v>0</v>
      </c>
      <c r="P36" s="313"/>
      <c r="Q36" s="276">
        <f t="shared" si="0"/>
        <v>6290.81</v>
      </c>
      <c r="R36" s="275">
        <f>(SUMIFS('Dec 31 2018 OFFS'!$AG:$AG,'Dec 31 2018 OFFS'!$AI:$AI,'T1 2019 Pipeline Data Lagasco'!$A36,'Dec 31 2018 OFFS'!$U:$U,'T1 2019 Pipeline Data Lagasco'!$E36,'Dec 31 2018 OFFS'!$AK:$AK,'T1 2019 Pipeline Data Lagasco'!$Q36,'Dec 31 2018 OFFS'!$W:$W,'T1 2019 Pipeline Data Lagasco'!$G36))/(MAX(COUNTIFS('Dec 31 2018 OFFS'!$AI:$AI,'T1 2019 Pipeline Data Lagasco'!$A36,'Dec 31 2018 OFFS'!$U:$U,'T1 2019 Pipeline Data Lagasco'!$E36,'Dec 31 2018 OFFS'!$AK:$AK,'T1 2019 Pipeline Data Lagasco'!$Q36,'Dec 31 2018 OFFS'!$W:$W,'T1 2019 Pipeline Data Lagasco'!$G36),1))</f>
        <v>0</v>
      </c>
      <c r="S36" s="275">
        <f t="shared" si="1"/>
        <v>0</v>
      </c>
    </row>
    <row r="37" spans="1:19" s="217" customFormat="1" ht="14.1" customHeight="1">
      <c r="A37" s="218" t="s">
        <v>1491</v>
      </c>
      <c r="B37" s="218" t="s">
        <v>1492</v>
      </c>
      <c r="C37" s="223">
        <v>1</v>
      </c>
      <c r="D37" s="224" t="s">
        <v>1488</v>
      </c>
      <c r="E37" s="223">
        <v>2</v>
      </c>
      <c r="F37" s="226">
        <v>1865.190235</v>
      </c>
      <c r="G37" s="223">
        <v>1977</v>
      </c>
      <c r="H37" s="223">
        <v>1</v>
      </c>
      <c r="I37" s="223">
        <v>0</v>
      </c>
      <c r="J37" s="227"/>
      <c r="K37" s="229">
        <v>30290.689409999999</v>
      </c>
      <c r="L37" s="223">
        <v>80</v>
      </c>
      <c r="M37" s="233">
        <v>6058.137882</v>
      </c>
      <c r="N37" s="230">
        <v>16.239999999999998</v>
      </c>
      <c r="O37" s="231">
        <v>0</v>
      </c>
      <c r="P37" s="313"/>
      <c r="Q37" s="276">
        <f t="shared" si="0"/>
        <v>1865.19</v>
      </c>
      <c r="R37" s="275">
        <f>(SUMIFS('Dec 31 2018 OFFS'!$AG:$AG,'Dec 31 2018 OFFS'!$AI:$AI,'T1 2019 Pipeline Data Lagasco'!$A37,'Dec 31 2018 OFFS'!$U:$U,'T1 2019 Pipeline Data Lagasco'!$E37,'Dec 31 2018 OFFS'!$AK:$AK,'T1 2019 Pipeline Data Lagasco'!$Q37,'Dec 31 2018 OFFS'!$W:$W,'T1 2019 Pipeline Data Lagasco'!$G37))/(MAX(COUNTIFS('Dec 31 2018 OFFS'!$AI:$AI,'T1 2019 Pipeline Data Lagasco'!$A37,'Dec 31 2018 OFFS'!$U:$U,'T1 2019 Pipeline Data Lagasco'!$E37,'Dec 31 2018 OFFS'!$AK:$AK,'T1 2019 Pipeline Data Lagasco'!$Q37,'Dec 31 2018 OFFS'!$W:$W,'T1 2019 Pipeline Data Lagasco'!$G37),1))</f>
        <v>0</v>
      </c>
      <c r="S37" s="275">
        <f t="shared" si="1"/>
        <v>0</v>
      </c>
    </row>
    <row r="38" spans="1:19" s="217" customFormat="1" ht="14.1" customHeight="1">
      <c r="A38" s="218" t="s">
        <v>1491</v>
      </c>
      <c r="B38" s="218" t="s">
        <v>1492</v>
      </c>
      <c r="C38" s="223">
        <v>1</v>
      </c>
      <c r="D38" s="224" t="s">
        <v>1488</v>
      </c>
      <c r="E38" s="223">
        <v>2</v>
      </c>
      <c r="F38" s="226">
        <v>3104.6587030000001</v>
      </c>
      <c r="G38" s="223">
        <v>1995</v>
      </c>
      <c r="H38" s="223">
        <v>1</v>
      </c>
      <c r="I38" s="223">
        <v>0</v>
      </c>
      <c r="J38" s="227"/>
      <c r="K38" s="229">
        <v>50419.657330000002</v>
      </c>
      <c r="L38" s="223">
        <v>67</v>
      </c>
      <c r="M38" s="229">
        <v>16638.486919999999</v>
      </c>
      <c r="N38" s="230">
        <v>16.239999999999998</v>
      </c>
      <c r="O38" s="231">
        <v>0</v>
      </c>
      <c r="P38" s="313"/>
      <c r="Q38" s="276">
        <f t="shared" si="0"/>
        <v>3104.66</v>
      </c>
      <c r="R38" s="275">
        <f>(SUMIFS('Dec 31 2018 OFFS'!$AG:$AG,'Dec 31 2018 OFFS'!$AI:$AI,'T1 2019 Pipeline Data Lagasco'!$A38,'Dec 31 2018 OFFS'!$U:$U,'T1 2019 Pipeline Data Lagasco'!$E38,'Dec 31 2018 OFFS'!$AK:$AK,'T1 2019 Pipeline Data Lagasco'!$Q38,'Dec 31 2018 OFFS'!$W:$W,'T1 2019 Pipeline Data Lagasco'!$G38))/(MAX(COUNTIFS('Dec 31 2018 OFFS'!$AI:$AI,'T1 2019 Pipeline Data Lagasco'!$A38,'Dec 31 2018 OFFS'!$U:$U,'T1 2019 Pipeline Data Lagasco'!$E38,'Dec 31 2018 OFFS'!$AK:$AK,'T1 2019 Pipeline Data Lagasco'!$Q38,'Dec 31 2018 OFFS'!$W:$W,'T1 2019 Pipeline Data Lagasco'!$G38),1))</f>
        <v>0</v>
      </c>
      <c r="S38" s="275">
        <f t="shared" si="1"/>
        <v>0</v>
      </c>
    </row>
    <row r="39" spans="1:19" s="217" customFormat="1" ht="14.1" customHeight="1">
      <c r="A39" s="218" t="s">
        <v>1491</v>
      </c>
      <c r="B39" s="218" t="s">
        <v>1492</v>
      </c>
      <c r="C39" s="223">
        <v>1</v>
      </c>
      <c r="D39" s="224" t="s">
        <v>1488</v>
      </c>
      <c r="E39" s="223">
        <v>2</v>
      </c>
      <c r="F39" s="235">
        <v>3022.9985999999999</v>
      </c>
      <c r="G39" s="223">
        <v>1977</v>
      </c>
      <c r="H39" s="223">
        <v>1</v>
      </c>
      <c r="I39" s="223">
        <v>0</v>
      </c>
      <c r="J39" s="227"/>
      <c r="K39" s="229">
        <v>49093.49727</v>
      </c>
      <c r="L39" s="223">
        <v>80</v>
      </c>
      <c r="M39" s="233">
        <v>9818.6994529999993</v>
      </c>
      <c r="N39" s="230">
        <v>16.239999999999998</v>
      </c>
      <c r="O39" s="231">
        <v>0</v>
      </c>
      <c r="P39" s="313"/>
      <c r="Q39" s="276">
        <f t="shared" si="0"/>
        <v>3023</v>
      </c>
      <c r="R39" s="275">
        <f>(SUMIFS('Dec 31 2018 OFFS'!$AG:$AG,'Dec 31 2018 OFFS'!$AI:$AI,'T1 2019 Pipeline Data Lagasco'!$A39,'Dec 31 2018 OFFS'!$U:$U,'T1 2019 Pipeline Data Lagasco'!$E39,'Dec 31 2018 OFFS'!$AK:$AK,'T1 2019 Pipeline Data Lagasco'!$Q39,'Dec 31 2018 OFFS'!$W:$W,'T1 2019 Pipeline Data Lagasco'!$G39))/(MAX(COUNTIFS('Dec 31 2018 OFFS'!$AI:$AI,'T1 2019 Pipeline Data Lagasco'!$A39,'Dec 31 2018 OFFS'!$U:$U,'T1 2019 Pipeline Data Lagasco'!$E39,'Dec 31 2018 OFFS'!$AK:$AK,'T1 2019 Pipeline Data Lagasco'!$Q39,'Dec 31 2018 OFFS'!$W:$W,'T1 2019 Pipeline Data Lagasco'!$G39),1))</f>
        <v>0</v>
      </c>
      <c r="S39" s="275">
        <f t="shared" si="1"/>
        <v>0</v>
      </c>
    </row>
    <row r="40" spans="1:19" s="217" customFormat="1" ht="14.1" customHeight="1">
      <c r="A40" s="218" t="s">
        <v>1491</v>
      </c>
      <c r="B40" s="218" t="s">
        <v>1492</v>
      </c>
      <c r="C40" s="223">
        <v>1</v>
      </c>
      <c r="D40" s="224" t="s">
        <v>1488</v>
      </c>
      <c r="E40" s="223">
        <v>2</v>
      </c>
      <c r="F40" s="232">
        <v>671.94879939999998</v>
      </c>
      <c r="G40" s="223">
        <v>1977</v>
      </c>
      <c r="H40" s="223">
        <v>1</v>
      </c>
      <c r="I40" s="223">
        <v>0</v>
      </c>
      <c r="J40" s="227"/>
      <c r="K40" s="228">
        <v>10912.4485</v>
      </c>
      <c r="L40" s="223">
        <v>80</v>
      </c>
      <c r="M40" s="233">
        <v>2182.489701</v>
      </c>
      <c r="N40" s="230">
        <v>16.239999999999998</v>
      </c>
      <c r="O40" s="231">
        <v>0</v>
      </c>
      <c r="P40" s="313"/>
      <c r="Q40" s="276">
        <f t="shared" si="0"/>
        <v>671.95</v>
      </c>
      <c r="R40" s="275">
        <f>(SUMIFS('Dec 31 2018 OFFS'!$AG:$AG,'Dec 31 2018 OFFS'!$AI:$AI,'T1 2019 Pipeline Data Lagasco'!$A40,'Dec 31 2018 OFFS'!$U:$U,'T1 2019 Pipeline Data Lagasco'!$E40,'Dec 31 2018 OFFS'!$AK:$AK,'T1 2019 Pipeline Data Lagasco'!$Q40,'Dec 31 2018 OFFS'!$W:$W,'T1 2019 Pipeline Data Lagasco'!$G40))/(MAX(COUNTIFS('Dec 31 2018 OFFS'!$AI:$AI,'T1 2019 Pipeline Data Lagasco'!$A40,'Dec 31 2018 OFFS'!$U:$U,'T1 2019 Pipeline Data Lagasco'!$E40,'Dec 31 2018 OFFS'!$AK:$AK,'T1 2019 Pipeline Data Lagasco'!$Q40,'Dec 31 2018 OFFS'!$W:$W,'T1 2019 Pipeline Data Lagasco'!$G40),1))</f>
        <v>0</v>
      </c>
      <c r="S40" s="275">
        <f t="shared" si="1"/>
        <v>0</v>
      </c>
    </row>
    <row r="41" spans="1:19" s="217" customFormat="1" ht="15" customHeight="1">
      <c r="A41" s="218" t="s">
        <v>1491</v>
      </c>
      <c r="B41" s="218" t="s">
        <v>1492</v>
      </c>
      <c r="C41" s="223">
        <v>1</v>
      </c>
      <c r="D41" s="224" t="s">
        <v>1488</v>
      </c>
      <c r="E41" s="223">
        <v>2</v>
      </c>
      <c r="F41" s="226">
        <v>846.91598599999998</v>
      </c>
      <c r="G41" s="223">
        <v>1977</v>
      </c>
      <c r="H41" s="223">
        <v>1</v>
      </c>
      <c r="I41" s="223">
        <v>0</v>
      </c>
      <c r="J41" s="227"/>
      <c r="K41" s="229">
        <v>13753.91561</v>
      </c>
      <c r="L41" s="223">
        <v>80</v>
      </c>
      <c r="M41" s="233">
        <v>2750.7831219999998</v>
      </c>
      <c r="N41" s="230">
        <v>16.239999999999998</v>
      </c>
      <c r="O41" s="231">
        <v>0</v>
      </c>
      <c r="P41" s="313"/>
      <c r="Q41" s="276">
        <f t="shared" si="0"/>
        <v>846.92</v>
      </c>
      <c r="R41" s="275">
        <f>(SUMIFS('Dec 31 2018 OFFS'!$AG:$AG,'Dec 31 2018 OFFS'!$AI:$AI,'T1 2019 Pipeline Data Lagasco'!$A41,'Dec 31 2018 OFFS'!$U:$U,'T1 2019 Pipeline Data Lagasco'!$E41,'Dec 31 2018 OFFS'!$AK:$AK,'T1 2019 Pipeline Data Lagasco'!$Q41,'Dec 31 2018 OFFS'!$W:$W,'T1 2019 Pipeline Data Lagasco'!$G41))/(MAX(COUNTIFS('Dec 31 2018 OFFS'!$AI:$AI,'T1 2019 Pipeline Data Lagasco'!$A41,'Dec 31 2018 OFFS'!$U:$U,'T1 2019 Pipeline Data Lagasco'!$E41,'Dec 31 2018 OFFS'!$AK:$AK,'T1 2019 Pipeline Data Lagasco'!$Q41,'Dec 31 2018 OFFS'!$W:$W,'T1 2019 Pipeline Data Lagasco'!$G41),1))</f>
        <v>0</v>
      </c>
      <c r="S41" s="275">
        <f t="shared" si="1"/>
        <v>0</v>
      </c>
    </row>
    <row r="42" spans="1:19" s="217" customFormat="1" ht="15" customHeight="1">
      <c r="A42" s="224" t="s">
        <v>1491</v>
      </c>
      <c r="B42" s="218" t="s">
        <v>1492</v>
      </c>
      <c r="C42" s="223">
        <v>1</v>
      </c>
      <c r="D42" s="218" t="s">
        <v>1488</v>
      </c>
      <c r="E42" s="240">
        <v>2</v>
      </c>
      <c r="F42" s="226">
        <v>547.27688699999999</v>
      </c>
      <c r="G42" s="223">
        <v>1977</v>
      </c>
      <c r="H42" s="223">
        <v>1</v>
      </c>
      <c r="I42" s="223">
        <v>1</v>
      </c>
      <c r="J42" s="223"/>
      <c r="K42" s="233">
        <v>8887.7766449999999</v>
      </c>
      <c r="L42" s="241">
        <v>80</v>
      </c>
      <c r="M42" s="233">
        <v>1777.555329</v>
      </c>
      <c r="N42" s="230">
        <v>16.239999999999998</v>
      </c>
      <c r="O42" s="231">
        <v>1777</v>
      </c>
      <c r="P42" s="314"/>
      <c r="Q42" s="276">
        <f t="shared" si="0"/>
        <v>547.28</v>
      </c>
      <c r="R42" s="275">
        <f>(SUMIFS('Dec 31 2018 OFFS'!$AG:$AG,'Dec 31 2018 OFFS'!$AI:$AI,'T1 2019 Pipeline Data Lagasco'!$A42,'Dec 31 2018 OFFS'!$U:$U,'T1 2019 Pipeline Data Lagasco'!$E42,'Dec 31 2018 OFFS'!$AK:$AK,'T1 2019 Pipeline Data Lagasco'!$Q42,'Dec 31 2018 OFFS'!$W:$W,'T1 2019 Pipeline Data Lagasco'!$G42))/(MAX(COUNTIFS('Dec 31 2018 OFFS'!$AI:$AI,'T1 2019 Pipeline Data Lagasco'!$A42,'Dec 31 2018 OFFS'!$U:$U,'T1 2019 Pipeline Data Lagasco'!$E42,'Dec 31 2018 OFFS'!$AK:$AK,'T1 2019 Pipeline Data Lagasco'!$Q42,'Dec 31 2018 OFFS'!$W:$W,'T1 2019 Pipeline Data Lagasco'!$G42),1))</f>
        <v>1777</v>
      </c>
      <c r="S42" s="275">
        <f t="shared" si="1"/>
        <v>0</v>
      </c>
    </row>
    <row r="43" spans="1:19" s="217" customFormat="1" ht="14.1" customHeight="1">
      <c r="A43" s="224" t="s">
        <v>1491</v>
      </c>
      <c r="B43" s="218" t="s">
        <v>1492</v>
      </c>
      <c r="C43" s="223">
        <v>1</v>
      </c>
      <c r="D43" s="218" t="s">
        <v>1488</v>
      </c>
      <c r="E43" s="240">
        <v>2</v>
      </c>
      <c r="F43" s="226">
        <v>4479.8227049999996</v>
      </c>
      <c r="G43" s="223">
        <v>1978</v>
      </c>
      <c r="H43" s="223">
        <v>1</v>
      </c>
      <c r="I43" s="223">
        <v>1</v>
      </c>
      <c r="J43" s="223"/>
      <c r="K43" s="229">
        <v>72752.320730000007</v>
      </c>
      <c r="L43" s="241">
        <v>80</v>
      </c>
      <c r="M43" s="229">
        <v>14550.46415</v>
      </c>
      <c r="N43" s="230">
        <v>16.239999999999998</v>
      </c>
      <c r="O43" s="231">
        <v>14550</v>
      </c>
      <c r="P43" s="314"/>
      <c r="Q43" s="276">
        <f t="shared" si="0"/>
        <v>4479.82</v>
      </c>
      <c r="R43" s="275">
        <f>(SUMIFS('Dec 31 2018 OFFS'!$AG:$AG,'Dec 31 2018 OFFS'!$AI:$AI,'T1 2019 Pipeline Data Lagasco'!$A43,'Dec 31 2018 OFFS'!$U:$U,'T1 2019 Pipeline Data Lagasco'!$E43,'Dec 31 2018 OFFS'!$AK:$AK,'T1 2019 Pipeline Data Lagasco'!$Q43,'Dec 31 2018 OFFS'!$W:$W,'T1 2019 Pipeline Data Lagasco'!$G43))/(MAX(COUNTIFS('Dec 31 2018 OFFS'!$AI:$AI,'T1 2019 Pipeline Data Lagasco'!$A43,'Dec 31 2018 OFFS'!$U:$U,'T1 2019 Pipeline Data Lagasco'!$E43,'Dec 31 2018 OFFS'!$AK:$AK,'T1 2019 Pipeline Data Lagasco'!$Q43,'Dec 31 2018 OFFS'!$W:$W,'T1 2019 Pipeline Data Lagasco'!$G43),1))</f>
        <v>14550</v>
      </c>
      <c r="S43" s="275">
        <f t="shared" si="1"/>
        <v>0</v>
      </c>
    </row>
    <row r="44" spans="1:19" s="217" customFormat="1" ht="14.1" customHeight="1">
      <c r="A44" s="224" t="s">
        <v>1491</v>
      </c>
      <c r="B44" s="218" t="s">
        <v>1492</v>
      </c>
      <c r="C44" s="223">
        <v>1</v>
      </c>
      <c r="D44" s="218" t="s">
        <v>1488</v>
      </c>
      <c r="E44" s="240">
        <v>2</v>
      </c>
      <c r="F44" s="226">
        <v>5659.3174209999997</v>
      </c>
      <c r="G44" s="223">
        <v>1981</v>
      </c>
      <c r="H44" s="223">
        <v>1</v>
      </c>
      <c r="I44" s="223">
        <v>1</v>
      </c>
      <c r="J44" s="223"/>
      <c r="K44" s="229">
        <v>91907.314920000004</v>
      </c>
      <c r="L44" s="241">
        <v>80</v>
      </c>
      <c r="M44" s="229">
        <v>18381.46298</v>
      </c>
      <c r="N44" s="230">
        <v>16.239999999999998</v>
      </c>
      <c r="O44" s="231">
        <v>18381</v>
      </c>
      <c r="P44" s="314"/>
      <c r="Q44" s="276">
        <f t="shared" si="0"/>
        <v>5659.32</v>
      </c>
      <c r="R44" s="275">
        <f>(SUMIFS('Dec 31 2018 OFFS'!$AG:$AG,'Dec 31 2018 OFFS'!$AI:$AI,'T1 2019 Pipeline Data Lagasco'!$A44,'Dec 31 2018 OFFS'!$U:$U,'T1 2019 Pipeline Data Lagasco'!$E44,'Dec 31 2018 OFFS'!$AK:$AK,'T1 2019 Pipeline Data Lagasco'!$Q44,'Dec 31 2018 OFFS'!$W:$W,'T1 2019 Pipeline Data Lagasco'!$G44))/(MAX(COUNTIFS('Dec 31 2018 OFFS'!$AI:$AI,'T1 2019 Pipeline Data Lagasco'!$A44,'Dec 31 2018 OFFS'!$U:$U,'T1 2019 Pipeline Data Lagasco'!$E44,'Dec 31 2018 OFFS'!$AK:$AK,'T1 2019 Pipeline Data Lagasco'!$Q44,'Dec 31 2018 OFFS'!$W:$W,'T1 2019 Pipeline Data Lagasco'!$G44),1))</f>
        <v>18381</v>
      </c>
      <c r="S44" s="275">
        <f t="shared" si="1"/>
        <v>0</v>
      </c>
    </row>
    <row r="45" spans="1:19" s="217" customFormat="1" ht="14.1" customHeight="1">
      <c r="A45" s="224" t="s">
        <v>1491</v>
      </c>
      <c r="B45" s="218" t="s">
        <v>1492</v>
      </c>
      <c r="C45" s="223">
        <v>1</v>
      </c>
      <c r="D45" s="218" t="s">
        <v>1488</v>
      </c>
      <c r="E45" s="240">
        <v>2</v>
      </c>
      <c r="F45" s="226">
        <v>4551.771522</v>
      </c>
      <c r="G45" s="223">
        <v>1986</v>
      </c>
      <c r="H45" s="223">
        <v>1</v>
      </c>
      <c r="I45" s="223">
        <v>1</v>
      </c>
      <c r="J45" s="223"/>
      <c r="K45" s="229">
        <v>73920.769509999998</v>
      </c>
      <c r="L45" s="241">
        <v>79</v>
      </c>
      <c r="M45" s="228">
        <v>15523.3616</v>
      </c>
      <c r="N45" s="230">
        <v>16.239999999999998</v>
      </c>
      <c r="O45" s="231">
        <v>15523</v>
      </c>
      <c r="P45" s="314"/>
      <c r="Q45" s="276">
        <f t="shared" si="0"/>
        <v>4551.7700000000004</v>
      </c>
      <c r="R45" s="275">
        <f>(SUMIFS('Dec 31 2018 OFFS'!$AG:$AG,'Dec 31 2018 OFFS'!$AI:$AI,'T1 2019 Pipeline Data Lagasco'!$A45,'Dec 31 2018 OFFS'!$U:$U,'T1 2019 Pipeline Data Lagasco'!$E45,'Dec 31 2018 OFFS'!$AK:$AK,'T1 2019 Pipeline Data Lagasco'!$Q45,'Dec 31 2018 OFFS'!$W:$W,'T1 2019 Pipeline Data Lagasco'!$G45))/(MAX(COUNTIFS('Dec 31 2018 OFFS'!$AI:$AI,'T1 2019 Pipeline Data Lagasco'!$A45,'Dec 31 2018 OFFS'!$U:$U,'T1 2019 Pipeline Data Lagasco'!$E45,'Dec 31 2018 OFFS'!$AK:$AK,'T1 2019 Pipeline Data Lagasco'!$Q45,'Dec 31 2018 OFFS'!$W:$W,'T1 2019 Pipeline Data Lagasco'!$G45),1))</f>
        <v>15523</v>
      </c>
      <c r="S45" s="275">
        <f t="shared" si="1"/>
        <v>0</v>
      </c>
    </row>
    <row r="46" spans="1:19" s="217" customFormat="1" ht="14.1" customHeight="1">
      <c r="A46" s="224" t="s">
        <v>1491</v>
      </c>
      <c r="B46" s="218" t="s">
        <v>1492</v>
      </c>
      <c r="C46" s="223">
        <v>1</v>
      </c>
      <c r="D46" s="218" t="s">
        <v>1488</v>
      </c>
      <c r="E46" s="240">
        <v>2</v>
      </c>
      <c r="F46" s="226">
        <v>5351.2137560000001</v>
      </c>
      <c r="G46" s="223">
        <v>1995</v>
      </c>
      <c r="H46" s="223">
        <v>1</v>
      </c>
      <c r="I46" s="223">
        <v>1</v>
      </c>
      <c r="J46" s="223"/>
      <c r="K46" s="229">
        <v>86903.711389999997</v>
      </c>
      <c r="L46" s="241">
        <v>67</v>
      </c>
      <c r="M46" s="229">
        <v>28678.224760000001</v>
      </c>
      <c r="N46" s="230">
        <v>16.239999999999998</v>
      </c>
      <c r="O46" s="231">
        <v>28678</v>
      </c>
      <c r="P46" s="314"/>
      <c r="Q46" s="276">
        <f t="shared" si="0"/>
        <v>5351.21</v>
      </c>
      <c r="R46" s="275">
        <f>(SUMIFS('Dec 31 2018 OFFS'!$AG:$AG,'Dec 31 2018 OFFS'!$AI:$AI,'T1 2019 Pipeline Data Lagasco'!$A46,'Dec 31 2018 OFFS'!$U:$U,'T1 2019 Pipeline Data Lagasco'!$E46,'Dec 31 2018 OFFS'!$AK:$AK,'T1 2019 Pipeline Data Lagasco'!$Q46,'Dec 31 2018 OFFS'!$W:$W,'T1 2019 Pipeline Data Lagasco'!$G46))/(MAX(COUNTIFS('Dec 31 2018 OFFS'!$AI:$AI,'T1 2019 Pipeline Data Lagasco'!$A46,'Dec 31 2018 OFFS'!$U:$U,'T1 2019 Pipeline Data Lagasco'!$E46,'Dec 31 2018 OFFS'!$AK:$AK,'T1 2019 Pipeline Data Lagasco'!$Q46,'Dec 31 2018 OFFS'!$W:$W,'T1 2019 Pipeline Data Lagasco'!$G46),1))</f>
        <v>28678</v>
      </c>
      <c r="S46" s="275">
        <f t="shared" si="1"/>
        <v>0</v>
      </c>
    </row>
    <row r="47" spans="1:19" s="217" customFormat="1" ht="14.1" customHeight="1">
      <c r="A47" s="224" t="s">
        <v>1491</v>
      </c>
      <c r="B47" s="218" t="s">
        <v>1492</v>
      </c>
      <c r="C47" s="223">
        <v>1</v>
      </c>
      <c r="D47" s="218" t="s">
        <v>1488</v>
      </c>
      <c r="E47" s="240">
        <v>2</v>
      </c>
      <c r="F47" s="236">
        <v>11733.267379999999</v>
      </c>
      <c r="G47" s="223">
        <v>1986</v>
      </c>
      <c r="H47" s="223">
        <v>1</v>
      </c>
      <c r="I47" s="223">
        <v>1</v>
      </c>
      <c r="J47" s="223"/>
      <c r="K47" s="228">
        <v>190548.2622</v>
      </c>
      <c r="L47" s="241">
        <v>79</v>
      </c>
      <c r="M47" s="229">
        <v>40015.135060000001</v>
      </c>
      <c r="N47" s="230">
        <v>16.239999999999998</v>
      </c>
      <c r="O47" s="231">
        <v>40015</v>
      </c>
      <c r="P47" s="314"/>
      <c r="Q47" s="276">
        <f t="shared" si="0"/>
        <v>11733.27</v>
      </c>
      <c r="R47" s="275">
        <f>(SUMIFS('Dec 31 2018 OFFS'!$AG:$AG,'Dec 31 2018 OFFS'!$AI:$AI,'T1 2019 Pipeline Data Lagasco'!$A47,'Dec 31 2018 OFFS'!$U:$U,'T1 2019 Pipeline Data Lagasco'!$E47,'Dec 31 2018 OFFS'!$AK:$AK,'T1 2019 Pipeline Data Lagasco'!$Q47,'Dec 31 2018 OFFS'!$W:$W,'T1 2019 Pipeline Data Lagasco'!$G47))/(MAX(COUNTIFS('Dec 31 2018 OFFS'!$AI:$AI,'T1 2019 Pipeline Data Lagasco'!$A47,'Dec 31 2018 OFFS'!$U:$U,'T1 2019 Pipeline Data Lagasco'!$E47,'Dec 31 2018 OFFS'!$AK:$AK,'T1 2019 Pipeline Data Lagasco'!$Q47,'Dec 31 2018 OFFS'!$W:$W,'T1 2019 Pipeline Data Lagasco'!$G47),1))</f>
        <v>40015</v>
      </c>
      <c r="S47" s="275">
        <f t="shared" si="1"/>
        <v>0</v>
      </c>
    </row>
    <row r="48" spans="1:19" s="217" customFormat="1" ht="14.1" customHeight="1">
      <c r="A48" s="224" t="s">
        <v>1491</v>
      </c>
      <c r="B48" s="218" t="s">
        <v>1492</v>
      </c>
      <c r="C48" s="223">
        <v>1</v>
      </c>
      <c r="D48" s="218" t="s">
        <v>1488</v>
      </c>
      <c r="E48" s="240">
        <v>2</v>
      </c>
      <c r="F48" s="230">
        <v>3853.94</v>
      </c>
      <c r="G48" s="223">
        <v>1996</v>
      </c>
      <c r="H48" s="223">
        <v>1</v>
      </c>
      <c r="I48" s="223">
        <v>0</v>
      </c>
      <c r="J48" s="223"/>
      <c r="K48" s="228">
        <v>62587.9856</v>
      </c>
      <c r="L48" s="241">
        <v>66</v>
      </c>
      <c r="M48" s="228">
        <v>21279.915099999998</v>
      </c>
      <c r="N48" s="230">
        <v>16.239999999999998</v>
      </c>
      <c r="O48" s="231">
        <v>0</v>
      </c>
      <c r="P48" s="314"/>
      <c r="Q48" s="276">
        <f t="shared" si="0"/>
        <v>3853.94</v>
      </c>
      <c r="R48" s="275">
        <f>(SUMIFS('Dec 31 2018 OFFS'!$AG:$AG,'Dec 31 2018 OFFS'!$AI:$AI,'T1 2019 Pipeline Data Lagasco'!$A48,'Dec 31 2018 OFFS'!$U:$U,'T1 2019 Pipeline Data Lagasco'!$E48,'Dec 31 2018 OFFS'!$AK:$AK,'T1 2019 Pipeline Data Lagasco'!$Q48,'Dec 31 2018 OFFS'!$W:$W,'T1 2019 Pipeline Data Lagasco'!$G48))/(MAX(COUNTIFS('Dec 31 2018 OFFS'!$AI:$AI,'T1 2019 Pipeline Data Lagasco'!$A48,'Dec 31 2018 OFFS'!$U:$U,'T1 2019 Pipeline Data Lagasco'!$E48,'Dec 31 2018 OFFS'!$AK:$AK,'T1 2019 Pipeline Data Lagasco'!$Q48,'Dec 31 2018 OFFS'!$W:$W,'T1 2019 Pipeline Data Lagasco'!$G48),1))</f>
        <v>0</v>
      </c>
      <c r="S48" s="275">
        <f t="shared" si="1"/>
        <v>0</v>
      </c>
    </row>
    <row r="49" spans="1:19" s="217" customFormat="1" ht="14.1" customHeight="1">
      <c r="A49" s="224" t="s">
        <v>1491</v>
      </c>
      <c r="B49" s="218" t="s">
        <v>1492</v>
      </c>
      <c r="C49" s="223">
        <v>1</v>
      </c>
      <c r="D49" s="218" t="s">
        <v>1488</v>
      </c>
      <c r="E49" s="240">
        <v>3</v>
      </c>
      <c r="F49" s="226">
        <v>4729.8226979999999</v>
      </c>
      <c r="G49" s="223">
        <v>1977</v>
      </c>
      <c r="H49" s="223">
        <v>1</v>
      </c>
      <c r="I49" s="223">
        <v>0</v>
      </c>
      <c r="J49" s="223"/>
      <c r="K49" s="228">
        <v>111576.5174</v>
      </c>
      <c r="L49" s="241">
        <v>80</v>
      </c>
      <c r="M49" s="229">
        <v>22315.303489999998</v>
      </c>
      <c r="N49" s="230">
        <v>23.59</v>
      </c>
      <c r="O49" s="231">
        <v>0</v>
      </c>
      <c r="P49" s="314"/>
      <c r="Q49" s="276">
        <f t="shared" si="0"/>
        <v>4729.82</v>
      </c>
      <c r="R49" s="275">
        <f>(SUMIFS('Dec 31 2018 OFFS'!$AG:$AG,'Dec 31 2018 OFFS'!$AI:$AI,'T1 2019 Pipeline Data Lagasco'!$A49,'Dec 31 2018 OFFS'!$U:$U,'T1 2019 Pipeline Data Lagasco'!$E49,'Dec 31 2018 OFFS'!$AK:$AK,'T1 2019 Pipeline Data Lagasco'!$Q49,'Dec 31 2018 OFFS'!$W:$W,'T1 2019 Pipeline Data Lagasco'!$G49))/(MAX(COUNTIFS('Dec 31 2018 OFFS'!$AI:$AI,'T1 2019 Pipeline Data Lagasco'!$A49,'Dec 31 2018 OFFS'!$U:$U,'T1 2019 Pipeline Data Lagasco'!$E49,'Dec 31 2018 OFFS'!$AK:$AK,'T1 2019 Pipeline Data Lagasco'!$Q49,'Dec 31 2018 OFFS'!$W:$W,'T1 2019 Pipeline Data Lagasco'!$G49),1))</f>
        <v>0</v>
      </c>
      <c r="S49" s="275">
        <f t="shared" si="1"/>
        <v>0</v>
      </c>
    </row>
    <row r="50" spans="1:19" s="217" customFormat="1" ht="14.1" customHeight="1">
      <c r="A50" s="224" t="s">
        <v>1491</v>
      </c>
      <c r="B50" s="218" t="s">
        <v>1492</v>
      </c>
      <c r="C50" s="223">
        <v>1</v>
      </c>
      <c r="D50" s="218" t="s">
        <v>1488</v>
      </c>
      <c r="E50" s="240">
        <v>3</v>
      </c>
      <c r="F50" s="226">
        <v>2591.961867</v>
      </c>
      <c r="G50" s="223">
        <v>1996</v>
      </c>
      <c r="H50" s="223">
        <v>1</v>
      </c>
      <c r="I50" s="223">
        <v>0</v>
      </c>
      <c r="J50" s="223"/>
      <c r="K50" s="229">
        <v>61144.380449999997</v>
      </c>
      <c r="L50" s="241">
        <v>66</v>
      </c>
      <c r="M50" s="229">
        <v>20789.089349999998</v>
      </c>
      <c r="N50" s="230">
        <v>23.59</v>
      </c>
      <c r="O50" s="231">
        <v>0</v>
      </c>
      <c r="P50" s="314"/>
      <c r="Q50" s="276">
        <f t="shared" si="0"/>
        <v>2591.96</v>
      </c>
      <c r="R50" s="275">
        <f>(SUMIFS('Dec 31 2018 OFFS'!$AG:$AG,'Dec 31 2018 OFFS'!$AI:$AI,'T1 2019 Pipeline Data Lagasco'!$A50,'Dec 31 2018 OFFS'!$U:$U,'T1 2019 Pipeline Data Lagasco'!$E50,'Dec 31 2018 OFFS'!$AK:$AK,'T1 2019 Pipeline Data Lagasco'!$Q50,'Dec 31 2018 OFFS'!$W:$W,'T1 2019 Pipeline Data Lagasco'!$G50))/(MAX(COUNTIFS('Dec 31 2018 OFFS'!$AI:$AI,'T1 2019 Pipeline Data Lagasco'!$A50,'Dec 31 2018 OFFS'!$U:$U,'T1 2019 Pipeline Data Lagasco'!$E50,'Dec 31 2018 OFFS'!$AK:$AK,'T1 2019 Pipeline Data Lagasco'!$Q50,'Dec 31 2018 OFFS'!$W:$W,'T1 2019 Pipeline Data Lagasco'!$G50),1))</f>
        <v>0</v>
      </c>
      <c r="S50" s="275">
        <f t="shared" si="1"/>
        <v>0</v>
      </c>
    </row>
    <row r="51" spans="1:19" s="217" customFormat="1" ht="14.1" customHeight="1">
      <c r="A51" s="224" t="s">
        <v>1491</v>
      </c>
      <c r="B51" s="218" t="s">
        <v>1492</v>
      </c>
      <c r="C51" s="223">
        <v>1</v>
      </c>
      <c r="D51" s="218" t="s">
        <v>1488</v>
      </c>
      <c r="E51" s="240">
        <v>3</v>
      </c>
      <c r="F51" s="223">
        <v>3367</v>
      </c>
      <c r="G51" s="223">
        <v>2006</v>
      </c>
      <c r="H51" s="223">
        <v>1</v>
      </c>
      <c r="I51" s="223">
        <v>1</v>
      </c>
      <c r="J51" s="223"/>
      <c r="K51" s="238">
        <v>79427.53</v>
      </c>
      <c r="L51" s="241">
        <v>52</v>
      </c>
      <c r="M51" s="228">
        <v>38125.214399999997</v>
      </c>
      <c r="N51" s="230">
        <v>23.59</v>
      </c>
      <c r="O51" s="231">
        <v>38125</v>
      </c>
      <c r="P51" s="314"/>
      <c r="Q51" s="276">
        <f t="shared" si="0"/>
        <v>3367</v>
      </c>
      <c r="R51" s="275">
        <f>(SUMIFS('Dec 31 2018 OFFS'!$AG:$AG,'Dec 31 2018 OFFS'!$AI:$AI,'T1 2019 Pipeline Data Lagasco'!$A51,'Dec 31 2018 OFFS'!$U:$U,'T1 2019 Pipeline Data Lagasco'!$E51,'Dec 31 2018 OFFS'!$AK:$AK,'T1 2019 Pipeline Data Lagasco'!$Q51,'Dec 31 2018 OFFS'!$W:$W,'T1 2019 Pipeline Data Lagasco'!$G51))/(MAX(COUNTIFS('Dec 31 2018 OFFS'!$AI:$AI,'T1 2019 Pipeline Data Lagasco'!$A51,'Dec 31 2018 OFFS'!$U:$U,'T1 2019 Pipeline Data Lagasco'!$E51,'Dec 31 2018 OFFS'!$AK:$AK,'T1 2019 Pipeline Data Lagasco'!$Q51,'Dec 31 2018 OFFS'!$W:$W,'T1 2019 Pipeline Data Lagasco'!$G51),1))</f>
        <v>38125</v>
      </c>
      <c r="S51" s="275">
        <f t="shared" si="1"/>
        <v>0</v>
      </c>
    </row>
    <row r="52" spans="1:19" s="217" customFormat="1" ht="14.1" customHeight="1">
      <c r="A52" s="224" t="s">
        <v>1491</v>
      </c>
      <c r="B52" s="218" t="s">
        <v>1492</v>
      </c>
      <c r="C52" s="223">
        <v>1</v>
      </c>
      <c r="D52" s="218" t="s">
        <v>1488</v>
      </c>
      <c r="E52" s="240">
        <v>3</v>
      </c>
      <c r="F52" s="236">
        <v>13786.745010000001</v>
      </c>
      <c r="G52" s="223">
        <v>1994</v>
      </c>
      <c r="H52" s="223">
        <v>1</v>
      </c>
      <c r="I52" s="223">
        <v>1</v>
      </c>
      <c r="J52" s="223"/>
      <c r="K52" s="228">
        <v>325229.31469999999</v>
      </c>
      <c r="L52" s="241">
        <v>68</v>
      </c>
      <c r="M52" s="228">
        <v>104073.38069999999</v>
      </c>
      <c r="N52" s="230">
        <v>23.59</v>
      </c>
      <c r="O52" s="231">
        <v>104073</v>
      </c>
      <c r="P52" s="314"/>
      <c r="Q52" s="276">
        <f t="shared" si="0"/>
        <v>13786.75</v>
      </c>
      <c r="R52" s="275">
        <f>(SUMIFS('Dec 31 2018 OFFS'!$AG:$AG,'Dec 31 2018 OFFS'!$AI:$AI,'T1 2019 Pipeline Data Lagasco'!$A52,'Dec 31 2018 OFFS'!$U:$U,'T1 2019 Pipeline Data Lagasco'!$E52,'Dec 31 2018 OFFS'!$AK:$AK,'T1 2019 Pipeline Data Lagasco'!$Q52,'Dec 31 2018 OFFS'!$W:$W,'T1 2019 Pipeline Data Lagasco'!$G52))/(MAX(COUNTIFS('Dec 31 2018 OFFS'!$AI:$AI,'T1 2019 Pipeline Data Lagasco'!$A52,'Dec 31 2018 OFFS'!$U:$U,'T1 2019 Pipeline Data Lagasco'!$E52,'Dec 31 2018 OFFS'!$AK:$AK,'T1 2019 Pipeline Data Lagasco'!$Q52,'Dec 31 2018 OFFS'!$W:$W,'T1 2019 Pipeline Data Lagasco'!$G52),1))</f>
        <v>104073</v>
      </c>
      <c r="S52" s="275">
        <f t="shared" si="1"/>
        <v>0</v>
      </c>
    </row>
    <row r="53" spans="1:19" s="217" customFormat="1" ht="14.1" customHeight="1">
      <c r="A53" s="224" t="s">
        <v>1491</v>
      </c>
      <c r="B53" s="218" t="s">
        <v>1492</v>
      </c>
      <c r="C53" s="223">
        <v>1</v>
      </c>
      <c r="D53" s="218" t="s">
        <v>1488</v>
      </c>
      <c r="E53" s="240">
        <v>3</v>
      </c>
      <c r="F53" s="226">
        <v>5575.032647</v>
      </c>
      <c r="G53" s="223">
        <v>1977</v>
      </c>
      <c r="H53" s="223">
        <v>1</v>
      </c>
      <c r="I53" s="223">
        <v>0</v>
      </c>
      <c r="J53" s="223"/>
      <c r="K53" s="228">
        <v>131515.02009999999</v>
      </c>
      <c r="L53" s="241">
        <v>80</v>
      </c>
      <c r="M53" s="229">
        <v>26303.00403</v>
      </c>
      <c r="N53" s="230">
        <v>23.59</v>
      </c>
      <c r="O53" s="231">
        <v>0</v>
      </c>
      <c r="P53" s="314"/>
      <c r="Q53" s="276">
        <f t="shared" si="0"/>
        <v>5575.03</v>
      </c>
      <c r="R53" s="275">
        <f>(SUMIFS('Dec 31 2018 OFFS'!$AG:$AG,'Dec 31 2018 OFFS'!$AI:$AI,'T1 2019 Pipeline Data Lagasco'!$A53,'Dec 31 2018 OFFS'!$U:$U,'T1 2019 Pipeline Data Lagasco'!$E53,'Dec 31 2018 OFFS'!$AK:$AK,'T1 2019 Pipeline Data Lagasco'!$Q53,'Dec 31 2018 OFFS'!$W:$W,'T1 2019 Pipeline Data Lagasco'!$G53))/(MAX(COUNTIFS('Dec 31 2018 OFFS'!$AI:$AI,'T1 2019 Pipeline Data Lagasco'!$A53,'Dec 31 2018 OFFS'!$U:$U,'T1 2019 Pipeline Data Lagasco'!$E53,'Dec 31 2018 OFFS'!$AK:$AK,'T1 2019 Pipeline Data Lagasco'!$Q53,'Dec 31 2018 OFFS'!$W:$W,'T1 2019 Pipeline Data Lagasco'!$G53),1))</f>
        <v>0</v>
      </c>
      <c r="S53" s="275">
        <f t="shared" si="1"/>
        <v>0</v>
      </c>
    </row>
    <row r="54" spans="1:19" s="217" customFormat="1" ht="14.1" customHeight="1">
      <c r="A54" s="224" t="s">
        <v>1491</v>
      </c>
      <c r="B54" s="218" t="s">
        <v>1492</v>
      </c>
      <c r="C54" s="223">
        <v>1</v>
      </c>
      <c r="D54" s="218" t="s">
        <v>1488</v>
      </c>
      <c r="E54" s="240">
        <v>3</v>
      </c>
      <c r="F54" s="230">
        <v>3104.66</v>
      </c>
      <c r="G54" s="223">
        <v>1986</v>
      </c>
      <c r="H54" s="223">
        <v>1</v>
      </c>
      <c r="I54" s="223">
        <v>0</v>
      </c>
      <c r="J54" s="223"/>
      <c r="K54" s="228">
        <v>73238.929399999994</v>
      </c>
      <c r="L54" s="241">
        <v>79</v>
      </c>
      <c r="M54" s="229">
        <v>15380.17517</v>
      </c>
      <c r="N54" s="230">
        <v>23.59</v>
      </c>
      <c r="O54" s="231">
        <v>0</v>
      </c>
      <c r="P54" s="314"/>
      <c r="Q54" s="276">
        <f t="shared" si="0"/>
        <v>3104.66</v>
      </c>
      <c r="R54" s="275">
        <f>(SUMIFS('Dec 31 2018 OFFS'!$AG:$AG,'Dec 31 2018 OFFS'!$AI:$AI,'T1 2019 Pipeline Data Lagasco'!$A54,'Dec 31 2018 OFFS'!$U:$U,'T1 2019 Pipeline Data Lagasco'!$E54,'Dec 31 2018 OFFS'!$AK:$AK,'T1 2019 Pipeline Data Lagasco'!$Q54,'Dec 31 2018 OFFS'!$W:$W,'T1 2019 Pipeline Data Lagasco'!$G54))/(MAX(COUNTIFS('Dec 31 2018 OFFS'!$AI:$AI,'T1 2019 Pipeline Data Lagasco'!$A54,'Dec 31 2018 OFFS'!$U:$U,'T1 2019 Pipeline Data Lagasco'!$E54,'Dec 31 2018 OFFS'!$AK:$AK,'T1 2019 Pipeline Data Lagasco'!$Q54,'Dec 31 2018 OFFS'!$W:$W,'T1 2019 Pipeline Data Lagasco'!$G54),1))</f>
        <v>0</v>
      </c>
      <c r="S54" s="275">
        <f t="shared" si="1"/>
        <v>0</v>
      </c>
    </row>
    <row r="55" spans="1:19" s="217" customFormat="1" ht="14.1" customHeight="1">
      <c r="A55" s="224" t="s">
        <v>1491</v>
      </c>
      <c r="B55" s="218" t="s">
        <v>1492</v>
      </c>
      <c r="C55" s="223">
        <v>1</v>
      </c>
      <c r="D55" s="218" t="s">
        <v>1488</v>
      </c>
      <c r="E55" s="240">
        <v>3</v>
      </c>
      <c r="F55" s="236">
        <v>9623.3921100000007</v>
      </c>
      <c r="G55" s="223">
        <v>1986</v>
      </c>
      <c r="H55" s="223">
        <v>1</v>
      </c>
      <c r="I55" s="223">
        <v>1</v>
      </c>
      <c r="J55" s="223"/>
      <c r="K55" s="228">
        <v>227015.8199</v>
      </c>
      <c r="L55" s="241">
        <v>79</v>
      </c>
      <c r="M55" s="229">
        <v>47673.322169999999</v>
      </c>
      <c r="N55" s="230">
        <v>23.59</v>
      </c>
      <c r="O55" s="231">
        <v>47673</v>
      </c>
      <c r="P55" s="314"/>
      <c r="Q55" s="276">
        <f t="shared" si="0"/>
        <v>9623.39</v>
      </c>
      <c r="R55" s="275">
        <f>(SUMIFS('Dec 31 2018 OFFS'!$AG:$AG,'Dec 31 2018 OFFS'!$AI:$AI,'T1 2019 Pipeline Data Lagasco'!$A55,'Dec 31 2018 OFFS'!$U:$U,'T1 2019 Pipeline Data Lagasco'!$E55,'Dec 31 2018 OFFS'!$AK:$AK,'T1 2019 Pipeline Data Lagasco'!$Q55,'Dec 31 2018 OFFS'!$W:$W,'T1 2019 Pipeline Data Lagasco'!$G55))/(MAX(COUNTIFS('Dec 31 2018 OFFS'!$AI:$AI,'T1 2019 Pipeline Data Lagasco'!$A55,'Dec 31 2018 OFFS'!$U:$U,'T1 2019 Pipeline Data Lagasco'!$E55,'Dec 31 2018 OFFS'!$AK:$AK,'T1 2019 Pipeline Data Lagasco'!$Q55,'Dec 31 2018 OFFS'!$W:$W,'T1 2019 Pipeline Data Lagasco'!$G55),1))</f>
        <v>47673</v>
      </c>
      <c r="S55" s="275">
        <f t="shared" si="1"/>
        <v>0</v>
      </c>
    </row>
    <row r="56" spans="1:19" s="217" customFormat="1" ht="14.1" customHeight="1">
      <c r="A56" s="224" t="s">
        <v>1491</v>
      </c>
      <c r="B56" s="218" t="s">
        <v>1492</v>
      </c>
      <c r="C56" s="223">
        <v>1</v>
      </c>
      <c r="D56" s="218" t="s">
        <v>1488</v>
      </c>
      <c r="E56" s="240">
        <v>3</v>
      </c>
      <c r="F56" s="236">
        <v>10869.45507</v>
      </c>
      <c r="G56" s="223">
        <v>1977</v>
      </c>
      <c r="H56" s="223">
        <v>1</v>
      </c>
      <c r="I56" s="223">
        <v>0</v>
      </c>
      <c r="J56" s="223"/>
      <c r="K56" s="239">
        <v>256410.44500000001</v>
      </c>
      <c r="L56" s="241">
        <v>80</v>
      </c>
      <c r="M56" s="239">
        <v>51282.089</v>
      </c>
      <c r="N56" s="230">
        <v>23.59</v>
      </c>
      <c r="O56" s="231">
        <v>0</v>
      </c>
      <c r="P56" s="314"/>
      <c r="Q56" s="276">
        <f t="shared" si="0"/>
        <v>10869.46</v>
      </c>
      <c r="R56" s="275">
        <f>(SUMIFS('Dec 31 2018 OFFS'!$AG:$AG,'Dec 31 2018 OFFS'!$AI:$AI,'T1 2019 Pipeline Data Lagasco'!$A56,'Dec 31 2018 OFFS'!$U:$U,'T1 2019 Pipeline Data Lagasco'!$E56,'Dec 31 2018 OFFS'!$AK:$AK,'T1 2019 Pipeline Data Lagasco'!$Q56,'Dec 31 2018 OFFS'!$W:$W,'T1 2019 Pipeline Data Lagasco'!$G56))/(MAX(COUNTIFS('Dec 31 2018 OFFS'!$AI:$AI,'T1 2019 Pipeline Data Lagasco'!$A56,'Dec 31 2018 OFFS'!$U:$U,'T1 2019 Pipeline Data Lagasco'!$E56,'Dec 31 2018 OFFS'!$AK:$AK,'T1 2019 Pipeline Data Lagasco'!$Q56,'Dec 31 2018 OFFS'!$W:$W,'T1 2019 Pipeline Data Lagasco'!$G56),1))</f>
        <v>0</v>
      </c>
      <c r="S56" s="275">
        <f t="shared" si="1"/>
        <v>0</v>
      </c>
    </row>
    <row r="57" spans="1:19" s="217" customFormat="1" ht="14.1" customHeight="1">
      <c r="A57" s="224" t="s">
        <v>1491</v>
      </c>
      <c r="B57" s="218" t="s">
        <v>1492</v>
      </c>
      <c r="C57" s="223">
        <v>1</v>
      </c>
      <c r="D57" s="218" t="s">
        <v>1488</v>
      </c>
      <c r="E57" s="240">
        <v>3</v>
      </c>
      <c r="F57" s="223">
        <v>2333</v>
      </c>
      <c r="G57" s="223">
        <v>2004</v>
      </c>
      <c r="H57" s="223">
        <v>1</v>
      </c>
      <c r="I57" s="223">
        <v>1</v>
      </c>
      <c r="J57" s="223"/>
      <c r="K57" s="238">
        <v>55035.47</v>
      </c>
      <c r="L57" s="241">
        <v>56</v>
      </c>
      <c r="M57" s="228">
        <v>24215.606800000001</v>
      </c>
      <c r="N57" s="230">
        <v>23.59</v>
      </c>
      <c r="O57" s="231">
        <v>24215</v>
      </c>
      <c r="P57" s="314"/>
      <c r="Q57" s="276">
        <f t="shared" si="0"/>
        <v>2333</v>
      </c>
      <c r="R57" s="275">
        <f>(SUMIFS('Dec 31 2018 OFFS'!$AG:$AG,'Dec 31 2018 OFFS'!$AI:$AI,'T1 2019 Pipeline Data Lagasco'!$A57,'Dec 31 2018 OFFS'!$U:$U,'T1 2019 Pipeline Data Lagasco'!$E57,'Dec 31 2018 OFFS'!$AK:$AK,'T1 2019 Pipeline Data Lagasco'!$Q57,'Dec 31 2018 OFFS'!$W:$W,'T1 2019 Pipeline Data Lagasco'!$G57))/(MAX(COUNTIFS('Dec 31 2018 OFFS'!$AI:$AI,'T1 2019 Pipeline Data Lagasco'!$A57,'Dec 31 2018 OFFS'!$U:$U,'T1 2019 Pipeline Data Lagasco'!$E57,'Dec 31 2018 OFFS'!$AK:$AK,'T1 2019 Pipeline Data Lagasco'!$Q57,'Dec 31 2018 OFFS'!$W:$W,'T1 2019 Pipeline Data Lagasco'!$G57),1))</f>
        <v>24215</v>
      </c>
      <c r="S57" s="275">
        <f t="shared" si="1"/>
        <v>0</v>
      </c>
    </row>
    <row r="58" spans="1:19" s="217" customFormat="1" ht="14.1" customHeight="1">
      <c r="A58" s="224" t="s">
        <v>1491</v>
      </c>
      <c r="B58" s="218" t="s">
        <v>1492</v>
      </c>
      <c r="C58" s="223">
        <v>1</v>
      </c>
      <c r="D58" s="218" t="s">
        <v>1488</v>
      </c>
      <c r="E58" s="240">
        <v>3</v>
      </c>
      <c r="F58" s="223">
        <v>4446</v>
      </c>
      <c r="G58" s="223">
        <v>2004</v>
      </c>
      <c r="H58" s="223">
        <v>1</v>
      </c>
      <c r="I58" s="223">
        <v>1</v>
      </c>
      <c r="J58" s="223"/>
      <c r="K58" s="238">
        <v>104881.14</v>
      </c>
      <c r="L58" s="241">
        <v>56</v>
      </c>
      <c r="M58" s="228">
        <v>46147.7016</v>
      </c>
      <c r="N58" s="230">
        <v>23.59</v>
      </c>
      <c r="O58" s="231">
        <v>46147</v>
      </c>
      <c r="P58" s="314"/>
      <c r="Q58" s="276">
        <f t="shared" si="0"/>
        <v>4446</v>
      </c>
      <c r="R58" s="275">
        <f>(SUMIFS('Dec 31 2018 OFFS'!$AG:$AG,'Dec 31 2018 OFFS'!$AI:$AI,'T1 2019 Pipeline Data Lagasco'!$A58,'Dec 31 2018 OFFS'!$U:$U,'T1 2019 Pipeline Data Lagasco'!$E58,'Dec 31 2018 OFFS'!$AK:$AK,'T1 2019 Pipeline Data Lagasco'!$Q58,'Dec 31 2018 OFFS'!$W:$W,'T1 2019 Pipeline Data Lagasco'!$G58))/(MAX(COUNTIFS('Dec 31 2018 OFFS'!$AI:$AI,'T1 2019 Pipeline Data Lagasco'!$A58,'Dec 31 2018 OFFS'!$U:$U,'T1 2019 Pipeline Data Lagasco'!$E58,'Dec 31 2018 OFFS'!$AK:$AK,'T1 2019 Pipeline Data Lagasco'!$Q58,'Dec 31 2018 OFFS'!$W:$W,'T1 2019 Pipeline Data Lagasco'!$G58),1))</f>
        <v>46147</v>
      </c>
      <c r="S58" s="275">
        <f t="shared" si="1"/>
        <v>0</v>
      </c>
    </row>
    <row r="59" spans="1:19" s="217" customFormat="1" ht="14.1" customHeight="1">
      <c r="A59" s="224" t="s">
        <v>1491</v>
      </c>
      <c r="B59" s="218" t="s">
        <v>1492</v>
      </c>
      <c r="C59" s="223">
        <v>1</v>
      </c>
      <c r="D59" s="218" t="s">
        <v>1488</v>
      </c>
      <c r="E59" s="240">
        <v>3</v>
      </c>
      <c r="F59" s="223">
        <v>5856</v>
      </c>
      <c r="G59" s="223">
        <v>2010</v>
      </c>
      <c r="H59" s="223">
        <v>1</v>
      </c>
      <c r="I59" s="223">
        <v>1</v>
      </c>
      <c r="J59" s="223"/>
      <c r="K59" s="238">
        <v>138143.04000000001</v>
      </c>
      <c r="L59" s="241">
        <v>39</v>
      </c>
      <c r="M59" s="228">
        <v>84267.254400000005</v>
      </c>
      <c r="N59" s="230">
        <v>23.59</v>
      </c>
      <c r="O59" s="231">
        <v>84267</v>
      </c>
      <c r="P59" s="314"/>
      <c r="Q59" s="276">
        <f t="shared" si="0"/>
        <v>5856</v>
      </c>
      <c r="R59" s="275">
        <f>(SUMIFS('Dec 31 2018 OFFS'!$AG:$AG,'Dec 31 2018 OFFS'!$AI:$AI,'T1 2019 Pipeline Data Lagasco'!$A59,'Dec 31 2018 OFFS'!$U:$U,'T1 2019 Pipeline Data Lagasco'!$E59,'Dec 31 2018 OFFS'!$AK:$AK,'T1 2019 Pipeline Data Lagasco'!$Q59,'Dec 31 2018 OFFS'!$W:$W,'T1 2019 Pipeline Data Lagasco'!$G59))/(MAX(COUNTIFS('Dec 31 2018 OFFS'!$AI:$AI,'T1 2019 Pipeline Data Lagasco'!$A59,'Dec 31 2018 OFFS'!$U:$U,'T1 2019 Pipeline Data Lagasco'!$E59,'Dec 31 2018 OFFS'!$AK:$AK,'T1 2019 Pipeline Data Lagasco'!$Q59,'Dec 31 2018 OFFS'!$W:$W,'T1 2019 Pipeline Data Lagasco'!$G59),1))</f>
        <v>84267</v>
      </c>
      <c r="S59" s="275">
        <f t="shared" si="1"/>
        <v>0</v>
      </c>
    </row>
    <row r="60" spans="1:19" s="217" customFormat="1" ht="14.1" customHeight="1">
      <c r="A60" s="224" t="s">
        <v>1491</v>
      </c>
      <c r="B60" s="218" t="s">
        <v>1492</v>
      </c>
      <c r="C60" s="223">
        <v>1</v>
      </c>
      <c r="D60" s="218" t="s">
        <v>1488</v>
      </c>
      <c r="E60" s="240">
        <v>3</v>
      </c>
      <c r="F60" s="223">
        <v>3726</v>
      </c>
      <c r="G60" s="223">
        <v>1994</v>
      </c>
      <c r="H60" s="223">
        <v>1</v>
      </c>
      <c r="I60" s="223">
        <v>1</v>
      </c>
      <c r="J60" s="223"/>
      <c r="K60" s="238">
        <v>87896.34</v>
      </c>
      <c r="L60" s="241">
        <v>68</v>
      </c>
      <c r="M60" s="228">
        <v>28126.828799999999</v>
      </c>
      <c r="N60" s="230">
        <v>23.59</v>
      </c>
      <c r="O60" s="231">
        <v>28126</v>
      </c>
      <c r="P60" s="314"/>
      <c r="Q60" s="276">
        <f t="shared" si="0"/>
        <v>3726</v>
      </c>
      <c r="R60" s="275">
        <f>(SUMIFS('Dec 31 2018 OFFS'!$AG:$AG,'Dec 31 2018 OFFS'!$AI:$AI,'T1 2019 Pipeline Data Lagasco'!$A60,'Dec 31 2018 OFFS'!$U:$U,'T1 2019 Pipeline Data Lagasco'!$E60,'Dec 31 2018 OFFS'!$AK:$AK,'T1 2019 Pipeline Data Lagasco'!$Q60,'Dec 31 2018 OFFS'!$W:$W,'T1 2019 Pipeline Data Lagasco'!$G60))/(MAX(COUNTIFS('Dec 31 2018 OFFS'!$AI:$AI,'T1 2019 Pipeline Data Lagasco'!$A60,'Dec 31 2018 OFFS'!$U:$U,'T1 2019 Pipeline Data Lagasco'!$E60,'Dec 31 2018 OFFS'!$AK:$AK,'T1 2019 Pipeline Data Lagasco'!$Q60,'Dec 31 2018 OFFS'!$W:$W,'T1 2019 Pipeline Data Lagasco'!$G60),1))</f>
        <v>28126</v>
      </c>
      <c r="S60" s="275">
        <f t="shared" si="1"/>
        <v>0</v>
      </c>
    </row>
    <row r="61" spans="1:19" s="217" customFormat="1" ht="14.1" customHeight="1">
      <c r="A61" s="224" t="s">
        <v>1491</v>
      </c>
      <c r="B61" s="218" t="s">
        <v>1492</v>
      </c>
      <c r="C61" s="223">
        <v>1</v>
      </c>
      <c r="D61" s="218" t="s">
        <v>1488</v>
      </c>
      <c r="E61" s="240">
        <v>3</v>
      </c>
      <c r="F61" s="223">
        <v>8766</v>
      </c>
      <c r="G61" s="223">
        <v>2006</v>
      </c>
      <c r="H61" s="223">
        <v>1</v>
      </c>
      <c r="I61" s="223">
        <v>1</v>
      </c>
      <c r="J61" s="223"/>
      <c r="K61" s="238">
        <v>206789.94</v>
      </c>
      <c r="L61" s="241">
        <v>52</v>
      </c>
      <c r="M61" s="228">
        <v>99259.171199999997</v>
      </c>
      <c r="N61" s="230">
        <v>23.59</v>
      </c>
      <c r="O61" s="231">
        <v>99259</v>
      </c>
      <c r="P61" s="314"/>
      <c r="Q61" s="276">
        <f t="shared" si="0"/>
        <v>8766</v>
      </c>
      <c r="R61" s="275">
        <f>(SUMIFS('Dec 31 2018 OFFS'!$AG:$AG,'Dec 31 2018 OFFS'!$AI:$AI,'T1 2019 Pipeline Data Lagasco'!$A61,'Dec 31 2018 OFFS'!$U:$U,'T1 2019 Pipeline Data Lagasco'!$E61,'Dec 31 2018 OFFS'!$AK:$AK,'T1 2019 Pipeline Data Lagasco'!$Q61,'Dec 31 2018 OFFS'!$W:$W,'T1 2019 Pipeline Data Lagasco'!$G61))/(MAX(COUNTIFS('Dec 31 2018 OFFS'!$AI:$AI,'T1 2019 Pipeline Data Lagasco'!$A61,'Dec 31 2018 OFFS'!$U:$U,'T1 2019 Pipeline Data Lagasco'!$E61,'Dec 31 2018 OFFS'!$AK:$AK,'T1 2019 Pipeline Data Lagasco'!$Q61,'Dec 31 2018 OFFS'!$W:$W,'T1 2019 Pipeline Data Lagasco'!$G61),1))</f>
        <v>99259</v>
      </c>
      <c r="S61" s="275">
        <f t="shared" si="1"/>
        <v>0</v>
      </c>
    </row>
    <row r="62" spans="1:19" s="217" customFormat="1" ht="14.1" customHeight="1">
      <c r="A62" s="224" t="s">
        <v>1491</v>
      </c>
      <c r="B62" s="218" t="s">
        <v>1492</v>
      </c>
      <c r="C62" s="223">
        <v>1</v>
      </c>
      <c r="D62" s="218" t="s">
        <v>1488</v>
      </c>
      <c r="E62" s="240">
        <v>3</v>
      </c>
      <c r="F62" s="226">
        <v>6783.9236879999999</v>
      </c>
      <c r="G62" s="223">
        <v>1986</v>
      </c>
      <c r="H62" s="223">
        <v>1</v>
      </c>
      <c r="I62" s="223">
        <v>0</v>
      </c>
      <c r="J62" s="223"/>
      <c r="K62" s="228">
        <v>160032.7598</v>
      </c>
      <c r="L62" s="241">
        <v>79</v>
      </c>
      <c r="M62" s="229">
        <v>33606.879560000001</v>
      </c>
      <c r="N62" s="230">
        <v>23.59</v>
      </c>
      <c r="O62" s="231">
        <v>0</v>
      </c>
      <c r="P62" s="314"/>
      <c r="Q62" s="276">
        <f t="shared" si="0"/>
        <v>6783.92</v>
      </c>
      <c r="R62" s="275">
        <f>(SUMIFS('Dec 31 2018 OFFS'!$AG:$AG,'Dec 31 2018 OFFS'!$AI:$AI,'T1 2019 Pipeline Data Lagasco'!$A62,'Dec 31 2018 OFFS'!$U:$U,'T1 2019 Pipeline Data Lagasco'!$E62,'Dec 31 2018 OFFS'!$AK:$AK,'T1 2019 Pipeline Data Lagasco'!$Q62,'Dec 31 2018 OFFS'!$W:$W,'T1 2019 Pipeline Data Lagasco'!$G62))/(MAX(COUNTIFS('Dec 31 2018 OFFS'!$AI:$AI,'T1 2019 Pipeline Data Lagasco'!$A62,'Dec 31 2018 OFFS'!$U:$U,'T1 2019 Pipeline Data Lagasco'!$E62,'Dec 31 2018 OFFS'!$AK:$AK,'T1 2019 Pipeline Data Lagasco'!$Q62,'Dec 31 2018 OFFS'!$W:$W,'T1 2019 Pipeline Data Lagasco'!$G62),1))</f>
        <v>0</v>
      </c>
      <c r="S62" s="275">
        <f t="shared" si="1"/>
        <v>0</v>
      </c>
    </row>
    <row r="63" spans="1:19" s="217" customFormat="1" ht="14.1" customHeight="1">
      <c r="A63" s="224" t="s">
        <v>1491</v>
      </c>
      <c r="B63" s="218" t="s">
        <v>1492</v>
      </c>
      <c r="C63" s="223">
        <v>1</v>
      </c>
      <c r="D63" s="218" t="s">
        <v>1488</v>
      </c>
      <c r="E63" s="240">
        <v>3</v>
      </c>
      <c r="F63" s="226">
        <v>5775.8528509999996</v>
      </c>
      <c r="G63" s="223">
        <v>1986</v>
      </c>
      <c r="H63" s="223">
        <v>1</v>
      </c>
      <c r="I63" s="223">
        <v>0</v>
      </c>
      <c r="J63" s="223"/>
      <c r="K63" s="228">
        <v>136252.3688</v>
      </c>
      <c r="L63" s="241">
        <v>79</v>
      </c>
      <c r="M63" s="229">
        <v>28612.997439999999</v>
      </c>
      <c r="N63" s="230">
        <v>23.59</v>
      </c>
      <c r="O63" s="231">
        <v>0</v>
      </c>
      <c r="P63" s="314"/>
      <c r="Q63" s="276">
        <f t="shared" si="0"/>
        <v>5775.85</v>
      </c>
      <c r="R63" s="275">
        <f>(SUMIFS('Dec 31 2018 OFFS'!$AG:$AG,'Dec 31 2018 OFFS'!$AI:$AI,'T1 2019 Pipeline Data Lagasco'!$A63,'Dec 31 2018 OFFS'!$U:$U,'T1 2019 Pipeline Data Lagasco'!$E63,'Dec 31 2018 OFFS'!$AK:$AK,'T1 2019 Pipeline Data Lagasco'!$Q63,'Dec 31 2018 OFFS'!$W:$W,'T1 2019 Pipeline Data Lagasco'!$G63))/(MAX(COUNTIFS('Dec 31 2018 OFFS'!$AI:$AI,'T1 2019 Pipeline Data Lagasco'!$A63,'Dec 31 2018 OFFS'!$U:$U,'T1 2019 Pipeline Data Lagasco'!$E63,'Dec 31 2018 OFFS'!$AK:$AK,'T1 2019 Pipeline Data Lagasco'!$Q63,'Dec 31 2018 OFFS'!$W:$W,'T1 2019 Pipeline Data Lagasco'!$G63),1))</f>
        <v>0</v>
      </c>
      <c r="S63" s="275">
        <f t="shared" si="1"/>
        <v>0</v>
      </c>
    </row>
    <row r="64" spans="1:19" s="217" customFormat="1" ht="14.1" customHeight="1">
      <c r="A64" s="224" t="s">
        <v>1491</v>
      </c>
      <c r="B64" s="218" t="s">
        <v>1492</v>
      </c>
      <c r="C64" s="223">
        <v>1</v>
      </c>
      <c r="D64" s="218" t="s">
        <v>1488</v>
      </c>
      <c r="E64" s="240">
        <v>3</v>
      </c>
      <c r="F64" s="226">
        <v>2678.1823370000002</v>
      </c>
      <c r="G64" s="223">
        <v>1986</v>
      </c>
      <c r="H64" s="223">
        <v>1</v>
      </c>
      <c r="I64" s="223">
        <v>1</v>
      </c>
      <c r="J64" s="223"/>
      <c r="K64" s="229">
        <v>63178.321329999999</v>
      </c>
      <c r="L64" s="241">
        <v>79</v>
      </c>
      <c r="M64" s="229">
        <v>13267.447480000001</v>
      </c>
      <c r="N64" s="230">
        <v>23.59</v>
      </c>
      <c r="O64" s="231">
        <v>13267</v>
      </c>
      <c r="P64" s="314"/>
      <c r="Q64" s="276">
        <f t="shared" si="0"/>
        <v>2678.18</v>
      </c>
      <c r="R64" s="275">
        <f>(SUMIFS('Dec 31 2018 OFFS'!$AG:$AG,'Dec 31 2018 OFFS'!$AI:$AI,'T1 2019 Pipeline Data Lagasco'!$A64,'Dec 31 2018 OFFS'!$U:$U,'T1 2019 Pipeline Data Lagasco'!$E64,'Dec 31 2018 OFFS'!$AK:$AK,'T1 2019 Pipeline Data Lagasco'!$Q64,'Dec 31 2018 OFFS'!$W:$W,'T1 2019 Pipeline Data Lagasco'!$G64))/(MAX(COUNTIFS('Dec 31 2018 OFFS'!$AI:$AI,'T1 2019 Pipeline Data Lagasco'!$A64,'Dec 31 2018 OFFS'!$U:$U,'T1 2019 Pipeline Data Lagasco'!$E64,'Dec 31 2018 OFFS'!$AK:$AK,'T1 2019 Pipeline Data Lagasco'!$Q64,'Dec 31 2018 OFFS'!$W:$W,'T1 2019 Pipeline Data Lagasco'!$G64),1))</f>
        <v>13267</v>
      </c>
      <c r="S64" s="275">
        <f t="shared" si="1"/>
        <v>0</v>
      </c>
    </row>
    <row r="65" spans="1:19" s="217" customFormat="1" ht="14.1" customHeight="1">
      <c r="A65" s="224" t="s">
        <v>1491</v>
      </c>
      <c r="B65" s="218" t="s">
        <v>1492</v>
      </c>
      <c r="C65" s="223">
        <v>1</v>
      </c>
      <c r="D65" s="218" t="s">
        <v>1488</v>
      </c>
      <c r="E65" s="240">
        <v>3</v>
      </c>
      <c r="F65" s="226">
        <v>6524.8029610000003</v>
      </c>
      <c r="G65" s="223">
        <v>1977</v>
      </c>
      <c r="H65" s="223">
        <v>1</v>
      </c>
      <c r="I65" s="223">
        <v>1</v>
      </c>
      <c r="J65" s="223"/>
      <c r="K65" s="228">
        <v>153920.1018</v>
      </c>
      <c r="L65" s="241">
        <v>80</v>
      </c>
      <c r="M65" s="229">
        <v>30784.020369999998</v>
      </c>
      <c r="N65" s="230">
        <v>23.59</v>
      </c>
      <c r="O65" s="231">
        <v>30784</v>
      </c>
      <c r="P65" s="314"/>
      <c r="Q65" s="276">
        <f t="shared" si="0"/>
        <v>6524.80</v>
      </c>
      <c r="R65" s="275">
        <f>(SUMIFS('Dec 31 2018 OFFS'!$AG:$AG,'Dec 31 2018 OFFS'!$AI:$AI,'T1 2019 Pipeline Data Lagasco'!$A65,'Dec 31 2018 OFFS'!$U:$U,'T1 2019 Pipeline Data Lagasco'!$E65,'Dec 31 2018 OFFS'!$AK:$AK,'T1 2019 Pipeline Data Lagasco'!$Q65,'Dec 31 2018 OFFS'!$W:$W,'T1 2019 Pipeline Data Lagasco'!$G65))/(MAX(COUNTIFS('Dec 31 2018 OFFS'!$AI:$AI,'T1 2019 Pipeline Data Lagasco'!$A65,'Dec 31 2018 OFFS'!$U:$U,'T1 2019 Pipeline Data Lagasco'!$E65,'Dec 31 2018 OFFS'!$AK:$AK,'T1 2019 Pipeline Data Lagasco'!$Q65,'Dec 31 2018 OFFS'!$W:$W,'T1 2019 Pipeline Data Lagasco'!$G65),1))</f>
        <v>30784</v>
      </c>
      <c r="S65" s="275">
        <f t="shared" si="1"/>
        <v>0</v>
      </c>
    </row>
    <row r="66" spans="1:19" s="217" customFormat="1" ht="14.1" customHeight="1">
      <c r="A66" s="224" t="s">
        <v>1491</v>
      </c>
      <c r="B66" s="218" t="s">
        <v>1492</v>
      </c>
      <c r="C66" s="223">
        <v>1</v>
      </c>
      <c r="D66" s="218" t="s">
        <v>1488</v>
      </c>
      <c r="E66" s="240">
        <v>3</v>
      </c>
      <c r="F66" s="223">
        <v>298</v>
      </c>
      <c r="G66" s="223">
        <v>2009</v>
      </c>
      <c r="H66" s="223">
        <v>1</v>
      </c>
      <c r="I66" s="223">
        <v>1</v>
      </c>
      <c r="J66" s="223"/>
      <c r="K66" s="238">
        <v>7029.82</v>
      </c>
      <c r="L66" s="241">
        <v>44</v>
      </c>
      <c r="M66" s="228">
        <v>3936.6992</v>
      </c>
      <c r="N66" s="230">
        <v>23.59</v>
      </c>
      <c r="O66" s="231">
        <v>3936</v>
      </c>
      <c r="P66" s="314"/>
      <c r="Q66" s="276">
        <f t="shared" si="0"/>
        <v>298</v>
      </c>
      <c r="R66" s="275">
        <f>(SUMIFS('Dec 31 2018 OFFS'!$AG:$AG,'Dec 31 2018 OFFS'!$AI:$AI,'T1 2019 Pipeline Data Lagasco'!$A66,'Dec 31 2018 OFFS'!$U:$U,'T1 2019 Pipeline Data Lagasco'!$E66,'Dec 31 2018 OFFS'!$AK:$AK,'T1 2019 Pipeline Data Lagasco'!$Q66,'Dec 31 2018 OFFS'!$W:$W,'T1 2019 Pipeline Data Lagasco'!$G66))/(MAX(COUNTIFS('Dec 31 2018 OFFS'!$AI:$AI,'T1 2019 Pipeline Data Lagasco'!$A66,'Dec 31 2018 OFFS'!$U:$U,'T1 2019 Pipeline Data Lagasco'!$E66,'Dec 31 2018 OFFS'!$AK:$AK,'T1 2019 Pipeline Data Lagasco'!$Q66,'Dec 31 2018 OFFS'!$W:$W,'T1 2019 Pipeline Data Lagasco'!$G66),1))</f>
        <v>3936</v>
      </c>
      <c r="S66" s="275">
        <f t="shared" si="1"/>
        <v>0</v>
      </c>
    </row>
    <row r="67" spans="1:19" s="217" customFormat="1" ht="14.1" customHeight="1">
      <c r="A67" s="224" t="s">
        <v>1491</v>
      </c>
      <c r="B67" s="218" t="s">
        <v>1492</v>
      </c>
      <c r="C67" s="223">
        <v>1</v>
      </c>
      <c r="D67" s="218" t="s">
        <v>1488</v>
      </c>
      <c r="E67" s="240">
        <v>3</v>
      </c>
      <c r="F67" s="232">
        <v>128.24802779999999</v>
      </c>
      <c r="G67" s="223">
        <v>1977</v>
      </c>
      <c r="H67" s="223">
        <v>1</v>
      </c>
      <c r="I67" s="223">
        <v>0</v>
      </c>
      <c r="J67" s="223"/>
      <c r="K67" s="233">
        <v>3025.3709749999998</v>
      </c>
      <c r="L67" s="241">
        <v>80</v>
      </c>
      <c r="M67" s="234">
        <v>605.0741951</v>
      </c>
      <c r="N67" s="230">
        <v>23.59</v>
      </c>
      <c r="O67" s="231">
        <v>0</v>
      </c>
      <c r="P67" s="314"/>
      <c r="Q67" s="276">
        <f t="shared" si="0"/>
        <v>128.25</v>
      </c>
      <c r="R67" s="275">
        <f>(SUMIFS('Dec 31 2018 OFFS'!$AG:$AG,'Dec 31 2018 OFFS'!$AI:$AI,'T1 2019 Pipeline Data Lagasco'!$A67,'Dec 31 2018 OFFS'!$U:$U,'T1 2019 Pipeline Data Lagasco'!$E67,'Dec 31 2018 OFFS'!$AK:$AK,'T1 2019 Pipeline Data Lagasco'!$Q67,'Dec 31 2018 OFFS'!$W:$W,'T1 2019 Pipeline Data Lagasco'!$G67))/(MAX(COUNTIFS('Dec 31 2018 OFFS'!$AI:$AI,'T1 2019 Pipeline Data Lagasco'!$A67,'Dec 31 2018 OFFS'!$U:$U,'T1 2019 Pipeline Data Lagasco'!$E67,'Dec 31 2018 OFFS'!$AK:$AK,'T1 2019 Pipeline Data Lagasco'!$Q67,'Dec 31 2018 OFFS'!$W:$W,'T1 2019 Pipeline Data Lagasco'!$G67),1))</f>
        <v>0</v>
      </c>
      <c r="S67" s="275">
        <f t="shared" si="1"/>
        <v>0</v>
      </c>
    </row>
    <row r="68" spans="1:19" s="217" customFormat="1" ht="14.1" customHeight="1">
      <c r="A68" s="224" t="s">
        <v>1491</v>
      </c>
      <c r="B68" s="218" t="s">
        <v>1492</v>
      </c>
      <c r="C68" s="223">
        <v>1</v>
      </c>
      <c r="D68" s="218" t="s">
        <v>1488</v>
      </c>
      <c r="E68" s="240">
        <v>3</v>
      </c>
      <c r="F68" s="236">
        <v>6327.5916800000005</v>
      </c>
      <c r="G68" s="223">
        <v>1984</v>
      </c>
      <c r="H68" s="223">
        <v>1</v>
      </c>
      <c r="I68" s="223">
        <v>1</v>
      </c>
      <c r="J68" s="223"/>
      <c r="K68" s="228">
        <v>149267.88769999999</v>
      </c>
      <c r="L68" s="241">
        <v>80</v>
      </c>
      <c r="M68" s="229">
        <v>29853.577550000002</v>
      </c>
      <c r="N68" s="230">
        <v>23.59</v>
      </c>
      <c r="O68" s="231">
        <v>29853</v>
      </c>
      <c r="P68" s="314"/>
      <c r="Q68" s="276">
        <f t="shared" si="2" ref="Q68:Q131">ROUND(F68,2)</f>
        <v>6327.59</v>
      </c>
      <c r="R68" s="275">
        <f>(SUMIFS('Dec 31 2018 OFFS'!$AG:$AG,'Dec 31 2018 OFFS'!$AI:$AI,'T1 2019 Pipeline Data Lagasco'!$A68,'Dec 31 2018 OFFS'!$U:$U,'T1 2019 Pipeline Data Lagasco'!$E68,'Dec 31 2018 OFFS'!$AK:$AK,'T1 2019 Pipeline Data Lagasco'!$Q68,'Dec 31 2018 OFFS'!$W:$W,'T1 2019 Pipeline Data Lagasco'!$G68))/(MAX(COUNTIFS('Dec 31 2018 OFFS'!$AI:$AI,'T1 2019 Pipeline Data Lagasco'!$A68,'Dec 31 2018 OFFS'!$U:$U,'T1 2019 Pipeline Data Lagasco'!$E68,'Dec 31 2018 OFFS'!$AK:$AK,'T1 2019 Pipeline Data Lagasco'!$Q68,'Dec 31 2018 OFFS'!$W:$W,'T1 2019 Pipeline Data Lagasco'!$G68),1))</f>
        <v>29853</v>
      </c>
      <c r="S68" s="275">
        <f t="shared" si="3" ref="S68:S131">O68-R68</f>
        <v>0</v>
      </c>
    </row>
    <row r="69" spans="1:19" s="217" customFormat="1" ht="14.1" customHeight="1">
      <c r="A69" s="224" t="s">
        <v>1491</v>
      </c>
      <c r="B69" s="218" t="s">
        <v>1492</v>
      </c>
      <c r="C69" s="223">
        <v>1</v>
      </c>
      <c r="D69" s="218" t="s">
        <v>1488</v>
      </c>
      <c r="E69" s="240">
        <v>3</v>
      </c>
      <c r="F69" s="226">
        <v>2031.331962</v>
      </c>
      <c r="G69" s="223">
        <v>1984</v>
      </c>
      <c r="H69" s="223">
        <v>1</v>
      </c>
      <c r="I69" s="223">
        <v>1</v>
      </c>
      <c r="J69" s="223"/>
      <c r="K69" s="229">
        <v>47919.120990000003</v>
      </c>
      <c r="L69" s="241">
        <v>80</v>
      </c>
      <c r="M69" s="233">
        <v>9583.8241980000003</v>
      </c>
      <c r="N69" s="230">
        <v>23.59</v>
      </c>
      <c r="O69" s="231">
        <v>9583</v>
      </c>
      <c r="P69" s="314"/>
      <c r="Q69" s="276">
        <f t="shared" si="2"/>
        <v>2031.33</v>
      </c>
      <c r="R69" s="275">
        <f>(SUMIFS('Dec 31 2018 OFFS'!$AG:$AG,'Dec 31 2018 OFFS'!$AI:$AI,'T1 2019 Pipeline Data Lagasco'!$A69,'Dec 31 2018 OFFS'!$U:$U,'T1 2019 Pipeline Data Lagasco'!$E69,'Dec 31 2018 OFFS'!$AK:$AK,'T1 2019 Pipeline Data Lagasco'!$Q69,'Dec 31 2018 OFFS'!$W:$W,'T1 2019 Pipeline Data Lagasco'!$G69))/(MAX(COUNTIFS('Dec 31 2018 OFFS'!$AI:$AI,'T1 2019 Pipeline Data Lagasco'!$A69,'Dec 31 2018 OFFS'!$U:$U,'T1 2019 Pipeline Data Lagasco'!$E69,'Dec 31 2018 OFFS'!$AK:$AK,'T1 2019 Pipeline Data Lagasco'!$Q69,'Dec 31 2018 OFFS'!$W:$W,'T1 2019 Pipeline Data Lagasco'!$G69),1))</f>
        <v>9583</v>
      </c>
      <c r="S69" s="275">
        <f t="shared" si="3"/>
        <v>0</v>
      </c>
    </row>
    <row r="70" spans="1:19" s="217" customFormat="1" ht="14.1" customHeight="1">
      <c r="A70" s="224" t="s">
        <v>1491</v>
      </c>
      <c r="B70" s="218" t="s">
        <v>1492</v>
      </c>
      <c r="C70" s="223">
        <v>1</v>
      </c>
      <c r="D70" s="218" t="s">
        <v>1488</v>
      </c>
      <c r="E70" s="240">
        <v>3</v>
      </c>
      <c r="F70" s="226">
        <v>7736.5155240000004</v>
      </c>
      <c r="G70" s="223">
        <v>1977</v>
      </c>
      <c r="H70" s="223">
        <v>1</v>
      </c>
      <c r="I70" s="223">
        <v>1</v>
      </c>
      <c r="J70" s="223"/>
      <c r="K70" s="228">
        <v>182504.40119999999</v>
      </c>
      <c r="L70" s="241">
        <v>80</v>
      </c>
      <c r="M70" s="229">
        <v>36500.880239999999</v>
      </c>
      <c r="N70" s="230">
        <v>23.59</v>
      </c>
      <c r="O70" s="231">
        <v>36500</v>
      </c>
      <c r="P70" s="314"/>
      <c r="Q70" s="276">
        <f t="shared" si="2"/>
        <v>7736.52</v>
      </c>
      <c r="R70" s="275">
        <f>(SUMIFS('Dec 31 2018 OFFS'!$AG:$AG,'Dec 31 2018 OFFS'!$AI:$AI,'T1 2019 Pipeline Data Lagasco'!$A70,'Dec 31 2018 OFFS'!$U:$U,'T1 2019 Pipeline Data Lagasco'!$E70,'Dec 31 2018 OFFS'!$AK:$AK,'T1 2019 Pipeline Data Lagasco'!$Q70,'Dec 31 2018 OFFS'!$W:$W,'T1 2019 Pipeline Data Lagasco'!$G70))/(MAX(COUNTIFS('Dec 31 2018 OFFS'!$AI:$AI,'T1 2019 Pipeline Data Lagasco'!$A70,'Dec 31 2018 OFFS'!$U:$U,'T1 2019 Pipeline Data Lagasco'!$E70,'Dec 31 2018 OFFS'!$AK:$AK,'T1 2019 Pipeline Data Lagasco'!$Q70,'Dec 31 2018 OFFS'!$W:$W,'T1 2019 Pipeline Data Lagasco'!$G70),1))</f>
        <v>36500</v>
      </c>
      <c r="S70" s="275">
        <f t="shared" si="3"/>
        <v>0</v>
      </c>
    </row>
    <row r="71" spans="1:19" s="217" customFormat="1" ht="14.1" customHeight="1">
      <c r="A71" s="224" t="s">
        <v>1491</v>
      </c>
      <c r="B71" s="218" t="s">
        <v>1492</v>
      </c>
      <c r="C71" s="223">
        <v>1</v>
      </c>
      <c r="D71" s="218" t="s">
        <v>1488</v>
      </c>
      <c r="E71" s="240">
        <v>3</v>
      </c>
      <c r="F71" s="226">
        <v>7635.9249760000002</v>
      </c>
      <c r="G71" s="223">
        <v>1977</v>
      </c>
      <c r="H71" s="223">
        <v>1</v>
      </c>
      <c r="I71" s="223">
        <v>1</v>
      </c>
      <c r="J71" s="223"/>
      <c r="K71" s="228">
        <v>180131.47020000001</v>
      </c>
      <c r="L71" s="241">
        <v>80</v>
      </c>
      <c r="M71" s="229">
        <v>36026.294040000001</v>
      </c>
      <c r="N71" s="230">
        <v>23.59</v>
      </c>
      <c r="O71" s="231">
        <v>36026</v>
      </c>
      <c r="P71" s="314"/>
      <c r="Q71" s="276">
        <f t="shared" si="2"/>
        <v>7635.92</v>
      </c>
      <c r="R71" s="275">
        <f>(SUMIFS('Dec 31 2018 OFFS'!$AG:$AG,'Dec 31 2018 OFFS'!$AI:$AI,'T1 2019 Pipeline Data Lagasco'!$A71,'Dec 31 2018 OFFS'!$U:$U,'T1 2019 Pipeline Data Lagasco'!$E71,'Dec 31 2018 OFFS'!$AK:$AK,'T1 2019 Pipeline Data Lagasco'!$Q71,'Dec 31 2018 OFFS'!$W:$W,'T1 2019 Pipeline Data Lagasco'!$G71))/(MAX(COUNTIFS('Dec 31 2018 OFFS'!$AI:$AI,'T1 2019 Pipeline Data Lagasco'!$A71,'Dec 31 2018 OFFS'!$U:$U,'T1 2019 Pipeline Data Lagasco'!$E71,'Dec 31 2018 OFFS'!$AK:$AK,'T1 2019 Pipeline Data Lagasco'!$Q71,'Dec 31 2018 OFFS'!$W:$W,'T1 2019 Pipeline Data Lagasco'!$G71),1))</f>
        <v>36026</v>
      </c>
      <c r="S71" s="275">
        <f t="shared" si="3"/>
        <v>0</v>
      </c>
    </row>
    <row r="72" spans="1:19" s="217" customFormat="1" ht="14.1" customHeight="1">
      <c r="A72" s="224" t="s">
        <v>1491</v>
      </c>
      <c r="B72" s="218" t="s">
        <v>1492</v>
      </c>
      <c r="C72" s="223">
        <v>1</v>
      </c>
      <c r="D72" s="218" t="s">
        <v>1488</v>
      </c>
      <c r="E72" s="240">
        <v>3</v>
      </c>
      <c r="F72" s="226">
        <v>1507.972397</v>
      </c>
      <c r="G72" s="223">
        <v>1977</v>
      </c>
      <c r="H72" s="223">
        <v>1</v>
      </c>
      <c r="I72" s="223">
        <v>1</v>
      </c>
      <c r="J72" s="223"/>
      <c r="K72" s="229">
        <v>35573.068850000003</v>
      </c>
      <c r="L72" s="241">
        <v>80</v>
      </c>
      <c r="M72" s="229">
        <v>7114.6137699999999</v>
      </c>
      <c r="N72" s="230">
        <v>23.59</v>
      </c>
      <c r="O72" s="231">
        <v>7114</v>
      </c>
      <c r="P72" s="314"/>
      <c r="Q72" s="276">
        <f t="shared" si="2"/>
        <v>1507.97</v>
      </c>
      <c r="R72" s="275">
        <f>(SUMIFS('Dec 31 2018 OFFS'!$AG:$AG,'Dec 31 2018 OFFS'!$AI:$AI,'T1 2019 Pipeline Data Lagasco'!$A72,'Dec 31 2018 OFFS'!$U:$U,'T1 2019 Pipeline Data Lagasco'!$E72,'Dec 31 2018 OFFS'!$AK:$AK,'T1 2019 Pipeline Data Lagasco'!$Q72,'Dec 31 2018 OFFS'!$W:$W,'T1 2019 Pipeline Data Lagasco'!$G72))/(MAX(COUNTIFS('Dec 31 2018 OFFS'!$AI:$AI,'T1 2019 Pipeline Data Lagasco'!$A72,'Dec 31 2018 OFFS'!$U:$U,'T1 2019 Pipeline Data Lagasco'!$E72,'Dec 31 2018 OFFS'!$AK:$AK,'T1 2019 Pipeline Data Lagasco'!$Q72,'Dec 31 2018 OFFS'!$W:$W,'T1 2019 Pipeline Data Lagasco'!$G72),1))</f>
        <v>7114</v>
      </c>
      <c r="S72" s="275">
        <f t="shared" si="3"/>
        <v>0</v>
      </c>
    </row>
    <row r="73" spans="1:19" s="217" customFormat="1" ht="14.1" customHeight="1">
      <c r="A73" s="224" t="s">
        <v>1491</v>
      </c>
      <c r="B73" s="218" t="s">
        <v>1492</v>
      </c>
      <c r="C73" s="223">
        <v>1</v>
      </c>
      <c r="D73" s="218" t="s">
        <v>1488</v>
      </c>
      <c r="E73" s="240">
        <v>3</v>
      </c>
      <c r="F73" s="226">
        <v>4456.1022329999996</v>
      </c>
      <c r="G73" s="223">
        <v>1977</v>
      </c>
      <c r="H73" s="223">
        <v>1</v>
      </c>
      <c r="I73" s="223">
        <v>1</v>
      </c>
      <c r="J73" s="223"/>
      <c r="K73" s="228">
        <v>105119.45170000001</v>
      </c>
      <c r="L73" s="241">
        <v>80</v>
      </c>
      <c r="M73" s="229">
        <v>21023.890340000002</v>
      </c>
      <c r="N73" s="230">
        <v>23.59</v>
      </c>
      <c r="O73" s="231">
        <v>21023</v>
      </c>
      <c r="P73" s="314"/>
      <c r="Q73" s="276">
        <f t="shared" si="2"/>
        <v>4456.1000000000004</v>
      </c>
      <c r="R73" s="275">
        <f>(SUMIFS('Dec 31 2018 OFFS'!$AG:$AG,'Dec 31 2018 OFFS'!$AI:$AI,'T1 2019 Pipeline Data Lagasco'!$A73,'Dec 31 2018 OFFS'!$U:$U,'T1 2019 Pipeline Data Lagasco'!$E73,'Dec 31 2018 OFFS'!$AK:$AK,'T1 2019 Pipeline Data Lagasco'!$Q73,'Dec 31 2018 OFFS'!$W:$W,'T1 2019 Pipeline Data Lagasco'!$G73))/(MAX(COUNTIFS('Dec 31 2018 OFFS'!$AI:$AI,'T1 2019 Pipeline Data Lagasco'!$A73,'Dec 31 2018 OFFS'!$U:$U,'T1 2019 Pipeline Data Lagasco'!$E73,'Dec 31 2018 OFFS'!$AK:$AK,'T1 2019 Pipeline Data Lagasco'!$Q73,'Dec 31 2018 OFFS'!$W:$W,'T1 2019 Pipeline Data Lagasco'!$G73),1))</f>
        <v>21023</v>
      </c>
      <c r="S73" s="275">
        <f t="shared" si="3"/>
        <v>0</v>
      </c>
    </row>
    <row r="74" spans="1:19" s="217" customFormat="1" ht="14.1" customHeight="1">
      <c r="A74" s="224" t="s">
        <v>1491</v>
      </c>
      <c r="B74" s="218" t="s">
        <v>1492</v>
      </c>
      <c r="C74" s="223">
        <v>1</v>
      </c>
      <c r="D74" s="218" t="s">
        <v>1488</v>
      </c>
      <c r="E74" s="240">
        <v>3</v>
      </c>
      <c r="F74" s="226">
        <v>6439.402701</v>
      </c>
      <c r="G74" s="223">
        <v>1977</v>
      </c>
      <c r="H74" s="223">
        <v>1</v>
      </c>
      <c r="I74" s="223">
        <v>1</v>
      </c>
      <c r="J74" s="223"/>
      <c r="K74" s="228">
        <v>151905.5097</v>
      </c>
      <c r="L74" s="241">
        <v>80</v>
      </c>
      <c r="M74" s="229">
        <v>30381.10194</v>
      </c>
      <c r="N74" s="230">
        <v>23.59</v>
      </c>
      <c r="O74" s="231">
        <v>30381</v>
      </c>
      <c r="P74" s="314"/>
      <c r="Q74" s="276">
        <f t="shared" si="2"/>
        <v>6439.40</v>
      </c>
      <c r="R74" s="275">
        <f>(SUMIFS('Dec 31 2018 OFFS'!$AG:$AG,'Dec 31 2018 OFFS'!$AI:$AI,'T1 2019 Pipeline Data Lagasco'!$A74,'Dec 31 2018 OFFS'!$U:$U,'T1 2019 Pipeline Data Lagasco'!$E74,'Dec 31 2018 OFFS'!$AK:$AK,'T1 2019 Pipeline Data Lagasco'!$Q74,'Dec 31 2018 OFFS'!$W:$W,'T1 2019 Pipeline Data Lagasco'!$G74))/(MAX(COUNTIFS('Dec 31 2018 OFFS'!$AI:$AI,'T1 2019 Pipeline Data Lagasco'!$A74,'Dec 31 2018 OFFS'!$U:$U,'T1 2019 Pipeline Data Lagasco'!$E74,'Dec 31 2018 OFFS'!$AK:$AK,'T1 2019 Pipeline Data Lagasco'!$Q74,'Dec 31 2018 OFFS'!$W:$W,'T1 2019 Pipeline Data Lagasco'!$G74),1))</f>
        <v>30381</v>
      </c>
      <c r="S74" s="275">
        <f t="shared" si="3"/>
        <v>0</v>
      </c>
    </row>
    <row r="75" spans="1:19" s="217" customFormat="1" ht="14.1" customHeight="1">
      <c r="A75" s="224" t="s">
        <v>1491</v>
      </c>
      <c r="B75" s="218" t="s">
        <v>1492</v>
      </c>
      <c r="C75" s="223">
        <v>1</v>
      </c>
      <c r="D75" s="218" t="s">
        <v>1488</v>
      </c>
      <c r="E75" s="240">
        <v>3</v>
      </c>
      <c r="F75" s="236">
        <v>2805.5117300000002</v>
      </c>
      <c r="G75" s="223">
        <v>1977</v>
      </c>
      <c r="H75" s="223">
        <v>1</v>
      </c>
      <c r="I75" s="223">
        <v>1</v>
      </c>
      <c r="J75" s="223"/>
      <c r="K75" s="229">
        <v>66182.021710000001</v>
      </c>
      <c r="L75" s="241">
        <v>80</v>
      </c>
      <c r="M75" s="229">
        <v>13236.404339999999</v>
      </c>
      <c r="N75" s="230">
        <v>23.59</v>
      </c>
      <c r="O75" s="231">
        <v>13236</v>
      </c>
      <c r="P75" s="314"/>
      <c r="Q75" s="276">
        <f t="shared" si="2"/>
        <v>2805.51</v>
      </c>
      <c r="R75" s="275">
        <f>(SUMIFS('Dec 31 2018 OFFS'!$AG:$AG,'Dec 31 2018 OFFS'!$AI:$AI,'T1 2019 Pipeline Data Lagasco'!$A75,'Dec 31 2018 OFFS'!$U:$U,'T1 2019 Pipeline Data Lagasco'!$E75,'Dec 31 2018 OFFS'!$AK:$AK,'T1 2019 Pipeline Data Lagasco'!$Q75,'Dec 31 2018 OFFS'!$W:$W,'T1 2019 Pipeline Data Lagasco'!$G75))/(MAX(COUNTIFS('Dec 31 2018 OFFS'!$AI:$AI,'T1 2019 Pipeline Data Lagasco'!$A75,'Dec 31 2018 OFFS'!$U:$U,'T1 2019 Pipeline Data Lagasco'!$E75,'Dec 31 2018 OFFS'!$AK:$AK,'T1 2019 Pipeline Data Lagasco'!$Q75,'Dec 31 2018 OFFS'!$W:$W,'T1 2019 Pipeline Data Lagasco'!$G75),1))</f>
        <v>13236</v>
      </c>
      <c r="S75" s="275">
        <f t="shared" si="3"/>
        <v>0</v>
      </c>
    </row>
    <row r="76" spans="1:19" s="217" customFormat="1" ht="14.1" customHeight="1">
      <c r="A76" s="224" t="s">
        <v>1491</v>
      </c>
      <c r="B76" s="218" t="s">
        <v>1492</v>
      </c>
      <c r="C76" s="223">
        <v>1</v>
      </c>
      <c r="D76" s="218" t="s">
        <v>1488</v>
      </c>
      <c r="E76" s="240">
        <v>3</v>
      </c>
      <c r="F76" s="223">
        <v>2687</v>
      </c>
      <c r="G76" s="223">
        <v>2003</v>
      </c>
      <c r="H76" s="223">
        <v>1</v>
      </c>
      <c r="I76" s="223">
        <v>1</v>
      </c>
      <c r="J76" s="223"/>
      <c r="K76" s="238">
        <v>63386.33</v>
      </c>
      <c r="L76" s="241">
        <v>57</v>
      </c>
      <c r="M76" s="228">
        <v>27256.121899999998</v>
      </c>
      <c r="N76" s="230">
        <v>23.59</v>
      </c>
      <c r="O76" s="231">
        <v>27256</v>
      </c>
      <c r="P76" s="314"/>
      <c r="Q76" s="276">
        <f t="shared" si="2"/>
        <v>2687</v>
      </c>
      <c r="R76" s="275">
        <f>(SUMIFS('Dec 31 2018 OFFS'!$AG:$AG,'Dec 31 2018 OFFS'!$AI:$AI,'T1 2019 Pipeline Data Lagasco'!$A76,'Dec 31 2018 OFFS'!$U:$U,'T1 2019 Pipeline Data Lagasco'!$E76,'Dec 31 2018 OFFS'!$AK:$AK,'T1 2019 Pipeline Data Lagasco'!$Q76,'Dec 31 2018 OFFS'!$W:$W,'T1 2019 Pipeline Data Lagasco'!$G76))/(MAX(COUNTIFS('Dec 31 2018 OFFS'!$AI:$AI,'T1 2019 Pipeline Data Lagasco'!$A76,'Dec 31 2018 OFFS'!$U:$U,'T1 2019 Pipeline Data Lagasco'!$E76,'Dec 31 2018 OFFS'!$AK:$AK,'T1 2019 Pipeline Data Lagasco'!$Q76,'Dec 31 2018 OFFS'!$W:$W,'T1 2019 Pipeline Data Lagasco'!$G76),1))</f>
        <v>27256</v>
      </c>
      <c r="S76" s="275">
        <f t="shared" si="3"/>
        <v>0</v>
      </c>
    </row>
    <row r="77" spans="1:19" s="217" customFormat="1" ht="14.1" customHeight="1">
      <c r="A77" s="224" t="s">
        <v>1491</v>
      </c>
      <c r="B77" s="218" t="s">
        <v>1492</v>
      </c>
      <c r="C77" s="223">
        <v>1</v>
      </c>
      <c r="D77" s="218" t="s">
        <v>1488</v>
      </c>
      <c r="E77" s="240">
        <v>3</v>
      </c>
      <c r="F77" s="226">
        <v>4755.8069489999998</v>
      </c>
      <c r="G77" s="223">
        <v>1995</v>
      </c>
      <c r="H77" s="223">
        <v>1</v>
      </c>
      <c r="I77" s="223">
        <v>1</v>
      </c>
      <c r="J77" s="223"/>
      <c r="K77" s="228">
        <v>112189.4859</v>
      </c>
      <c r="L77" s="241">
        <v>67</v>
      </c>
      <c r="M77" s="229">
        <v>37022.530350000001</v>
      </c>
      <c r="N77" s="230">
        <v>23.59</v>
      </c>
      <c r="O77" s="231">
        <v>37022</v>
      </c>
      <c r="P77" s="314"/>
      <c r="Q77" s="276">
        <f t="shared" si="2"/>
        <v>4755.8100000000004</v>
      </c>
      <c r="R77" s="275">
        <f>(SUMIFS('Dec 31 2018 OFFS'!$AG:$AG,'Dec 31 2018 OFFS'!$AI:$AI,'T1 2019 Pipeline Data Lagasco'!$A77,'Dec 31 2018 OFFS'!$U:$U,'T1 2019 Pipeline Data Lagasco'!$E77,'Dec 31 2018 OFFS'!$AK:$AK,'T1 2019 Pipeline Data Lagasco'!$Q77,'Dec 31 2018 OFFS'!$W:$W,'T1 2019 Pipeline Data Lagasco'!$G77))/(MAX(COUNTIFS('Dec 31 2018 OFFS'!$AI:$AI,'T1 2019 Pipeline Data Lagasco'!$A77,'Dec 31 2018 OFFS'!$U:$U,'T1 2019 Pipeline Data Lagasco'!$E77,'Dec 31 2018 OFFS'!$AK:$AK,'T1 2019 Pipeline Data Lagasco'!$Q77,'Dec 31 2018 OFFS'!$W:$W,'T1 2019 Pipeline Data Lagasco'!$G77),1))</f>
        <v>37022</v>
      </c>
      <c r="S77" s="275">
        <f t="shared" si="3"/>
        <v>0</v>
      </c>
    </row>
    <row r="78" spans="1:19" s="217" customFormat="1" ht="14.1" customHeight="1">
      <c r="A78" s="224" t="s">
        <v>1491</v>
      </c>
      <c r="B78" s="218" t="s">
        <v>1492</v>
      </c>
      <c r="C78" s="223">
        <v>1</v>
      </c>
      <c r="D78" s="218" t="s">
        <v>1488</v>
      </c>
      <c r="E78" s="240">
        <v>3</v>
      </c>
      <c r="F78" s="226">
        <v>6594.4879979999996</v>
      </c>
      <c r="G78" s="223">
        <v>1995</v>
      </c>
      <c r="H78" s="223">
        <v>1</v>
      </c>
      <c r="I78" s="223">
        <v>1</v>
      </c>
      <c r="J78" s="223"/>
      <c r="K78" s="228">
        <v>155563.9719</v>
      </c>
      <c r="L78" s="241">
        <v>67</v>
      </c>
      <c r="M78" s="229">
        <v>51336.110719999997</v>
      </c>
      <c r="N78" s="230">
        <v>23.59</v>
      </c>
      <c r="O78" s="231">
        <v>51336</v>
      </c>
      <c r="P78" s="314"/>
      <c r="Q78" s="276">
        <f t="shared" si="2"/>
        <v>6594.49</v>
      </c>
      <c r="R78" s="275">
        <f>(SUMIFS('Dec 31 2018 OFFS'!$AG:$AG,'Dec 31 2018 OFFS'!$AI:$AI,'T1 2019 Pipeline Data Lagasco'!$A78,'Dec 31 2018 OFFS'!$U:$U,'T1 2019 Pipeline Data Lagasco'!$E78,'Dec 31 2018 OFFS'!$AK:$AK,'T1 2019 Pipeline Data Lagasco'!$Q78,'Dec 31 2018 OFFS'!$W:$W,'T1 2019 Pipeline Data Lagasco'!$G78))/(MAX(COUNTIFS('Dec 31 2018 OFFS'!$AI:$AI,'T1 2019 Pipeline Data Lagasco'!$A78,'Dec 31 2018 OFFS'!$U:$U,'T1 2019 Pipeline Data Lagasco'!$E78,'Dec 31 2018 OFFS'!$AK:$AK,'T1 2019 Pipeline Data Lagasco'!$Q78,'Dec 31 2018 OFFS'!$W:$W,'T1 2019 Pipeline Data Lagasco'!$G78),1))</f>
        <v>51336</v>
      </c>
      <c r="S78" s="275">
        <f t="shared" si="3"/>
        <v>0</v>
      </c>
    </row>
    <row r="79" spans="1:19" s="217" customFormat="1" ht="14.1" customHeight="1">
      <c r="A79" s="224" t="s">
        <v>1491</v>
      </c>
      <c r="B79" s="218" t="s">
        <v>1492</v>
      </c>
      <c r="C79" s="223">
        <v>1</v>
      </c>
      <c r="D79" s="218" t="s">
        <v>1488</v>
      </c>
      <c r="E79" s="240">
        <v>3</v>
      </c>
      <c r="F79" s="226">
        <v>4660.4985530000004</v>
      </c>
      <c r="G79" s="223">
        <v>1977</v>
      </c>
      <c r="H79" s="223">
        <v>1</v>
      </c>
      <c r="I79" s="223">
        <v>1</v>
      </c>
      <c r="J79" s="223"/>
      <c r="K79" s="228">
        <v>109941.1609</v>
      </c>
      <c r="L79" s="241">
        <v>80</v>
      </c>
      <c r="M79" s="229">
        <v>21988.232169999999</v>
      </c>
      <c r="N79" s="230">
        <v>23.59</v>
      </c>
      <c r="O79" s="231">
        <v>21988</v>
      </c>
      <c r="P79" s="314"/>
      <c r="Q79" s="276">
        <f t="shared" si="2"/>
        <v>4660.50</v>
      </c>
      <c r="R79" s="275">
        <f>(SUMIFS('Dec 31 2018 OFFS'!$AG:$AG,'Dec 31 2018 OFFS'!$AI:$AI,'T1 2019 Pipeline Data Lagasco'!$A79,'Dec 31 2018 OFFS'!$U:$U,'T1 2019 Pipeline Data Lagasco'!$E79,'Dec 31 2018 OFFS'!$AK:$AK,'T1 2019 Pipeline Data Lagasco'!$Q79,'Dec 31 2018 OFFS'!$W:$W,'T1 2019 Pipeline Data Lagasco'!$G79))/(MAX(COUNTIFS('Dec 31 2018 OFFS'!$AI:$AI,'T1 2019 Pipeline Data Lagasco'!$A79,'Dec 31 2018 OFFS'!$U:$U,'T1 2019 Pipeline Data Lagasco'!$E79,'Dec 31 2018 OFFS'!$AK:$AK,'T1 2019 Pipeline Data Lagasco'!$Q79,'Dec 31 2018 OFFS'!$W:$W,'T1 2019 Pipeline Data Lagasco'!$G79),1))</f>
        <v>21988</v>
      </c>
      <c r="S79" s="275">
        <f t="shared" si="3"/>
        <v>0</v>
      </c>
    </row>
    <row r="80" spans="1:19" s="217" customFormat="1" ht="14.1" customHeight="1">
      <c r="A80" s="224" t="s">
        <v>1491</v>
      </c>
      <c r="B80" s="218" t="s">
        <v>1492</v>
      </c>
      <c r="C80" s="223">
        <v>1</v>
      </c>
      <c r="D80" s="218" t="s">
        <v>1488</v>
      </c>
      <c r="E80" s="240">
        <v>3</v>
      </c>
      <c r="F80" s="223">
        <v>5732</v>
      </c>
      <c r="G80" s="223">
        <v>2002</v>
      </c>
      <c r="H80" s="223">
        <v>1</v>
      </c>
      <c r="I80" s="223">
        <v>1</v>
      </c>
      <c r="J80" s="223"/>
      <c r="K80" s="238">
        <v>135217.88</v>
      </c>
      <c r="L80" s="241">
        <v>57</v>
      </c>
      <c r="M80" s="228">
        <v>58143.688399999999</v>
      </c>
      <c r="N80" s="230">
        <v>23.59</v>
      </c>
      <c r="O80" s="231">
        <v>58143</v>
      </c>
      <c r="P80" s="314"/>
      <c r="Q80" s="276">
        <f t="shared" si="2"/>
        <v>5732</v>
      </c>
      <c r="R80" s="275">
        <f>(SUMIFS('Dec 31 2018 OFFS'!$AG:$AG,'Dec 31 2018 OFFS'!$AI:$AI,'T1 2019 Pipeline Data Lagasco'!$A80,'Dec 31 2018 OFFS'!$U:$U,'T1 2019 Pipeline Data Lagasco'!$E80,'Dec 31 2018 OFFS'!$AK:$AK,'T1 2019 Pipeline Data Lagasco'!$Q80,'Dec 31 2018 OFFS'!$W:$W,'T1 2019 Pipeline Data Lagasco'!$G80))/(MAX(COUNTIFS('Dec 31 2018 OFFS'!$AI:$AI,'T1 2019 Pipeline Data Lagasco'!$A80,'Dec 31 2018 OFFS'!$U:$U,'T1 2019 Pipeline Data Lagasco'!$E80,'Dec 31 2018 OFFS'!$AK:$AK,'T1 2019 Pipeline Data Lagasco'!$Q80,'Dec 31 2018 OFFS'!$W:$W,'T1 2019 Pipeline Data Lagasco'!$G80),1))</f>
        <v>58143</v>
      </c>
      <c r="S80" s="275">
        <f t="shared" si="3"/>
        <v>0</v>
      </c>
    </row>
    <row r="81" spans="1:19" s="217" customFormat="1" ht="14.1" customHeight="1">
      <c r="A81" s="224" t="s">
        <v>1491</v>
      </c>
      <c r="B81" s="218" t="s">
        <v>1492</v>
      </c>
      <c r="C81" s="223">
        <v>1</v>
      </c>
      <c r="D81" s="218" t="s">
        <v>1488</v>
      </c>
      <c r="E81" s="240">
        <v>3</v>
      </c>
      <c r="F81" s="226">
        <v>5162.0733410000003</v>
      </c>
      <c r="G81" s="223">
        <v>1995</v>
      </c>
      <c r="H81" s="223">
        <v>1</v>
      </c>
      <c r="I81" s="223">
        <v>1</v>
      </c>
      <c r="J81" s="223"/>
      <c r="K81" s="228">
        <v>121773.3101</v>
      </c>
      <c r="L81" s="241">
        <v>67</v>
      </c>
      <c r="M81" s="229">
        <v>40185.192340000001</v>
      </c>
      <c r="N81" s="230">
        <v>23.59</v>
      </c>
      <c r="O81" s="231">
        <v>40185</v>
      </c>
      <c r="P81" s="314"/>
      <c r="Q81" s="276">
        <f t="shared" si="2"/>
        <v>5162.07</v>
      </c>
      <c r="R81" s="275">
        <f>(SUMIFS('Dec 31 2018 OFFS'!$AG:$AG,'Dec 31 2018 OFFS'!$AI:$AI,'T1 2019 Pipeline Data Lagasco'!$A81,'Dec 31 2018 OFFS'!$U:$U,'T1 2019 Pipeline Data Lagasco'!$E81,'Dec 31 2018 OFFS'!$AK:$AK,'T1 2019 Pipeline Data Lagasco'!$Q81,'Dec 31 2018 OFFS'!$W:$W,'T1 2019 Pipeline Data Lagasco'!$G81))/(MAX(COUNTIFS('Dec 31 2018 OFFS'!$AI:$AI,'T1 2019 Pipeline Data Lagasco'!$A81,'Dec 31 2018 OFFS'!$U:$U,'T1 2019 Pipeline Data Lagasco'!$E81,'Dec 31 2018 OFFS'!$AK:$AK,'T1 2019 Pipeline Data Lagasco'!$Q81,'Dec 31 2018 OFFS'!$W:$W,'T1 2019 Pipeline Data Lagasco'!$G81),1))</f>
        <v>40185</v>
      </c>
      <c r="S81" s="275">
        <f t="shared" si="3"/>
        <v>0</v>
      </c>
    </row>
    <row r="82" spans="1:19" s="217" customFormat="1" ht="14.1" customHeight="1">
      <c r="A82" s="224" t="s">
        <v>1491</v>
      </c>
      <c r="B82" s="218" t="s">
        <v>1492</v>
      </c>
      <c r="C82" s="223">
        <v>1</v>
      </c>
      <c r="D82" s="218" t="s">
        <v>1488</v>
      </c>
      <c r="E82" s="240">
        <v>3</v>
      </c>
      <c r="F82" s="223">
        <v>647</v>
      </c>
      <c r="G82" s="223">
        <v>1991</v>
      </c>
      <c r="H82" s="223">
        <v>1</v>
      </c>
      <c r="I82" s="223">
        <v>1</v>
      </c>
      <c r="J82" s="223"/>
      <c r="K82" s="238">
        <v>15262.73</v>
      </c>
      <c r="L82" s="241">
        <v>72</v>
      </c>
      <c r="M82" s="228">
        <v>4273.5644000000002</v>
      </c>
      <c r="N82" s="230">
        <v>23.59</v>
      </c>
      <c r="O82" s="231">
        <v>4273</v>
      </c>
      <c r="P82" s="314"/>
      <c r="Q82" s="276">
        <f t="shared" si="2"/>
        <v>647</v>
      </c>
      <c r="R82" s="275">
        <f>(SUMIFS('Dec 31 2018 OFFS'!$AG:$AG,'Dec 31 2018 OFFS'!$AI:$AI,'T1 2019 Pipeline Data Lagasco'!$A82,'Dec 31 2018 OFFS'!$U:$U,'T1 2019 Pipeline Data Lagasco'!$E82,'Dec 31 2018 OFFS'!$AK:$AK,'T1 2019 Pipeline Data Lagasco'!$Q82,'Dec 31 2018 OFFS'!$W:$W,'T1 2019 Pipeline Data Lagasco'!$G82))/(MAX(COUNTIFS('Dec 31 2018 OFFS'!$AI:$AI,'T1 2019 Pipeline Data Lagasco'!$A82,'Dec 31 2018 OFFS'!$U:$U,'T1 2019 Pipeline Data Lagasco'!$E82,'Dec 31 2018 OFFS'!$AK:$AK,'T1 2019 Pipeline Data Lagasco'!$Q82,'Dec 31 2018 OFFS'!$W:$W,'T1 2019 Pipeline Data Lagasco'!$G82),1))</f>
        <v>4273</v>
      </c>
      <c r="S82" s="275">
        <f t="shared" si="3"/>
        <v>0</v>
      </c>
    </row>
    <row r="83" spans="1:19" s="217" customFormat="1" ht="14.1" customHeight="1">
      <c r="A83" s="224" t="s">
        <v>1491</v>
      </c>
      <c r="B83" s="218" t="s">
        <v>1492</v>
      </c>
      <c r="C83" s="223">
        <v>1</v>
      </c>
      <c r="D83" s="218" t="s">
        <v>1488</v>
      </c>
      <c r="E83" s="240">
        <v>3</v>
      </c>
      <c r="F83" s="226">
        <v>6861.6467830000001</v>
      </c>
      <c r="G83" s="223">
        <v>1995</v>
      </c>
      <c r="H83" s="223">
        <v>1</v>
      </c>
      <c r="I83" s="223">
        <v>1</v>
      </c>
      <c r="J83" s="223"/>
      <c r="K83" s="228">
        <v>161866.2476</v>
      </c>
      <c r="L83" s="241">
        <v>67</v>
      </c>
      <c r="M83" s="229">
        <v>53415.861709999997</v>
      </c>
      <c r="N83" s="230">
        <v>23.59</v>
      </c>
      <c r="O83" s="231">
        <v>53415</v>
      </c>
      <c r="P83" s="314"/>
      <c r="Q83" s="276">
        <f t="shared" si="2"/>
        <v>6861.65</v>
      </c>
      <c r="R83" s="275">
        <f>(SUMIFS('Dec 31 2018 OFFS'!$AG:$AG,'Dec 31 2018 OFFS'!$AI:$AI,'T1 2019 Pipeline Data Lagasco'!$A83,'Dec 31 2018 OFFS'!$U:$U,'T1 2019 Pipeline Data Lagasco'!$E83,'Dec 31 2018 OFFS'!$AK:$AK,'T1 2019 Pipeline Data Lagasco'!$Q83,'Dec 31 2018 OFFS'!$W:$W,'T1 2019 Pipeline Data Lagasco'!$G83))/(MAX(COUNTIFS('Dec 31 2018 OFFS'!$AI:$AI,'T1 2019 Pipeline Data Lagasco'!$A83,'Dec 31 2018 OFFS'!$U:$U,'T1 2019 Pipeline Data Lagasco'!$E83,'Dec 31 2018 OFFS'!$AK:$AK,'T1 2019 Pipeline Data Lagasco'!$Q83,'Dec 31 2018 OFFS'!$W:$W,'T1 2019 Pipeline Data Lagasco'!$G83),1))</f>
        <v>53415</v>
      </c>
      <c r="S83" s="275">
        <f t="shared" si="3"/>
        <v>0</v>
      </c>
    </row>
    <row r="84" spans="1:19" s="217" customFormat="1" ht="15" customHeight="1">
      <c r="A84" s="224" t="s">
        <v>1491</v>
      </c>
      <c r="B84" s="218" t="s">
        <v>1492</v>
      </c>
      <c r="C84" s="223">
        <v>1</v>
      </c>
      <c r="D84" s="218" t="s">
        <v>1488</v>
      </c>
      <c r="E84" s="240">
        <v>3</v>
      </c>
      <c r="F84" s="226">
        <v>7048.0312919999997</v>
      </c>
      <c r="G84" s="223">
        <v>1991</v>
      </c>
      <c r="H84" s="223">
        <v>1</v>
      </c>
      <c r="I84" s="223">
        <v>1</v>
      </c>
      <c r="J84" s="223"/>
      <c r="K84" s="228">
        <v>166263.0582</v>
      </c>
      <c r="L84" s="241">
        <v>72</v>
      </c>
      <c r="M84" s="229">
        <v>46553.656289999999</v>
      </c>
      <c r="N84" s="230">
        <v>23.59</v>
      </c>
      <c r="O84" s="231">
        <v>46553</v>
      </c>
      <c r="P84" s="314"/>
      <c r="Q84" s="276">
        <f t="shared" si="2"/>
        <v>7048.03</v>
      </c>
      <c r="R84" s="275">
        <f>(SUMIFS('Dec 31 2018 OFFS'!$AG:$AG,'Dec 31 2018 OFFS'!$AI:$AI,'T1 2019 Pipeline Data Lagasco'!$A84,'Dec 31 2018 OFFS'!$U:$U,'T1 2019 Pipeline Data Lagasco'!$E84,'Dec 31 2018 OFFS'!$AK:$AK,'T1 2019 Pipeline Data Lagasco'!$Q84,'Dec 31 2018 OFFS'!$W:$W,'T1 2019 Pipeline Data Lagasco'!$G84))/(MAX(COUNTIFS('Dec 31 2018 OFFS'!$AI:$AI,'T1 2019 Pipeline Data Lagasco'!$A84,'Dec 31 2018 OFFS'!$U:$U,'T1 2019 Pipeline Data Lagasco'!$E84,'Dec 31 2018 OFFS'!$AK:$AK,'T1 2019 Pipeline Data Lagasco'!$Q84,'Dec 31 2018 OFFS'!$W:$W,'T1 2019 Pipeline Data Lagasco'!$G84),1))</f>
        <v>46553</v>
      </c>
      <c r="S84" s="275">
        <f t="shared" si="3"/>
        <v>0</v>
      </c>
    </row>
    <row r="85" spans="1:19" s="217" customFormat="1" ht="15" customHeight="1">
      <c r="A85" s="224" t="s">
        <v>1491</v>
      </c>
      <c r="B85" s="218" t="s">
        <v>1492</v>
      </c>
      <c r="C85" s="223">
        <v>1</v>
      </c>
      <c r="D85" s="218" t="s">
        <v>1488</v>
      </c>
      <c r="E85" s="240">
        <v>3</v>
      </c>
      <c r="F85" s="226">
        <v>3820.866031</v>
      </c>
      <c r="G85" s="223">
        <v>1994</v>
      </c>
      <c r="H85" s="223">
        <v>1</v>
      </c>
      <c r="I85" s="223">
        <v>1</v>
      </c>
      <c r="J85" s="223"/>
      <c r="K85" s="229">
        <v>90134.229670000001</v>
      </c>
      <c r="L85" s="241">
        <v>68</v>
      </c>
      <c r="M85" s="228">
        <v>28842.9535</v>
      </c>
      <c r="N85" s="230">
        <v>23.59</v>
      </c>
      <c r="O85" s="231">
        <v>28842</v>
      </c>
      <c r="P85" s="315"/>
      <c r="Q85" s="276">
        <f t="shared" si="2"/>
        <v>3820.87</v>
      </c>
      <c r="R85" s="275">
        <f>(SUMIFS('Dec 31 2018 OFFS'!$AG:$AG,'Dec 31 2018 OFFS'!$AI:$AI,'T1 2019 Pipeline Data Lagasco'!$A85,'Dec 31 2018 OFFS'!$U:$U,'T1 2019 Pipeline Data Lagasco'!$E85,'Dec 31 2018 OFFS'!$AK:$AK,'T1 2019 Pipeline Data Lagasco'!$Q85,'Dec 31 2018 OFFS'!$W:$W,'T1 2019 Pipeline Data Lagasco'!$G85))/(MAX(COUNTIFS('Dec 31 2018 OFFS'!$AI:$AI,'T1 2019 Pipeline Data Lagasco'!$A85,'Dec 31 2018 OFFS'!$U:$U,'T1 2019 Pipeline Data Lagasco'!$E85,'Dec 31 2018 OFFS'!$AK:$AK,'T1 2019 Pipeline Data Lagasco'!$Q85,'Dec 31 2018 OFFS'!$W:$W,'T1 2019 Pipeline Data Lagasco'!$G85),1))</f>
        <v>28842</v>
      </c>
      <c r="S85" s="275">
        <f t="shared" si="3"/>
        <v>0</v>
      </c>
    </row>
    <row r="86" spans="1:19" s="217" customFormat="1" ht="14.1" customHeight="1">
      <c r="A86" s="224" t="s">
        <v>1491</v>
      </c>
      <c r="B86" s="218" t="s">
        <v>1492</v>
      </c>
      <c r="C86" s="223">
        <v>1</v>
      </c>
      <c r="D86" s="218" t="s">
        <v>1488</v>
      </c>
      <c r="E86" s="240">
        <v>3</v>
      </c>
      <c r="F86" s="226">
        <v>4493.3397649999997</v>
      </c>
      <c r="G86" s="223">
        <v>1995</v>
      </c>
      <c r="H86" s="223">
        <v>1</v>
      </c>
      <c r="I86" s="223">
        <v>1</v>
      </c>
      <c r="J86" s="223"/>
      <c r="K86" s="228">
        <v>105997.8851</v>
      </c>
      <c r="L86" s="241">
        <v>67</v>
      </c>
      <c r="M86" s="229">
        <v>34979.302069999998</v>
      </c>
      <c r="N86" s="230">
        <v>23.59</v>
      </c>
      <c r="O86" s="231">
        <v>34979</v>
      </c>
      <c r="P86" s="315"/>
      <c r="Q86" s="276">
        <f t="shared" si="2"/>
        <v>4493.34</v>
      </c>
      <c r="R86" s="275">
        <f>(SUMIFS('Dec 31 2018 OFFS'!$AG:$AG,'Dec 31 2018 OFFS'!$AI:$AI,'T1 2019 Pipeline Data Lagasco'!$A86,'Dec 31 2018 OFFS'!$U:$U,'T1 2019 Pipeline Data Lagasco'!$E86,'Dec 31 2018 OFFS'!$AK:$AK,'T1 2019 Pipeline Data Lagasco'!$Q86,'Dec 31 2018 OFFS'!$W:$W,'T1 2019 Pipeline Data Lagasco'!$G86))/(MAX(COUNTIFS('Dec 31 2018 OFFS'!$AI:$AI,'T1 2019 Pipeline Data Lagasco'!$A86,'Dec 31 2018 OFFS'!$U:$U,'T1 2019 Pipeline Data Lagasco'!$E86,'Dec 31 2018 OFFS'!$AK:$AK,'T1 2019 Pipeline Data Lagasco'!$Q86,'Dec 31 2018 OFFS'!$W:$W,'T1 2019 Pipeline Data Lagasco'!$G86),1))</f>
        <v>34979</v>
      </c>
      <c r="S86" s="275">
        <f t="shared" si="3"/>
        <v>0</v>
      </c>
    </row>
    <row r="87" spans="1:19" s="217" customFormat="1" ht="14.1" customHeight="1">
      <c r="A87" s="224" t="s">
        <v>1491</v>
      </c>
      <c r="B87" s="218" t="s">
        <v>1492</v>
      </c>
      <c r="C87" s="223">
        <v>1</v>
      </c>
      <c r="D87" s="218" t="s">
        <v>1488</v>
      </c>
      <c r="E87" s="240">
        <v>3</v>
      </c>
      <c r="F87" s="223">
        <v>1233</v>
      </c>
      <c r="G87" s="223">
        <v>2004</v>
      </c>
      <c r="H87" s="223">
        <v>1</v>
      </c>
      <c r="I87" s="223">
        <v>1</v>
      </c>
      <c r="J87" s="223"/>
      <c r="K87" s="238">
        <v>29086.47</v>
      </c>
      <c r="L87" s="241">
        <v>56</v>
      </c>
      <c r="M87" s="228">
        <v>12798.0468</v>
      </c>
      <c r="N87" s="230">
        <v>23.59</v>
      </c>
      <c r="O87" s="231">
        <v>12798</v>
      </c>
      <c r="P87" s="315"/>
      <c r="Q87" s="276">
        <f t="shared" si="2"/>
        <v>1233</v>
      </c>
      <c r="R87" s="275">
        <f>(SUMIFS('Dec 31 2018 OFFS'!$AG:$AG,'Dec 31 2018 OFFS'!$AI:$AI,'T1 2019 Pipeline Data Lagasco'!$A87,'Dec 31 2018 OFFS'!$U:$U,'T1 2019 Pipeline Data Lagasco'!$E87,'Dec 31 2018 OFFS'!$AK:$AK,'T1 2019 Pipeline Data Lagasco'!$Q87,'Dec 31 2018 OFFS'!$W:$W,'T1 2019 Pipeline Data Lagasco'!$G87))/(MAX(COUNTIFS('Dec 31 2018 OFFS'!$AI:$AI,'T1 2019 Pipeline Data Lagasco'!$A87,'Dec 31 2018 OFFS'!$U:$U,'T1 2019 Pipeline Data Lagasco'!$E87,'Dec 31 2018 OFFS'!$AK:$AK,'T1 2019 Pipeline Data Lagasco'!$Q87,'Dec 31 2018 OFFS'!$W:$W,'T1 2019 Pipeline Data Lagasco'!$G87),1))</f>
        <v>12798</v>
      </c>
      <c r="S87" s="275">
        <f t="shared" si="3"/>
        <v>0</v>
      </c>
    </row>
    <row r="88" spans="1:19" s="217" customFormat="1" ht="14.1" customHeight="1">
      <c r="A88" s="224" t="s">
        <v>1491</v>
      </c>
      <c r="B88" s="218" t="s">
        <v>1492</v>
      </c>
      <c r="C88" s="223">
        <v>1</v>
      </c>
      <c r="D88" s="218" t="s">
        <v>1488</v>
      </c>
      <c r="E88" s="240">
        <v>3</v>
      </c>
      <c r="F88" s="236">
        <v>6365.4853800000001</v>
      </c>
      <c r="G88" s="223">
        <v>1994</v>
      </c>
      <c r="H88" s="223">
        <v>1</v>
      </c>
      <c r="I88" s="223">
        <v>0</v>
      </c>
      <c r="J88" s="223"/>
      <c r="K88" s="228">
        <v>150161.80009999999</v>
      </c>
      <c r="L88" s="241">
        <v>68</v>
      </c>
      <c r="M88" s="229">
        <v>48051.776039999997</v>
      </c>
      <c r="N88" s="230">
        <v>23.59</v>
      </c>
      <c r="O88" s="231">
        <v>0</v>
      </c>
      <c r="P88" s="315"/>
      <c r="Q88" s="276">
        <f t="shared" si="2"/>
        <v>6365.49</v>
      </c>
      <c r="R88" s="275">
        <f>(SUMIFS('Dec 31 2018 OFFS'!$AG:$AG,'Dec 31 2018 OFFS'!$AI:$AI,'T1 2019 Pipeline Data Lagasco'!$A88,'Dec 31 2018 OFFS'!$U:$U,'T1 2019 Pipeline Data Lagasco'!$E88,'Dec 31 2018 OFFS'!$AK:$AK,'T1 2019 Pipeline Data Lagasco'!$Q88,'Dec 31 2018 OFFS'!$W:$W,'T1 2019 Pipeline Data Lagasco'!$G88))/(MAX(COUNTIFS('Dec 31 2018 OFFS'!$AI:$AI,'T1 2019 Pipeline Data Lagasco'!$A88,'Dec 31 2018 OFFS'!$U:$U,'T1 2019 Pipeline Data Lagasco'!$E88,'Dec 31 2018 OFFS'!$AK:$AK,'T1 2019 Pipeline Data Lagasco'!$Q88,'Dec 31 2018 OFFS'!$W:$W,'T1 2019 Pipeline Data Lagasco'!$G88),1))</f>
        <v>0</v>
      </c>
      <c r="S88" s="275">
        <f t="shared" si="3"/>
        <v>0</v>
      </c>
    </row>
    <row r="89" spans="1:19" s="217" customFormat="1" ht="14.1" customHeight="1">
      <c r="A89" s="224" t="s">
        <v>1491</v>
      </c>
      <c r="B89" s="218" t="s">
        <v>1492</v>
      </c>
      <c r="C89" s="223">
        <v>1</v>
      </c>
      <c r="D89" s="218" t="s">
        <v>1488</v>
      </c>
      <c r="E89" s="240">
        <v>3</v>
      </c>
      <c r="F89" s="226">
        <v>3430.6429450000001</v>
      </c>
      <c r="G89" s="223">
        <v>1982</v>
      </c>
      <c r="H89" s="223">
        <v>1</v>
      </c>
      <c r="I89" s="223">
        <v>1</v>
      </c>
      <c r="J89" s="223"/>
      <c r="K89" s="229">
        <v>80928.867079999996</v>
      </c>
      <c r="L89" s="241">
        <v>80</v>
      </c>
      <c r="M89" s="229">
        <v>16185.77342</v>
      </c>
      <c r="N89" s="230">
        <v>23.59</v>
      </c>
      <c r="O89" s="231">
        <v>16185</v>
      </c>
      <c r="P89" s="315"/>
      <c r="Q89" s="276">
        <f t="shared" si="2"/>
        <v>3430.64</v>
      </c>
      <c r="R89" s="275">
        <f>(SUMIFS('Dec 31 2018 OFFS'!$AG:$AG,'Dec 31 2018 OFFS'!$AI:$AI,'T1 2019 Pipeline Data Lagasco'!$A89,'Dec 31 2018 OFFS'!$U:$U,'T1 2019 Pipeline Data Lagasco'!$E89,'Dec 31 2018 OFFS'!$AK:$AK,'T1 2019 Pipeline Data Lagasco'!$Q89,'Dec 31 2018 OFFS'!$W:$W,'T1 2019 Pipeline Data Lagasco'!$G89))/(MAX(COUNTIFS('Dec 31 2018 OFFS'!$AI:$AI,'T1 2019 Pipeline Data Lagasco'!$A89,'Dec 31 2018 OFFS'!$U:$U,'T1 2019 Pipeline Data Lagasco'!$E89,'Dec 31 2018 OFFS'!$AK:$AK,'T1 2019 Pipeline Data Lagasco'!$Q89,'Dec 31 2018 OFFS'!$W:$W,'T1 2019 Pipeline Data Lagasco'!$G89),1))</f>
        <v>16185</v>
      </c>
      <c r="S89" s="275">
        <f t="shared" si="3"/>
        <v>0</v>
      </c>
    </row>
    <row r="90" spans="1:19" s="217" customFormat="1" ht="14.1" customHeight="1">
      <c r="A90" s="224" t="s">
        <v>1491</v>
      </c>
      <c r="B90" s="218" t="s">
        <v>1492</v>
      </c>
      <c r="C90" s="223">
        <v>1</v>
      </c>
      <c r="D90" s="218" t="s">
        <v>1488</v>
      </c>
      <c r="E90" s="240">
        <v>3</v>
      </c>
      <c r="F90" s="226">
        <v>3852.8214109999999</v>
      </c>
      <c r="G90" s="223">
        <v>1982</v>
      </c>
      <c r="H90" s="223">
        <v>1</v>
      </c>
      <c r="I90" s="223">
        <v>1</v>
      </c>
      <c r="J90" s="223"/>
      <c r="K90" s="229">
        <v>90888.057079999999</v>
      </c>
      <c r="L90" s="241">
        <v>80</v>
      </c>
      <c r="M90" s="229">
        <v>18177.611420000001</v>
      </c>
      <c r="N90" s="230">
        <v>23.59</v>
      </c>
      <c r="O90" s="231">
        <v>18177</v>
      </c>
      <c r="P90" s="315"/>
      <c r="Q90" s="276">
        <f t="shared" si="2"/>
        <v>3852.82</v>
      </c>
      <c r="R90" s="275">
        <f>(SUMIFS('Dec 31 2018 OFFS'!$AG:$AG,'Dec 31 2018 OFFS'!$AI:$AI,'T1 2019 Pipeline Data Lagasco'!$A90,'Dec 31 2018 OFFS'!$U:$U,'T1 2019 Pipeline Data Lagasco'!$E90,'Dec 31 2018 OFFS'!$AK:$AK,'T1 2019 Pipeline Data Lagasco'!$Q90,'Dec 31 2018 OFFS'!$W:$W,'T1 2019 Pipeline Data Lagasco'!$G90))/(MAX(COUNTIFS('Dec 31 2018 OFFS'!$AI:$AI,'T1 2019 Pipeline Data Lagasco'!$A90,'Dec 31 2018 OFFS'!$U:$U,'T1 2019 Pipeline Data Lagasco'!$E90,'Dec 31 2018 OFFS'!$AK:$AK,'T1 2019 Pipeline Data Lagasco'!$Q90,'Dec 31 2018 OFFS'!$W:$W,'T1 2019 Pipeline Data Lagasco'!$G90),1))</f>
        <v>18177</v>
      </c>
      <c r="S90" s="275">
        <f t="shared" si="3"/>
        <v>0</v>
      </c>
    </row>
    <row r="91" spans="1:19" s="217" customFormat="1" ht="14.1" customHeight="1">
      <c r="A91" s="224" t="s">
        <v>1491</v>
      </c>
      <c r="B91" s="218" t="s">
        <v>1492</v>
      </c>
      <c r="C91" s="223">
        <v>1</v>
      </c>
      <c r="D91" s="218" t="s">
        <v>1488</v>
      </c>
      <c r="E91" s="240">
        <v>3</v>
      </c>
      <c r="F91" s="226">
        <v>3774.343723</v>
      </c>
      <c r="G91" s="223">
        <v>1982</v>
      </c>
      <c r="H91" s="223">
        <v>1</v>
      </c>
      <c r="I91" s="223">
        <v>1</v>
      </c>
      <c r="J91" s="223"/>
      <c r="K91" s="229">
        <v>89036.768419999993</v>
      </c>
      <c r="L91" s="241">
        <v>80</v>
      </c>
      <c r="M91" s="229">
        <v>17807.35368</v>
      </c>
      <c r="N91" s="230">
        <v>23.59</v>
      </c>
      <c r="O91" s="231">
        <v>17807</v>
      </c>
      <c r="P91" s="315"/>
      <c r="Q91" s="276">
        <f t="shared" si="2"/>
        <v>3774.34</v>
      </c>
      <c r="R91" s="275">
        <f>(SUMIFS('Dec 31 2018 OFFS'!$AG:$AG,'Dec 31 2018 OFFS'!$AI:$AI,'T1 2019 Pipeline Data Lagasco'!$A91,'Dec 31 2018 OFFS'!$U:$U,'T1 2019 Pipeline Data Lagasco'!$E91,'Dec 31 2018 OFFS'!$AK:$AK,'T1 2019 Pipeline Data Lagasco'!$Q91,'Dec 31 2018 OFFS'!$W:$W,'T1 2019 Pipeline Data Lagasco'!$G91))/(MAX(COUNTIFS('Dec 31 2018 OFFS'!$AI:$AI,'T1 2019 Pipeline Data Lagasco'!$A91,'Dec 31 2018 OFFS'!$U:$U,'T1 2019 Pipeline Data Lagasco'!$E91,'Dec 31 2018 OFFS'!$AK:$AK,'T1 2019 Pipeline Data Lagasco'!$Q91,'Dec 31 2018 OFFS'!$W:$W,'T1 2019 Pipeline Data Lagasco'!$G91),1))</f>
        <v>17807</v>
      </c>
      <c r="S91" s="275">
        <f t="shared" si="3"/>
        <v>0</v>
      </c>
    </row>
    <row r="92" spans="1:19" s="217" customFormat="1" ht="14.1" customHeight="1">
      <c r="A92" s="224" t="s">
        <v>1491</v>
      </c>
      <c r="B92" s="218" t="s">
        <v>1492</v>
      </c>
      <c r="C92" s="223">
        <v>1</v>
      </c>
      <c r="D92" s="218" t="s">
        <v>1488</v>
      </c>
      <c r="E92" s="240">
        <v>3</v>
      </c>
      <c r="F92" s="226">
        <v>1795.6692390000001</v>
      </c>
      <c r="G92" s="223">
        <v>1988</v>
      </c>
      <c r="H92" s="223">
        <v>1</v>
      </c>
      <c r="I92" s="223">
        <v>1</v>
      </c>
      <c r="J92" s="223"/>
      <c r="K92" s="229">
        <v>42359.837359999998</v>
      </c>
      <c r="L92" s="241">
        <v>76</v>
      </c>
      <c r="M92" s="229">
        <v>10166.36097</v>
      </c>
      <c r="N92" s="230">
        <v>23.59</v>
      </c>
      <c r="O92" s="231">
        <v>10166</v>
      </c>
      <c r="P92" s="315"/>
      <c r="Q92" s="276">
        <f t="shared" si="2"/>
        <v>1795.67</v>
      </c>
      <c r="R92" s="275">
        <f>(SUMIFS('Dec 31 2018 OFFS'!$AG:$AG,'Dec 31 2018 OFFS'!$AI:$AI,'T1 2019 Pipeline Data Lagasco'!$A92,'Dec 31 2018 OFFS'!$U:$U,'T1 2019 Pipeline Data Lagasco'!$E92,'Dec 31 2018 OFFS'!$AK:$AK,'T1 2019 Pipeline Data Lagasco'!$Q92,'Dec 31 2018 OFFS'!$W:$W,'T1 2019 Pipeline Data Lagasco'!$G92))/(MAX(COUNTIFS('Dec 31 2018 OFFS'!$AI:$AI,'T1 2019 Pipeline Data Lagasco'!$A92,'Dec 31 2018 OFFS'!$U:$U,'T1 2019 Pipeline Data Lagasco'!$E92,'Dec 31 2018 OFFS'!$AK:$AK,'T1 2019 Pipeline Data Lagasco'!$Q92,'Dec 31 2018 OFFS'!$W:$W,'T1 2019 Pipeline Data Lagasco'!$G92),1))</f>
        <v>10166</v>
      </c>
      <c r="S92" s="275">
        <f t="shared" si="3"/>
        <v>0</v>
      </c>
    </row>
    <row r="93" spans="1:19" s="217" customFormat="1" ht="14.1" customHeight="1">
      <c r="A93" s="224" t="s">
        <v>1491</v>
      </c>
      <c r="B93" s="218" t="s">
        <v>1492</v>
      </c>
      <c r="C93" s="223">
        <v>1</v>
      </c>
      <c r="D93" s="218" t="s">
        <v>1488</v>
      </c>
      <c r="E93" s="240">
        <v>3</v>
      </c>
      <c r="F93" s="226">
        <v>3948.9500170000001</v>
      </c>
      <c r="G93" s="223">
        <v>1982</v>
      </c>
      <c r="H93" s="223">
        <v>1</v>
      </c>
      <c r="I93" s="223">
        <v>1</v>
      </c>
      <c r="J93" s="223"/>
      <c r="K93" s="228">
        <v>93155.730899999995</v>
      </c>
      <c r="L93" s="241">
        <v>80</v>
      </c>
      <c r="M93" s="229">
        <v>18631.14618</v>
      </c>
      <c r="N93" s="230">
        <v>23.59</v>
      </c>
      <c r="O93" s="231">
        <v>18631</v>
      </c>
      <c r="P93" s="315"/>
      <c r="Q93" s="276">
        <f t="shared" si="2"/>
        <v>3948.95</v>
      </c>
      <c r="R93" s="275">
        <f>(SUMIFS('Dec 31 2018 OFFS'!$AG:$AG,'Dec 31 2018 OFFS'!$AI:$AI,'T1 2019 Pipeline Data Lagasco'!$A93,'Dec 31 2018 OFFS'!$U:$U,'T1 2019 Pipeline Data Lagasco'!$E93,'Dec 31 2018 OFFS'!$AK:$AK,'T1 2019 Pipeline Data Lagasco'!$Q93,'Dec 31 2018 OFFS'!$W:$W,'T1 2019 Pipeline Data Lagasco'!$G93))/(MAX(COUNTIFS('Dec 31 2018 OFFS'!$AI:$AI,'T1 2019 Pipeline Data Lagasco'!$A93,'Dec 31 2018 OFFS'!$U:$U,'T1 2019 Pipeline Data Lagasco'!$E93,'Dec 31 2018 OFFS'!$AK:$AK,'T1 2019 Pipeline Data Lagasco'!$Q93,'Dec 31 2018 OFFS'!$W:$W,'T1 2019 Pipeline Data Lagasco'!$G93),1))</f>
        <v>18631</v>
      </c>
      <c r="S93" s="275">
        <f t="shared" si="3"/>
        <v>0</v>
      </c>
    </row>
    <row r="94" spans="1:19" s="217" customFormat="1" ht="14.1" customHeight="1">
      <c r="A94" s="224" t="s">
        <v>1491</v>
      </c>
      <c r="B94" s="218" t="s">
        <v>1492</v>
      </c>
      <c r="C94" s="223">
        <v>1</v>
      </c>
      <c r="D94" s="218" t="s">
        <v>1488</v>
      </c>
      <c r="E94" s="240">
        <v>3</v>
      </c>
      <c r="F94" s="226">
        <v>4276.0169370000003</v>
      </c>
      <c r="G94" s="223">
        <v>1984</v>
      </c>
      <c r="H94" s="223">
        <v>1</v>
      </c>
      <c r="I94" s="223">
        <v>1</v>
      </c>
      <c r="J94" s="223"/>
      <c r="K94" s="228">
        <v>100871.2395</v>
      </c>
      <c r="L94" s="241">
        <v>80</v>
      </c>
      <c r="M94" s="229">
        <v>20174.247909999998</v>
      </c>
      <c r="N94" s="230">
        <v>23.59</v>
      </c>
      <c r="O94" s="231">
        <v>20174</v>
      </c>
      <c r="P94" s="315"/>
      <c r="Q94" s="276">
        <f t="shared" si="2"/>
        <v>4276.0200000000004</v>
      </c>
      <c r="R94" s="275">
        <f>(SUMIFS('Dec 31 2018 OFFS'!$AG:$AG,'Dec 31 2018 OFFS'!$AI:$AI,'T1 2019 Pipeline Data Lagasco'!$A94,'Dec 31 2018 OFFS'!$U:$U,'T1 2019 Pipeline Data Lagasco'!$E94,'Dec 31 2018 OFFS'!$AK:$AK,'T1 2019 Pipeline Data Lagasco'!$Q94,'Dec 31 2018 OFFS'!$W:$W,'T1 2019 Pipeline Data Lagasco'!$G94))/(MAX(COUNTIFS('Dec 31 2018 OFFS'!$AI:$AI,'T1 2019 Pipeline Data Lagasco'!$A94,'Dec 31 2018 OFFS'!$U:$U,'T1 2019 Pipeline Data Lagasco'!$E94,'Dec 31 2018 OFFS'!$AK:$AK,'T1 2019 Pipeline Data Lagasco'!$Q94,'Dec 31 2018 OFFS'!$W:$W,'T1 2019 Pipeline Data Lagasco'!$G94),1))</f>
        <v>20174</v>
      </c>
      <c r="S94" s="275">
        <f t="shared" si="3"/>
        <v>0</v>
      </c>
    </row>
    <row r="95" spans="1:19" s="217" customFormat="1" ht="14.1" customHeight="1">
      <c r="A95" s="224" t="s">
        <v>1491</v>
      </c>
      <c r="B95" s="218" t="s">
        <v>1492</v>
      </c>
      <c r="C95" s="223">
        <v>1</v>
      </c>
      <c r="D95" s="218" t="s">
        <v>1488</v>
      </c>
      <c r="E95" s="240">
        <v>3</v>
      </c>
      <c r="F95" s="226">
        <v>3438.6153859999999</v>
      </c>
      <c r="G95" s="223">
        <v>1984</v>
      </c>
      <c r="H95" s="223">
        <v>1</v>
      </c>
      <c r="I95" s="223">
        <v>1</v>
      </c>
      <c r="J95" s="223"/>
      <c r="K95" s="229">
        <v>81116.936960000006</v>
      </c>
      <c r="L95" s="241">
        <v>80</v>
      </c>
      <c r="M95" s="229">
        <v>16223.38739</v>
      </c>
      <c r="N95" s="230">
        <v>23.59</v>
      </c>
      <c r="O95" s="231">
        <v>16223</v>
      </c>
      <c r="P95" s="315"/>
      <c r="Q95" s="276">
        <f t="shared" si="2"/>
        <v>3438.62</v>
      </c>
      <c r="R95" s="275">
        <f>(SUMIFS('Dec 31 2018 OFFS'!$AG:$AG,'Dec 31 2018 OFFS'!$AI:$AI,'T1 2019 Pipeline Data Lagasco'!$A95,'Dec 31 2018 OFFS'!$U:$U,'T1 2019 Pipeline Data Lagasco'!$E95,'Dec 31 2018 OFFS'!$AK:$AK,'T1 2019 Pipeline Data Lagasco'!$Q95,'Dec 31 2018 OFFS'!$W:$W,'T1 2019 Pipeline Data Lagasco'!$G95))/(MAX(COUNTIFS('Dec 31 2018 OFFS'!$AI:$AI,'T1 2019 Pipeline Data Lagasco'!$A95,'Dec 31 2018 OFFS'!$U:$U,'T1 2019 Pipeline Data Lagasco'!$E95,'Dec 31 2018 OFFS'!$AK:$AK,'T1 2019 Pipeline Data Lagasco'!$Q95,'Dec 31 2018 OFFS'!$W:$W,'T1 2019 Pipeline Data Lagasco'!$G95),1))</f>
        <v>16223</v>
      </c>
      <c r="S95" s="275">
        <f t="shared" si="3"/>
        <v>0</v>
      </c>
    </row>
    <row r="96" spans="1:19" s="217" customFormat="1" ht="14.1" customHeight="1">
      <c r="A96" s="224" t="s">
        <v>1491</v>
      </c>
      <c r="B96" s="218" t="s">
        <v>1492</v>
      </c>
      <c r="C96" s="223">
        <v>1</v>
      </c>
      <c r="D96" s="218" t="s">
        <v>1488</v>
      </c>
      <c r="E96" s="240">
        <v>3</v>
      </c>
      <c r="F96" s="223">
        <v>3289</v>
      </c>
      <c r="G96" s="223">
        <v>2004</v>
      </c>
      <c r="H96" s="223">
        <v>1</v>
      </c>
      <c r="I96" s="223">
        <v>1</v>
      </c>
      <c r="J96" s="223"/>
      <c r="K96" s="238">
        <v>77587.509999999995</v>
      </c>
      <c r="L96" s="241">
        <v>56</v>
      </c>
      <c r="M96" s="228">
        <v>34138.504399999998</v>
      </c>
      <c r="N96" s="230">
        <v>23.59</v>
      </c>
      <c r="O96" s="231">
        <v>34138</v>
      </c>
      <c r="P96" s="315"/>
      <c r="Q96" s="276">
        <f t="shared" si="2"/>
        <v>3289</v>
      </c>
      <c r="R96" s="275">
        <f>(SUMIFS('Dec 31 2018 OFFS'!$AG:$AG,'Dec 31 2018 OFFS'!$AI:$AI,'T1 2019 Pipeline Data Lagasco'!$A96,'Dec 31 2018 OFFS'!$U:$U,'T1 2019 Pipeline Data Lagasco'!$E96,'Dec 31 2018 OFFS'!$AK:$AK,'T1 2019 Pipeline Data Lagasco'!$Q96,'Dec 31 2018 OFFS'!$W:$W,'T1 2019 Pipeline Data Lagasco'!$G96))/(MAX(COUNTIFS('Dec 31 2018 OFFS'!$AI:$AI,'T1 2019 Pipeline Data Lagasco'!$A96,'Dec 31 2018 OFFS'!$U:$U,'T1 2019 Pipeline Data Lagasco'!$E96,'Dec 31 2018 OFFS'!$AK:$AK,'T1 2019 Pipeline Data Lagasco'!$Q96,'Dec 31 2018 OFFS'!$W:$W,'T1 2019 Pipeline Data Lagasco'!$G96),1))</f>
        <v>34138</v>
      </c>
      <c r="S96" s="275">
        <f t="shared" si="3"/>
        <v>0</v>
      </c>
    </row>
    <row r="97" spans="1:20" ht="14.1" customHeight="1">
      <c r="A97" s="224" t="s">
        <v>1491</v>
      </c>
      <c r="B97" s="218" t="s">
        <v>1492</v>
      </c>
      <c r="C97" s="223">
        <v>1</v>
      </c>
      <c r="D97" s="218" t="s">
        <v>1488</v>
      </c>
      <c r="E97" s="240">
        <v>3</v>
      </c>
      <c r="F97" s="226">
        <v>515.28869899999995</v>
      </c>
      <c r="G97" s="223">
        <v>1994</v>
      </c>
      <c r="H97" s="223">
        <v>1</v>
      </c>
      <c r="I97" s="223">
        <v>1</v>
      </c>
      <c r="J97" s="223"/>
      <c r="K97" s="229">
        <v>12155.66041</v>
      </c>
      <c r="L97" s="241">
        <v>68</v>
      </c>
      <c r="M97" s="233">
        <v>3889.8113309999999</v>
      </c>
      <c r="N97" s="230">
        <v>23.59</v>
      </c>
      <c r="O97" s="231">
        <v>3889</v>
      </c>
      <c r="P97" s="315"/>
      <c r="Q97" s="276">
        <f t="shared" si="2"/>
        <v>515.29</v>
      </c>
      <c r="R97" s="275">
        <f>(SUMIFS('Dec 31 2018 OFFS'!$AG:$AG,'Dec 31 2018 OFFS'!$AI:$AI,'T1 2019 Pipeline Data Lagasco'!$A97,'Dec 31 2018 OFFS'!$U:$U,'T1 2019 Pipeline Data Lagasco'!$E97,'Dec 31 2018 OFFS'!$AK:$AK,'T1 2019 Pipeline Data Lagasco'!$Q97,'Dec 31 2018 OFFS'!$W:$W,'T1 2019 Pipeline Data Lagasco'!$G97))/(MAX(COUNTIFS('Dec 31 2018 OFFS'!$AI:$AI,'T1 2019 Pipeline Data Lagasco'!$A97,'Dec 31 2018 OFFS'!$U:$U,'T1 2019 Pipeline Data Lagasco'!$E97,'Dec 31 2018 OFFS'!$AK:$AK,'T1 2019 Pipeline Data Lagasco'!$Q97,'Dec 31 2018 OFFS'!$W:$W,'T1 2019 Pipeline Data Lagasco'!$G97),1))</f>
        <v>3889</v>
      </c>
      <c r="S97" s="275">
        <f t="shared" si="3"/>
        <v>0</v>
      </c>
      <c r="T97" s="217"/>
    </row>
    <row r="98" spans="1:20" ht="14.1" customHeight="1">
      <c r="A98" s="224" t="s">
        <v>1491</v>
      </c>
      <c r="B98" s="218" t="s">
        <v>1492</v>
      </c>
      <c r="C98" s="223">
        <v>1</v>
      </c>
      <c r="D98" s="218" t="s">
        <v>1488</v>
      </c>
      <c r="E98" s="240">
        <v>3</v>
      </c>
      <c r="F98" s="223">
        <v>3754</v>
      </c>
      <c r="G98" s="223">
        <v>2004</v>
      </c>
      <c r="H98" s="223">
        <v>1</v>
      </c>
      <c r="I98" s="223">
        <v>1</v>
      </c>
      <c r="J98" s="223"/>
      <c r="K98" s="238">
        <v>88556.86</v>
      </c>
      <c r="L98" s="241">
        <v>56</v>
      </c>
      <c r="M98" s="228">
        <v>38965.018400000001</v>
      </c>
      <c r="N98" s="230">
        <v>23.59</v>
      </c>
      <c r="O98" s="231">
        <v>38965</v>
      </c>
      <c r="P98" s="315"/>
      <c r="Q98" s="276">
        <f t="shared" si="2"/>
        <v>3754</v>
      </c>
      <c r="R98" s="275">
        <f>(SUMIFS('Dec 31 2018 OFFS'!$AG:$AG,'Dec 31 2018 OFFS'!$AI:$AI,'T1 2019 Pipeline Data Lagasco'!$A98,'Dec 31 2018 OFFS'!$U:$U,'T1 2019 Pipeline Data Lagasco'!$E98,'Dec 31 2018 OFFS'!$AK:$AK,'T1 2019 Pipeline Data Lagasco'!$Q98,'Dec 31 2018 OFFS'!$W:$W,'T1 2019 Pipeline Data Lagasco'!$G98))/(MAX(COUNTIFS('Dec 31 2018 OFFS'!$AI:$AI,'T1 2019 Pipeline Data Lagasco'!$A98,'Dec 31 2018 OFFS'!$U:$U,'T1 2019 Pipeline Data Lagasco'!$E98,'Dec 31 2018 OFFS'!$AK:$AK,'T1 2019 Pipeline Data Lagasco'!$Q98,'Dec 31 2018 OFFS'!$W:$W,'T1 2019 Pipeline Data Lagasco'!$G98),1))</f>
        <v>38965</v>
      </c>
      <c r="S98" s="275">
        <f t="shared" si="3"/>
        <v>0</v>
      </c>
      <c r="T98" s="217"/>
    </row>
    <row r="99" spans="1:20" ht="14.1" customHeight="1">
      <c r="A99" s="224" t="s">
        <v>1491</v>
      </c>
      <c r="B99" s="218" t="s">
        <v>1492</v>
      </c>
      <c r="C99" s="223">
        <v>1</v>
      </c>
      <c r="D99" s="218" t="s">
        <v>1488</v>
      </c>
      <c r="E99" s="240">
        <v>3</v>
      </c>
      <c r="F99" s="226">
        <v>4586.5812320000005</v>
      </c>
      <c r="G99" s="223">
        <v>1985</v>
      </c>
      <c r="H99" s="223">
        <v>1</v>
      </c>
      <c r="I99" s="223">
        <v>1</v>
      </c>
      <c r="J99" s="223"/>
      <c r="K99" s="228">
        <v>108197.4513</v>
      </c>
      <c r="L99" s="241">
        <v>80</v>
      </c>
      <c r="M99" s="229">
        <v>21639.490249999999</v>
      </c>
      <c r="N99" s="230">
        <v>23.59</v>
      </c>
      <c r="O99" s="231">
        <v>21639</v>
      </c>
      <c r="P99" s="315"/>
      <c r="Q99" s="276">
        <f t="shared" si="2"/>
        <v>4586.58</v>
      </c>
      <c r="R99" s="275">
        <f>(SUMIFS('Dec 31 2018 OFFS'!$AG:$AG,'Dec 31 2018 OFFS'!$AI:$AI,'T1 2019 Pipeline Data Lagasco'!$A99,'Dec 31 2018 OFFS'!$U:$U,'T1 2019 Pipeline Data Lagasco'!$E99,'Dec 31 2018 OFFS'!$AK:$AK,'T1 2019 Pipeline Data Lagasco'!$Q99,'Dec 31 2018 OFFS'!$W:$W,'T1 2019 Pipeline Data Lagasco'!$G99))/(MAX(COUNTIFS('Dec 31 2018 OFFS'!$AI:$AI,'T1 2019 Pipeline Data Lagasco'!$A99,'Dec 31 2018 OFFS'!$U:$U,'T1 2019 Pipeline Data Lagasco'!$E99,'Dec 31 2018 OFFS'!$AK:$AK,'T1 2019 Pipeline Data Lagasco'!$Q99,'Dec 31 2018 OFFS'!$W:$W,'T1 2019 Pipeline Data Lagasco'!$G99),1))</f>
        <v>21639</v>
      </c>
      <c r="S99" s="275">
        <f t="shared" si="3"/>
        <v>0</v>
      </c>
      <c r="T99" s="217"/>
    </row>
    <row r="100" spans="1:20" ht="14.1" customHeight="1">
      <c r="A100" s="224" t="s">
        <v>1491</v>
      </c>
      <c r="B100" s="218" t="s">
        <v>1492</v>
      </c>
      <c r="C100" s="223">
        <v>1</v>
      </c>
      <c r="D100" s="218" t="s">
        <v>1488</v>
      </c>
      <c r="E100" s="240">
        <v>3</v>
      </c>
      <c r="F100" s="223">
        <v>3602</v>
      </c>
      <c r="G100" s="223">
        <v>2004</v>
      </c>
      <c r="H100" s="223">
        <v>1</v>
      </c>
      <c r="I100" s="223">
        <v>1</v>
      </c>
      <c r="J100" s="223"/>
      <c r="K100" s="238">
        <v>84971.18</v>
      </c>
      <c r="L100" s="241">
        <v>56</v>
      </c>
      <c r="M100" s="228">
        <v>37387.319199999998</v>
      </c>
      <c r="N100" s="230">
        <v>23.59</v>
      </c>
      <c r="O100" s="231">
        <v>37387</v>
      </c>
      <c r="P100" s="315"/>
      <c r="Q100" s="276">
        <f t="shared" si="2"/>
        <v>3602</v>
      </c>
      <c r="R100" s="275">
        <f>(SUMIFS('Dec 31 2018 OFFS'!$AG:$AG,'Dec 31 2018 OFFS'!$AI:$AI,'T1 2019 Pipeline Data Lagasco'!$A100,'Dec 31 2018 OFFS'!$U:$U,'T1 2019 Pipeline Data Lagasco'!$E100,'Dec 31 2018 OFFS'!$AK:$AK,'T1 2019 Pipeline Data Lagasco'!$Q100,'Dec 31 2018 OFFS'!$W:$W,'T1 2019 Pipeline Data Lagasco'!$G100))/(MAX(COUNTIFS('Dec 31 2018 OFFS'!$AI:$AI,'T1 2019 Pipeline Data Lagasco'!$A100,'Dec 31 2018 OFFS'!$U:$U,'T1 2019 Pipeline Data Lagasco'!$E100,'Dec 31 2018 OFFS'!$AK:$AK,'T1 2019 Pipeline Data Lagasco'!$Q100,'Dec 31 2018 OFFS'!$W:$W,'T1 2019 Pipeline Data Lagasco'!$G100),1))</f>
        <v>37387</v>
      </c>
      <c r="S100" s="275">
        <f t="shared" si="3"/>
        <v>0</v>
      </c>
      <c r="T100" s="217"/>
    </row>
    <row r="101" spans="1:20" ht="14.1" customHeight="1">
      <c r="A101" s="224" t="s">
        <v>1491</v>
      </c>
      <c r="B101" s="218" t="s">
        <v>1492</v>
      </c>
      <c r="C101" s="223">
        <v>1</v>
      </c>
      <c r="D101" s="218" t="s">
        <v>1488</v>
      </c>
      <c r="E101" s="240">
        <v>3</v>
      </c>
      <c r="F101" s="230">
        <v>4837.24</v>
      </c>
      <c r="G101" s="223">
        <v>1983</v>
      </c>
      <c r="H101" s="223">
        <v>1</v>
      </c>
      <c r="I101" s="223">
        <v>0</v>
      </c>
      <c r="J101" s="223"/>
      <c r="K101" s="228">
        <v>114110.49159999999</v>
      </c>
      <c r="L101" s="241">
        <v>80</v>
      </c>
      <c r="M101" s="229">
        <v>22822.098320000001</v>
      </c>
      <c r="N101" s="230">
        <v>23.59</v>
      </c>
      <c r="O101" s="231">
        <v>0</v>
      </c>
      <c r="P101" s="315"/>
      <c r="Q101" s="276">
        <f t="shared" si="2"/>
        <v>4837.24</v>
      </c>
      <c r="R101" s="275">
        <f>(SUMIFS('Dec 31 2018 OFFS'!$AG:$AG,'Dec 31 2018 OFFS'!$AI:$AI,'T1 2019 Pipeline Data Lagasco'!$A101,'Dec 31 2018 OFFS'!$U:$U,'T1 2019 Pipeline Data Lagasco'!$E101,'Dec 31 2018 OFFS'!$AK:$AK,'T1 2019 Pipeline Data Lagasco'!$Q101,'Dec 31 2018 OFFS'!$W:$W,'T1 2019 Pipeline Data Lagasco'!$G101))/(MAX(COUNTIFS('Dec 31 2018 OFFS'!$AI:$AI,'T1 2019 Pipeline Data Lagasco'!$A101,'Dec 31 2018 OFFS'!$U:$U,'T1 2019 Pipeline Data Lagasco'!$E101,'Dec 31 2018 OFFS'!$AK:$AK,'T1 2019 Pipeline Data Lagasco'!$Q101,'Dec 31 2018 OFFS'!$W:$W,'T1 2019 Pipeline Data Lagasco'!$G101),1))</f>
        <v>0</v>
      </c>
      <c r="S101" s="275">
        <f t="shared" si="3"/>
        <v>0</v>
      </c>
      <c r="T101" s="217"/>
    </row>
    <row r="102" spans="1:20" ht="14.1" customHeight="1">
      <c r="A102" s="224" t="s">
        <v>1491</v>
      </c>
      <c r="B102" s="218" t="s">
        <v>1492</v>
      </c>
      <c r="C102" s="223">
        <v>1</v>
      </c>
      <c r="D102" s="218" t="s">
        <v>1488</v>
      </c>
      <c r="E102" s="240">
        <v>3</v>
      </c>
      <c r="F102" s="226">
        <v>2561.0891649999999</v>
      </c>
      <c r="G102" s="223">
        <v>1984</v>
      </c>
      <c r="H102" s="223">
        <v>1</v>
      </c>
      <c r="I102" s="223">
        <v>0</v>
      </c>
      <c r="J102" s="223"/>
      <c r="K102" s="229">
        <v>60416.093390000002</v>
      </c>
      <c r="L102" s="241">
        <v>80</v>
      </c>
      <c r="M102" s="229">
        <v>12083.21868</v>
      </c>
      <c r="N102" s="230">
        <v>23.59</v>
      </c>
      <c r="O102" s="231">
        <v>0</v>
      </c>
      <c r="P102" s="315"/>
      <c r="Q102" s="276">
        <f t="shared" si="2"/>
        <v>2561.09</v>
      </c>
      <c r="R102" s="275">
        <f>(SUMIFS('Dec 31 2018 OFFS'!$AG:$AG,'Dec 31 2018 OFFS'!$AI:$AI,'T1 2019 Pipeline Data Lagasco'!$A102,'Dec 31 2018 OFFS'!$U:$U,'T1 2019 Pipeline Data Lagasco'!$E102,'Dec 31 2018 OFFS'!$AK:$AK,'T1 2019 Pipeline Data Lagasco'!$Q102,'Dec 31 2018 OFFS'!$W:$W,'T1 2019 Pipeline Data Lagasco'!$G102))/(MAX(COUNTIFS('Dec 31 2018 OFFS'!$AI:$AI,'T1 2019 Pipeline Data Lagasco'!$A102,'Dec 31 2018 OFFS'!$U:$U,'T1 2019 Pipeline Data Lagasco'!$E102,'Dec 31 2018 OFFS'!$AK:$AK,'T1 2019 Pipeline Data Lagasco'!$Q102,'Dec 31 2018 OFFS'!$W:$W,'T1 2019 Pipeline Data Lagasco'!$G102),1))</f>
        <v>0</v>
      </c>
      <c r="S102" s="275">
        <f t="shared" si="3"/>
        <v>0</v>
      </c>
      <c r="T102" s="217"/>
    </row>
    <row r="103" spans="1:20" ht="14.1" customHeight="1">
      <c r="A103" s="224" t="s">
        <v>1491</v>
      </c>
      <c r="B103" s="218" t="s">
        <v>1492</v>
      </c>
      <c r="C103" s="223">
        <v>1</v>
      </c>
      <c r="D103" s="218" t="s">
        <v>1488</v>
      </c>
      <c r="E103" s="240">
        <v>3</v>
      </c>
      <c r="F103" s="226">
        <v>4459.7111569999997</v>
      </c>
      <c r="G103" s="223">
        <v>1985</v>
      </c>
      <c r="H103" s="223">
        <v>1</v>
      </c>
      <c r="I103" s="223">
        <v>1</v>
      </c>
      <c r="J103" s="223"/>
      <c r="K103" s="228">
        <v>105204.58620000001</v>
      </c>
      <c r="L103" s="241">
        <v>80</v>
      </c>
      <c r="M103" s="229">
        <v>21040.917239999999</v>
      </c>
      <c r="N103" s="230">
        <v>23.59</v>
      </c>
      <c r="O103" s="231">
        <v>21040</v>
      </c>
      <c r="P103" s="315"/>
      <c r="Q103" s="276">
        <f t="shared" si="2"/>
        <v>4459.71</v>
      </c>
      <c r="R103" s="275">
        <f>(SUMIFS('Dec 31 2018 OFFS'!$AG:$AG,'Dec 31 2018 OFFS'!$AI:$AI,'T1 2019 Pipeline Data Lagasco'!$A103,'Dec 31 2018 OFFS'!$U:$U,'T1 2019 Pipeline Data Lagasco'!$E103,'Dec 31 2018 OFFS'!$AK:$AK,'T1 2019 Pipeline Data Lagasco'!$Q103,'Dec 31 2018 OFFS'!$W:$W,'T1 2019 Pipeline Data Lagasco'!$G103))/(MAX(COUNTIFS('Dec 31 2018 OFFS'!$AI:$AI,'T1 2019 Pipeline Data Lagasco'!$A103,'Dec 31 2018 OFFS'!$U:$U,'T1 2019 Pipeline Data Lagasco'!$E103,'Dec 31 2018 OFFS'!$AK:$AK,'T1 2019 Pipeline Data Lagasco'!$Q103,'Dec 31 2018 OFFS'!$W:$W,'T1 2019 Pipeline Data Lagasco'!$G103),1))</f>
        <v>21040</v>
      </c>
      <c r="S103" s="275">
        <f t="shared" si="3"/>
        <v>0</v>
      </c>
      <c r="T103" s="217"/>
    </row>
    <row r="104" spans="1:20" ht="14.1" customHeight="1">
      <c r="A104" s="224" t="s">
        <v>1491</v>
      </c>
      <c r="B104" s="218" t="s">
        <v>1492</v>
      </c>
      <c r="C104" s="223">
        <v>1</v>
      </c>
      <c r="D104" s="218" t="s">
        <v>1488</v>
      </c>
      <c r="E104" s="240">
        <v>3</v>
      </c>
      <c r="F104" s="226">
        <v>1236.745371</v>
      </c>
      <c r="G104" s="223">
        <v>1985</v>
      </c>
      <c r="H104" s="223">
        <v>1</v>
      </c>
      <c r="I104" s="223">
        <v>1</v>
      </c>
      <c r="J104" s="223"/>
      <c r="K104" s="228">
        <v>29174.8233</v>
      </c>
      <c r="L104" s="241">
        <v>80</v>
      </c>
      <c r="M104" s="229">
        <v>5834.9646599999996</v>
      </c>
      <c r="N104" s="230">
        <v>23.59</v>
      </c>
      <c r="O104" s="231">
        <v>5834</v>
      </c>
      <c r="P104" s="315"/>
      <c r="Q104" s="276">
        <f t="shared" si="2"/>
        <v>1236.75</v>
      </c>
      <c r="R104" s="275">
        <f>(SUMIFS('Dec 31 2018 OFFS'!$AG:$AG,'Dec 31 2018 OFFS'!$AI:$AI,'T1 2019 Pipeline Data Lagasco'!$A104,'Dec 31 2018 OFFS'!$U:$U,'T1 2019 Pipeline Data Lagasco'!$E104,'Dec 31 2018 OFFS'!$AK:$AK,'T1 2019 Pipeline Data Lagasco'!$Q104,'Dec 31 2018 OFFS'!$W:$W,'T1 2019 Pipeline Data Lagasco'!$G104))/(MAX(COUNTIFS('Dec 31 2018 OFFS'!$AI:$AI,'T1 2019 Pipeline Data Lagasco'!$A104,'Dec 31 2018 OFFS'!$U:$U,'T1 2019 Pipeline Data Lagasco'!$E104,'Dec 31 2018 OFFS'!$AK:$AK,'T1 2019 Pipeline Data Lagasco'!$Q104,'Dec 31 2018 OFFS'!$W:$W,'T1 2019 Pipeline Data Lagasco'!$G104),1))</f>
        <v>5834</v>
      </c>
      <c r="S104" s="275">
        <f t="shared" si="3"/>
        <v>0</v>
      </c>
      <c r="T104" s="217"/>
    </row>
    <row r="105" spans="1:20" ht="14.1" customHeight="1">
      <c r="A105" s="224" t="s">
        <v>1491</v>
      </c>
      <c r="B105" s="218" t="s">
        <v>1492</v>
      </c>
      <c r="C105" s="223">
        <v>1</v>
      </c>
      <c r="D105" s="218" t="s">
        <v>1488</v>
      </c>
      <c r="E105" s="240">
        <v>3</v>
      </c>
      <c r="F105" s="223">
        <v>3391</v>
      </c>
      <c r="G105" s="223">
        <v>2004</v>
      </c>
      <c r="H105" s="223">
        <v>1</v>
      </c>
      <c r="I105" s="223">
        <v>1</v>
      </c>
      <c r="J105" s="223"/>
      <c r="K105" s="238">
        <v>79993.69</v>
      </c>
      <c r="L105" s="241">
        <v>56</v>
      </c>
      <c r="M105" s="228">
        <v>35197.223599999998</v>
      </c>
      <c r="N105" s="230">
        <v>23.59</v>
      </c>
      <c r="O105" s="231">
        <v>35197</v>
      </c>
      <c r="P105" s="315"/>
      <c r="Q105" s="276">
        <f t="shared" si="2"/>
        <v>3391</v>
      </c>
      <c r="R105" s="275">
        <f>(SUMIFS('Dec 31 2018 OFFS'!$AG:$AG,'Dec 31 2018 OFFS'!$AI:$AI,'T1 2019 Pipeline Data Lagasco'!$A105,'Dec 31 2018 OFFS'!$U:$U,'T1 2019 Pipeline Data Lagasco'!$E105,'Dec 31 2018 OFFS'!$AK:$AK,'T1 2019 Pipeline Data Lagasco'!$Q105,'Dec 31 2018 OFFS'!$W:$W,'T1 2019 Pipeline Data Lagasco'!$G105))/(MAX(COUNTIFS('Dec 31 2018 OFFS'!$AI:$AI,'T1 2019 Pipeline Data Lagasco'!$A105,'Dec 31 2018 OFFS'!$U:$U,'T1 2019 Pipeline Data Lagasco'!$E105,'Dec 31 2018 OFFS'!$AK:$AK,'T1 2019 Pipeline Data Lagasco'!$Q105,'Dec 31 2018 OFFS'!$W:$W,'T1 2019 Pipeline Data Lagasco'!$G105),1))</f>
        <v>35197</v>
      </c>
      <c r="S105" s="275">
        <f t="shared" si="3"/>
        <v>0</v>
      </c>
      <c r="T105" s="217"/>
    </row>
    <row r="106" spans="1:20" ht="14.1" customHeight="1">
      <c r="A106" s="224" t="s">
        <v>1491</v>
      </c>
      <c r="B106" s="218" t="s">
        <v>1492</v>
      </c>
      <c r="C106" s="223">
        <v>1</v>
      </c>
      <c r="D106" s="218" t="s">
        <v>1488</v>
      </c>
      <c r="E106" s="240">
        <v>3</v>
      </c>
      <c r="F106" s="226">
        <v>8016.174309</v>
      </c>
      <c r="G106" s="223">
        <v>1988</v>
      </c>
      <c r="H106" s="230">
        <v>0.75</v>
      </c>
      <c r="I106" s="223">
        <v>1</v>
      </c>
      <c r="J106" s="223"/>
      <c r="K106" s="228">
        <v>189101.55189999999</v>
      </c>
      <c r="L106" s="241">
        <v>76</v>
      </c>
      <c r="M106" s="229">
        <v>45384.372470000002</v>
      </c>
      <c r="N106" s="230">
        <v>23.59</v>
      </c>
      <c r="O106" s="231">
        <v>34038</v>
      </c>
      <c r="P106" s="315"/>
      <c r="Q106" s="276">
        <f t="shared" si="2"/>
        <v>8016.17</v>
      </c>
      <c r="R106" s="275">
        <f>(SUMIFS('Dec 31 2018 OFFS'!$AG:$AG,'Dec 31 2018 OFFS'!$AI:$AI,'T1 2019 Pipeline Data Lagasco'!$A106,'Dec 31 2018 OFFS'!$U:$U,'T1 2019 Pipeline Data Lagasco'!$E106,'Dec 31 2018 OFFS'!$AK:$AK,'T1 2019 Pipeline Data Lagasco'!$Q106,'Dec 31 2018 OFFS'!$W:$W,'T1 2019 Pipeline Data Lagasco'!$G106))/(MAX(COUNTIFS('Dec 31 2018 OFFS'!$AI:$AI,'T1 2019 Pipeline Data Lagasco'!$A106,'Dec 31 2018 OFFS'!$U:$U,'T1 2019 Pipeline Data Lagasco'!$E106,'Dec 31 2018 OFFS'!$AK:$AK,'T1 2019 Pipeline Data Lagasco'!$Q106,'Dec 31 2018 OFFS'!$W:$W,'T1 2019 Pipeline Data Lagasco'!$G106),1))</f>
        <v>34038</v>
      </c>
      <c r="S106" s="275">
        <f t="shared" si="3"/>
        <v>0</v>
      </c>
      <c r="T106" s="217"/>
    </row>
    <row r="107" spans="1:20" ht="14.1" customHeight="1">
      <c r="A107" s="224" t="s">
        <v>1491</v>
      </c>
      <c r="B107" s="218" t="s">
        <v>1492</v>
      </c>
      <c r="C107" s="223">
        <v>1</v>
      </c>
      <c r="D107" s="218" t="s">
        <v>1488</v>
      </c>
      <c r="E107" s="240">
        <v>3</v>
      </c>
      <c r="F107" s="226">
        <v>2667.3555660000002</v>
      </c>
      <c r="G107" s="223">
        <v>1988</v>
      </c>
      <c r="H107" s="223">
        <v>1</v>
      </c>
      <c r="I107" s="223">
        <v>1</v>
      </c>
      <c r="J107" s="223"/>
      <c r="K107" s="228">
        <v>62922.917800000003</v>
      </c>
      <c r="L107" s="241">
        <v>76</v>
      </c>
      <c r="M107" s="229">
        <v>15101.50027</v>
      </c>
      <c r="N107" s="230">
        <v>23.59</v>
      </c>
      <c r="O107" s="231">
        <v>15101</v>
      </c>
      <c r="P107" s="315"/>
      <c r="Q107" s="276">
        <f t="shared" si="2"/>
        <v>2667.36</v>
      </c>
      <c r="R107" s="275">
        <f>(SUMIFS('Dec 31 2018 OFFS'!$AG:$AG,'Dec 31 2018 OFFS'!$AI:$AI,'T1 2019 Pipeline Data Lagasco'!$A107,'Dec 31 2018 OFFS'!$U:$U,'T1 2019 Pipeline Data Lagasco'!$E107,'Dec 31 2018 OFFS'!$AK:$AK,'T1 2019 Pipeline Data Lagasco'!$Q107,'Dec 31 2018 OFFS'!$W:$W,'T1 2019 Pipeline Data Lagasco'!$G107))/(MAX(COUNTIFS('Dec 31 2018 OFFS'!$AI:$AI,'T1 2019 Pipeline Data Lagasco'!$A107,'Dec 31 2018 OFFS'!$U:$U,'T1 2019 Pipeline Data Lagasco'!$E107,'Dec 31 2018 OFFS'!$AK:$AK,'T1 2019 Pipeline Data Lagasco'!$Q107,'Dec 31 2018 OFFS'!$W:$W,'T1 2019 Pipeline Data Lagasco'!$G107),1))</f>
        <v>15101</v>
      </c>
      <c r="S107" s="275">
        <f t="shared" si="3"/>
        <v>0</v>
      </c>
      <c r="T107" s="217"/>
    </row>
    <row r="108" spans="1:20" ht="14.1" customHeight="1">
      <c r="A108" s="224" t="s">
        <v>1491</v>
      </c>
      <c r="B108" s="218" t="s">
        <v>1492</v>
      </c>
      <c r="C108" s="223">
        <v>1</v>
      </c>
      <c r="D108" s="218" t="s">
        <v>1488</v>
      </c>
      <c r="E108" s="240">
        <v>3</v>
      </c>
      <c r="F108" s="226">
        <v>4759.7439569999997</v>
      </c>
      <c r="G108" s="223">
        <v>1984</v>
      </c>
      <c r="H108" s="223">
        <v>1</v>
      </c>
      <c r="I108" s="225">
        <v>0</v>
      </c>
      <c r="J108" s="223"/>
      <c r="K108" s="228">
        <v>112282.3599</v>
      </c>
      <c r="L108" s="241">
        <v>80</v>
      </c>
      <c r="M108" s="229">
        <v>22456.471989999998</v>
      </c>
      <c r="N108" s="230">
        <v>23.59</v>
      </c>
      <c r="O108" s="287">
        <v>0</v>
      </c>
      <c r="P108" s="316" t="s">
        <v>1558</v>
      </c>
      <c r="Q108" s="276">
        <f t="shared" si="2"/>
        <v>4759.74</v>
      </c>
      <c r="R108" s="275">
        <f>(SUMIFS('Dec 31 2018 OFFS'!$AG:$AG,'Dec 31 2018 OFFS'!$AI:$AI,'T1 2019 Pipeline Data Lagasco'!$A108,'Dec 31 2018 OFFS'!$U:$U,'T1 2019 Pipeline Data Lagasco'!$E108,'Dec 31 2018 OFFS'!$AK:$AK,'T1 2019 Pipeline Data Lagasco'!$Q108,'Dec 31 2018 OFFS'!$W:$W,'T1 2019 Pipeline Data Lagasco'!$G108))/(MAX(COUNTIFS('Dec 31 2018 OFFS'!$AI:$AI,'T1 2019 Pipeline Data Lagasco'!$A108,'Dec 31 2018 OFFS'!$U:$U,'T1 2019 Pipeline Data Lagasco'!$E108,'Dec 31 2018 OFFS'!$AK:$AK,'T1 2019 Pipeline Data Lagasco'!$Q108,'Dec 31 2018 OFFS'!$W:$W,'T1 2019 Pipeline Data Lagasco'!$G108),1))</f>
        <v>0</v>
      </c>
      <c r="S108" s="275">
        <f t="shared" si="3"/>
        <v>0</v>
      </c>
      <c r="T108" s="278" t="e">
        <f>R108/O108</f>
        <v>#DIV/0!</v>
      </c>
    </row>
    <row r="109" spans="1:20" ht="14.1" customHeight="1">
      <c r="A109" s="224" t="s">
        <v>1491</v>
      </c>
      <c r="B109" s="218" t="s">
        <v>1492</v>
      </c>
      <c r="C109" s="223">
        <v>1</v>
      </c>
      <c r="D109" s="218" t="s">
        <v>1488</v>
      </c>
      <c r="E109" s="240">
        <v>3</v>
      </c>
      <c r="F109" s="226">
        <v>4652.5261119999996</v>
      </c>
      <c r="G109" s="223">
        <v>1988</v>
      </c>
      <c r="H109" s="223">
        <v>1</v>
      </c>
      <c r="I109" s="223">
        <v>1</v>
      </c>
      <c r="J109" s="223"/>
      <c r="K109" s="239">
        <v>109753.091</v>
      </c>
      <c r="L109" s="241">
        <v>76</v>
      </c>
      <c r="M109" s="229">
        <v>26340.741839999999</v>
      </c>
      <c r="N109" s="230">
        <v>23.59</v>
      </c>
      <c r="O109" s="231">
        <v>26340</v>
      </c>
      <c r="P109" s="315"/>
      <c r="Q109" s="276">
        <f t="shared" si="2"/>
        <v>4652.53</v>
      </c>
      <c r="R109" s="275">
        <f>(SUMIFS('Dec 31 2018 OFFS'!$AG:$AG,'Dec 31 2018 OFFS'!$AI:$AI,'T1 2019 Pipeline Data Lagasco'!$A109,'Dec 31 2018 OFFS'!$U:$U,'T1 2019 Pipeline Data Lagasco'!$E109,'Dec 31 2018 OFFS'!$AK:$AK,'T1 2019 Pipeline Data Lagasco'!$Q109,'Dec 31 2018 OFFS'!$W:$W,'T1 2019 Pipeline Data Lagasco'!$G109))/(MAX(COUNTIFS('Dec 31 2018 OFFS'!$AI:$AI,'T1 2019 Pipeline Data Lagasco'!$A109,'Dec 31 2018 OFFS'!$U:$U,'T1 2019 Pipeline Data Lagasco'!$E109,'Dec 31 2018 OFFS'!$AK:$AK,'T1 2019 Pipeline Data Lagasco'!$Q109,'Dec 31 2018 OFFS'!$W:$W,'T1 2019 Pipeline Data Lagasco'!$G109),1))</f>
        <v>26340</v>
      </c>
      <c r="S109" s="275">
        <f t="shared" si="3"/>
        <v>0</v>
      </c>
      <c r="T109" s="217"/>
    </row>
    <row r="110" spans="1:20" ht="14.1" customHeight="1">
      <c r="A110" s="224" t="s">
        <v>1491</v>
      </c>
      <c r="B110" s="218" t="s">
        <v>1492</v>
      </c>
      <c r="C110" s="223">
        <v>1</v>
      </c>
      <c r="D110" s="218" t="s">
        <v>1488</v>
      </c>
      <c r="E110" s="240">
        <v>3</v>
      </c>
      <c r="F110" s="226">
        <v>1008.169262</v>
      </c>
      <c r="G110" s="223">
        <v>1984</v>
      </c>
      <c r="H110" s="223">
        <v>1</v>
      </c>
      <c r="I110" s="223">
        <v>1</v>
      </c>
      <c r="J110" s="223"/>
      <c r="K110" s="229">
        <v>23782.712889999999</v>
      </c>
      <c r="L110" s="241">
        <v>80</v>
      </c>
      <c r="M110" s="233">
        <v>4756.5425789999999</v>
      </c>
      <c r="N110" s="230">
        <v>23.59</v>
      </c>
      <c r="O110" s="231">
        <v>4756</v>
      </c>
      <c r="P110" s="315"/>
      <c r="Q110" s="276">
        <f t="shared" si="2"/>
        <v>1008.17</v>
      </c>
      <c r="R110" s="275">
        <f>(SUMIFS('Dec 31 2018 OFFS'!$AG:$AG,'Dec 31 2018 OFFS'!$AI:$AI,'T1 2019 Pipeline Data Lagasco'!$A110,'Dec 31 2018 OFFS'!$U:$U,'T1 2019 Pipeline Data Lagasco'!$E110,'Dec 31 2018 OFFS'!$AK:$AK,'T1 2019 Pipeline Data Lagasco'!$Q110,'Dec 31 2018 OFFS'!$W:$W,'T1 2019 Pipeline Data Lagasco'!$G110))/(MAX(COUNTIFS('Dec 31 2018 OFFS'!$AI:$AI,'T1 2019 Pipeline Data Lagasco'!$A110,'Dec 31 2018 OFFS'!$U:$U,'T1 2019 Pipeline Data Lagasco'!$E110,'Dec 31 2018 OFFS'!$AK:$AK,'T1 2019 Pipeline Data Lagasco'!$Q110,'Dec 31 2018 OFFS'!$W:$W,'T1 2019 Pipeline Data Lagasco'!$G110),1))</f>
        <v>4756</v>
      </c>
      <c r="S110" s="275">
        <f t="shared" si="3"/>
        <v>0</v>
      </c>
      <c r="T110" s="217"/>
    </row>
    <row r="111" spans="1:20" ht="14.1" customHeight="1">
      <c r="A111" s="224" t="s">
        <v>1491</v>
      </c>
      <c r="B111" s="218" t="s">
        <v>1492</v>
      </c>
      <c r="C111" s="223">
        <v>1</v>
      </c>
      <c r="D111" s="218" t="s">
        <v>1488</v>
      </c>
      <c r="E111" s="240">
        <v>3</v>
      </c>
      <c r="F111" s="226">
        <v>4203.280718</v>
      </c>
      <c r="G111" s="223">
        <v>1985</v>
      </c>
      <c r="H111" s="223">
        <v>1</v>
      </c>
      <c r="I111" s="225">
        <v>0</v>
      </c>
      <c r="J111" s="223"/>
      <c r="K111" s="229">
        <v>99155.392139999996</v>
      </c>
      <c r="L111" s="241">
        <v>80</v>
      </c>
      <c r="M111" s="229">
        <v>19831.078430000001</v>
      </c>
      <c r="N111" s="230">
        <v>23.59</v>
      </c>
      <c r="O111" s="287">
        <v>0</v>
      </c>
      <c r="P111" s="316" t="s">
        <v>1558</v>
      </c>
      <c r="Q111" s="276">
        <f t="shared" si="2"/>
        <v>4203.28</v>
      </c>
      <c r="R111" s="275">
        <f>(SUMIFS('Dec 31 2018 OFFS'!$AG:$AG,'Dec 31 2018 OFFS'!$AI:$AI,'T1 2019 Pipeline Data Lagasco'!$A111,'Dec 31 2018 OFFS'!$U:$U,'T1 2019 Pipeline Data Lagasco'!$E111,'Dec 31 2018 OFFS'!$AK:$AK,'T1 2019 Pipeline Data Lagasco'!$Q111,'Dec 31 2018 OFFS'!$W:$W,'T1 2019 Pipeline Data Lagasco'!$G111))/(MAX(COUNTIFS('Dec 31 2018 OFFS'!$AI:$AI,'T1 2019 Pipeline Data Lagasco'!$A111,'Dec 31 2018 OFFS'!$U:$U,'T1 2019 Pipeline Data Lagasco'!$E111,'Dec 31 2018 OFFS'!$AK:$AK,'T1 2019 Pipeline Data Lagasco'!$Q111,'Dec 31 2018 OFFS'!$W:$W,'T1 2019 Pipeline Data Lagasco'!$G111),1))</f>
        <v>0</v>
      </c>
      <c r="S111" s="275">
        <f t="shared" si="3"/>
        <v>0</v>
      </c>
      <c r="T111" s="278" t="e">
        <f>R111/O111</f>
        <v>#DIV/0!</v>
      </c>
    </row>
    <row r="112" spans="1:20" ht="14.1" customHeight="1">
      <c r="A112" s="224" t="s">
        <v>1491</v>
      </c>
      <c r="B112" s="218" t="s">
        <v>1492</v>
      </c>
      <c r="C112" s="223">
        <v>1</v>
      </c>
      <c r="D112" s="218" t="s">
        <v>1488</v>
      </c>
      <c r="E112" s="240">
        <v>3</v>
      </c>
      <c r="F112" s="236">
        <v>10252.624379999999</v>
      </c>
      <c r="G112" s="223">
        <v>1982</v>
      </c>
      <c r="H112" s="230">
        <v>0.75</v>
      </c>
      <c r="I112" s="223">
        <v>1</v>
      </c>
      <c r="J112" s="223"/>
      <c r="K112" s="239">
        <v>241859.40900000001</v>
      </c>
      <c r="L112" s="241">
        <v>80</v>
      </c>
      <c r="M112" s="228">
        <v>48371.881800000003</v>
      </c>
      <c r="N112" s="230">
        <v>23.59</v>
      </c>
      <c r="O112" s="231">
        <v>36278</v>
      </c>
      <c r="P112" s="315"/>
      <c r="Q112" s="276">
        <f t="shared" si="2"/>
        <v>10252.620000000001</v>
      </c>
      <c r="R112" s="275">
        <f>(SUMIFS('Dec 31 2018 OFFS'!$AG:$AG,'Dec 31 2018 OFFS'!$AI:$AI,'T1 2019 Pipeline Data Lagasco'!$A112,'Dec 31 2018 OFFS'!$U:$U,'T1 2019 Pipeline Data Lagasco'!$E112,'Dec 31 2018 OFFS'!$AK:$AK,'T1 2019 Pipeline Data Lagasco'!$Q112,'Dec 31 2018 OFFS'!$W:$W,'T1 2019 Pipeline Data Lagasco'!$G112))/(MAX(COUNTIFS('Dec 31 2018 OFFS'!$AI:$AI,'T1 2019 Pipeline Data Lagasco'!$A112,'Dec 31 2018 OFFS'!$U:$U,'T1 2019 Pipeline Data Lagasco'!$E112,'Dec 31 2018 OFFS'!$AK:$AK,'T1 2019 Pipeline Data Lagasco'!$Q112,'Dec 31 2018 OFFS'!$W:$W,'T1 2019 Pipeline Data Lagasco'!$G112),1))</f>
        <v>36278</v>
      </c>
      <c r="S112" s="275">
        <f t="shared" si="3"/>
        <v>0</v>
      </c>
      <c r="T112" s="217"/>
    </row>
    <row r="113" spans="1:19" s="217" customFormat="1" ht="14.1" customHeight="1">
      <c r="A113" s="224" t="s">
        <v>1491</v>
      </c>
      <c r="B113" s="218" t="s">
        <v>1492</v>
      </c>
      <c r="C113" s="223">
        <v>1</v>
      </c>
      <c r="D113" s="218" t="s">
        <v>1488</v>
      </c>
      <c r="E113" s="240">
        <v>3</v>
      </c>
      <c r="F113" s="226">
        <v>4317.2899010000001</v>
      </c>
      <c r="G113" s="223">
        <v>1991</v>
      </c>
      <c r="H113" s="223">
        <v>1</v>
      </c>
      <c r="I113" s="223">
        <v>1</v>
      </c>
      <c r="J113" s="223"/>
      <c r="K113" s="228">
        <v>101844.8688</v>
      </c>
      <c r="L113" s="241">
        <v>72</v>
      </c>
      <c r="M113" s="229">
        <v>28516.563259999999</v>
      </c>
      <c r="N113" s="230">
        <v>23.59</v>
      </c>
      <c r="O113" s="231">
        <v>28516</v>
      </c>
      <c r="P113" s="315"/>
      <c r="Q113" s="276">
        <f t="shared" si="2"/>
        <v>4317.29</v>
      </c>
      <c r="R113" s="275">
        <f>(SUMIFS('Dec 31 2018 OFFS'!$AG:$AG,'Dec 31 2018 OFFS'!$AI:$AI,'T1 2019 Pipeline Data Lagasco'!$A113,'Dec 31 2018 OFFS'!$U:$U,'T1 2019 Pipeline Data Lagasco'!$E113,'Dec 31 2018 OFFS'!$AK:$AK,'T1 2019 Pipeline Data Lagasco'!$Q113,'Dec 31 2018 OFFS'!$W:$W,'T1 2019 Pipeline Data Lagasco'!$G113))/(MAX(COUNTIFS('Dec 31 2018 OFFS'!$AI:$AI,'T1 2019 Pipeline Data Lagasco'!$A113,'Dec 31 2018 OFFS'!$U:$U,'T1 2019 Pipeline Data Lagasco'!$E113,'Dec 31 2018 OFFS'!$AK:$AK,'T1 2019 Pipeline Data Lagasco'!$Q113,'Dec 31 2018 OFFS'!$W:$W,'T1 2019 Pipeline Data Lagasco'!$G113),1))</f>
        <v>28516</v>
      </c>
      <c r="S113" s="275">
        <f t="shared" si="3"/>
        <v>0</v>
      </c>
    </row>
    <row r="114" spans="1:19" s="217" customFormat="1" ht="14.1" customHeight="1">
      <c r="A114" s="224" t="s">
        <v>1491</v>
      </c>
      <c r="B114" s="218" t="s">
        <v>1492</v>
      </c>
      <c r="C114" s="223">
        <v>1</v>
      </c>
      <c r="D114" s="218" t="s">
        <v>1488</v>
      </c>
      <c r="E114" s="240">
        <v>3</v>
      </c>
      <c r="F114" s="226">
        <v>4251.8699559999995</v>
      </c>
      <c r="G114" s="223">
        <v>1994</v>
      </c>
      <c r="H114" s="223">
        <v>1</v>
      </c>
      <c r="I114" s="223">
        <v>1</v>
      </c>
      <c r="J114" s="223"/>
      <c r="K114" s="228">
        <v>100301.61229999999</v>
      </c>
      <c r="L114" s="241">
        <v>68</v>
      </c>
      <c r="M114" s="229">
        <v>32096.515920000002</v>
      </c>
      <c r="N114" s="230">
        <v>23.59</v>
      </c>
      <c r="O114" s="231">
        <v>32096</v>
      </c>
      <c r="P114" s="315"/>
      <c r="Q114" s="276">
        <f t="shared" si="2"/>
        <v>4251.87</v>
      </c>
      <c r="R114" s="275">
        <f>(SUMIFS('Dec 31 2018 OFFS'!$AG:$AG,'Dec 31 2018 OFFS'!$AI:$AI,'T1 2019 Pipeline Data Lagasco'!$A114,'Dec 31 2018 OFFS'!$U:$U,'T1 2019 Pipeline Data Lagasco'!$E114,'Dec 31 2018 OFFS'!$AK:$AK,'T1 2019 Pipeline Data Lagasco'!$Q114,'Dec 31 2018 OFFS'!$W:$W,'T1 2019 Pipeline Data Lagasco'!$G114))/(MAX(COUNTIFS('Dec 31 2018 OFFS'!$AI:$AI,'T1 2019 Pipeline Data Lagasco'!$A114,'Dec 31 2018 OFFS'!$U:$U,'T1 2019 Pipeline Data Lagasco'!$E114,'Dec 31 2018 OFFS'!$AK:$AK,'T1 2019 Pipeline Data Lagasco'!$Q114,'Dec 31 2018 OFFS'!$W:$W,'T1 2019 Pipeline Data Lagasco'!$G114),1))</f>
        <v>32096</v>
      </c>
      <c r="S114" s="275">
        <f t="shared" si="3"/>
        <v>0</v>
      </c>
    </row>
    <row r="115" spans="1:19" s="217" customFormat="1" ht="14.1" customHeight="1">
      <c r="A115" s="224" t="s">
        <v>1491</v>
      </c>
      <c r="B115" s="218" t="s">
        <v>1492</v>
      </c>
      <c r="C115" s="223">
        <v>1</v>
      </c>
      <c r="D115" s="218" t="s">
        <v>1488</v>
      </c>
      <c r="E115" s="240">
        <v>3</v>
      </c>
      <c r="F115" s="226">
        <v>4485.4001330000001</v>
      </c>
      <c r="G115" s="223">
        <v>1991</v>
      </c>
      <c r="H115" s="223">
        <v>1</v>
      </c>
      <c r="I115" s="223">
        <v>1</v>
      </c>
      <c r="J115" s="223"/>
      <c r="K115" s="228">
        <v>105810.5891</v>
      </c>
      <c r="L115" s="241">
        <v>72</v>
      </c>
      <c r="M115" s="229">
        <v>29626.964960000001</v>
      </c>
      <c r="N115" s="230">
        <v>23.59</v>
      </c>
      <c r="O115" s="231">
        <v>29626</v>
      </c>
      <c r="P115" s="315"/>
      <c r="Q115" s="276">
        <f t="shared" si="2"/>
        <v>4485.3999999999996</v>
      </c>
      <c r="R115" s="275">
        <f>(SUMIFS('Dec 31 2018 OFFS'!$AG:$AG,'Dec 31 2018 OFFS'!$AI:$AI,'T1 2019 Pipeline Data Lagasco'!$A115,'Dec 31 2018 OFFS'!$U:$U,'T1 2019 Pipeline Data Lagasco'!$E115,'Dec 31 2018 OFFS'!$AK:$AK,'T1 2019 Pipeline Data Lagasco'!$Q115,'Dec 31 2018 OFFS'!$W:$W,'T1 2019 Pipeline Data Lagasco'!$G115))/(MAX(COUNTIFS('Dec 31 2018 OFFS'!$AI:$AI,'T1 2019 Pipeline Data Lagasco'!$A115,'Dec 31 2018 OFFS'!$U:$U,'T1 2019 Pipeline Data Lagasco'!$E115,'Dec 31 2018 OFFS'!$AK:$AK,'T1 2019 Pipeline Data Lagasco'!$Q115,'Dec 31 2018 OFFS'!$W:$W,'T1 2019 Pipeline Data Lagasco'!$G115),1))</f>
        <v>29626</v>
      </c>
      <c r="S115" s="275">
        <f t="shared" si="3"/>
        <v>0</v>
      </c>
    </row>
    <row r="116" spans="1:19" s="217" customFormat="1" ht="14.1" customHeight="1">
      <c r="A116" s="224" t="s">
        <v>1491</v>
      </c>
      <c r="B116" s="218" t="s">
        <v>1492</v>
      </c>
      <c r="C116" s="223">
        <v>1</v>
      </c>
      <c r="D116" s="218" t="s">
        <v>1488</v>
      </c>
      <c r="E116" s="240">
        <v>3</v>
      </c>
      <c r="F116" s="242">
        <v>4262.70</v>
      </c>
      <c r="G116" s="223">
        <v>1991</v>
      </c>
      <c r="H116" s="223">
        <v>1</v>
      </c>
      <c r="I116" s="223">
        <v>0</v>
      </c>
      <c r="J116" s="223"/>
      <c r="K116" s="239">
        <v>100557.09299999999</v>
      </c>
      <c r="L116" s="241">
        <v>72</v>
      </c>
      <c r="M116" s="229">
        <v>28155.98604</v>
      </c>
      <c r="N116" s="230">
        <v>23.59</v>
      </c>
      <c r="O116" s="231">
        <v>0</v>
      </c>
      <c r="P116" s="315"/>
      <c r="Q116" s="276">
        <f t="shared" si="2"/>
        <v>4262.70</v>
      </c>
      <c r="R116" s="275">
        <f>(SUMIFS('Dec 31 2018 OFFS'!$AG:$AG,'Dec 31 2018 OFFS'!$AI:$AI,'T1 2019 Pipeline Data Lagasco'!$A116,'Dec 31 2018 OFFS'!$U:$U,'T1 2019 Pipeline Data Lagasco'!$E116,'Dec 31 2018 OFFS'!$AK:$AK,'T1 2019 Pipeline Data Lagasco'!$Q116,'Dec 31 2018 OFFS'!$W:$W,'T1 2019 Pipeline Data Lagasco'!$G116))/(MAX(COUNTIFS('Dec 31 2018 OFFS'!$AI:$AI,'T1 2019 Pipeline Data Lagasco'!$A116,'Dec 31 2018 OFFS'!$U:$U,'T1 2019 Pipeline Data Lagasco'!$E116,'Dec 31 2018 OFFS'!$AK:$AK,'T1 2019 Pipeline Data Lagasco'!$Q116,'Dec 31 2018 OFFS'!$W:$W,'T1 2019 Pipeline Data Lagasco'!$G116),1))</f>
        <v>0</v>
      </c>
      <c r="S116" s="275">
        <f t="shared" si="3"/>
        <v>0</v>
      </c>
    </row>
    <row r="117" spans="1:19" s="217" customFormat="1" ht="14.1" customHeight="1">
      <c r="A117" s="224" t="s">
        <v>1491</v>
      </c>
      <c r="B117" s="218" t="s">
        <v>1492</v>
      </c>
      <c r="C117" s="223">
        <v>1</v>
      </c>
      <c r="D117" s="218" t="s">
        <v>1488</v>
      </c>
      <c r="E117" s="240">
        <v>3</v>
      </c>
      <c r="F117" s="223">
        <v>4250</v>
      </c>
      <c r="G117" s="223">
        <v>2008</v>
      </c>
      <c r="H117" s="223">
        <v>1</v>
      </c>
      <c r="I117" s="223">
        <v>1</v>
      </c>
      <c r="J117" s="223"/>
      <c r="K117" s="237">
        <v>100257.50</v>
      </c>
      <c r="L117" s="241">
        <v>49</v>
      </c>
      <c r="M117" s="239">
        <v>51131.324999999997</v>
      </c>
      <c r="N117" s="230">
        <v>23.59</v>
      </c>
      <c r="O117" s="231">
        <v>51131</v>
      </c>
      <c r="P117" s="315"/>
      <c r="Q117" s="276">
        <f t="shared" si="2"/>
        <v>4250</v>
      </c>
      <c r="R117" s="275">
        <f>(SUMIFS('Dec 31 2018 OFFS'!$AG:$AG,'Dec 31 2018 OFFS'!$AI:$AI,'T1 2019 Pipeline Data Lagasco'!$A117,'Dec 31 2018 OFFS'!$U:$U,'T1 2019 Pipeline Data Lagasco'!$E117,'Dec 31 2018 OFFS'!$AK:$AK,'T1 2019 Pipeline Data Lagasco'!$Q117,'Dec 31 2018 OFFS'!$W:$W,'T1 2019 Pipeline Data Lagasco'!$G117))/(MAX(COUNTIFS('Dec 31 2018 OFFS'!$AI:$AI,'T1 2019 Pipeline Data Lagasco'!$A117,'Dec 31 2018 OFFS'!$U:$U,'T1 2019 Pipeline Data Lagasco'!$E117,'Dec 31 2018 OFFS'!$AK:$AK,'T1 2019 Pipeline Data Lagasco'!$Q117,'Dec 31 2018 OFFS'!$W:$W,'T1 2019 Pipeline Data Lagasco'!$G117),1))</f>
        <v>51131</v>
      </c>
      <c r="S117" s="275">
        <f t="shared" si="3"/>
        <v>0</v>
      </c>
    </row>
    <row r="118" spans="1:19" s="217" customFormat="1" ht="14.1" customHeight="1">
      <c r="A118" s="224" t="s">
        <v>1491</v>
      </c>
      <c r="B118" s="218" t="s">
        <v>1492</v>
      </c>
      <c r="C118" s="223">
        <v>1</v>
      </c>
      <c r="D118" s="218" t="s">
        <v>1488</v>
      </c>
      <c r="E118" s="240">
        <v>3</v>
      </c>
      <c r="F118" s="226">
        <v>4981.3974939999998</v>
      </c>
      <c r="G118" s="223">
        <v>1965</v>
      </c>
      <c r="H118" s="223">
        <v>1</v>
      </c>
      <c r="I118" s="223">
        <v>1</v>
      </c>
      <c r="J118" s="223"/>
      <c r="K118" s="228">
        <v>117511.1669</v>
      </c>
      <c r="L118" s="241">
        <v>80</v>
      </c>
      <c r="M118" s="229">
        <v>23502.233370000002</v>
      </c>
      <c r="N118" s="230">
        <v>23.59</v>
      </c>
      <c r="O118" s="231">
        <v>23502</v>
      </c>
      <c r="P118" s="315"/>
      <c r="Q118" s="276">
        <f t="shared" si="2"/>
        <v>4981.3999999999996</v>
      </c>
      <c r="R118" s="275">
        <f>(SUMIFS('Dec 31 2018 OFFS'!$AG:$AG,'Dec 31 2018 OFFS'!$AI:$AI,'T1 2019 Pipeline Data Lagasco'!$A118,'Dec 31 2018 OFFS'!$U:$U,'T1 2019 Pipeline Data Lagasco'!$E118,'Dec 31 2018 OFFS'!$AK:$AK,'T1 2019 Pipeline Data Lagasco'!$Q118,'Dec 31 2018 OFFS'!$W:$W,'T1 2019 Pipeline Data Lagasco'!$G118))/(MAX(COUNTIFS('Dec 31 2018 OFFS'!$AI:$AI,'T1 2019 Pipeline Data Lagasco'!$A118,'Dec 31 2018 OFFS'!$U:$U,'T1 2019 Pipeline Data Lagasco'!$E118,'Dec 31 2018 OFFS'!$AK:$AK,'T1 2019 Pipeline Data Lagasco'!$Q118,'Dec 31 2018 OFFS'!$W:$W,'T1 2019 Pipeline Data Lagasco'!$G118),1))</f>
        <v>23502</v>
      </c>
      <c r="S118" s="275">
        <f t="shared" si="3"/>
        <v>0</v>
      </c>
    </row>
    <row r="119" spans="1:19" s="217" customFormat="1" ht="14.1" customHeight="1">
      <c r="A119" s="224" t="s">
        <v>1491</v>
      </c>
      <c r="B119" s="218" t="s">
        <v>1492</v>
      </c>
      <c r="C119" s="223">
        <v>1</v>
      </c>
      <c r="D119" s="218" t="s">
        <v>1488</v>
      </c>
      <c r="E119" s="240">
        <v>3</v>
      </c>
      <c r="F119" s="236">
        <v>4421.3581400000003</v>
      </c>
      <c r="G119" s="223">
        <v>1965</v>
      </c>
      <c r="H119" s="223">
        <v>1</v>
      </c>
      <c r="I119" s="223">
        <v>1</v>
      </c>
      <c r="J119" s="223"/>
      <c r="K119" s="228">
        <v>104299.8385</v>
      </c>
      <c r="L119" s="241">
        <v>80</v>
      </c>
      <c r="M119" s="228">
        <v>20859.967700000001</v>
      </c>
      <c r="N119" s="230">
        <v>23.59</v>
      </c>
      <c r="O119" s="231">
        <v>20859</v>
      </c>
      <c r="P119" s="315"/>
      <c r="Q119" s="276">
        <f t="shared" si="2"/>
        <v>4421.3599999999997</v>
      </c>
      <c r="R119" s="275">
        <f>(SUMIFS('Dec 31 2018 OFFS'!$AG:$AG,'Dec 31 2018 OFFS'!$AI:$AI,'T1 2019 Pipeline Data Lagasco'!$A119,'Dec 31 2018 OFFS'!$U:$U,'T1 2019 Pipeline Data Lagasco'!$E119,'Dec 31 2018 OFFS'!$AK:$AK,'T1 2019 Pipeline Data Lagasco'!$Q119,'Dec 31 2018 OFFS'!$W:$W,'T1 2019 Pipeline Data Lagasco'!$G119))/(MAX(COUNTIFS('Dec 31 2018 OFFS'!$AI:$AI,'T1 2019 Pipeline Data Lagasco'!$A119,'Dec 31 2018 OFFS'!$U:$U,'T1 2019 Pipeline Data Lagasco'!$E119,'Dec 31 2018 OFFS'!$AK:$AK,'T1 2019 Pipeline Data Lagasco'!$Q119,'Dec 31 2018 OFFS'!$W:$W,'T1 2019 Pipeline Data Lagasco'!$G119),1))</f>
        <v>20859</v>
      </c>
      <c r="S119" s="275">
        <f t="shared" si="3"/>
        <v>0</v>
      </c>
    </row>
    <row r="120" spans="1:19" s="217" customFormat="1" ht="14.1" customHeight="1">
      <c r="A120" s="224" t="s">
        <v>1491</v>
      </c>
      <c r="B120" s="218" t="s">
        <v>1492</v>
      </c>
      <c r="C120" s="223">
        <v>1</v>
      </c>
      <c r="D120" s="218" t="s">
        <v>1488</v>
      </c>
      <c r="E120" s="240">
        <v>3</v>
      </c>
      <c r="F120" s="223">
        <v>1078</v>
      </c>
      <c r="G120" s="223">
        <v>2008</v>
      </c>
      <c r="H120" s="223">
        <v>1</v>
      </c>
      <c r="I120" s="223">
        <v>0</v>
      </c>
      <c r="J120" s="223"/>
      <c r="K120" s="238">
        <v>25430.02</v>
      </c>
      <c r="L120" s="241">
        <v>49</v>
      </c>
      <c r="M120" s="228">
        <v>12969.3102</v>
      </c>
      <c r="N120" s="230">
        <v>23.59</v>
      </c>
      <c r="O120" s="231">
        <v>0</v>
      </c>
      <c r="P120" s="315"/>
      <c r="Q120" s="276">
        <f t="shared" si="2"/>
        <v>1078</v>
      </c>
      <c r="R120" s="275">
        <f>(SUMIFS('Dec 31 2018 OFFS'!$AG:$AG,'Dec 31 2018 OFFS'!$AI:$AI,'T1 2019 Pipeline Data Lagasco'!$A120,'Dec 31 2018 OFFS'!$U:$U,'T1 2019 Pipeline Data Lagasco'!$E120,'Dec 31 2018 OFFS'!$AK:$AK,'T1 2019 Pipeline Data Lagasco'!$Q120,'Dec 31 2018 OFFS'!$W:$W,'T1 2019 Pipeline Data Lagasco'!$G120))/(MAX(COUNTIFS('Dec 31 2018 OFFS'!$AI:$AI,'T1 2019 Pipeline Data Lagasco'!$A120,'Dec 31 2018 OFFS'!$U:$U,'T1 2019 Pipeline Data Lagasco'!$E120,'Dec 31 2018 OFFS'!$AK:$AK,'T1 2019 Pipeline Data Lagasco'!$Q120,'Dec 31 2018 OFFS'!$W:$W,'T1 2019 Pipeline Data Lagasco'!$G120),1))</f>
        <v>0</v>
      </c>
      <c r="S120" s="275">
        <f t="shared" si="3"/>
        <v>0</v>
      </c>
    </row>
    <row r="121" spans="1:19" s="217" customFormat="1" ht="14.1" customHeight="1">
      <c r="A121" s="224" t="s">
        <v>1491</v>
      </c>
      <c r="B121" s="218" t="s">
        <v>1492</v>
      </c>
      <c r="C121" s="223">
        <v>1</v>
      </c>
      <c r="D121" s="218" t="s">
        <v>1488</v>
      </c>
      <c r="E121" s="240">
        <v>3</v>
      </c>
      <c r="F121" s="223">
        <v>5514</v>
      </c>
      <c r="G121" s="223">
        <v>2003</v>
      </c>
      <c r="H121" s="223">
        <v>1</v>
      </c>
      <c r="I121" s="223">
        <v>1</v>
      </c>
      <c r="J121" s="223"/>
      <c r="K121" s="238">
        <v>130075.26</v>
      </c>
      <c r="L121" s="241">
        <v>57</v>
      </c>
      <c r="M121" s="228">
        <v>55932.361799999999</v>
      </c>
      <c r="N121" s="230">
        <v>23.59</v>
      </c>
      <c r="O121" s="231">
        <v>55932</v>
      </c>
      <c r="P121" s="315"/>
      <c r="Q121" s="276">
        <f t="shared" si="2"/>
        <v>5514</v>
      </c>
      <c r="R121" s="275">
        <f>(SUMIFS('Dec 31 2018 OFFS'!$AG:$AG,'Dec 31 2018 OFFS'!$AI:$AI,'T1 2019 Pipeline Data Lagasco'!$A121,'Dec 31 2018 OFFS'!$U:$U,'T1 2019 Pipeline Data Lagasco'!$E121,'Dec 31 2018 OFFS'!$AK:$AK,'T1 2019 Pipeline Data Lagasco'!$Q121,'Dec 31 2018 OFFS'!$W:$W,'T1 2019 Pipeline Data Lagasco'!$G121))/(MAX(COUNTIFS('Dec 31 2018 OFFS'!$AI:$AI,'T1 2019 Pipeline Data Lagasco'!$A121,'Dec 31 2018 OFFS'!$U:$U,'T1 2019 Pipeline Data Lagasco'!$E121,'Dec 31 2018 OFFS'!$AK:$AK,'T1 2019 Pipeline Data Lagasco'!$Q121,'Dec 31 2018 OFFS'!$W:$W,'T1 2019 Pipeline Data Lagasco'!$G121),1))</f>
        <v>55932</v>
      </c>
      <c r="S121" s="275">
        <f t="shared" si="3"/>
        <v>0</v>
      </c>
    </row>
    <row r="122" spans="1:19" s="217" customFormat="1" ht="14.1" customHeight="1">
      <c r="A122" s="224" t="s">
        <v>1491</v>
      </c>
      <c r="B122" s="218" t="s">
        <v>1492</v>
      </c>
      <c r="C122" s="223">
        <v>1</v>
      </c>
      <c r="D122" s="218" t="s">
        <v>1488</v>
      </c>
      <c r="E122" s="240">
        <v>4</v>
      </c>
      <c r="F122" s="236">
        <v>10134.514139999999</v>
      </c>
      <c r="G122" s="223">
        <v>1965</v>
      </c>
      <c r="H122" s="223">
        <v>1</v>
      </c>
      <c r="I122" s="223">
        <v>1</v>
      </c>
      <c r="J122" s="223"/>
      <c r="K122" s="228">
        <v>268057.89909999998</v>
      </c>
      <c r="L122" s="241">
        <v>80</v>
      </c>
      <c r="M122" s="229">
        <v>53611.579810000003</v>
      </c>
      <c r="N122" s="230">
        <v>26.45</v>
      </c>
      <c r="O122" s="231">
        <v>53611</v>
      </c>
      <c r="P122" s="315"/>
      <c r="Q122" s="276">
        <f t="shared" si="2"/>
        <v>10134.51</v>
      </c>
      <c r="R122" s="275">
        <f>(SUMIFS('Dec 31 2018 OFFS'!$AG:$AG,'Dec 31 2018 OFFS'!$AI:$AI,'T1 2019 Pipeline Data Lagasco'!$A122,'Dec 31 2018 OFFS'!$U:$U,'T1 2019 Pipeline Data Lagasco'!$E122,'Dec 31 2018 OFFS'!$AK:$AK,'T1 2019 Pipeline Data Lagasco'!$Q122,'Dec 31 2018 OFFS'!$W:$W,'T1 2019 Pipeline Data Lagasco'!$G122))/(MAX(COUNTIFS('Dec 31 2018 OFFS'!$AI:$AI,'T1 2019 Pipeline Data Lagasco'!$A122,'Dec 31 2018 OFFS'!$U:$U,'T1 2019 Pipeline Data Lagasco'!$E122,'Dec 31 2018 OFFS'!$AK:$AK,'T1 2019 Pipeline Data Lagasco'!$Q122,'Dec 31 2018 OFFS'!$W:$W,'T1 2019 Pipeline Data Lagasco'!$G122),1))</f>
        <v>53611</v>
      </c>
      <c r="S122" s="275">
        <f t="shared" si="3"/>
        <v>0</v>
      </c>
    </row>
    <row r="123" spans="1:19" s="217" customFormat="1" ht="14.1" customHeight="1">
      <c r="A123" s="224" t="s">
        <v>1491</v>
      </c>
      <c r="B123" s="218" t="s">
        <v>1492</v>
      </c>
      <c r="C123" s="223">
        <v>1</v>
      </c>
      <c r="D123" s="218" t="s">
        <v>1488</v>
      </c>
      <c r="E123" s="240">
        <v>4</v>
      </c>
      <c r="F123" s="236">
        <v>5757.64419</v>
      </c>
      <c r="G123" s="223">
        <v>1975</v>
      </c>
      <c r="H123" s="223">
        <v>1</v>
      </c>
      <c r="I123" s="223">
        <v>1</v>
      </c>
      <c r="J123" s="223"/>
      <c r="K123" s="228">
        <v>152289.6888</v>
      </c>
      <c r="L123" s="241">
        <v>80</v>
      </c>
      <c r="M123" s="229">
        <v>30457.93777</v>
      </c>
      <c r="N123" s="230">
        <v>26.45</v>
      </c>
      <c r="O123" s="231">
        <v>30457</v>
      </c>
      <c r="P123" s="315"/>
      <c r="Q123" s="276">
        <f t="shared" si="2"/>
        <v>5757.64</v>
      </c>
      <c r="R123" s="275">
        <f>(SUMIFS('Dec 31 2018 OFFS'!$AG:$AG,'Dec 31 2018 OFFS'!$AI:$AI,'T1 2019 Pipeline Data Lagasco'!$A123,'Dec 31 2018 OFFS'!$U:$U,'T1 2019 Pipeline Data Lagasco'!$E123,'Dec 31 2018 OFFS'!$AK:$AK,'T1 2019 Pipeline Data Lagasco'!$Q123,'Dec 31 2018 OFFS'!$W:$W,'T1 2019 Pipeline Data Lagasco'!$G123))/(MAX(COUNTIFS('Dec 31 2018 OFFS'!$AI:$AI,'T1 2019 Pipeline Data Lagasco'!$A123,'Dec 31 2018 OFFS'!$U:$U,'T1 2019 Pipeline Data Lagasco'!$E123,'Dec 31 2018 OFFS'!$AK:$AK,'T1 2019 Pipeline Data Lagasco'!$Q123,'Dec 31 2018 OFFS'!$W:$W,'T1 2019 Pipeline Data Lagasco'!$G123),1))</f>
        <v>30457</v>
      </c>
      <c r="S123" s="275">
        <f t="shared" si="3"/>
        <v>0</v>
      </c>
    </row>
    <row r="124" spans="1:19" s="217" customFormat="1" ht="14.1" customHeight="1">
      <c r="A124" s="224" t="s">
        <v>1491</v>
      </c>
      <c r="B124" s="218" t="s">
        <v>1492</v>
      </c>
      <c r="C124" s="223">
        <v>1</v>
      </c>
      <c r="D124" s="218" t="s">
        <v>1488</v>
      </c>
      <c r="E124" s="240">
        <v>4</v>
      </c>
      <c r="F124" s="226">
        <v>3802.9526460000002</v>
      </c>
      <c r="G124" s="223">
        <v>1975</v>
      </c>
      <c r="H124" s="223">
        <v>1</v>
      </c>
      <c r="I124" s="223">
        <v>1</v>
      </c>
      <c r="J124" s="223"/>
      <c r="K124" s="228">
        <v>100588.0975</v>
      </c>
      <c r="L124" s="241">
        <v>80</v>
      </c>
      <c r="M124" s="228">
        <v>20117.619500000001</v>
      </c>
      <c r="N124" s="230">
        <v>26.45</v>
      </c>
      <c r="O124" s="231">
        <v>20117</v>
      </c>
      <c r="P124" s="315"/>
      <c r="Q124" s="276">
        <f t="shared" si="2"/>
        <v>3802.95</v>
      </c>
      <c r="R124" s="275">
        <f>(SUMIFS('Dec 31 2018 OFFS'!$AG:$AG,'Dec 31 2018 OFFS'!$AI:$AI,'T1 2019 Pipeline Data Lagasco'!$A124,'Dec 31 2018 OFFS'!$U:$U,'T1 2019 Pipeline Data Lagasco'!$E124,'Dec 31 2018 OFFS'!$AK:$AK,'T1 2019 Pipeline Data Lagasco'!$Q124,'Dec 31 2018 OFFS'!$W:$W,'T1 2019 Pipeline Data Lagasco'!$G124))/(MAX(COUNTIFS('Dec 31 2018 OFFS'!$AI:$AI,'T1 2019 Pipeline Data Lagasco'!$A124,'Dec 31 2018 OFFS'!$U:$U,'T1 2019 Pipeline Data Lagasco'!$E124,'Dec 31 2018 OFFS'!$AK:$AK,'T1 2019 Pipeline Data Lagasco'!$Q124,'Dec 31 2018 OFFS'!$W:$W,'T1 2019 Pipeline Data Lagasco'!$G124),1))</f>
        <v>20117</v>
      </c>
      <c r="S124" s="275">
        <f t="shared" si="3"/>
        <v>0</v>
      </c>
    </row>
    <row r="125" spans="1:19" s="217" customFormat="1" ht="14.1" customHeight="1">
      <c r="A125" s="224" t="s">
        <v>1491</v>
      </c>
      <c r="B125" s="218" t="s">
        <v>1492</v>
      </c>
      <c r="C125" s="223">
        <v>1</v>
      </c>
      <c r="D125" s="218" t="s">
        <v>1488</v>
      </c>
      <c r="E125" s="240">
        <v>4</v>
      </c>
      <c r="F125" s="226">
        <v>3184.7440019999999</v>
      </c>
      <c r="G125" s="223">
        <v>1975</v>
      </c>
      <c r="H125" s="223">
        <v>1</v>
      </c>
      <c r="I125" s="223">
        <v>1</v>
      </c>
      <c r="J125" s="223"/>
      <c r="K125" s="229">
        <v>84236.478860000003</v>
      </c>
      <c r="L125" s="241">
        <v>80</v>
      </c>
      <c r="M125" s="229">
        <v>16847.295770000001</v>
      </c>
      <c r="N125" s="230">
        <v>26.45</v>
      </c>
      <c r="O125" s="231">
        <v>16847</v>
      </c>
      <c r="P125" s="315"/>
      <c r="Q125" s="276">
        <f t="shared" si="2"/>
        <v>3184.74</v>
      </c>
      <c r="R125" s="275">
        <f>(SUMIFS('Dec 31 2018 OFFS'!$AG:$AG,'Dec 31 2018 OFFS'!$AI:$AI,'T1 2019 Pipeline Data Lagasco'!$A125,'Dec 31 2018 OFFS'!$U:$U,'T1 2019 Pipeline Data Lagasco'!$E125,'Dec 31 2018 OFFS'!$AK:$AK,'T1 2019 Pipeline Data Lagasco'!$Q125,'Dec 31 2018 OFFS'!$W:$W,'T1 2019 Pipeline Data Lagasco'!$G125))/(MAX(COUNTIFS('Dec 31 2018 OFFS'!$AI:$AI,'T1 2019 Pipeline Data Lagasco'!$A125,'Dec 31 2018 OFFS'!$U:$U,'T1 2019 Pipeline Data Lagasco'!$E125,'Dec 31 2018 OFFS'!$AK:$AK,'T1 2019 Pipeline Data Lagasco'!$Q125,'Dec 31 2018 OFFS'!$W:$W,'T1 2019 Pipeline Data Lagasco'!$G125),1))</f>
        <v>16847</v>
      </c>
      <c r="S125" s="275">
        <f t="shared" si="3"/>
        <v>0</v>
      </c>
    </row>
    <row r="126" spans="1:19" s="217" customFormat="1" ht="14.1" customHeight="1">
      <c r="A126" s="224" t="s">
        <v>1491</v>
      </c>
      <c r="B126" s="218" t="s">
        <v>1492</v>
      </c>
      <c r="C126" s="223">
        <v>1</v>
      </c>
      <c r="D126" s="218" t="s">
        <v>1488</v>
      </c>
      <c r="E126" s="240">
        <v>4</v>
      </c>
      <c r="F126" s="226">
        <v>2590.2230220000001</v>
      </c>
      <c r="G126" s="223">
        <v>1975</v>
      </c>
      <c r="H126" s="223">
        <v>1</v>
      </c>
      <c r="I126" s="223">
        <v>1</v>
      </c>
      <c r="J126" s="223"/>
      <c r="K126" s="229">
        <v>68511.398929999996</v>
      </c>
      <c r="L126" s="241">
        <v>80</v>
      </c>
      <c r="M126" s="229">
        <v>13702.279790000001</v>
      </c>
      <c r="N126" s="230">
        <v>26.45</v>
      </c>
      <c r="O126" s="231">
        <v>13702</v>
      </c>
      <c r="P126" s="315"/>
      <c r="Q126" s="276">
        <f t="shared" si="2"/>
        <v>2590.2199999999998</v>
      </c>
      <c r="R126" s="275">
        <f>(SUMIFS('Dec 31 2018 OFFS'!$AG:$AG,'Dec 31 2018 OFFS'!$AI:$AI,'T1 2019 Pipeline Data Lagasco'!$A126,'Dec 31 2018 OFFS'!$U:$U,'T1 2019 Pipeline Data Lagasco'!$E126,'Dec 31 2018 OFFS'!$AK:$AK,'T1 2019 Pipeline Data Lagasco'!$Q126,'Dec 31 2018 OFFS'!$W:$W,'T1 2019 Pipeline Data Lagasco'!$G126))/(MAX(COUNTIFS('Dec 31 2018 OFFS'!$AI:$AI,'T1 2019 Pipeline Data Lagasco'!$A126,'Dec 31 2018 OFFS'!$U:$U,'T1 2019 Pipeline Data Lagasco'!$E126,'Dec 31 2018 OFFS'!$AK:$AK,'T1 2019 Pipeline Data Lagasco'!$Q126,'Dec 31 2018 OFFS'!$W:$W,'T1 2019 Pipeline Data Lagasco'!$G126),1))</f>
        <v>13702</v>
      </c>
      <c r="S126" s="275">
        <f t="shared" si="3"/>
        <v>0</v>
      </c>
    </row>
    <row r="127" spans="1:19" s="217" customFormat="1" ht="15" customHeight="1">
      <c r="A127" s="224" t="s">
        <v>1491</v>
      </c>
      <c r="B127" s="218" t="s">
        <v>1492</v>
      </c>
      <c r="C127" s="223">
        <v>1</v>
      </c>
      <c r="D127" s="218" t="s">
        <v>1488</v>
      </c>
      <c r="E127" s="240">
        <v>4</v>
      </c>
      <c r="F127" s="226">
        <v>2542.191527</v>
      </c>
      <c r="G127" s="223">
        <v>1975</v>
      </c>
      <c r="H127" s="223">
        <v>1</v>
      </c>
      <c r="I127" s="223">
        <v>1</v>
      </c>
      <c r="J127" s="223"/>
      <c r="K127" s="228">
        <v>67240.965899999996</v>
      </c>
      <c r="L127" s="241">
        <v>80</v>
      </c>
      <c r="M127" s="229">
        <v>13448.19318</v>
      </c>
      <c r="N127" s="230">
        <v>26.45</v>
      </c>
      <c r="O127" s="231">
        <v>13448</v>
      </c>
      <c r="P127" s="315"/>
      <c r="Q127" s="276">
        <f t="shared" si="2"/>
        <v>2542.19</v>
      </c>
      <c r="R127" s="275">
        <f>(SUMIFS('Dec 31 2018 OFFS'!$AG:$AG,'Dec 31 2018 OFFS'!$AI:$AI,'T1 2019 Pipeline Data Lagasco'!$A127,'Dec 31 2018 OFFS'!$U:$U,'T1 2019 Pipeline Data Lagasco'!$E127,'Dec 31 2018 OFFS'!$AK:$AK,'T1 2019 Pipeline Data Lagasco'!$Q127,'Dec 31 2018 OFFS'!$W:$W,'T1 2019 Pipeline Data Lagasco'!$G127))/(MAX(COUNTIFS('Dec 31 2018 OFFS'!$AI:$AI,'T1 2019 Pipeline Data Lagasco'!$A127,'Dec 31 2018 OFFS'!$U:$U,'T1 2019 Pipeline Data Lagasco'!$E127,'Dec 31 2018 OFFS'!$AK:$AK,'T1 2019 Pipeline Data Lagasco'!$Q127,'Dec 31 2018 OFFS'!$W:$W,'T1 2019 Pipeline Data Lagasco'!$G127),1))</f>
        <v>13448</v>
      </c>
      <c r="S127" s="275">
        <f t="shared" si="3"/>
        <v>0</v>
      </c>
    </row>
    <row r="128" spans="1:19" s="217" customFormat="1" ht="15" customHeight="1">
      <c r="A128" s="224" t="s">
        <v>1491</v>
      </c>
      <c r="B128" s="218" t="s">
        <v>1492</v>
      </c>
      <c r="C128" s="223">
        <v>1</v>
      </c>
      <c r="D128" s="218" t="s">
        <v>1488</v>
      </c>
      <c r="E128" s="240">
        <v>4</v>
      </c>
      <c r="F128" s="236">
        <v>15493.27383</v>
      </c>
      <c r="G128" s="223">
        <v>1975</v>
      </c>
      <c r="H128" s="223">
        <v>1</v>
      </c>
      <c r="I128" s="223">
        <v>1</v>
      </c>
      <c r="J128" s="223"/>
      <c r="K128" s="228">
        <v>409797.09279999998</v>
      </c>
      <c r="L128" s="241">
        <v>80</v>
      </c>
      <c r="M128" s="229">
        <v>81959.418560000006</v>
      </c>
      <c r="N128" s="230">
        <v>26.45</v>
      </c>
      <c r="O128" s="231">
        <v>81959</v>
      </c>
      <c r="P128" s="314"/>
      <c r="Q128" s="276">
        <f t="shared" si="2"/>
        <v>15493.27</v>
      </c>
      <c r="R128" s="275">
        <f>(SUMIFS('Dec 31 2018 OFFS'!$AG:$AG,'Dec 31 2018 OFFS'!$AI:$AI,'T1 2019 Pipeline Data Lagasco'!$A128,'Dec 31 2018 OFFS'!$U:$U,'T1 2019 Pipeline Data Lagasco'!$E128,'Dec 31 2018 OFFS'!$AK:$AK,'T1 2019 Pipeline Data Lagasco'!$Q128,'Dec 31 2018 OFFS'!$W:$W,'T1 2019 Pipeline Data Lagasco'!$G128))/(MAX(COUNTIFS('Dec 31 2018 OFFS'!$AI:$AI,'T1 2019 Pipeline Data Lagasco'!$A128,'Dec 31 2018 OFFS'!$U:$U,'T1 2019 Pipeline Data Lagasco'!$E128,'Dec 31 2018 OFFS'!$AK:$AK,'T1 2019 Pipeline Data Lagasco'!$Q128,'Dec 31 2018 OFFS'!$W:$W,'T1 2019 Pipeline Data Lagasco'!$G128),1))</f>
        <v>81959</v>
      </c>
      <c r="S128" s="275">
        <f t="shared" si="3"/>
        <v>0</v>
      </c>
    </row>
    <row r="129" spans="1:19" s="217" customFormat="1" ht="14.1" customHeight="1">
      <c r="A129" s="224" t="s">
        <v>1491</v>
      </c>
      <c r="B129" s="218" t="s">
        <v>1492</v>
      </c>
      <c r="C129" s="223">
        <v>1</v>
      </c>
      <c r="D129" s="218" t="s">
        <v>1488</v>
      </c>
      <c r="E129" s="240">
        <v>4</v>
      </c>
      <c r="F129" s="226">
        <v>3452.526147</v>
      </c>
      <c r="G129" s="223">
        <v>1990</v>
      </c>
      <c r="H129" s="223">
        <v>1</v>
      </c>
      <c r="I129" s="223">
        <v>1</v>
      </c>
      <c r="J129" s="223"/>
      <c r="K129" s="229">
        <v>91319.316579999999</v>
      </c>
      <c r="L129" s="241">
        <v>73</v>
      </c>
      <c r="M129" s="229">
        <v>24656.215479999999</v>
      </c>
      <c r="N129" s="230">
        <v>26.45</v>
      </c>
      <c r="O129" s="231">
        <v>24656</v>
      </c>
      <c r="P129" s="314"/>
      <c r="Q129" s="276">
        <f t="shared" si="2"/>
        <v>3452.53</v>
      </c>
      <c r="R129" s="275">
        <f>(SUMIFS('Dec 31 2018 OFFS'!$AG:$AG,'Dec 31 2018 OFFS'!$AI:$AI,'T1 2019 Pipeline Data Lagasco'!$A129,'Dec 31 2018 OFFS'!$U:$U,'T1 2019 Pipeline Data Lagasco'!$E129,'Dec 31 2018 OFFS'!$AK:$AK,'T1 2019 Pipeline Data Lagasco'!$Q129,'Dec 31 2018 OFFS'!$W:$W,'T1 2019 Pipeline Data Lagasco'!$G129))/(MAX(COUNTIFS('Dec 31 2018 OFFS'!$AI:$AI,'T1 2019 Pipeline Data Lagasco'!$A129,'Dec 31 2018 OFFS'!$U:$U,'T1 2019 Pipeline Data Lagasco'!$E129,'Dec 31 2018 OFFS'!$AK:$AK,'T1 2019 Pipeline Data Lagasco'!$Q129,'Dec 31 2018 OFFS'!$W:$W,'T1 2019 Pipeline Data Lagasco'!$G129),1))</f>
        <v>24656</v>
      </c>
      <c r="S129" s="275">
        <f t="shared" si="3"/>
        <v>0</v>
      </c>
    </row>
    <row r="130" spans="1:19" s="217" customFormat="1" ht="14.1" customHeight="1">
      <c r="A130" s="224" t="s">
        <v>1491</v>
      </c>
      <c r="B130" s="218" t="s">
        <v>1492</v>
      </c>
      <c r="C130" s="223">
        <v>1</v>
      </c>
      <c r="D130" s="218" t="s">
        <v>1488</v>
      </c>
      <c r="E130" s="240">
        <v>4</v>
      </c>
      <c r="F130" s="236">
        <v>13974.83555</v>
      </c>
      <c r="G130" s="223">
        <v>1995</v>
      </c>
      <c r="H130" s="223">
        <v>1</v>
      </c>
      <c r="I130" s="223">
        <v>1</v>
      </c>
      <c r="J130" s="223"/>
      <c r="K130" s="228">
        <v>369634.40039999998</v>
      </c>
      <c r="L130" s="241">
        <v>67</v>
      </c>
      <c r="M130" s="228">
        <v>121979.3521</v>
      </c>
      <c r="N130" s="230">
        <v>26.45</v>
      </c>
      <c r="O130" s="231">
        <v>121979</v>
      </c>
      <c r="P130" s="314"/>
      <c r="Q130" s="276">
        <f t="shared" si="2"/>
        <v>13974.84</v>
      </c>
      <c r="R130" s="275">
        <f>(SUMIFS('Dec 31 2018 OFFS'!$AG:$AG,'Dec 31 2018 OFFS'!$AI:$AI,'T1 2019 Pipeline Data Lagasco'!$A130,'Dec 31 2018 OFFS'!$U:$U,'T1 2019 Pipeline Data Lagasco'!$E130,'Dec 31 2018 OFFS'!$AK:$AK,'T1 2019 Pipeline Data Lagasco'!$Q130,'Dec 31 2018 OFFS'!$W:$W,'T1 2019 Pipeline Data Lagasco'!$G130))/(MAX(COUNTIFS('Dec 31 2018 OFFS'!$AI:$AI,'T1 2019 Pipeline Data Lagasco'!$A130,'Dec 31 2018 OFFS'!$U:$U,'T1 2019 Pipeline Data Lagasco'!$E130,'Dec 31 2018 OFFS'!$AK:$AK,'T1 2019 Pipeline Data Lagasco'!$Q130,'Dec 31 2018 OFFS'!$W:$W,'T1 2019 Pipeline Data Lagasco'!$G130),1))</f>
        <v>121979</v>
      </c>
      <c r="S130" s="275">
        <f t="shared" si="3"/>
        <v>0</v>
      </c>
    </row>
    <row r="131" spans="1:19" s="217" customFormat="1" ht="14.1" customHeight="1">
      <c r="A131" s="224" t="s">
        <v>1491</v>
      </c>
      <c r="B131" s="218" t="s">
        <v>1492</v>
      </c>
      <c r="C131" s="223">
        <v>1</v>
      </c>
      <c r="D131" s="218" t="s">
        <v>1488</v>
      </c>
      <c r="E131" s="240">
        <v>4</v>
      </c>
      <c r="F131" s="226">
        <v>8167.9459580000002</v>
      </c>
      <c r="G131" s="223">
        <v>1994</v>
      </c>
      <c r="H131" s="223">
        <v>1</v>
      </c>
      <c r="I131" s="223">
        <v>1</v>
      </c>
      <c r="J131" s="223"/>
      <c r="K131" s="228">
        <v>216042.17060000001</v>
      </c>
      <c r="L131" s="241">
        <v>68</v>
      </c>
      <c r="M131" s="229">
        <v>69133.494590000002</v>
      </c>
      <c r="N131" s="230">
        <v>26.45</v>
      </c>
      <c r="O131" s="231">
        <v>69133</v>
      </c>
      <c r="P131" s="314"/>
      <c r="Q131" s="276">
        <f t="shared" si="2"/>
        <v>8167.95</v>
      </c>
      <c r="R131" s="275">
        <f>(SUMIFS('Dec 31 2018 OFFS'!$AG:$AG,'Dec 31 2018 OFFS'!$AI:$AI,'T1 2019 Pipeline Data Lagasco'!$A131,'Dec 31 2018 OFFS'!$U:$U,'T1 2019 Pipeline Data Lagasco'!$E131,'Dec 31 2018 OFFS'!$AK:$AK,'T1 2019 Pipeline Data Lagasco'!$Q131,'Dec 31 2018 OFFS'!$W:$W,'T1 2019 Pipeline Data Lagasco'!$G131))/(MAX(COUNTIFS('Dec 31 2018 OFFS'!$AI:$AI,'T1 2019 Pipeline Data Lagasco'!$A131,'Dec 31 2018 OFFS'!$U:$U,'T1 2019 Pipeline Data Lagasco'!$E131,'Dec 31 2018 OFFS'!$AK:$AK,'T1 2019 Pipeline Data Lagasco'!$Q131,'Dec 31 2018 OFFS'!$W:$W,'T1 2019 Pipeline Data Lagasco'!$G131),1))</f>
        <v>69133</v>
      </c>
      <c r="S131" s="275">
        <f t="shared" si="3"/>
        <v>0</v>
      </c>
    </row>
    <row r="132" spans="1:19" s="217" customFormat="1" ht="14.1" customHeight="1">
      <c r="A132" s="224" t="s">
        <v>1491</v>
      </c>
      <c r="B132" s="218" t="s">
        <v>1492</v>
      </c>
      <c r="C132" s="223">
        <v>1</v>
      </c>
      <c r="D132" s="218" t="s">
        <v>1488</v>
      </c>
      <c r="E132" s="240">
        <v>4</v>
      </c>
      <c r="F132" s="226">
        <v>3893.9303329999998</v>
      </c>
      <c r="G132" s="223">
        <v>1994</v>
      </c>
      <c r="H132" s="223">
        <v>1</v>
      </c>
      <c r="I132" s="223">
        <v>1</v>
      </c>
      <c r="J132" s="223"/>
      <c r="K132" s="228">
        <v>102994.45729999999</v>
      </c>
      <c r="L132" s="241">
        <v>68</v>
      </c>
      <c r="M132" s="229">
        <v>32958.226340000001</v>
      </c>
      <c r="N132" s="230">
        <v>26.45</v>
      </c>
      <c r="O132" s="231">
        <v>32958</v>
      </c>
      <c r="P132" s="314"/>
      <c r="Q132" s="276">
        <f t="shared" si="4" ref="Q132:Q181">ROUND(F132,2)</f>
        <v>3893.93</v>
      </c>
      <c r="R132" s="275">
        <f>(SUMIFS('Dec 31 2018 OFFS'!$AG:$AG,'Dec 31 2018 OFFS'!$AI:$AI,'T1 2019 Pipeline Data Lagasco'!$A132,'Dec 31 2018 OFFS'!$U:$U,'T1 2019 Pipeline Data Lagasco'!$E132,'Dec 31 2018 OFFS'!$AK:$AK,'T1 2019 Pipeline Data Lagasco'!$Q132,'Dec 31 2018 OFFS'!$W:$W,'T1 2019 Pipeline Data Lagasco'!$G132))/(MAX(COUNTIFS('Dec 31 2018 OFFS'!$AI:$AI,'T1 2019 Pipeline Data Lagasco'!$A132,'Dec 31 2018 OFFS'!$U:$U,'T1 2019 Pipeline Data Lagasco'!$E132,'Dec 31 2018 OFFS'!$AK:$AK,'T1 2019 Pipeline Data Lagasco'!$Q132,'Dec 31 2018 OFFS'!$W:$W,'T1 2019 Pipeline Data Lagasco'!$G132),1))</f>
        <v>32958</v>
      </c>
      <c r="S132" s="275">
        <f t="shared" si="5" ref="S132:S181">O132-R132</f>
        <v>0</v>
      </c>
    </row>
    <row r="133" spans="1:19" s="217" customFormat="1" ht="14.1" customHeight="1">
      <c r="A133" s="224" t="s">
        <v>1491</v>
      </c>
      <c r="B133" s="218" t="s">
        <v>1492</v>
      </c>
      <c r="C133" s="223">
        <v>1</v>
      </c>
      <c r="D133" s="218" t="s">
        <v>1488</v>
      </c>
      <c r="E133" s="240">
        <v>4</v>
      </c>
      <c r="F133" s="226">
        <v>5399.9670349999997</v>
      </c>
      <c r="G133" s="223">
        <v>1994</v>
      </c>
      <c r="H133" s="223">
        <v>1</v>
      </c>
      <c r="I133" s="223">
        <v>1</v>
      </c>
      <c r="J133" s="223"/>
      <c r="K133" s="228">
        <v>142829.1281</v>
      </c>
      <c r="L133" s="241">
        <v>68</v>
      </c>
      <c r="M133" s="229">
        <v>45705.32099</v>
      </c>
      <c r="N133" s="230">
        <v>26.45</v>
      </c>
      <c r="O133" s="231">
        <v>45705</v>
      </c>
      <c r="P133" s="314"/>
      <c r="Q133" s="276">
        <f t="shared" si="4"/>
        <v>5399.97</v>
      </c>
      <c r="R133" s="275">
        <f>(SUMIFS('Dec 31 2018 OFFS'!$AG:$AG,'Dec 31 2018 OFFS'!$AI:$AI,'T1 2019 Pipeline Data Lagasco'!$A133,'Dec 31 2018 OFFS'!$U:$U,'T1 2019 Pipeline Data Lagasco'!$E133,'Dec 31 2018 OFFS'!$AK:$AK,'T1 2019 Pipeline Data Lagasco'!$Q133,'Dec 31 2018 OFFS'!$W:$W,'T1 2019 Pipeline Data Lagasco'!$G133))/(MAX(COUNTIFS('Dec 31 2018 OFFS'!$AI:$AI,'T1 2019 Pipeline Data Lagasco'!$A133,'Dec 31 2018 OFFS'!$U:$U,'T1 2019 Pipeline Data Lagasco'!$E133,'Dec 31 2018 OFFS'!$AK:$AK,'T1 2019 Pipeline Data Lagasco'!$Q133,'Dec 31 2018 OFFS'!$W:$W,'T1 2019 Pipeline Data Lagasco'!$G133),1))</f>
        <v>45705</v>
      </c>
      <c r="S133" s="275">
        <f t="shared" si="5"/>
        <v>0</v>
      </c>
    </row>
    <row r="134" spans="1:19" s="217" customFormat="1" ht="14.1" customHeight="1">
      <c r="A134" s="224" t="s">
        <v>1491</v>
      </c>
      <c r="B134" s="218" t="s">
        <v>1492</v>
      </c>
      <c r="C134" s="223">
        <v>1</v>
      </c>
      <c r="D134" s="218" t="s">
        <v>1488</v>
      </c>
      <c r="E134" s="240">
        <v>4</v>
      </c>
      <c r="F134" s="226">
        <v>4684.8095759999997</v>
      </c>
      <c r="G134" s="223">
        <v>1994</v>
      </c>
      <c r="H134" s="223">
        <v>1</v>
      </c>
      <c r="I134" s="223">
        <v>1</v>
      </c>
      <c r="J134" s="223"/>
      <c r="K134" s="228">
        <v>123913.2133</v>
      </c>
      <c r="L134" s="241">
        <v>68</v>
      </c>
      <c r="M134" s="229">
        <v>39652.22825</v>
      </c>
      <c r="N134" s="230">
        <v>26.45</v>
      </c>
      <c r="O134" s="231">
        <v>39652</v>
      </c>
      <c r="P134" s="314"/>
      <c r="Q134" s="276">
        <f t="shared" si="4"/>
        <v>4684.8100000000004</v>
      </c>
      <c r="R134" s="275">
        <f>(SUMIFS('Dec 31 2018 OFFS'!$AG:$AG,'Dec 31 2018 OFFS'!$AI:$AI,'T1 2019 Pipeline Data Lagasco'!$A134,'Dec 31 2018 OFFS'!$U:$U,'T1 2019 Pipeline Data Lagasco'!$E134,'Dec 31 2018 OFFS'!$AK:$AK,'T1 2019 Pipeline Data Lagasco'!$Q134,'Dec 31 2018 OFFS'!$W:$W,'T1 2019 Pipeline Data Lagasco'!$G134))/(MAX(COUNTIFS('Dec 31 2018 OFFS'!$AI:$AI,'T1 2019 Pipeline Data Lagasco'!$A134,'Dec 31 2018 OFFS'!$U:$U,'T1 2019 Pipeline Data Lagasco'!$E134,'Dec 31 2018 OFFS'!$AK:$AK,'T1 2019 Pipeline Data Lagasco'!$Q134,'Dec 31 2018 OFFS'!$W:$W,'T1 2019 Pipeline Data Lagasco'!$G134),1))</f>
        <v>39652</v>
      </c>
      <c r="S134" s="275">
        <f t="shared" si="5"/>
        <v>0</v>
      </c>
    </row>
    <row r="135" spans="1:19" s="217" customFormat="1" ht="14.1" customHeight="1">
      <c r="A135" s="224" t="s">
        <v>1491</v>
      </c>
      <c r="B135" s="218" t="s">
        <v>1492</v>
      </c>
      <c r="C135" s="223">
        <v>1</v>
      </c>
      <c r="D135" s="218" t="s">
        <v>1488</v>
      </c>
      <c r="E135" s="240">
        <v>4</v>
      </c>
      <c r="F135" s="226">
        <v>7454.7570020000003</v>
      </c>
      <c r="G135" s="223">
        <v>1982</v>
      </c>
      <c r="H135" s="223">
        <v>1</v>
      </c>
      <c r="I135" s="223">
        <v>1</v>
      </c>
      <c r="J135" s="223"/>
      <c r="K135" s="228">
        <v>197178.32269999999</v>
      </c>
      <c r="L135" s="241">
        <v>80</v>
      </c>
      <c r="M135" s="229">
        <v>39435.664539999998</v>
      </c>
      <c r="N135" s="230">
        <v>26.45</v>
      </c>
      <c r="O135" s="231">
        <v>39435</v>
      </c>
      <c r="P135" s="314"/>
      <c r="Q135" s="276">
        <f t="shared" si="4"/>
        <v>7454.76</v>
      </c>
      <c r="R135" s="275">
        <f>(SUMIFS('Dec 31 2018 OFFS'!$AG:$AG,'Dec 31 2018 OFFS'!$AI:$AI,'T1 2019 Pipeline Data Lagasco'!$A135,'Dec 31 2018 OFFS'!$U:$U,'T1 2019 Pipeline Data Lagasco'!$E135,'Dec 31 2018 OFFS'!$AK:$AK,'T1 2019 Pipeline Data Lagasco'!$Q135,'Dec 31 2018 OFFS'!$W:$W,'T1 2019 Pipeline Data Lagasco'!$G135))/(MAX(COUNTIFS('Dec 31 2018 OFFS'!$AI:$AI,'T1 2019 Pipeline Data Lagasco'!$A135,'Dec 31 2018 OFFS'!$U:$U,'T1 2019 Pipeline Data Lagasco'!$E135,'Dec 31 2018 OFFS'!$AK:$AK,'T1 2019 Pipeline Data Lagasco'!$Q135,'Dec 31 2018 OFFS'!$W:$W,'T1 2019 Pipeline Data Lagasco'!$G135),1))</f>
        <v>39435</v>
      </c>
      <c r="S135" s="275">
        <f t="shared" si="5"/>
        <v>0</v>
      </c>
    </row>
    <row r="136" spans="1:19" s="217" customFormat="1" ht="14.1" customHeight="1">
      <c r="A136" s="224" t="s">
        <v>1491</v>
      </c>
      <c r="B136" s="218" t="s">
        <v>1492</v>
      </c>
      <c r="C136" s="223">
        <v>1</v>
      </c>
      <c r="D136" s="218" t="s">
        <v>1488</v>
      </c>
      <c r="E136" s="240">
        <v>4</v>
      </c>
      <c r="F136" s="226">
        <v>7091.0431019999996</v>
      </c>
      <c r="G136" s="223">
        <v>1994</v>
      </c>
      <c r="H136" s="223">
        <v>1</v>
      </c>
      <c r="I136" s="223">
        <v>1</v>
      </c>
      <c r="J136" s="223"/>
      <c r="K136" s="238">
        <v>187558.09</v>
      </c>
      <c r="L136" s="241">
        <v>68</v>
      </c>
      <c r="M136" s="229">
        <v>60018.588810000001</v>
      </c>
      <c r="N136" s="230">
        <v>26.45</v>
      </c>
      <c r="O136" s="231">
        <v>60018</v>
      </c>
      <c r="P136" s="314"/>
      <c r="Q136" s="276">
        <f t="shared" si="4"/>
        <v>7091.04</v>
      </c>
      <c r="R136" s="275">
        <f>(SUMIFS('Dec 31 2018 OFFS'!$AG:$AG,'Dec 31 2018 OFFS'!$AI:$AI,'T1 2019 Pipeline Data Lagasco'!$A136,'Dec 31 2018 OFFS'!$U:$U,'T1 2019 Pipeline Data Lagasco'!$E136,'Dec 31 2018 OFFS'!$AK:$AK,'T1 2019 Pipeline Data Lagasco'!$Q136,'Dec 31 2018 OFFS'!$W:$W,'T1 2019 Pipeline Data Lagasco'!$G136))/(MAX(COUNTIFS('Dec 31 2018 OFFS'!$AI:$AI,'T1 2019 Pipeline Data Lagasco'!$A136,'Dec 31 2018 OFFS'!$U:$U,'T1 2019 Pipeline Data Lagasco'!$E136,'Dec 31 2018 OFFS'!$AK:$AK,'T1 2019 Pipeline Data Lagasco'!$Q136,'Dec 31 2018 OFFS'!$W:$W,'T1 2019 Pipeline Data Lagasco'!$G136),1))</f>
        <v>60018</v>
      </c>
      <c r="S136" s="275">
        <f t="shared" si="5"/>
        <v>0</v>
      </c>
    </row>
    <row r="137" spans="1:19" s="217" customFormat="1" ht="14.1" customHeight="1">
      <c r="A137" s="224" t="s">
        <v>1491</v>
      </c>
      <c r="B137" s="218" t="s">
        <v>1492</v>
      </c>
      <c r="C137" s="223">
        <v>1</v>
      </c>
      <c r="D137" s="218" t="s">
        <v>1488</v>
      </c>
      <c r="E137" s="240">
        <v>4</v>
      </c>
      <c r="F137" s="226">
        <v>6253.7071679999999</v>
      </c>
      <c r="G137" s="223">
        <v>1996</v>
      </c>
      <c r="H137" s="223">
        <v>1</v>
      </c>
      <c r="I137" s="223">
        <v>1</v>
      </c>
      <c r="J137" s="223"/>
      <c r="K137" s="228">
        <v>165410.5546</v>
      </c>
      <c r="L137" s="241">
        <v>66</v>
      </c>
      <c r="M137" s="229">
        <v>56239.588559999997</v>
      </c>
      <c r="N137" s="230">
        <v>26.45</v>
      </c>
      <c r="O137" s="231">
        <v>56239</v>
      </c>
      <c r="P137" s="314"/>
      <c r="Q137" s="276">
        <f t="shared" si="4"/>
        <v>6253.71</v>
      </c>
      <c r="R137" s="275">
        <f>(SUMIFS('Dec 31 2018 OFFS'!$AG:$AG,'Dec 31 2018 OFFS'!$AI:$AI,'T1 2019 Pipeline Data Lagasco'!$A137,'Dec 31 2018 OFFS'!$U:$U,'T1 2019 Pipeline Data Lagasco'!$E137,'Dec 31 2018 OFFS'!$AK:$AK,'T1 2019 Pipeline Data Lagasco'!$Q137,'Dec 31 2018 OFFS'!$W:$W,'T1 2019 Pipeline Data Lagasco'!$G137))/(MAX(COUNTIFS('Dec 31 2018 OFFS'!$AI:$AI,'T1 2019 Pipeline Data Lagasco'!$A137,'Dec 31 2018 OFFS'!$U:$U,'T1 2019 Pipeline Data Lagasco'!$E137,'Dec 31 2018 OFFS'!$AK:$AK,'T1 2019 Pipeline Data Lagasco'!$Q137,'Dec 31 2018 OFFS'!$W:$W,'T1 2019 Pipeline Data Lagasco'!$G137),1))</f>
        <v>56239</v>
      </c>
      <c r="S137" s="275">
        <f t="shared" si="5"/>
        <v>0</v>
      </c>
    </row>
    <row r="138" spans="1:19" s="217" customFormat="1" ht="14.1" customHeight="1">
      <c r="A138" s="224" t="s">
        <v>1491</v>
      </c>
      <c r="B138" s="218" t="s">
        <v>1492</v>
      </c>
      <c r="C138" s="223">
        <v>1</v>
      </c>
      <c r="D138" s="218" t="s">
        <v>1488</v>
      </c>
      <c r="E138" s="240">
        <v>4</v>
      </c>
      <c r="F138" s="226">
        <v>3544.9802119999999</v>
      </c>
      <c r="G138" s="223">
        <v>1991</v>
      </c>
      <c r="H138" s="223">
        <v>1</v>
      </c>
      <c r="I138" s="223">
        <v>1</v>
      </c>
      <c r="J138" s="223"/>
      <c r="K138" s="229">
        <v>93764.726620000001</v>
      </c>
      <c r="L138" s="241">
        <v>72</v>
      </c>
      <c r="M138" s="229">
        <v>26254.123449999999</v>
      </c>
      <c r="N138" s="230">
        <v>26.45</v>
      </c>
      <c r="O138" s="231">
        <v>26254</v>
      </c>
      <c r="P138" s="314"/>
      <c r="Q138" s="276">
        <f t="shared" si="4"/>
        <v>3544.98</v>
      </c>
      <c r="R138" s="275">
        <f>(SUMIFS('Dec 31 2018 OFFS'!$AG:$AG,'Dec 31 2018 OFFS'!$AI:$AI,'T1 2019 Pipeline Data Lagasco'!$A138,'Dec 31 2018 OFFS'!$U:$U,'T1 2019 Pipeline Data Lagasco'!$E138,'Dec 31 2018 OFFS'!$AK:$AK,'T1 2019 Pipeline Data Lagasco'!$Q138,'Dec 31 2018 OFFS'!$W:$W,'T1 2019 Pipeline Data Lagasco'!$G138))/(MAX(COUNTIFS('Dec 31 2018 OFFS'!$AI:$AI,'T1 2019 Pipeline Data Lagasco'!$A138,'Dec 31 2018 OFFS'!$U:$U,'T1 2019 Pipeline Data Lagasco'!$E138,'Dec 31 2018 OFFS'!$AK:$AK,'T1 2019 Pipeline Data Lagasco'!$Q138,'Dec 31 2018 OFFS'!$W:$W,'T1 2019 Pipeline Data Lagasco'!$G138),1))</f>
        <v>26254</v>
      </c>
      <c r="S138" s="275">
        <f t="shared" si="5"/>
        <v>0</v>
      </c>
    </row>
    <row r="139" spans="1:19" s="217" customFormat="1" ht="14.1" customHeight="1">
      <c r="A139" s="224" t="s">
        <v>1491</v>
      </c>
      <c r="B139" s="218" t="s">
        <v>1492</v>
      </c>
      <c r="C139" s="223">
        <v>1</v>
      </c>
      <c r="D139" s="218" t="s">
        <v>1488</v>
      </c>
      <c r="E139" s="240">
        <v>4</v>
      </c>
      <c r="F139" s="226">
        <v>3850.6888650000001</v>
      </c>
      <c r="G139" s="223">
        <v>1991</v>
      </c>
      <c r="H139" s="223">
        <v>1</v>
      </c>
      <c r="I139" s="223">
        <v>1</v>
      </c>
      <c r="J139" s="223"/>
      <c r="K139" s="228">
        <v>101850.7205</v>
      </c>
      <c r="L139" s="241">
        <v>72</v>
      </c>
      <c r="M139" s="229">
        <v>28518.201730000001</v>
      </c>
      <c r="N139" s="230">
        <v>26.45</v>
      </c>
      <c r="O139" s="231">
        <v>28518</v>
      </c>
      <c r="P139" s="314"/>
      <c r="Q139" s="276">
        <f t="shared" si="4"/>
        <v>3850.69</v>
      </c>
      <c r="R139" s="275">
        <f>(SUMIFS('Dec 31 2018 OFFS'!$AG:$AG,'Dec 31 2018 OFFS'!$AI:$AI,'T1 2019 Pipeline Data Lagasco'!$A139,'Dec 31 2018 OFFS'!$U:$U,'T1 2019 Pipeline Data Lagasco'!$E139,'Dec 31 2018 OFFS'!$AK:$AK,'T1 2019 Pipeline Data Lagasco'!$Q139,'Dec 31 2018 OFFS'!$W:$W,'T1 2019 Pipeline Data Lagasco'!$G139))/(MAX(COUNTIFS('Dec 31 2018 OFFS'!$AI:$AI,'T1 2019 Pipeline Data Lagasco'!$A139,'Dec 31 2018 OFFS'!$U:$U,'T1 2019 Pipeline Data Lagasco'!$E139,'Dec 31 2018 OFFS'!$AK:$AK,'T1 2019 Pipeline Data Lagasco'!$Q139,'Dec 31 2018 OFFS'!$W:$W,'T1 2019 Pipeline Data Lagasco'!$G139),1))</f>
        <v>28518</v>
      </c>
      <c r="S139" s="275">
        <f t="shared" si="5"/>
        <v>0</v>
      </c>
    </row>
    <row r="140" spans="1:19" s="217" customFormat="1" ht="14.1" customHeight="1">
      <c r="A140" s="224" t="s">
        <v>1491</v>
      </c>
      <c r="B140" s="218" t="s">
        <v>1492</v>
      </c>
      <c r="C140" s="223">
        <v>1</v>
      </c>
      <c r="D140" s="218" t="s">
        <v>1488</v>
      </c>
      <c r="E140" s="240">
        <v>4</v>
      </c>
      <c r="F140" s="226">
        <v>5535.2688690000004</v>
      </c>
      <c r="G140" s="223">
        <v>1994</v>
      </c>
      <c r="H140" s="223">
        <v>1</v>
      </c>
      <c r="I140" s="223">
        <v>1</v>
      </c>
      <c r="J140" s="223"/>
      <c r="K140" s="228">
        <v>146407.8616</v>
      </c>
      <c r="L140" s="241">
        <v>68</v>
      </c>
      <c r="M140" s="228">
        <v>46850.515700000004</v>
      </c>
      <c r="N140" s="230">
        <v>26.45</v>
      </c>
      <c r="O140" s="231">
        <v>46850</v>
      </c>
      <c r="P140" s="314"/>
      <c r="Q140" s="276">
        <f t="shared" si="4"/>
        <v>5535.27</v>
      </c>
      <c r="R140" s="275">
        <f>(SUMIFS('Dec 31 2018 OFFS'!$AG:$AG,'Dec 31 2018 OFFS'!$AI:$AI,'T1 2019 Pipeline Data Lagasco'!$A140,'Dec 31 2018 OFFS'!$U:$U,'T1 2019 Pipeline Data Lagasco'!$E140,'Dec 31 2018 OFFS'!$AK:$AK,'T1 2019 Pipeline Data Lagasco'!$Q140,'Dec 31 2018 OFFS'!$W:$W,'T1 2019 Pipeline Data Lagasco'!$G140))/(MAX(COUNTIFS('Dec 31 2018 OFFS'!$AI:$AI,'T1 2019 Pipeline Data Lagasco'!$A140,'Dec 31 2018 OFFS'!$U:$U,'T1 2019 Pipeline Data Lagasco'!$E140,'Dec 31 2018 OFFS'!$AK:$AK,'T1 2019 Pipeline Data Lagasco'!$Q140,'Dec 31 2018 OFFS'!$W:$W,'T1 2019 Pipeline Data Lagasco'!$G140),1))</f>
        <v>46850</v>
      </c>
      <c r="S140" s="275">
        <f t="shared" si="5"/>
        <v>0</v>
      </c>
    </row>
    <row r="141" spans="1:19" s="217" customFormat="1" ht="14.1" customHeight="1">
      <c r="A141" s="224" t="s">
        <v>1491</v>
      </c>
      <c r="B141" s="218" t="s">
        <v>1492</v>
      </c>
      <c r="C141" s="223">
        <v>1</v>
      </c>
      <c r="D141" s="218" t="s">
        <v>1488</v>
      </c>
      <c r="E141" s="240">
        <v>4</v>
      </c>
      <c r="F141" s="226">
        <v>4526.246588</v>
      </c>
      <c r="G141" s="223">
        <v>1994</v>
      </c>
      <c r="H141" s="223">
        <v>1</v>
      </c>
      <c r="I141" s="223">
        <v>1</v>
      </c>
      <c r="J141" s="223"/>
      <c r="K141" s="228">
        <v>119719.22229999999</v>
      </c>
      <c r="L141" s="241">
        <v>68</v>
      </c>
      <c r="M141" s="229">
        <v>38310.151120000002</v>
      </c>
      <c r="N141" s="230">
        <v>26.45</v>
      </c>
      <c r="O141" s="231">
        <v>38310</v>
      </c>
      <c r="P141" s="314"/>
      <c r="Q141" s="276">
        <f t="shared" si="4"/>
        <v>4526.25</v>
      </c>
      <c r="R141" s="275">
        <f>(SUMIFS('Dec 31 2018 OFFS'!$AG:$AG,'Dec 31 2018 OFFS'!$AI:$AI,'T1 2019 Pipeline Data Lagasco'!$A141,'Dec 31 2018 OFFS'!$U:$U,'T1 2019 Pipeline Data Lagasco'!$E141,'Dec 31 2018 OFFS'!$AK:$AK,'T1 2019 Pipeline Data Lagasco'!$Q141,'Dec 31 2018 OFFS'!$W:$W,'T1 2019 Pipeline Data Lagasco'!$G141))/(MAX(COUNTIFS('Dec 31 2018 OFFS'!$AI:$AI,'T1 2019 Pipeline Data Lagasco'!$A141,'Dec 31 2018 OFFS'!$U:$U,'T1 2019 Pipeline Data Lagasco'!$E141,'Dec 31 2018 OFFS'!$AK:$AK,'T1 2019 Pipeline Data Lagasco'!$Q141,'Dec 31 2018 OFFS'!$W:$W,'T1 2019 Pipeline Data Lagasco'!$G141),1))</f>
        <v>38310</v>
      </c>
      <c r="S141" s="275">
        <f t="shared" si="5"/>
        <v>0</v>
      </c>
    </row>
    <row r="142" spans="1:19" s="217" customFormat="1" ht="14.1" customHeight="1">
      <c r="A142" s="224" t="s">
        <v>1491</v>
      </c>
      <c r="B142" s="218" t="s">
        <v>1492</v>
      </c>
      <c r="C142" s="223">
        <v>1</v>
      </c>
      <c r="D142" s="218" t="s">
        <v>1488</v>
      </c>
      <c r="E142" s="240">
        <v>4</v>
      </c>
      <c r="F142" s="226">
        <v>4928.7400150000003</v>
      </c>
      <c r="G142" s="223">
        <v>1994</v>
      </c>
      <c r="H142" s="223">
        <v>1</v>
      </c>
      <c r="I142" s="223">
        <v>1</v>
      </c>
      <c r="J142" s="223"/>
      <c r="K142" s="228">
        <v>130365.1734</v>
      </c>
      <c r="L142" s="241">
        <v>68</v>
      </c>
      <c r="M142" s="229">
        <v>41716.855479999998</v>
      </c>
      <c r="N142" s="230">
        <v>26.45</v>
      </c>
      <c r="O142" s="231">
        <v>41716</v>
      </c>
      <c r="P142" s="314"/>
      <c r="Q142" s="276">
        <f t="shared" si="4"/>
        <v>4928.74</v>
      </c>
      <c r="R142" s="275">
        <f>(SUMIFS('Dec 31 2018 OFFS'!$AG:$AG,'Dec 31 2018 OFFS'!$AI:$AI,'T1 2019 Pipeline Data Lagasco'!$A142,'Dec 31 2018 OFFS'!$U:$U,'T1 2019 Pipeline Data Lagasco'!$E142,'Dec 31 2018 OFFS'!$AK:$AK,'T1 2019 Pipeline Data Lagasco'!$Q142,'Dec 31 2018 OFFS'!$W:$W,'T1 2019 Pipeline Data Lagasco'!$G142))/(MAX(COUNTIFS('Dec 31 2018 OFFS'!$AI:$AI,'T1 2019 Pipeline Data Lagasco'!$A142,'Dec 31 2018 OFFS'!$U:$U,'T1 2019 Pipeline Data Lagasco'!$E142,'Dec 31 2018 OFFS'!$AK:$AK,'T1 2019 Pipeline Data Lagasco'!$Q142,'Dec 31 2018 OFFS'!$W:$W,'T1 2019 Pipeline Data Lagasco'!$G142),1))</f>
        <v>41716</v>
      </c>
      <c r="S142" s="275">
        <f t="shared" si="5"/>
        <v>0</v>
      </c>
    </row>
    <row r="143" spans="1:19" s="217" customFormat="1" ht="14.1" customHeight="1">
      <c r="A143" s="224" t="s">
        <v>1491</v>
      </c>
      <c r="B143" s="218" t="s">
        <v>1492</v>
      </c>
      <c r="C143" s="223">
        <v>1</v>
      </c>
      <c r="D143" s="218" t="s">
        <v>1488</v>
      </c>
      <c r="E143" s="240">
        <v>4</v>
      </c>
      <c r="F143" s="226">
        <v>6275.688795</v>
      </c>
      <c r="G143" s="223">
        <v>1997</v>
      </c>
      <c r="H143" s="223">
        <v>1</v>
      </c>
      <c r="I143" s="223">
        <v>1</v>
      </c>
      <c r="J143" s="223"/>
      <c r="K143" s="228">
        <v>165991.96859999999</v>
      </c>
      <c r="L143" s="241">
        <v>65</v>
      </c>
      <c r="M143" s="229">
        <v>58097.189019999998</v>
      </c>
      <c r="N143" s="230">
        <v>26.45</v>
      </c>
      <c r="O143" s="231">
        <v>58097</v>
      </c>
      <c r="P143" s="314"/>
      <c r="Q143" s="276">
        <f t="shared" si="4"/>
        <v>6275.69</v>
      </c>
      <c r="R143" s="275">
        <f>(SUMIFS('Dec 31 2018 OFFS'!$AG:$AG,'Dec 31 2018 OFFS'!$AI:$AI,'T1 2019 Pipeline Data Lagasco'!$A143,'Dec 31 2018 OFFS'!$U:$U,'T1 2019 Pipeline Data Lagasco'!$E143,'Dec 31 2018 OFFS'!$AK:$AK,'T1 2019 Pipeline Data Lagasco'!$Q143,'Dec 31 2018 OFFS'!$W:$W,'T1 2019 Pipeline Data Lagasco'!$G143))/(MAX(COUNTIFS('Dec 31 2018 OFFS'!$AI:$AI,'T1 2019 Pipeline Data Lagasco'!$A143,'Dec 31 2018 OFFS'!$U:$U,'T1 2019 Pipeline Data Lagasco'!$E143,'Dec 31 2018 OFFS'!$AK:$AK,'T1 2019 Pipeline Data Lagasco'!$Q143,'Dec 31 2018 OFFS'!$W:$W,'T1 2019 Pipeline Data Lagasco'!$G143),1))</f>
        <v>58097</v>
      </c>
      <c r="S143" s="275">
        <f t="shared" si="5"/>
        <v>0</v>
      </c>
    </row>
    <row r="144" spans="1:19" s="217" customFormat="1" ht="14.1" customHeight="1">
      <c r="A144" s="224" t="s">
        <v>1491</v>
      </c>
      <c r="B144" s="218" t="s">
        <v>1492</v>
      </c>
      <c r="C144" s="223">
        <v>1</v>
      </c>
      <c r="D144" s="218" t="s">
        <v>1488</v>
      </c>
      <c r="E144" s="240">
        <v>6</v>
      </c>
      <c r="F144" s="226">
        <v>2836.6468989999998</v>
      </c>
      <c r="G144" s="223">
        <v>1975</v>
      </c>
      <c r="H144" s="223">
        <v>1</v>
      </c>
      <c r="I144" s="223">
        <v>1</v>
      </c>
      <c r="J144" s="223"/>
      <c r="K144" s="229">
        <v>98233.082129999995</v>
      </c>
      <c r="L144" s="241">
        <v>80</v>
      </c>
      <c r="M144" s="229">
        <v>19646.616429999998</v>
      </c>
      <c r="N144" s="230">
        <v>34.630000000000003</v>
      </c>
      <c r="O144" s="231">
        <v>19646</v>
      </c>
      <c r="P144" s="314"/>
      <c r="Q144" s="276">
        <f t="shared" si="4"/>
        <v>2836.65</v>
      </c>
      <c r="R144" s="275">
        <f>(SUMIFS('Dec 31 2018 OFFS'!$AG:$AG,'Dec 31 2018 OFFS'!$AI:$AI,'T1 2019 Pipeline Data Lagasco'!$A144,'Dec 31 2018 OFFS'!$U:$U,'T1 2019 Pipeline Data Lagasco'!$E144,'Dec 31 2018 OFFS'!$AK:$AK,'T1 2019 Pipeline Data Lagasco'!$Q144,'Dec 31 2018 OFFS'!$W:$W,'T1 2019 Pipeline Data Lagasco'!$G144))/(MAX(COUNTIFS('Dec 31 2018 OFFS'!$AI:$AI,'T1 2019 Pipeline Data Lagasco'!$A144,'Dec 31 2018 OFFS'!$U:$U,'T1 2019 Pipeline Data Lagasco'!$E144,'Dec 31 2018 OFFS'!$AK:$AK,'T1 2019 Pipeline Data Lagasco'!$Q144,'Dec 31 2018 OFFS'!$W:$W,'T1 2019 Pipeline Data Lagasco'!$G144),1))</f>
        <v>19646</v>
      </c>
      <c r="S144" s="275">
        <f t="shared" si="5"/>
        <v>0</v>
      </c>
    </row>
    <row r="145" spans="1:19" s="217" customFormat="1" ht="14.1" customHeight="1">
      <c r="A145" s="224" t="s">
        <v>1491</v>
      </c>
      <c r="B145" s="218" t="s">
        <v>1492</v>
      </c>
      <c r="C145" s="223">
        <v>1</v>
      </c>
      <c r="D145" s="218" t="s">
        <v>1488</v>
      </c>
      <c r="E145" s="240">
        <v>6</v>
      </c>
      <c r="F145" s="226">
        <v>7010.2360170000002</v>
      </c>
      <c r="G145" s="223">
        <v>1975</v>
      </c>
      <c r="H145" s="223">
        <v>1</v>
      </c>
      <c r="I145" s="223">
        <v>1</v>
      </c>
      <c r="J145" s="223"/>
      <c r="K145" s="228">
        <v>242764.47330000001</v>
      </c>
      <c r="L145" s="241">
        <v>80</v>
      </c>
      <c r="M145" s="229">
        <v>48552.894659999998</v>
      </c>
      <c r="N145" s="230">
        <v>34.630000000000003</v>
      </c>
      <c r="O145" s="231">
        <v>48552</v>
      </c>
      <c r="P145" s="314"/>
      <c r="Q145" s="276">
        <f t="shared" si="4"/>
        <v>7010.24</v>
      </c>
      <c r="R145" s="275">
        <f>(SUMIFS('Dec 31 2018 OFFS'!$AG:$AG,'Dec 31 2018 OFFS'!$AI:$AI,'T1 2019 Pipeline Data Lagasco'!$A145,'Dec 31 2018 OFFS'!$U:$U,'T1 2019 Pipeline Data Lagasco'!$E145,'Dec 31 2018 OFFS'!$AK:$AK,'T1 2019 Pipeline Data Lagasco'!$Q145,'Dec 31 2018 OFFS'!$W:$W,'T1 2019 Pipeline Data Lagasco'!$G145))/(MAX(COUNTIFS('Dec 31 2018 OFFS'!$AI:$AI,'T1 2019 Pipeline Data Lagasco'!$A145,'Dec 31 2018 OFFS'!$U:$U,'T1 2019 Pipeline Data Lagasco'!$E145,'Dec 31 2018 OFFS'!$AK:$AK,'T1 2019 Pipeline Data Lagasco'!$Q145,'Dec 31 2018 OFFS'!$W:$W,'T1 2019 Pipeline Data Lagasco'!$G145),1))</f>
        <v>48552</v>
      </c>
      <c r="S145" s="275">
        <f t="shared" si="5"/>
        <v>0</v>
      </c>
    </row>
    <row r="146" spans="1:19" s="217" customFormat="1" ht="14.1" customHeight="1">
      <c r="A146" s="224" t="s">
        <v>1491</v>
      </c>
      <c r="B146" s="218" t="s">
        <v>1492</v>
      </c>
      <c r="C146" s="223">
        <v>1</v>
      </c>
      <c r="D146" s="218" t="s">
        <v>1488</v>
      </c>
      <c r="E146" s="240">
        <v>6</v>
      </c>
      <c r="F146" s="226">
        <v>4281.0366210000002</v>
      </c>
      <c r="G146" s="223">
        <v>1981</v>
      </c>
      <c r="H146" s="223">
        <v>1</v>
      </c>
      <c r="I146" s="223">
        <v>1</v>
      </c>
      <c r="J146" s="223"/>
      <c r="K146" s="228">
        <v>148252.29819999999</v>
      </c>
      <c r="L146" s="241">
        <v>80</v>
      </c>
      <c r="M146" s="229">
        <v>29650.459640000001</v>
      </c>
      <c r="N146" s="230">
        <v>34.630000000000003</v>
      </c>
      <c r="O146" s="231">
        <v>29650</v>
      </c>
      <c r="P146" s="314"/>
      <c r="Q146" s="276">
        <f t="shared" si="4"/>
        <v>4281.04</v>
      </c>
      <c r="R146" s="275">
        <f>(SUMIFS('Dec 31 2018 OFFS'!$AG:$AG,'Dec 31 2018 OFFS'!$AI:$AI,'T1 2019 Pipeline Data Lagasco'!$A146,'Dec 31 2018 OFFS'!$U:$U,'T1 2019 Pipeline Data Lagasco'!$E146,'Dec 31 2018 OFFS'!$AK:$AK,'T1 2019 Pipeline Data Lagasco'!$Q146,'Dec 31 2018 OFFS'!$W:$W,'T1 2019 Pipeline Data Lagasco'!$G146))/(MAX(COUNTIFS('Dec 31 2018 OFFS'!$AI:$AI,'T1 2019 Pipeline Data Lagasco'!$A146,'Dec 31 2018 OFFS'!$U:$U,'T1 2019 Pipeline Data Lagasco'!$E146,'Dec 31 2018 OFFS'!$AK:$AK,'T1 2019 Pipeline Data Lagasco'!$Q146,'Dec 31 2018 OFFS'!$W:$W,'T1 2019 Pipeline Data Lagasco'!$G146),1))</f>
        <v>29650</v>
      </c>
      <c r="S146" s="275">
        <f t="shared" si="5"/>
        <v>0</v>
      </c>
    </row>
    <row r="147" spans="1:19" s="217" customFormat="1" ht="14.1" customHeight="1">
      <c r="A147" s="224" t="s">
        <v>1491</v>
      </c>
      <c r="B147" s="218" t="s">
        <v>1492</v>
      </c>
      <c r="C147" s="223">
        <v>1</v>
      </c>
      <c r="D147" s="218" t="s">
        <v>1488</v>
      </c>
      <c r="E147" s="240">
        <v>6</v>
      </c>
      <c r="F147" s="223">
        <v>4645</v>
      </c>
      <c r="G147" s="223">
        <v>1975</v>
      </c>
      <c r="H147" s="223">
        <v>1</v>
      </c>
      <c r="I147" s="223">
        <v>0</v>
      </c>
      <c r="J147" s="223"/>
      <c r="K147" s="238">
        <v>160856.35</v>
      </c>
      <c r="L147" s="241">
        <v>80</v>
      </c>
      <c r="M147" s="238">
        <v>32171.27</v>
      </c>
      <c r="N147" s="230">
        <v>34.630000000000003</v>
      </c>
      <c r="O147" s="231">
        <v>0</v>
      </c>
      <c r="P147" s="314"/>
      <c r="Q147" s="276">
        <f t="shared" si="4"/>
        <v>4645</v>
      </c>
      <c r="R147" s="275">
        <f>(SUMIFS('Dec 31 2018 OFFS'!$AG:$AG,'Dec 31 2018 OFFS'!$AI:$AI,'T1 2019 Pipeline Data Lagasco'!$A147,'Dec 31 2018 OFFS'!$U:$U,'T1 2019 Pipeline Data Lagasco'!$E147,'Dec 31 2018 OFFS'!$AK:$AK,'T1 2019 Pipeline Data Lagasco'!$Q147,'Dec 31 2018 OFFS'!$W:$W,'T1 2019 Pipeline Data Lagasco'!$G147))/(MAX(COUNTIFS('Dec 31 2018 OFFS'!$AI:$AI,'T1 2019 Pipeline Data Lagasco'!$A147,'Dec 31 2018 OFFS'!$U:$U,'T1 2019 Pipeline Data Lagasco'!$E147,'Dec 31 2018 OFFS'!$AK:$AK,'T1 2019 Pipeline Data Lagasco'!$Q147,'Dec 31 2018 OFFS'!$W:$W,'T1 2019 Pipeline Data Lagasco'!$G147),1))</f>
        <v>0</v>
      </c>
      <c r="S147" s="275">
        <f t="shared" si="5"/>
        <v>0</v>
      </c>
    </row>
    <row r="148" spans="1:19" s="217" customFormat="1" ht="14.1" customHeight="1">
      <c r="A148" s="224" t="s">
        <v>1491</v>
      </c>
      <c r="B148" s="218" t="s">
        <v>1492</v>
      </c>
      <c r="C148" s="223">
        <v>1</v>
      </c>
      <c r="D148" s="218" t="s">
        <v>1488</v>
      </c>
      <c r="E148" s="240">
        <v>6</v>
      </c>
      <c r="F148" s="226">
        <v>3763.9762689999998</v>
      </c>
      <c r="G148" s="223">
        <v>1975</v>
      </c>
      <c r="H148" s="223">
        <v>1</v>
      </c>
      <c r="I148" s="223">
        <v>0</v>
      </c>
      <c r="J148" s="223"/>
      <c r="K148" s="228">
        <v>130346.4982</v>
      </c>
      <c r="L148" s="241">
        <v>80</v>
      </c>
      <c r="M148" s="229">
        <v>26069.299640000001</v>
      </c>
      <c r="N148" s="230">
        <v>34.630000000000003</v>
      </c>
      <c r="O148" s="231">
        <v>0</v>
      </c>
      <c r="P148" s="314"/>
      <c r="Q148" s="276">
        <f t="shared" si="4"/>
        <v>3763.98</v>
      </c>
      <c r="R148" s="275">
        <f>(SUMIFS('Dec 31 2018 OFFS'!$AG:$AG,'Dec 31 2018 OFFS'!$AI:$AI,'T1 2019 Pipeline Data Lagasco'!$A148,'Dec 31 2018 OFFS'!$U:$U,'T1 2019 Pipeline Data Lagasco'!$E148,'Dec 31 2018 OFFS'!$AK:$AK,'T1 2019 Pipeline Data Lagasco'!$Q148,'Dec 31 2018 OFFS'!$W:$W,'T1 2019 Pipeline Data Lagasco'!$G148))/(MAX(COUNTIFS('Dec 31 2018 OFFS'!$AI:$AI,'T1 2019 Pipeline Data Lagasco'!$A148,'Dec 31 2018 OFFS'!$U:$U,'T1 2019 Pipeline Data Lagasco'!$E148,'Dec 31 2018 OFFS'!$AK:$AK,'T1 2019 Pipeline Data Lagasco'!$Q148,'Dec 31 2018 OFFS'!$W:$W,'T1 2019 Pipeline Data Lagasco'!$G148),1))</f>
        <v>0</v>
      </c>
      <c r="S148" s="275">
        <f t="shared" si="5"/>
        <v>0</v>
      </c>
    </row>
    <row r="149" spans="1:19" s="217" customFormat="1" ht="14.1" customHeight="1">
      <c r="A149" s="224" t="s">
        <v>1491</v>
      </c>
      <c r="B149" s="218" t="s">
        <v>1492</v>
      </c>
      <c r="C149" s="223">
        <v>1</v>
      </c>
      <c r="D149" s="218" t="s">
        <v>1488</v>
      </c>
      <c r="E149" s="240">
        <v>6</v>
      </c>
      <c r="F149" s="236">
        <v>14369.78305</v>
      </c>
      <c r="G149" s="223">
        <v>1975</v>
      </c>
      <c r="H149" s="223">
        <v>1</v>
      </c>
      <c r="I149" s="223">
        <v>0</v>
      </c>
      <c r="J149" s="223"/>
      <c r="K149" s="239">
        <v>497625.587</v>
      </c>
      <c r="L149" s="241">
        <v>80</v>
      </c>
      <c r="M149" s="229">
        <v>99525.117389999999</v>
      </c>
      <c r="N149" s="230">
        <v>34.630000000000003</v>
      </c>
      <c r="O149" s="231">
        <v>0</v>
      </c>
      <c r="P149" s="314"/>
      <c r="Q149" s="276">
        <f t="shared" si="4"/>
        <v>14369.78</v>
      </c>
      <c r="R149" s="275">
        <f>(SUMIFS('Dec 31 2018 OFFS'!$AG:$AG,'Dec 31 2018 OFFS'!$AI:$AI,'T1 2019 Pipeline Data Lagasco'!$A149,'Dec 31 2018 OFFS'!$U:$U,'T1 2019 Pipeline Data Lagasco'!$E149,'Dec 31 2018 OFFS'!$AK:$AK,'T1 2019 Pipeline Data Lagasco'!$Q149,'Dec 31 2018 OFFS'!$W:$W,'T1 2019 Pipeline Data Lagasco'!$G149))/(MAX(COUNTIFS('Dec 31 2018 OFFS'!$AI:$AI,'T1 2019 Pipeline Data Lagasco'!$A149,'Dec 31 2018 OFFS'!$U:$U,'T1 2019 Pipeline Data Lagasco'!$E149,'Dec 31 2018 OFFS'!$AK:$AK,'T1 2019 Pipeline Data Lagasco'!$Q149,'Dec 31 2018 OFFS'!$W:$W,'T1 2019 Pipeline Data Lagasco'!$G149),1))</f>
        <v>0</v>
      </c>
      <c r="S149" s="275">
        <f t="shared" si="5"/>
        <v>0</v>
      </c>
    </row>
    <row r="150" spans="1:19" s="217" customFormat="1" ht="14.1" customHeight="1">
      <c r="A150" s="224" t="s">
        <v>1491</v>
      </c>
      <c r="B150" s="218" t="s">
        <v>1492</v>
      </c>
      <c r="C150" s="223">
        <v>1</v>
      </c>
      <c r="D150" s="218" t="s">
        <v>1488</v>
      </c>
      <c r="E150" s="240">
        <v>6</v>
      </c>
      <c r="F150" s="226">
        <v>3720.8988420000001</v>
      </c>
      <c r="G150" s="223">
        <v>1977</v>
      </c>
      <c r="H150" s="223">
        <v>1</v>
      </c>
      <c r="I150" s="223">
        <v>0</v>
      </c>
      <c r="J150" s="223"/>
      <c r="K150" s="228">
        <v>128854.72689999999</v>
      </c>
      <c r="L150" s="241">
        <v>80</v>
      </c>
      <c r="M150" s="229">
        <v>25770.945380000001</v>
      </c>
      <c r="N150" s="230">
        <v>34.630000000000003</v>
      </c>
      <c r="O150" s="231">
        <v>0</v>
      </c>
      <c r="P150" s="314"/>
      <c r="Q150" s="276">
        <f t="shared" si="4"/>
        <v>3720.90</v>
      </c>
      <c r="R150" s="275">
        <f>(SUMIFS('Dec 31 2018 OFFS'!$AG:$AG,'Dec 31 2018 OFFS'!$AI:$AI,'T1 2019 Pipeline Data Lagasco'!$A150,'Dec 31 2018 OFFS'!$U:$U,'T1 2019 Pipeline Data Lagasco'!$E150,'Dec 31 2018 OFFS'!$AK:$AK,'T1 2019 Pipeline Data Lagasco'!$Q150,'Dec 31 2018 OFFS'!$W:$W,'T1 2019 Pipeline Data Lagasco'!$G150))/(MAX(COUNTIFS('Dec 31 2018 OFFS'!$AI:$AI,'T1 2019 Pipeline Data Lagasco'!$A150,'Dec 31 2018 OFFS'!$U:$U,'T1 2019 Pipeline Data Lagasco'!$E150,'Dec 31 2018 OFFS'!$AK:$AK,'T1 2019 Pipeline Data Lagasco'!$Q150,'Dec 31 2018 OFFS'!$W:$W,'T1 2019 Pipeline Data Lagasco'!$G150),1))</f>
        <v>0</v>
      </c>
      <c r="S150" s="275">
        <f t="shared" si="5"/>
        <v>0</v>
      </c>
    </row>
    <row r="151" spans="1:19" s="217" customFormat="1" ht="14.1" customHeight="1">
      <c r="A151" s="224" t="s">
        <v>1491</v>
      </c>
      <c r="B151" s="218" t="s">
        <v>1492</v>
      </c>
      <c r="C151" s="223">
        <v>1</v>
      </c>
      <c r="D151" s="218" t="s">
        <v>1488</v>
      </c>
      <c r="E151" s="240">
        <v>6</v>
      </c>
      <c r="F151" s="226">
        <v>1935.6626739999999</v>
      </c>
      <c r="G151" s="223">
        <v>1977</v>
      </c>
      <c r="H151" s="223">
        <v>1</v>
      </c>
      <c r="I151" s="223">
        <v>0</v>
      </c>
      <c r="J151" s="223"/>
      <c r="K151" s="229">
        <v>67031.998389999993</v>
      </c>
      <c r="L151" s="241">
        <v>80</v>
      </c>
      <c r="M151" s="229">
        <v>13406.39968</v>
      </c>
      <c r="N151" s="230">
        <v>34.630000000000003</v>
      </c>
      <c r="O151" s="231">
        <v>0</v>
      </c>
      <c r="P151" s="314"/>
      <c r="Q151" s="276">
        <f t="shared" si="4"/>
        <v>1935.66</v>
      </c>
      <c r="R151" s="275">
        <f>(SUMIFS('Dec 31 2018 OFFS'!$AG:$AG,'Dec 31 2018 OFFS'!$AI:$AI,'T1 2019 Pipeline Data Lagasco'!$A151,'Dec 31 2018 OFFS'!$U:$U,'T1 2019 Pipeline Data Lagasco'!$E151,'Dec 31 2018 OFFS'!$AK:$AK,'T1 2019 Pipeline Data Lagasco'!$Q151,'Dec 31 2018 OFFS'!$W:$W,'T1 2019 Pipeline Data Lagasco'!$G151))/(MAX(COUNTIFS('Dec 31 2018 OFFS'!$AI:$AI,'T1 2019 Pipeline Data Lagasco'!$A151,'Dec 31 2018 OFFS'!$U:$U,'T1 2019 Pipeline Data Lagasco'!$E151,'Dec 31 2018 OFFS'!$AK:$AK,'T1 2019 Pipeline Data Lagasco'!$Q151,'Dec 31 2018 OFFS'!$W:$W,'T1 2019 Pipeline Data Lagasco'!$G151),1))</f>
        <v>0</v>
      </c>
      <c r="S151" s="275">
        <f t="shared" si="5"/>
        <v>0</v>
      </c>
    </row>
    <row r="152" spans="1:19" s="217" customFormat="1" ht="14.1" customHeight="1">
      <c r="A152" s="224" t="s">
        <v>1491</v>
      </c>
      <c r="B152" s="218" t="s">
        <v>1492</v>
      </c>
      <c r="C152" s="223">
        <v>1</v>
      </c>
      <c r="D152" s="218" t="s">
        <v>1488</v>
      </c>
      <c r="E152" s="240">
        <v>6</v>
      </c>
      <c r="F152" s="226">
        <v>1303.608886</v>
      </c>
      <c r="G152" s="223">
        <v>1977</v>
      </c>
      <c r="H152" s="223">
        <v>1</v>
      </c>
      <c r="I152" s="223">
        <v>0</v>
      </c>
      <c r="J152" s="223"/>
      <c r="K152" s="229">
        <v>45143.975729999998</v>
      </c>
      <c r="L152" s="241">
        <v>80</v>
      </c>
      <c r="M152" s="233">
        <v>9028.795145</v>
      </c>
      <c r="N152" s="230">
        <v>34.630000000000003</v>
      </c>
      <c r="O152" s="231">
        <v>0</v>
      </c>
      <c r="P152" s="314"/>
      <c r="Q152" s="276">
        <f t="shared" si="4"/>
        <v>1303.6099999999999</v>
      </c>
      <c r="R152" s="275">
        <f>(SUMIFS('Dec 31 2018 OFFS'!$AG:$AG,'Dec 31 2018 OFFS'!$AI:$AI,'T1 2019 Pipeline Data Lagasco'!$A152,'Dec 31 2018 OFFS'!$U:$U,'T1 2019 Pipeline Data Lagasco'!$E152,'Dec 31 2018 OFFS'!$AK:$AK,'T1 2019 Pipeline Data Lagasco'!$Q152,'Dec 31 2018 OFFS'!$W:$W,'T1 2019 Pipeline Data Lagasco'!$G152))/(MAX(COUNTIFS('Dec 31 2018 OFFS'!$AI:$AI,'T1 2019 Pipeline Data Lagasco'!$A152,'Dec 31 2018 OFFS'!$U:$U,'T1 2019 Pipeline Data Lagasco'!$E152,'Dec 31 2018 OFFS'!$AK:$AK,'T1 2019 Pipeline Data Lagasco'!$Q152,'Dec 31 2018 OFFS'!$W:$W,'T1 2019 Pipeline Data Lagasco'!$G152),1))</f>
        <v>0</v>
      </c>
      <c r="S152" s="275">
        <f t="shared" si="5"/>
        <v>0</v>
      </c>
    </row>
    <row r="153" spans="1:19" s="217" customFormat="1" ht="14.1" customHeight="1">
      <c r="A153" s="224" t="s">
        <v>1491</v>
      </c>
      <c r="B153" s="218" t="s">
        <v>1492</v>
      </c>
      <c r="C153" s="223">
        <v>1</v>
      </c>
      <c r="D153" s="218" t="s">
        <v>1488</v>
      </c>
      <c r="E153" s="240">
        <v>6</v>
      </c>
      <c r="F153" s="226">
        <v>1130.708629</v>
      </c>
      <c r="G153" s="223">
        <v>1977</v>
      </c>
      <c r="H153" s="223">
        <v>1</v>
      </c>
      <c r="I153" s="223">
        <v>0</v>
      </c>
      <c r="J153" s="223"/>
      <c r="K153" s="229">
        <v>39156.439810000003</v>
      </c>
      <c r="L153" s="241">
        <v>80</v>
      </c>
      <c r="M153" s="233">
        <v>7831.2879620000003</v>
      </c>
      <c r="N153" s="230">
        <v>34.630000000000003</v>
      </c>
      <c r="O153" s="231">
        <v>0</v>
      </c>
      <c r="P153" s="314"/>
      <c r="Q153" s="276">
        <f t="shared" si="4"/>
        <v>1130.71</v>
      </c>
      <c r="R153" s="275">
        <f>(SUMIFS('Dec 31 2018 OFFS'!$AG:$AG,'Dec 31 2018 OFFS'!$AI:$AI,'T1 2019 Pipeline Data Lagasco'!$A153,'Dec 31 2018 OFFS'!$U:$U,'T1 2019 Pipeline Data Lagasco'!$E153,'Dec 31 2018 OFFS'!$AK:$AK,'T1 2019 Pipeline Data Lagasco'!$Q153,'Dec 31 2018 OFFS'!$W:$W,'T1 2019 Pipeline Data Lagasco'!$G153))/(MAX(COUNTIFS('Dec 31 2018 OFFS'!$AI:$AI,'T1 2019 Pipeline Data Lagasco'!$A153,'Dec 31 2018 OFFS'!$U:$U,'T1 2019 Pipeline Data Lagasco'!$E153,'Dec 31 2018 OFFS'!$AK:$AK,'T1 2019 Pipeline Data Lagasco'!$Q153,'Dec 31 2018 OFFS'!$W:$W,'T1 2019 Pipeline Data Lagasco'!$G153),1))</f>
        <v>0</v>
      </c>
      <c r="S153" s="275">
        <f t="shared" si="5"/>
        <v>0</v>
      </c>
    </row>
    <row r="154" spans="1:19" s="217" customFormat="1" ht="14.1" customHeight="1">
      <c r="A154" s="224" t="s">
        <v>1491</v>
      </c>
      <c r="B154" s="218" t="s">
        <v>1492</v>
      </c>
      <c r="C154" s="223">
        <v>1</v>
      </c>
      <c r="D154" s="218" t="s">
        <v>1488</v>
      </c>
      <c r="E154" s="240">
        <v>6</v>
      </c>
      <c r="F154" s="226">
        <v>1267.0603309999999</v>
      </c>
      <c r="G154" s="223">
        <v>1977</v>
      </c>
      <c r="H154" s="223">
        <v>1</v>
      </c>
      <c r="I154" s="223">
        <v>0</v>
      </c>
      <c r="J154" s="223"/>
      <c r="K154" s="229">
        <v>43878.299249999996</v>
      </c>
      <c r="L154" s="241">
        <v>80</v>
      </c>
      <c r="M154" s="233">
        <v>8775.6598510000003</v>
      </c>
      <c r="N154" s="230">
        <v>34.630000000000003</v>
      </c>
      <c r="O154" s="231">
        <v>0</v>
      </c>
      <c r="P154" s="314"/>
      <c r="Q154" s="276">
        <f t="shared" si="4"/>
        <v>1267.06</v>
      </c>
      <c r="R154" s="275">
        <f>(SUMIFS('Dec 31 2018 OFFS'!$AG:$AG,'Dec 31 2018 OFFS'!$AI:$AI,'T1 2019 Pipeline Data Lagasco'!$A154,'Dec 31 2018 OFFS'!$U:$U,'T1 2019 Pipeline Data Lagasco'!$E154,'Dec 31 2018 OFFS'!$AK:$AK,'T1 2019 Pipeline Data Lagasco'!$Q154,'Dec 31 2018 OFFS'!$W:$W,'T1 2019 Pipeline Data Lagasco'!$G154))/(MAX(COUNTIFS('Dec 31 2018 OFFS'!$AI:$AI,'T1 2019 Pipeline Data Lagasco'!$A154,'Dec 31 2018 OFFS'!$U:$U,'T1 2019 Pipeline Data Lagasco'!$E154,'Dec 31 2018 OFFS'!$AK:$AK,'T1 2019 Pipeline Data Lagasco'!$Q154,'Dec 31 2018 OFFS'!$W:$W,'T1 2019 Pipeline Data Lagasco'!$G154),1))</f>
        <v>0</v>
      </c>
      <c r="S154" s="275">
        <f t="shared" si="5"/>
        <v>0</v>
      </c>
    </row>
    <row r="155" spans="1:19" s="217" customFormat="1" ht="14.1" customHeight="1">
      <c r="A155" s="224" t="s">
        <v>1491</v>
      </c>
      <c r="B155" s="218" t="s">
        <v>1492</v>
      </c>
      <c r="C155" s="223">
        <v>1</v>
      </c>
      <c r="D155" s="218" t="s">
        <v>1488</v>
      </c>
      <c r="E155" s="240">
        <v>6</v>
      </c>
      <c r="F155" s="226">
        <v>1163.024901</v>
      </c>
      <c r="G155" s="223">
        <v>1975</v>
      </c>
      <c r="H155" s="223">
        <v>1</v>
      </c>
      <c r="I155" s="223">
        <v>0</v>
      </c>
      <c r="J155" s="223"/>
      <c r="K155" s="229">
        <v>40275.552309999999</v>
      </c>
      <c r="L155" s="241">
        <v>80</v>
      </c>
      <c r="M155" s="233">
        <v>8055.1104619999996</v>
      </c>
      <c r="N155" s="230">
        <v>34.630000000000003</v>
      </c>
      <c r="O155" s="231">
        <v>0</v>
      </c>
      <c r="P155" s="314"/>
      <c r="Q155" s="276">
        <f t="shared" si="4"/>
        <v>1163.02</v>
      </c>
      <c r="R155" s="275">
        <f>(SUMIFS('Dec 31 2018 OFFS'!$AG:$AG,'Dec 31 2018 OFFS'!$AI:$AI,'T1 2019 Pipeline Data Lagasco'!$A155,'Dec 31 2018 OFFS'!$U:$U,'T1 2019 Pipeline Data Lagasco'!$E155,'Dec 31 2018 OFFS'!$AK:$AK,'T1 2019 Pipeline Data Lagasco'!$Q155,'Dec 31 2018 OFFS'!$W:$W,'T1 2019 Pipeline Data Lagasco'!$G155))/(MAX(COUNTIFS('Dec 31 2018 OFFS'!$AI:$AI,'T1 2019 Pipeline Data Lagasco'!$A155,'Dec 31 2018 OFFS'!$U:$U,'T1 2019 Pipeline Data Lagasco'!$E155,'Dec 31 2018 OFFS'!$AK:$AK,'T1 2019 Pipeline Data Lagasco'!$Q155,'Dec 31 2018 OFFS'!$W:$W,'T1 2019 Pipeline Data Lagasco'!$G155),1))</f>
        <v>0</v>
      </c>
      <c r="S155" s="275">
        <f t="shared" si="5"/>
        <v>0</v>
      </c>
    </row>
    <row r="156" spans="1:19" s="217" customFormat="1" ht="14.1" customHeight="1">
      <c r="A156" s="224" t="s">
        <v>1491</v>
      </c>
      <c r="B156" s="218" t="s">
        <v>1492</v>
      </c>
      <c r="C156" s="223">
        <v>1</v>
      </c>
      <c r="D156" s="218" t="s">
        <v>1488</v>
      </c>
      <c r="E156" s="240">
        <v>6</v>
      </c>
      <c r="F156" s="226">
        <v>3601.246615</v>
      </c>
      <c r="G156" s="223">
        <v>1975</v>
      </c>
      <c r="H156" s="223">
        <v>1</v>
      </c>
      <c r="I156" s="223">
        <v>1</v>
      </c>
      <c r="J156" s="223"/>
      <c r="K156" s="228">
        <v>124711.1703</v>
      </c>
      <c r="L156" s="241">
        <v>80</v>
      </c>
      <c r="M156" s="229">
        <v>24942.234049999999</v>
      </c>
      <c r="N156" s="230">
        <v>34.630000000000003</v>
      </c>
      <c r="O156" s="231">
        <v>24942</v>
      </c>
      <c r="P156" s="314"/>
      <c r="Q156" s="276">
        <f t="shared" si="4"/>
        <v>3601.25</v>
      </c>
      <c r="R156" s="275">
        <f>(SUMIFS('Dec 31 2018 OFFS'!$AG:$AG,'Dec 31 2018 OFFS'!$AI:$AI,'T1 2019 Pipeline Data Lagasco'!$A156,'Dec 31 2018 OFFS'!$U:$U,'T1 2019 Pipeline Data Lagasco'!$E156,'Dec 31 2018 OFFS'!$AK:$AK,'T1 2019 Pipeline Data Lagasco'!$Q156,'Dec 31 2018 OFFS'!$W:$W,'T1 2019 Pipeline Data Lagasco'!$G156))/(MAX(COUNTIFS('Dec 31 2018 OFFS'!$AI:$AI,'T1 2019 Pipeline Data Lagasco'!$A156,'Dec 31 2018 OFFS'!$U:$U,'T1 2019 Pipeline Data Lagasco'!$E156,'Dec 31 2018 OFFS'!$AK:$AK,'T1 2019 Pipeline Data Lagasco'!$Q156,'Dec 31 2018 OFFS'!$W:$W,'T1 2019 Pipeline Data Lagasco'!$G156),1))</f>
        <v>24942</v>
      </c>
      <c r="S156" s="275">
        <f t="shared" si="5"/>
        <v>0</v>
      </c>
    </row>
    <row r="157" spans="1:19" s="217" customFormat="1" ht="14.1" customHeight="1">
      <c r="A157" s="224" t="s">
        <v>1491</v>
      </c>
      <c r="B157" s="218" t="s">
        <v>1492</v>
      </c>
      <c r="C157" s="223">
        <v>1</v>
      </c>
      <c r="D157" s="218" t="s">
        <v>1488</v>
      </c>
      <c r="E157" s="240">
        <v>6</v>
      </c>
      <c r="F157" s="226">
        <v>1006.758501</v>
      </c>
      <c r="G157" s="223">
        <v>1975</v>
      </c>
      <c r="H157" s="223">
        <v>1</v>
      </c>
      <c r="I157" s="223">
        <v>1</v>
      </c>
      <c r="J157" s="223"/>
      <c r="K157" s="229">
        <v>34864.046889999998</v>
      </c>
      <c r="L157" s="241">
        <v>80</v>
      </c>
      <c r="M157" s="233">
        <v>6972.8093779999999</v>
      </c>
      <c r="N157" s="230">
        <v>34.630000000000003</v>
      </c>
      <c r="O157" s="231">
        <v>6972</v>
      </c>
      <c r="P157" s="314"/>
      <c r="Q157" s="276">
        <f t="shared" si="4"/>
        <v>1006.76</v>
      </c>
      <c r="R157" s="275">
        <f>(SUMIFS('Dec 31 2018 OFFS'!$AG:$AG,'Dec 31 2018 OFFS'!$AI:$AI,'T1 2019 Pipeline Data Lagasco'!$A157,'Dec 31 2018 OFFS'!$U:$U,'T1 2019 Pipeline Data Lagasco'!$E157,'Dec 31 2018 OFFS'!$AK:$AK,'T1 2019 Pipeline Data Lagasco'!$Q157,'Dec 31 2018 OFFS'!$W:$W,'T1 2019 Pipeline Data Lagasco'!$G157))/(MAX(COUNTIFS('Dec 31 2018 OFFS'!$AI:$AI,'T1 2019 Pipeline Data Lagasco'!$A157,'Dec 31 2018 OFFS'!$U:$U,'T1 2019 Pipeline Data Lagasco'!$E157,'Dec 31 2018 OFFS'!$AK:$AK,'T1 2019 Pipeline Data Lagasco'!$Q157,'Dec 31 2018 OFFS'!$W:$W,'T1 2019 Pipeline Data Lagasco'!$G157),1))</f>
        <v>6972</v>
      </c>
      <c r="S157" s="275">
        <f t="shared" si="5"/>
        <v>0</v>
      </c>
    </row>
    <row r="158" spans="1:19" s="217" customFormat="1" ht="14.1" customHeight="1">
      <c r="A158" s="224" t="s">
        <v>1491</v>
      </c>
      <c r="B158" s="218" t="s">
        <v>1492</v>
      </c>
      <c r="C158" s="223">
        <v>1</v>
      </c>
      <c r="D158" s="218" t="s">
        <v>1488</v>
      </c>
      <c r="E158" s="240">
        <v>6</v>
      </c>
      <c r="F158" s="226">
        <v>4587.1389749999998</v>
      </c>
      <c r="G158" s="223">
        <v>1977</v>
      </c>
      <c r="H158" s="223">
        <v>1</v>
      </c>
      <c r="I158" s="223">
        <v>1</v>
      </c>
      <c r="J158" s="223"/>
      <c r="K158" s="228">
        <v>158852.62270000001</v>
      </c>
      <c r="L158" s="241">
        <v>80</v>
      </c>
      <c r="M158" s="229">
        <v>31770.524539999999</v>
      </c>
      <c r="N158" s="230">
        <v>34.630000000000003</v>
      </c>
      <c r="O158" s="231">
        <v>31770</v>
      </c>
      <c r="P158" s="314"/>
      <c r="Q158" s="276">
        <f t="shared" si="4"/>
        <v>4587.1400000000003</v>
      </c>
      <c r="R158" s="275">
        <f>(SUMIFS('Dec 31 2018 OFFS'!$AG:$AG,'Dec 31 2018 OFFS'!$AI:$AI,'T1 2019 Pipeline Data Lagasco'!$A158,'Dec 31 2018 OFFS'!$U:$U,'T1 2019 Pipeline Data Lagasco'!$E158,'Dec 31 2018 OFFS'!$AK:$AK,'T1 2019 Pipeline Data Lagasco'!$Q158,'Dec 31 2018 OFFS'!$W:$W,'T1 2019 Pipeline Data Lagasco'!$G158))/(MAX(COUNTIFS('Dec 31 2018 OFFS'!$AI:$AI,'T1 2019 Pipeline Data Lagasco'!$A158,'Dec 31 2018 OFFS'!$U:$U,'T1 2019 Pipeline Data Lagasco'!$E158,'Dec 31 2018 OFFS'!$AK:$AK,'T1 2019 Pipeline Data Lagasco'!$Q158,'Dec 31 2018 OFFS'!$W:$W,'T1 2019 Pipeline Data Lagasco'!$G158),1))</f>
        <v>31770</v>
      </c>
      <c r="S158" s="275">
        <f t="shared" si="5"/>
        <v>0</v>
      </c>
    </row>
    <row r="159" spans="1:19" s="217" customFormat="1" ht="14.1" customHeight="1">
      <c r="A159" s="224" t="s">
        <v>1491</v>
      </c>
      <c r="B159" s="218" t="s">
        <v>1492</v>
      </c>
      <c r="C159" s="223">
        <v>1</v>
      </c>
      <c r="D159" s="218" t="s">
        <v>1488</v>
      </c>
      <c r="E159" s="240">
        <v>6</v>
      </c>
      <c r="F159" s="226">
        <v>4763.3856889999997</v>
      </c>
      <c r="G159" s="223">
        <v>1994</v>
      </c>
      <c r="H159" s="223">
        <v>1</v>
      </c>
      <c r="I159" s="223">
        <v>1</v>
      </c>
      <c r="J159" s="223"/>
      <c r="K159" s="228">
        <v>164956.04639999999</v>
      </c>
      <c r="L159" s="241">
        <v>68</v>
      </c>
      <c r="M159" s="229">
        <v>52785.934849999998</v>
      </c>
      <c r="N159" s="230">
        <v>34.630000000000003</v>
      </c>
      <c r="O159" s="231">
        <v>52785</v>
      </c>
      <c r="P159" s="314"/>
      <c r="Q159" s="276">
        <f t="shared" si="4"/>
        <v>4763.3900000000003</v>
      </c>
      <c r="R159" s="275">
        <f>(SUMIFS('Dec 31 2018 OFFS'!$AG:$AG,'Dec 31 2018 OFFS'!$AI:$AI,'T1 2019 Pipeline Data Lagasco'!$A159,'Dec 31 2018 OFFS'!$U:$U,'T1 2019 Pipeline Data Lagasco'!$E159,'Dec 31 2018 OFFS'!$AK:$AK,'T1 2019 Pipeline Data Lagasco'!$Q159,'Dec 31 2018 OFFS'!$W:$W,'T1 2019 Pipeline Data Lagasco'!$G159))/(MAX(COUNTIFS('Dec 31 2018 OFFS'!$AI:$AI,'T1 2019 Pipeline Data Lagasco'!$A159,'Dec 31 2018 OFFS'!$U:$U,'T1 2019 Pipeline Data Lagasco'!$E159,'Dec 31 2018 OFFS'!$AK:$AK,'T1 2019 Pipeline Data Lagasco'!$Q159,'Dec 31 2018 OFFS'!$W:$W,'T1 2019 Pipeline Data Lagasco'!$G159),1))</f>
        <v>52785</v>
      </c>
      <c r="S159" s="275">
        <f t="shared" si="5"/>
        <v>0</v>
      </c>
    </row>
    <row r="160" spans="1:19" s="217" customFormat="1" ht="14.1" customHeight="1">
      <c r="A160" s="224" t="s">
        <v>1491</v>
      </c>
      <c r="B160" s="218" t="s">
        <v>1492</v>
      </c>
      <c r="C160" s="223">
        <v>1</v>
      </c>
      <c r="D160" s="218" t="s">
        <v>1488</v>
      </c>
      <c r="E160" s="240">
        <v>6</v>
      </c>
      <c r="F160" s="223">
        <v>10260</v>
      </c>
      <c r="G160" s="223">
        <v>1983</v>
      </c>
      <c r="H160" s="223">
        <v>1</v>
      </c>
      <c r="I160" s="223">
        <v>1</v>
      </c>
      <c r="J160" s="223"/>
      <c r="K160" s="237">
        <v>355303.80</v>
      </c>
      <c r="L160" s="241">
        <v>80</v>
      </c>
      <c r="M160" s="238">
        <v>71060.759999999995</v>
      </c>
      <c r="N160" s="230">
        <v>34.630000000000003</v>
      </c>
      <c r="O160" s="231">
        <v>71060</v>
      </c>
      <c r="P160" s="314"/>
      <c r="Q160" s="276">
        <f t="shared" si="4"/>
        <v>10260</v>
      </c>
      <c r="R160" s="275">
        <f>(SUMIFS('Dec 31 2018 OFFS'!$AG:$AG,'Dec 31 2018 OFFS'!$AI:$AI,'T1 2019 Pipeline Data Lagasco'!$A160,'Dec 31 2018 OFFS'!$U:$U,'T1 2019 Pipeline Data Lagasco'!$E160,'Dec 31 2018 OFFS'!$AK:$AK,'T1 2019 Pipeline Data Lagasco'!$Q160,'Dec 31 2018 OFFS'!$W:$W,'T1 2019 Pipeline Data Lagasco'!$G160))/(MAX(COUNTIFS('Dec 31 2018 OFFS'!$AI:$AI,'T1 2019 Pipeline Data Lagasco'!$A160,'Dec 31 2018 OFFS'!$U:$U,'T1 2019 Pipeline Data Lagasco'!$E160,'Dec 31 2018 OFFS'!$AK:$AK,'T1 2019 Pipeline Data Lagasco'!$Q160,'Dec 31 2018 OFFS'!$W:$W,'T1 2019 Pipeline Data Lagasco'!$G160),1))</f>
        <v>71060</v>
      </c>
      <c r="S160" s="275">
        <f t="shared" si="5"/>
        <v>0</v>
      </c>
    </row>
    <row r="161" spans="1:20" ht="14.1" customHeight="1">
      <c r="A161" s="224" t="s">
        <v>1491</v>
      </c>
      <c r="B161" s="218" t="s">
        <v>1492</v>
      </c>
      <c r="C161" s="223">
        <v>1</v>
      </c>
      <c r="D161" s="218" t="s">
        <v>1488</v>
      </c>
      <c r="E161" s="240">
        <v>6</v>
      </c>
      <c r="F161" s="236">
        <v>21845.176530000001</v>
      </c>
      <c r="G161" s="223">
        <v>1997</v>
      </c>
      <c r="H161" s="223">
        <v>1</v>
      </c>
      <c r="I161" s="246">
        <v>0</v>
      </c>
      <c r="J161" s="223"/>
      <c r="K161" s="228">
        <v>756498.46329999994</v>
      </c>
      <c r="L161" s="241">
        <v>65</v>
      </c>
      <c r="M161" s="228">
        <v>264774.46220000001</v>
      </c>
      <c r="N161" s="230">
        <v>34.630000000000003</v>
      </c>
      <c r="O161" s="248">
        <v>0</v>
      </c>
      <c r="P161" s="317" t="s">
        <v>1560</v>
      </c>
      <c r="Q161" s="276">
        <f t="shared" si="4"/>
        <v>21845.18</v>
      </c>
      <c r="R161" s="275">
        <f>(SUMIFS('Dec 31 2018 OFFS'!$AG:$AG,'Dec 31 2018 OFFS'!$AI:$AI,'T1 2019 Pipeline Data Lagasco'!$A161,'Dec 31 2018 OFFS'!$U:$U,'T1 2019 Pipeline Data Lagasco'!$E161,'Dec 31 2018 OFFS'!$AK:$AK,'T1 2019 Pipeline Data Lagasco'!$Q161,'Dec 31 2018 OFFS'!$W:$W,'T1 2019 Pipeline Data Lagasco'!$G161))/(MAX(COUNTIFS('Dec 31 2018 OFFS'!$AI:$AI,'T1 2019 Pipeline Data Lagasco'!$A161,'Dec 31 2018 OFFS'!$U:$U,'T1 2019 Pipeline Data Lagasco'!$E161,'Dec 31 2018 OFFS'!$AK:$AK,'T1 2019 Pipeline Data Lagasco'!$Q161,'Dec 31 2018 OFFS'!$W:$W,'T1 2019 Pipeline Data Lagasco'!$G161),1))</f>
        <v>0</v>
      </c>
      <c r="S161" s="275">
        <f t="shared" si="5"/>
        <v>0</v>
      </c>
      <c r="T161" s="278" t="e">
        <f>R161/O161</f>
        <v>#DIV/0!</v>
      </c>
    </row>
    <row r="162" spans="1:20" ht="14.1" customHeight="1">
      <c r="A162" s="224" t="s">
        <v>1491</v>
      </c>
      <c r="B162" s="218" t="s">
        <v>1492</v>
      </c>
      <c r="C162" s="223">
        <v>1</v>
      </c>
      <c r="D162" s="218" t="s">
        <v>1488</v>
      </c>
      <c r="E162" s="240">
        <v>6</v>
      </c>
      <c r="F162" s="236">
        <v>40249.506710000001</v>
      </c>
      <c r="G162" s="223">
        <v>1994</v>
      </c>
      <c r="H162" s="223">
        <v>1</v>
      </c>
      <c r="I162" s="223">
        <v>1</v>
      </c>
      <c r="J162" s="223"/>
      <c r="K162" s="239">
        <v>1393840.4169999999</v>
      </c>
      <c r="L162" s="241">
        <v>68</v>
      </c>
      <c r="M162" s="228">
        <v>446028.93349999998</v>
      </c>
      <c r="N162" s="230">
        <v>34.630000000000003</v>
      </c>
      <c r="O162" s="231">
        <v>446028</v>
      </c>
      <c r="P162" s="314"/>
      <c r="Q162" s="276">
        <f t="shared" si="4"/>
        <v>40249.51</v>
      </c>
      <c r="R162" s="275">
        <f>(SUMIFS('Dec 31 2018 OFFS'!$AG:$AG,'Dec 31 2018 OFFS'!$AI:$AI,'T1 2019 Pipeline Data Lagasco'!$A162,'Dec 31 2018 OFFS'!$U:$U,'T1 2019 Pipeline Data Lagasco'!$E162,'Dec 31 2018 OFFS'!$AK:$AK,'T1 2019 Pipeline Data Lagasco'!$Q162,'Dec 31 2018 OFFS'!$W:$W,'T1 2019 Pipeline Data Lagasco'!$G162))/(MAX(COUNTIFS('Dec 31 2018 OFFS'!$AI:$AI,'T1 2019 Pipeline Data Lagasco'!$A162,'Dec 31 2018 OFFS'!$U:$U,'T1 2019 Pipeline Data Lagasco'!$E162,'Dec 31 2018 OFFS'!$AK:$AK,'T1 2019 Pipeline Data Lagasco'!$Q162,'Dec 31 2018 OFFS'!$W:$W,'T1 2019 Pipeline Data Lagasco'!$G162),1))</f>
        <v>446028</v>
      </c>
      <c r="S162" s="275">
        <f t="shared" si="5"/>
        <v>0</v>
      </c>
      <c r="T162" s="217"/>
    </row>
    <row r="163" spans="1:20" ht="14.1" customHeight="1">
      <c r="A163" s="224" t="s">
        <v>1491</v>
      </c>
      <c r="B163" s="218" t="s">
        <v>1492</v>
      </c>
      <c r="C163" s="223">
        <v>1</v>
      </c>
      <c r="D163" s="218" t="s">
        <v>1488</v>
      </c>
      <c r="E163" s="240">
        <v>6</v>
      </c>
      <c r="F163" s="236">
        <v>10737.27003</v>
      </c>
      <c r="G163" s="223">
        <v>1984</v>
      </c>
      <c r="H163" s="223">
        <v>1</v>
      </c>
      <c r="I163" s="223">
        <v>1</v>
      </c>
      <c r="J163" s="223"/>
      <c r="K163" s="228">
        <v>371831.66110000003</v>
      </c>
      <c r="L163" s="241">
        <v>80</v>
      </c>
      <c r="M163" s="229">
        <v>74366.33223</v>
      </c>
      <c r="N163" s="230">
        <v>34.630000000000003</v>
      </c>
      <c r="O163" s="231">
        <v>74366</v>
      </c>
      <c r="P163" s="314"/>
      <c r="Q163" s="276">
        <f t="shared" si="4"/>
        <v>10737.27</v>
      </c>
      <c r="R163" s="275">
        <f>(SUMIFS('Dec 31 2018 OFFS'!$AG:$AG,'Dec 31 2018 OFFS'!$AI:$AI,'T1 2019 Pipeline Data Lagasco'!$A163,'Dec 31 2018 OFFS'!$U:$U,'T1 2019 Pipeline Data Lagasco'!$E163,'Dec 31 2018 OFFS'!$AK:$AK,'T1 2019 Pipeline Data Lagasco'!$Q163,'Dec 31 2018 OFFS'!$W:$W,'T1 2019 Pipeline Data Lagasco'!$G163))/(MAX(COUNTIFS('Dec 31 2018 OFFS'!$AI:$AI,'T1 2019 Pipeline Data Lagasco'!$A163,'Dec 31 2018 OFFS'!$U:$U,'T1 2019 Pipeline Data Lagasco'!$E163,'Dec 31 2018 OFFS'!$AK:$AK,'T1 2019 Pipeline Data Lagasco'!$Q163,'Dec 31 2018 OFFS'!$W:$W,'T1 2019 Pipeline Data Lagasco'!$G163),1))</f>
        <v>74366</v>
      </c>
      <c r="S163" s="275">
        <f t="shared" si="5"/>
        <v>0</v>
      </c>
      <c r="T163" s="217"/>
    </row>
    <row r="164" spans="1:20" ht="14.1" customHeight="1">
      <c r="A164" s="224" t="s">
        <v>1491</v>
      </c>
      <c r="B164" s="218" t="s">
        <v>1492</v>
      </c>
      <c r="C164" s="223">
        <v>1</v>
      </c>
      <c r="D164" s="218" t="s">
        <v>1488</v>
      </c>
      <c r="E164" s="240">
        <v>6</v>
      </c>
      <c r="F164" s="226">
        <v>8104.8882169999997</v>
      </c>
      <c r="G164" s="223">
        <v>1985</v>
      </c>
      <c r="H164" s="223">
        <v>1</v>
      </c>
      <c r="I164" s="223">
        <v>1</v>
      </c>
      <c r="J164" s="223"/>
      <c r="K164" s="228">
        <v>280672.27889999998</v>
      </c>
      <c r="L164" s="241">
        <v>80</v>
      </c>
      <c r="M164" s="229">
        <v>56134.45579</v>
      </c>
      <c r="N164" s="230">
        <v>34.630000000000003</v>
      </c>
      <c r="O164" s="231">
        <v>56134</v>
      </c>
      <c r="P164" s="314"/>
      <c r="Q164" s="276">
        <f t="shared" si="4"/>
        <v>8104.89</v>
      </c>
      <c r="R164" s="275">
        <f>(SUMIFS('Dec 31 2018 OFFS'!$AG:$AG,'Dec 31 2018 OFFS'!$AI:$AI,'T1 2019 Pipeline Data Lagasco'!$A164,'Dec 31 2018 OFFS'!$U:$U,'T1 2019 Pipeline Data Lagasco'!$E164,'Dec 31 2018 OFFS'!$AK:$AK,'T1 2019 Pipeline Data Lagasco'!$Q164,'Dec 31 2018 OFFS'!$W:$W,'T1 2019 Pipeline Data Lagasco'!$G164))/(MAX(COUNTIFS('Dec 31 2018 OFFS'!$AI:$AI,'T1 2019 Pipeline Data Lagasco'!$A164,'Dec 31 2018 OFFS'!$U:$U,'T1 2019 Pipeline Data Lagasco'!$E164,'Dec 31 2018 OFFS'!$AK:$AK,'T1 2019 Pipeline Data Lagasco'!$Q164,'Dec 31 2018 OFFS'!$W:$W,'T1 2019 Pipeline Data Lagasco'!$G164),1))</f>
        <v>56134</v>
      </c>
      <c r="S164" s="275">
        <f t="shared" si="5"/>
        <v>0</v>
      </c>
      <c r="T164" s="217"/>
    </row>
    <row r="165" spans="1:20" ht="14.1" customHeight="1">
      <c r="A165" s="224" t="s">
        <v>1491</v>
      </c>
      <c r="B165" s="218" t="s">
        <v>1492</v>
      </c>
      <c r="C165" s="223">
        <v>1</v>
      </c>
      <c r="D165" s="218" t="s">
        <v>1488</v>
      </c>
      <c r="E165" s="240">
        <v>6</v>
      </c>
      <c r="F165" s="223">
        <v>5783</v>
      </c>
      <c r="G165" s="223">
        <v>1977</v>
      </c>
      <c r="H165" s="223">
        <v>1</v>
      </c>
      <c r="I165" s="223">
        <v>0</v>
      </c>
      <c r="J165" s="223"/>
      <c r="K165" s="238">
        <v>200265.29</v>
      </c>
      <c r="L165" s="241">
        <v>80</v>
      </c>
      <c r="M165" s="239">
        <v>40053.057999999997</v>
      </c>
      <c r="N165" s="230">
        <v>34.630000000000003</v>
      </c>
      <c r="O165" s="231">
        <v>0</v>
      </c>
      <c r="P165" s="314"/>
      <c r="Q165" s="276">
        <f t="shared" si="4"/>
        <v>5783</v>
      </c>
      <c r="R165" s="275">
        <f>(SUMIFS('Dec 31 2018 OFFS'!$AG:$AG,'Dec 31 2018 OFFS'!$AI:$AI,'T1 2019 Pipeline Data Lagasco'!$A165,'Dec 31 2018 OFFS'!$U:$U,'T1 2019 Pipeline Data Lagasco'!$E165,'Dec 31 2018 OFFS'!$AK:$AK,'T1 2019 Pipeline Data Lagasco'!$Q165,'Dec 31 2018 OFFS'!$W:$W,'T1 2019 Pipeline Data Lagasco'!$G165))/(MAX(COUNTIFS('Dec 31 2018 OFFS'!$AI:$AI,'T1 2019 Pipeline Data Lagasco'!$A165,'Dec 31 2018 OFFS'!$U:$U,'T1 2019 Pipeline Data Lagasco'!$E165,'Dec 31 2018 OFFS'!$AK:$AK,'T1 2019 Pipeline Data Lagasco'!$Q165,'Dec 31 2018 OFFS'!$W:$W,'T1 2019 Pipeline Data Lagasco'!$G165),1))</f>
        <v>0</v>
      </c>
      <c r="S165" s="275">
        <f t="shared" si="5"/>
        <v>0</v>
      </c>
      <c r="T165" s="217"/>
    </row>
    <row r="166" spans="1:20" ht="14.1" customHeight="1">
      <c r="A166" s="224" t="s">
        <v>1491</v>
      </c>
      <c r="B166" s="218" t="s">
        <v>1492</v>
      </c>
      <c r="C166" s="223">
        <v>1</v>
      </c>
      <c r="D166" s="218" t="s">
        <v>1488</v>
      </c>
      <c r="E166" s="240">
        <v>6</v>
      </c>
      <c r="F166" s="226">
        <v>5473.0969539999996</v>
      </c>
      <c r="G166" s="223">
        <v>1983</v>
      </c>
      <c r="H166" s="230">
        <v>0.75</v>
      </c>
      <c r="I166" s="223">
        <v>1</v>
      </c>
      <c r="J166" s="223"/>
      <c r="K166" s="228">
        <v>189533.3475</v>
      </c>
      <c r="L166" s="241">
        <v>80</v>
      </c>
      <c r="M166" s="229">
        <v>37906.66951</v>
      </c>
      <c r="N166" s="230">
        <v>34.630000000000003</v>
      </c>
      <c r="O166" s="231">
        <v>28430</v>
      </c>
      <c r="P166" s="314"/>
      <c r="Q166" s="276">
        <f t="shared" si="4"/>
        <v>5473.10</v>
      </c>
      <c r="R166" s="275">
        <f>(SUMIFS('Dec 31 2018 OFFS'!$AG:$AG,'Dec 31 2018 OFFS'!$AI:$AI,'T1 2019 Pipeline Data Lagasco'!$A166,'Dec 31 2018 OFFS'!$U:$U,'T1 2019 Pipeline Data Lagasco'!$E166,'Dec 31 2018 OFFS'!$AK:$AK,'T1 2019 Pipeline Data Lagasco'!$Q166,'Dec 31 2018 OFFS'!$W:$W,'T1 2019 Pipeline Data Lagasco'!$G166))/(MAX(COUNTIFS('Dec 31 2018 OFFS'!$AI:$AI,'T1 2019 Pipeline Data Lagasco'!$A166,'Dec 31 2018 OFFS'!$U:$U,'T1 2019 Pipeline Data Lagasco'!$E166,'Dec 31 2018 OFFS'!$AK:$AK,'T1 2019 Pipeline Data Lagasco'!$Q166,'Dec 31 2018 OFFS'!$W:$W,'T1 2019 Pipeline Data Lagasco'!$G166),1))</f>
        <v>28430</v>
      </c>
      <c r="S166" s="275">
        <f t="shared" si="5"/>
        <v>0</v>
      </c>
      <c r="T166" s="217"/>
    </row>
    <row r="167" spans="1:20" ht="14.1" customHeight="1">
      <c r="A167" s="224" t="s">
        <v>1491</v>
      </c>
      <c r="B167" s="218" t="s">
        <v>1492</v>
      </c>
      <c r="C167" s="223">
        <v>1</v>
      </c>
      <c r="D167" s="218" t="s">
        <v>1488</v>
      </c>
      <c r="E167" s="240">
        <v>8</v>
      </c>
      <c r="F167" s="226">
        <v>4113.6809830000002</v>
      </c>
      <c r="G167" s="223">
        <v>1977</v>
      </c>
      <c r="H167" s="223">
        <v>1</v>
      </c>
      <c r="I167" s="223">
        <v>1</v>
      </c>
      <c r="J167" s="223"/>
      <c r="K167" s="228">
        <v>202804.4725</v>
      </c>
      <c r="L167" s="241">
        <v>80</v>
      </c>
      <c r="M167" s="229">
        <v>40560.894489999999</v>
      </c>
      <c r="N167" s="242">
        <v>49.30</v>
      </c>
      <c r="O167" s="231">
        <v>40560</v>
      </c>
      <c r="P167" s="314"/>
      <c r="Q167" s="276">
        <f t="shared" si="4"/>
        <v>4113.68</v>
      </c>
      <c r="R167" s="275">
        <f>(SUMIFS('Dec 31 2018 OFFS'!$AG:$AG,'Dec 31 2018 OFFS'!$AI:$AI,'T1 2019 Pipeline Data Lagasco'!$A167,'Dec 31 2018 OFFS'!$U:$U,'T1 2019 Pipeline Data Lagasco'!$E167,'Dec 31 2018 OFFS'!$AK:$AK,'T1 2019 Pipeline Data Lagasco'!$Q167,'Dec 31 2018 OFFS'!$W:$W,'T1 2019 Pipeline Data Lagasco'!$G167))/(MAX(COUNTIFS('Dec 31 2018 OFFS'!$AI:$AI,'T1 2019 Pipeline Data Lagasco'!$A167,'Dec 31 2018 OFFS'!$U:$U,'T1 2019 Pipeline Data Lagasco'!$E167,'Dec 31 2018 OFFS'!$AK:$AK,'T1 2019 Pipeline Data Lagasco'!$Q167,'Dec 31 2018 OFFS'!$W:$W,'T1 2019 Pipeline Data Lagasco'!$G167),1))</f>
        <v>40560</v>
      </c>
      <c r="S167" s="275">
        <f t="shared" si="5"/>
        <v>0</v>
      </c>
      <c r="T167" s="217"/>
    </row>
    <row r="168" spans="1:20" ht="14.1" customHeight="1">
      <c r="A168" s="224" t="s">
        <v>1491</v>
      </c>
      <c r="B168" s="218" t="s">
        <v>1492</v>
      </c>
      <c r="C168" s="223">
        <v>1</v>
      </c>
      <c r="D168" s="218" t="s">
        <v>1488</v>
      </c>
      <c r="E168" s="240">
        <v>8</v>
      </c>
      <c r="F168" s="226">
        <v>1447.1128189999999</v>
      </c>
      <c r="G168" s="223">
        <v>1977</v>
      </c>
      <c r="H168" s="223">
        <v>1</v>
      </c>
      <c r="I168" s="223">
        <v>1</v>
      </c>
      <c r="J168" s="223"/>
      <c r="K168" s="229">
        <v>71342.661980000004</v>
      </c>
      <c r="L168" s="241">
        <v>80</v>
      </c>
      <c r="M168" s="228">
        <v>14268.5324</v>
      </c>
      <c r="N168" s="242">
        <v>49.30</v>
      </c>
      <c r="O168" s="231">
        <v>14268</v>
      </c>
      <c r="P168" s="314"/>
      <c r="Q168" s="276">
        <f t="shared" si="4"/>
        <v>1447.11</v>
      </c>
      <c r="R168" s="275">
        <f>(SUMIFS('Dec 31 2018 OFFS'!$AG:$AG,'Dec 31 2018 OFFS'!$AI:$AI,'T1 2019 Pipeline Data Lagasco'!$A168,'Dec 31 2018 OFFS'!$U:$U,'T1 2019 Pipeline Data Lagasco'!$E168,'Dec 31 2018 OFFS'!$AK:$AK,'T1 2019 Pipeline Data Lagasco'!$Q168,'Dec 31 2018 OFFS'!$W:$W,'T1 2019 Pipeline Data Lagasco'!$G168))/(MAX(COUNTIFS('Dec 31 2018 OFFS'!$AI:$AI,'T1 2019 Pipeline Data Lagasco'!$A168,'Dec 31 2018 OFFS'!$U:$U,'T1 2019 Pipeline Data Lagasco'!$E168,'Dec 31 2018 OFFS'!$AK:$AK,'T1 2019 Pipeline Data Lagasco'!$Q168,'Dec 31 2018 OFFS'!$W:$W,'T1 2019 Pipeline Data Lagasco'!$G168),1))</f>
        <v>14268</v>
      </c>
      <c r="S168" s="275">
        <f t="shared" si="5"/>
        <v>0</v>
      </c>
      <c r="T168" s="217"/>
    </row>
    <row r="169" spans="1:20" ht="14.1" customHeight="1">
      <c r="A169" s="224" t="s">
        <v>1491</v>
      </c>
      <c r="B169" s="218" t="s">
        <v>1492</v>
      </c>
      <c r="C169" s="223">
        <v>1</v>
      </c>
      <c r="D169" s="218" t="s">
        <v>1488</v>
      </c>
      <c r="E169" s="240">
        <v>8</v>
      </c>
      <c r="F169" s="232">
        <v>225.55773629999999</v>
      </c>
      <c r="G169" s="223">
        <v>1977</v>
      </c>
      <c r="H169" s="223">
        <v>1</v>
      </c>
      <c r="I169" s="223">
        <v>1</v>
      </c>
      <c r="J169" s="223"/>
      <c r="K169" s="228">
        <v>11119.9964</v>
      </c>
      <c r="L169" s="241">
        <v>80</v>
      </c>
      <c r="M169" s="233">
        <v>2223.9992790000001</v>
      </c>
      <c r="N169" s="242">
        <v>49.30</v>
      </c>
      <c r="O169" s="231">
        <v>2223</v>
      </c>
      <c r="P169" s="314"/>
      <c r="Q169" s="276">
        <f t="shared" si="4"/>
        <v>225.56</v>
      </c>
      <c r="R169" s="275">
        <f>(SUMIFS('Dec 31 2018 OFFS'!$AG:$AG,'Dec 31 2018 OFFS'!$AI:$AI,'T1 2019 Pipeline Data Lagasco'!$A169,'Dec 31 2018 OFFS'!$U:$U,'T1 2019 Pipeline Data Lagasco'!$E169,'Dec 31 2018 OFFS'!$AK:$AK,'T1 2019 Pipeline Data Lagasco'!$Q169,'Dec 31 2018 OFFS'!$W:$W,'T1 2019 Pipeline Data Lagasco'!$G169))/(MAX(COUNTIFS('Dec 31 2018 OFFS'!$AI:$AI,'T1 2019 Pipeline Data Lagasco'!$A169,'Dec 31 2018 OFFS'!$U:$U,'T1 2019 Pipeline Data Lagasco'!$E169,'Dec 31 2018 OFFS'!$AK:$AK,'T1 2019 Pipeline Data Lagasco'!$Q169,'Dec 31 2018 OFFS'!$W:$W,'T1 2019 Pipeline Data Lagasco'!$G169),1))</f>
        <v>2224</v>
      </c>
      <c r="S169" s="275">
        <f t="shared" si="5"/>
        <v>-1</v>
      </c>
      <c r="T169" s="217"/>
    </row>
    <row r="170" spans="1:20" ht="15" customHeight="1">
      <c r="A170" s="224" t="s">
        <v>1491</v>
      </c>
      <c r="B170" s="218" t="s">
        <v>1492</v>
      </c>
      <c r="C170" s="223">
        <v>1</v>
      </c>
      <c r="D170" s="218" t="s">
        <v>1488</v>
      </c>
      <c r="E170" s="240">
        <v>8</v>
      </c>
      <c r="F170" s="226">
        <v>3419.1600060000001</v>
      </c>
      <c r="G170" s="223">
        <v>1977</v>
      </c>
      <c r="H170" s="223">
        <v>1</v>
      </c>
      <c r="I170" s="223">
        <v>1</v>
      </c>
      <c r="J170" s="223"/>
      <c r="K170" s="228">
        <v>168564.5883</v>
      </c>
      <c r="L170" s="241">
        <v>80</v>
      </c>
      <c r="M170" s="229">
        <v>33712.917659999999</v>
      </c>
      <c r="N170" s="242">
        <v>49.30</v>
      </c>
      <c r="O170" s="231">
        <v>33712</v>
      </c>
      <c r="P170" s="314"/>
      <c r="Q170" s="276">
        <f t="shared" si="4"/>
        <v>3419.16</v>
      </c>
      <c r="R170" s="275">
        <f>(SUMIFS('Dec 31 2018 OFFS'!$AG:$AG,'Dec 31 2018 OFFS'!$AI:$AI,'T1 2019 Pipeline Data Lagasco'!$A170,'Dec 31 2018 OFFS'!$U:$U,'T1 2019 Pipeline Data Lagasco'!$E170,'Dec 31 2018 OFFS'!$AK:$AK,'T1 2019 Pipeline Data Lagasco'!$Q170,'Dec 31 2018 OFFS'!$W:$W,'T1 2019 Pipeline Data Lagasco'!$G170))/(MAX(COUNTIFS('Dec 31 2018 OFFS'!$AI:$AI,'T1 2019 Pipeline Data Lagasco'!$A170,'Dec 31 2018 OFFS'!$U:$U,'T1 2019 Pipeline Data Lagasco'!$E170,'Dec 31 2018 OFFS'!$AK:$AK,'T1 2019 Pipeline Data Lagasco'!$Q170,'Dec 31 2018 OFFS'!$W:$W,'T1 2019 Pipeline Data Lagasco'!$G170),1))</f>
        <v>33712</v>
      </c>
      <c r="S170" s="275">
        <f t="shared" si="5"/>
        <v>0</v>
      </c>
      <c r="T170" s="217"/>
    </row>
    <row r="171" spans="1:20" ht="15" customHeight="1">
      <c r="A171" s="224" t="s">
        <v>1491</v>
      </c>
      <c r="B171" s="218" t="s">
        <v>1492</v>
      </c>
      <c r="C171" s="223">
        <v>1</v>
      </c>
      <c r="D171" s="218" t="s">
        <v>1488</v>
      </c>
      <c r="E171" s="240">
        <v>8</v>
      </c>
      <c r="F171" s="226">
        <v>1868.5038830000001</v>
      </c>
      <c r="G171" s="223">
        <v>1977</v>
      </c>
      <c r="H171" s="223">
        <v>1</v>
      </c>
      <c r="I171" s="223">
        <v>1</v>
      </c>
      <c r="J171" s="223"/>
      <c r="K171" s="229">
        <v>92117.241429999995</v>
      </c>
      <c r="L171" s="241">
        <v>80</v>
      </c>
      <c r="M171" s="229">
        <v>18423.44829</v>
      </c>
      <c r="N171" s="242">
        <v>49.30</v>
      </c>
      <c r="O171" s="231">
        <v>18423</v>
      </c>
      <c r="P171" s="314"/>
      <c r="Q171" s="276">
        <f t="shared" si="4"/>
        <v>1868.50</v>
      </c>
      <c r="R171" s="275">
        <f>(SUMIFS('Dec 31 2018 OFFS'!$AG:$AG,'Dec 31 2018 OFFS'!$AI:$AI,'T1 2019 Pipeline Data Lagasco'!$A171,'Dec 31 2018 OFFS'!$U:$U,'T1 2019 Pipeline Data Lagasco'!$E171,'Dec 31 2018 OFFS'!$AK:$AK,'T1 2019 Pipeline Data Lagasco'!$Q171,'Dec 31 2018 OFFS'!$W:$W,'T1 2019 Pipeline Data Lagasco'!$G171))/(MAX(COUNTIFS('Dec 31 2018 OFFS'!$AI:$AI,'T1 2019 Pipeline Data Lagasco'!$A171,'Dec 31 2018 OFFS'!$U:$U,'T1 2019 Pipeline Data Lagasco'!$E171,'Dec 31 2018 OFFS'!$AK:$AK,'T1 2019 Pipeline Data Lagasco'!$Q171,'Dec 31 2018 OFFS'!$W:$W,'T1 2019 Pipeline Data Lagasco'!$G171),1))</f>
        <v>18423</v>
      </c>
      <c r="S171" s="275">
        <f t="shared" si="5"/>
        <v>0</v>
      </c>
      <c r="T171" s="217"/>
    </row>
    <row r="172" spans="1:20" ht="14.1" customHeight="1">
      <c r="A172" s="224" t="s">
        <v>1491</v>
      </c>
      <c r="B172" s="218" t="s">
        <v>1492</v>
      </c>
      <c r="C172" s="223">
        <v>1</v>
      </c>
      <c r="D172" s="218" t="s">
        <v>1488</v>
      </c>
      <c r="E172" s="240">
        <v>8</v>
      </c>
      <c r="F172" s="236">
        <v>27083.56221</v>
      </c>
      <c r="G172" s="223">
        <v>1977</v>
      </c>
      <c r="H172" s="223">
        <v>1</v>
      </c>
      <c r="I172" s="223">
        <v>1</v>
      </c>
      <c r="J172" s="223"/>
      <c r="K172" s="239">
        <v>1335219.6170000001</v>
      </c>
      <c r="L172" s="241">
        <v>80</v>
      </c>
      <c r="M172" s="228">
        <v>267043.92340000003</v>
      </c>
      <c r="N172" s="242">
        <v>49.30</v>
      </c>
      <c r="O172" s="231">
        <v>267043</v>
      </c>
      <c r="P172" s="314"/>
      <c r="Q172" s="276">
        <f t="shared" si="4"/>
        <v>27083.56</v>
      </c>
      <c r="R172" s="275">
        <f>(SUMIFS('Dec 31 2018 OFFS'!$AG:$AG,'Dec 31 2018 OFFS'!$AI:$AI,'T1 2019 Pipeline Data Lagasco'!$A172,'Dec 31 2018 OFFS'!$U:$U,'T1 2019 Pipeline Data Lagasco'!$E172,'Dec 31 2018 OFFS'!$AK:$AK,'T1 2019 Pipeline Data Lagasco'!$Q172,'Dec 31 2018 OFFS'!$W:$W,'T1 2019 Pipeline Data Lagasco'!$G172))/(MAX(COUNTIFS('Dec 31 2018 OFFS'!$AI:$AI,'T1 2019 Pipeline Data Lagasco'!$A172,'Dec 31 2018 OFFS'!$U:$U,'T1 2019 Pipeline Data Lagasco'!$E172,'Dec 31 2018 OFFS'!$AK:$AK,'T1 2019 Pipeline Data Lagasco'!$Q172,'Dec 31 2018 OFFS'!$W:$W,'T1 2019 Pipeline Data Lagasco'!$G172),1))</f>
        <v>267043</v>
      </c>
      <c r="S172" s="275">
        <f t="shared" si="5"/>
        <v>0</v>
      </c>
      <c r="T172" s="217"/>
    </row>
    <row r="173" spans="1:20" ht="14.1" customHeight="1">
      <c r="A173" s="224" t="s">
        <v>1491</v>
      </c>
      <c r="B173" s="218" t="s">
        <v>1492</v>
      </c>
      <c r="C173" s="223">
        <v>1</v>
      </c>
      <c r="D173" s="218" t="s">
        <v>1488</v>
      </c>
      <c r="E173" s="240">
        <v>8</v>
      </c>
      <c r="F173" s="226">
        <v>6128.6087459999999</v>
      </c>
      <c r="G173" s="223">
        <v>1977</v>
      </c>
      <c r="H173" s="223">
        <v>1</v>
      </c>
      <c r="I173" s="223">
        <v>1</v>
      </c>
      <c r="J173" s="223"/>
      <c r="K173" s="228">
        <v>302140.41119999997</v>
      </c>
      <c r="L173" s="241">
        <v>80</v>
      </c>
      <c r="M173" s="229">
        <v>60428.082240000003</v>
      </c>
      <c r="N173" s="242">
        <v>49.30</v>
      </c>
      <c r="O173" s="231">
        <v>60428</v>
      </c>
      <c r="P173" s="314"/>
      <c r="Q173" s="276">
        <f t="shared" si="4"/>
        <v>6128.61</v>
      </c>
      <c r="R173" s="275">
        <f>(SUMIFS('Dec 31 2018 OFFS'!$AG:$AG,'Dec 31 2018 OFFS'!$AI:$AI,'T1 2019 Pipeline Data Lagasco'!$A173,'Dec 31 2018 OFFS'!$U:$U,'T1 2019 Pipeline Data Lagasco'!$E173,'Dec 31 2018 OFFS'!$AK:$AK,'T1 2019 Pipeline Data Lagasco'!$Q173,'Dec 31 2018 OFFS'!$W:$W,'T1 2019 Pipeline Data Lagasco'!$G173))/(MAX(COUNTIFS('Dec 31 2018 OFFS'!$AI:$AI,'T1 2019 Pipeline Data Lagasco'!$A173,'Dec 31 2018 OFFS'!$U:$U,'T1 2019 Pipeline Data Lagasco'!$E173,'Dec 31 2018 OFFS'!$AK:$AK,'T1 2019 Pipeline Data Lagasco'!$Q173,'Dec 31 2018 OFFS'!$W:$W,'T1 2019 Pipeline Data Lagasco'!$G173),1))</f>
        <v>60428</v>
      </c>
      <c r="S173" s="275">
        <f t="shared" si="5"/>
        <v>0</v>
      </c>
      <c r="T173" s="217"/>
    </row>
    <row r="174" spans="1:20" ht="14.1" customHeight="1">
      <c r="A174" s="224" t="s">
        <v>1491</v>
      </c>
      <c r="B174" s="218" t="s">
        <v>1492</v>
      </c>
      <c r="C174" s="223">
        <v>1</v>
      </c>
      <c r="D174" s="218" t="s">
        <v>1488</v>
      </c>
      <c r="E174" s="240">
        <v>8</v>
      </c>
      <c r="F174" s="226">
        <v>492.78213799999997</v>
      </c>
      <c r="G174" s="223">
        <v>1977</v>
      </c>
      <c r="H174" s="223">
        <v>1</v>
      </c>
      <c r="I174" s="223">
        <v>1</v>
      </c>
      <c r="J174" s="223"/>
      <c r="K174" s="228">
        <v>24294.1594</v>
      </c>
      <c r="L174" s="241">
        <v>80</v>
      </c>
      <c r="M174" s="229">
        <v>4858.8318799999997</v>
      </c>
      <c r="N174" s="242">
        <v>49.30</v>
      </c>
      <c r="O174" s="231">
        <v>4858</v>
      </c>
      <c r="P174" s="314"/>
      <c r="Q174" s="276">
        <f t="shared" si="4"/>
        <v>492.78</v>
      </c>
      <c r="R174" s="275">
        <f>(SUMIFS('Dec 31 2018 OFFS'!$AG:$AG,'Dec 31 2018 OFFS'!$AI:$AI,'T1 2019 Pipeline Data Lagasco'!$A174,'Dec 31 2018 OFFS'!$U:$U,'T1 2019 Pipeline Data Lagasco'!$E174,'Dec 31 2018 OFFS'!$AK:$AK,'T1 2019 Pipeline Data Lagasco'!$Q174,'Dec 31 2018 OFFS'!$W:$W,'T1 2019 Pipeline Data Lagasco'!$G174))/(MAX(COUNTIFS('Dec 31 2018 OFFS'!$AI:$AI,'T1 2019 Pipeline Data Lagasco'!$A174,'Dec 31 2018 OFFS'!$U:$U,'T1 2019 Pipeline Data Lagasco'!$E174,'Dec 31 2018 OFFS'!$AK:$AK,'T1 2019 Pipeline Data Lagasco'!$Q174,'Dec 31 2018 OFFS'!$W:$W,'T1 2019 Pipeline Data Lagasco'!$G174),1))</f>
        <v>4858</v>
      </c>
      <c r="S174" s="275">
        <f t="shared" si="5"/>
        <v>0</v>
      </c>
      <c r="T174" s="217"/>
    </row>
    <row r="175" spans="1:20" ht="14.1" customHeight="1">
      <c r="A175" s="224" t="s">
        <v>1491</v>
      </c>
      <c r="B175" s="218" t="s">
        <v>1492</v>
      </c>
      <c r="C175" s="223">
        <v>1</v>
      </c>
      <c r="D175" s="218" t="s">
        <v>1488</v>
      </c>
      <c r="E175" s="240">
        <v>8</v>
      </c>
      <c r="F175" s="226">
        <v>3104.6587030000001</v>
      </c>
      <c r="G175" s="223">
        <v>1977</v>
      </c>
      <c r="H175" s="223">
        <v>1</v>
      </c>
      <c r="I175" s="223">
        <v>1</v>
      </c>
      <c r="J175" s="223"/>
      <c r="K175" s="239">
        <v>153059.674</v>
      </c>
      <c r="L175" s="241">
        <v>80</v>
      </c>
      <c r="M175" s="229">
        <v>30611.934809999999</v>
      </c>
      <c r="N175" s="242">
        <v>49.30</v>
      </c>
      <c r="O175" s="231">
        <v>30611</v>
      </c>
      <c r="P175" s="314"/>
      <c r="Q175" s="276">
        <f t="shared" si="4"/>
        <v>3104.66</v>
      </c>
      <c r="R175" s="275">
        <f>(SUMIFS('Dec 31 2018 OFFS'!$AG:$AG,'Dec 31 2018 OFFS'!$AI:$AI,'T1 2019 Pipeline Data Lagasco'!$A175,'Dec 31 2018 OFFS'!$U:$U,'T1 2019 Pipeline Data Lagasco'!$E175,'Dec 31 2018 OFFS'!$AK:$AK,'T1 2019 Pipeline Data Lagasco'!$Q175,'Dec 31 2018 OFFS'!$W:$W,'T1 2019 Pipeline Data Lagasco'!$G175))/(MAX(COUNTIFS('Dec 31 2018 OFFS'!$AI:$AI,'T1 2019 Pipeline Data Lagasco'!$A175,'Dec 31 2018 OFFS'!$U:$U,'T1 2019 Pipeline Data Lagasco'!$E175,'Dec 31 2018 OFFS'!$AK:$AK,'T1 2019 Pipeline Data Lagasco'!$Q175,'Dec 31 2018 OFFS'!$W:$W,'T1 2019 Pipeline Data Lagasco'!$G175),1))</f>
        <v>30611</v>
      </c>
      <c r="S175" s="275">
        <f t="shared" si="5"/>
        <v>0</v>
      </c>
      <c r="T175" s="217"/>
    </row>
    <row r="176" spans="1:20" ht="14.1" customHeight="1">
      <c r="A176" s="224" t="s">
        <v>1491</v>
      </c>
      <c r="B176" s="218" t="s">
        <v>1492</v>
      </c>
      <c r="C176" s="223">
        <v>1</v>
      </c>
      <c r="D176" s="218" t="s">
        <v>1488</v>
      </c>
      <c r="E176" s="240">
        <v>8</v>
      </c>
      <c r="F176" s="236">
        <v>23207.57807</v>
      </c>
      <c r="G176" s="223">
        <v>1977</v>
      </c>
      <c r="H176" s="230">
        <v>0.75</v>
      </c>
      <c r="I176" s="223">
        <v>1</v>
      </c>
      <c r="J176" s="223"/>
      <c r="K176" s="239">
        <v>1144133.5989999999</v>
      </c>
      <c r="L176" s="241">
        <v>80</v>
      </c>
      <c r="M176" s="228">
        <v>228826.71979999999</v>
      </c>
      <c r="N176" s="242">
        <v>49.30</v>
      </c>
      <c r="O176" s="231">
        <v>171620</v>
      </c>
      <c r="P176" s="314"/>
      <c r="Q176" s="276">
        <f t="shared" si="4"/>
        <v>23207.58</v>
      </c>
      <c r="R176" s="275">
        <f>(SUMIFS('Dec 31 2018 OFFS'!$AG:$AG,'Dec 31 2018 OFFS'!$AI:$AI,'T1 2019 Pipeline Data Lagasco'!$A176,'Dec 31 2018 OFFS'!$U:$U,'T1 2019 Pipeline Data Lagasco'!$E176,'Dec 31 2018 OFFS'!$AK:$AK,'T1 2019 Pipeline Data Lagasco'!$Q176,'Dec 31 2018 OFFS'!$W:$W,'T1 2019 Pipeline Data Lagasco'!$G176))/(MAX(COUNTIFS('Dec 31 2018 OFFS'!$AI:$AI,'T1 2019 Pipeline Data Lagasco'!$A176,'Dec 31 2018 OFFS'!$U:$U,'T1 2019 Pipeline Data Lagasco'!$E176,'Dec 31 2018 OFFS'!$AK:$AK,'T1 2019 Pipeline Data Lagasco'!$Q176,'Dec 31 2018 OFFS'!$W:$W,'T1 2019 Pipeline Data Lagasco'!$G176),1))</f>
        <v>171620</v>
      </c>
      <c r="S176" s="275">
        <f t="shared" si="5"/>
        <v>0</v>
      </c>
      <c r="T176" s="217"/>
    </row>
    <row r="177" spans="1:20" ht="14.1" customHeight="1">
      <c r="A177" s="224" t="s">
        <v>1491</v>
      </c>
      <c r="B177" s="218" t="s">
        <v>1492</v>
      </c>
      <c r="C177" s="223">
        <v>1</v>
      </c>
      <c r="D177" s="218" t="s">
        <v>1488</v>
      </c>
      <c r="E177" s="240">
        <v>8</v>
      </c>
      <c r="F177" s="235">
        <v>25512.6633</v>
      </c>
      <c r="G177" s="223">
        <v>1977</v>
      </c>
      <c r="H177" s="223">
        <v>1</v>
      </c>
      <c r="I177" s="246">
        <v>0</v>
      </c>
      <c r="J177" s="223"/>
      <c r="K177" s="239">
        <v>1257774.301</v>
      </c>
      <c r="L177" s="241">
        <v>80</v>
      </c>
      <c r="M177" s="228">
        <v>251554.8602</v>
      </c>
      <c r="N177" s="242">
        <v>49.30</v>
      </c>
      <c r="O177" s="248">
        <v>0</v>
      </c>
      <c r="P177" s="317" t="s">
        <v>1560</v>
      </c>
      <c r="Q177" s="276">
        <f t="shared" si="4"/>
        <v>25512.66</v>
      </c>
      <c r="R177" s="275">
        <f>(SUMIFS('Dec 31 2018 OFFS'!$AG:$AG,'Dec 31 2018 OFFS'!$AI:$AI,'T1 2019 Pipeline Data Lagasco'!$A177,'Dec 31 2018 OFFS'!$U:$U,'T1 2019 Pipeline Data Lagasco'!$E177,'Dec 31 2018 OFFS'!$AK:$AK,'T1 2019 Pipeline Data Lagasco'!$Q177,'Dec 31 2018 OFFS'!$W:$W,'T1 2019 Pipeline Data Lagasco'!$G177))/(MAX(COUNTIFS('Dec 31 2018 OFFS'!$AI:$AI,'T1 2019 Pipeline Data Lagasco'!$A177,'Dec 31 2018 OFFS'!$U:$U,'T1 2019 Pipeline Data Lagasco'!$E177,'Dec 31 2018 OFFS'!$AK:$AK,'T1 2019 Pipeline Data Lagasco'!$Q177,'Dec 31 2018 OFFS'!$W:$W,'T1 2019 Pipeline Data Lagasco'!$G177),1))</f>
        <v>0</v>
      </c>
      <c r="S177" s="275">
        <f t="shared" si="5"/>
        <v>0</v>
      </c>
      <c r="T177" s="278" t="e">
        <f>R177/O177</f>
        <v>#DIV/0!</v>
      </c>
    </row>
    <row r="178" spans="1:20" ht="14.1" customHeight="1">
      <c r="A178" s="224" t="s">
        <v>1491</v>
      </c>
      <c r="B178" s="218" t="s">
        <v>1492</v>
      </c>
      <c r="C178" s="223">
        <v>1</v>
      </c>
      <c r="D178" s="218" t="s">
        <v>1488</v>
      </c>
      <c r="E178" s="240">
        <v>8</v>
      </c>
      <c r="F178" s="226">
        <v>5243.8318689999996</v>
      </c>
      <c r="G178" s="223">
        <v>1983</v>
      </c>
      <c r="H178" s="223">
        <v>1</v>
      </c>
      <c r="I178" s="223">
        <v>1</v>
      </c>
      <c r="J178" s="223"/>
      <c r="K178" s="228">
        <v>258520.9111</v>
      </c>
      <c r="L178" s="241">
        <v>80</v>
      </c>
      <c r="M178" s="229">
        <v>51704.182229999999</v>
      </c>
      <c r="N178" s="242">
        <v>49.30</v>
      </c>
      <c r="O178" s="231">
        <v>51704</v>
      </c>
      <c r="P178" s="314"/>
      <c r="Q178" s="276">
        <f t="shared" si="4"/>
        <v>5243.83</v>
      </c>
      <c r="R178" s="275">
        <f>(SUMIFS('Dec 31 2018 OFFS'!$AG:$AG,'Dec 31 2018 OFFS'!$AI:$AI,'T1 2019 Pipeline Data Lagasco'!$A178,'Dec 31 2018 OFFS'!$U:$U,'T1 2019 Pipeline Data Lagasco'!$E178,'Dec 31 2018 OFFS'!$AK:$AK,'T1 2019 Pipeline Data Lagasco'!$Q178,'Dec 31 2018 OFFS'!$W:$W,'T1 2019 Pipeline Data Lagasco'!$G178))/(MAX(COUNTIFS('Dec 31 2018 OFFS'!$AI:$AI,'T1 2019 Pipeline Data Lagasco'!$A178,'Dec 31 2018 OFFS'!$U:$U,'T1 2019 Pipeline Data Lagasco'!$E178,'Dec 31 2018 OFFS'!$AK:$AK,'T1 2019 Pipeline Data Lagasco'!$Q178,'Dec 31 2018 OFFS'!$W:$W,'T1 2019 Pipeline Data Lagasco'!$G178),1))</f>
        <v>51704</v>
      </c>
      <c r="S178" s="275">
        <f t="shared" si="5"/>
        <v>0</v>
      </c>
      <c r="T178" s="217"/>
    </row>
    <row r="179" spans="1:20" ht="14.1" customHeight="1">
      <c r="A179" s="224" t="s">
        <v>1491</v>
      </c>
      <c r="B179" s="218" t="s">
        <v>1492</v>
      </c>
      <c r="C179" s="223">
        <v>1</v>
      </c>
      <c r="D179" s="218" t="s">
        <v>1488</v>
      </c>
      <c r="E179" s="240">
        <v>8</v>
      </c>
      <c r="F179" s="226">
        <v>4072.014318</v>
      </c>
      <c r="G179" s="223">
        <v>1983</v>
      </c>
      <c r="H179" s="223">
        <v>1</v>
      </c>
      <c r="I179" s="223">
        <v>1</v>
      </c>
      <c r="J179" s="223"/>
      <c r="K179" s="228">
        <v>200750.30590000001</v>
      </c>
      <c r="L179" s="241">
        <v>80</v>
      </c>
      <c r="M179" s="229">
        <v>40150.061170000001</v>
      </c>
      <c r="N179" s="242">
        <v>49.30</v>
      </c>
      <c r="O179" s="231">
        <v>40150</v>
      </c>
      <c r="P179" s="314"/>
      <c r="Q179" s="276">
        <f t="shared" si="4"/>
        <v>4072.01</v>
      </c>
      <c r="R179" s="275">
        <f>(SUMIFS('Dec 31 2018 OFFS'!$AG:$AG,'Dec 31 2018 OFFS'!$AI:$AI,'T1 2019 Pipeline Data Lagasco'!$A179,'Dec 31 2018 OFFS'!$U:$U,'T1 2019 Pipeline Data Lagasco'!$E179,'Dec 31 2018 OFFS'!$AK:$AK,'T1 2019 Pipeline Data Lagasco'!$Q179,'Dec 31 2018 OFFS'!$W:$W,'T1 2019 Pipeline Data Lagasco'!$G179))/(MAX(COUNTIFS('Dec 31 2018 OFFS'!$AI:$AI,'T1 2019 Pipeline Data Lagasco'!$A179,'Dec 31 2018 OFFS'!$U:$U,'T1 2019 Pipeline Data Lagasco'!$E179,'Dec 31 2018 OFFS'!$AK:$AK,'T1 2019 Pipeline Data Lagasco'!$Q179,'Dec 31 2018 OFFS'!$W:$W,'T1 2019 Pipeline Data Lagasco'!$G179),1))</f>
        <v>40150</v>
      </c>
      <c r="S179" s="275">
        <f t="shared" si="5"/>
        <v>0</v>
      </c>
      <c r="T179" s="217"/>
    </row>
    <row r="180" spans="1:20" ht="14.1" customHeight="1">
      <c r="A180" s="224" t="s">
        <v>1491</v>
      </c>
      <c r="B180" s="218" t="s">
        <v>1492</v>
      </c>
      <c r="C180" s="223">
        <v>1</v>
      </c>
      <c r="D180" s="218" t="s">
        <v>1488</v>
      </c>
      <c r="E180" s="240">
        <v>8</v>
      </c>
      <c r="F180" s="226">
        <v>5331.3318669999999</v>
      </c>
      <c r="G180" s="223">
        <v>1983</v>
      </c>
      <c r="H180" s="223">
        <v>1</v>
      </c>
      <c r="I180" s="223">
        <v>1</v>
      </c>
      <c r="J180" s="223"/>
      <c r="K180" s="239">
        <v>262834.66100000002</v>
      </c>
      <c r="L180" s="241">
        <v>80</v>
      </c>
      <c r="M180" s="228">
        <v>52566.932200000003</v>
      </c>
      <c r="N180" s="242">
        <v>49.30</v>
      </c>
      <c r="O180" s="231">
        <v>52566</v>
      </c>
      <c r="P180" s="314"/>
      <c r="Q180" s="276">
        <f t="shared" si="4"/>
        <v>5331.33</v>
      </c>
      <c r="R180" s="275">
        <f>(SUMIFS('Dec 31 2018 OFFS'!$AG:$AG,'Dec 31 2018 OFFS'!$AI:$AI,'T1 2019 Pipeline Data Lagasco'!$A180,'Dec 31 2018 OFFS'!$U:$U,'T1 2019 Pipeline Data Lagasco'!$E180,'Dec 31 2018 OFFS'!$AK:$AK,'T1 2019 Pipeline Data Lagasco'!$Q180,'Dec 31 2018 OFFS'!$W:$W,'T1 2019 Pipeline Data Lagasco'!$G180))/(MAX(COUNTIFS('Dec 31 2018 OFFS'!$AI:$AI,'T1 2019 Pipeline Data Lagasco'!$A180,'Dec 31 2018 OFFS'!$U:$U,'T1 2019 Pipeline Data Lagasco'!$E180,'Dec 31 2018 OFFS'!$AK:$AK,'T1 2019 Pipeline Data Lagasco'!$Q180,'Dec 31 2018 OFFS'!$W:$W,'T1 2019 Pipeline Data Lagasco'!$G180),1))</f>
        <v>52566</v>
      </c>
      <c r="S180" s="275">
        <f t="shared" si="5"/>
        <v>0</v>
      </c>
      <c r="T180" s="217"/>
    </row>
    <row r="181" spans="1:20" ht="14.1" customHeight="1">
      <c r="A181" s="224" t="s">
        <v>1491</v>
      </c>
      <c r="B181" s="218" t="s">
        <v>1492</v>
      </c>
      <c r="C181" s="223">
        <v>1</v>
      </c>
      <c r="D181" s="218" t="s">
        <v>1488</v>
      </c>
      <c r="E181" s="240">
        <v>8</v>
      </c>
      <c r="F181" s="226">
        <v>4205.5773060000001</v>
      </c>
      <c r="G181" s="223">
        <v>1983</v>
      </c>
      <c r="H181" s="223">
        <v>1</v>
      </c>
      <c r="I181" s="223">
        <v>1</v>
      </c>
      <c r="J181" s="223"/>
      <c r="K181" s="228">
        <v>207334.96119999999</v>
      </c>
      <c r="L181" s="241">
        <v>80</v>
      </c>
      <c r="M181" s="229">
        <v>41466.99224</v>
      </c>
      <c r="N181" s="242">
        <v>49.30</v>
      </c>
      <c r="O181" s="231">
        <v>41466</v>
      </c>
      <c r="P181" s="314"/>
      <c r="Q181" s="276">
        <f t="shared" si="4"/>
        <v>4205.58</v>
      </c>
      <c r="R181" s="275">
        <f>(SUMIFS('Dec 31 2018 OFFS'!$AG:$AG,'Dec 31 2018 OFFS'!$AI:$AI,'T1 2019 Pipeline Data Lagasco'!$A181,'Dec 31 2018 OFFS'!$U:$U,'T1 2019 Pipeline Data Lagasco'!$E181,'Dec 31 2018 OFFS'!$AK:$AK,'T1 2019 Pipeline Data Lagasco'!$Q181,'Dec 31 2018 OFFS'!$W:$W,'T1 2019 Pipeline Data Lagasco'!$G181))/(MAX(COUNTIFS('Dec 31 2018 OFFS'!$AI:$AI,'T1 2019 Pipeline Data Lagasco'!$A181,'Dec 31 2018 OFFS'!$U:$U,'T1 2019 Pipeline Data Lagasco'!$E181,'Dec 31 2018 OFFS'!$AK:$AK,'T1 2019 Pipeline Data Lagasco'!$Q181,'Dec 31 2018 OFFS'!$W:$W,'T1 2019 Pipeline Data Lagasco'!$G181),1))</f>
        <v>41466</v>
      </c>
      <c r="S181" s="275">
        <f t="shared" si="5"/>
        <v>0</v>
      </c>
      <c r="T181" s="217"/>
    </row>
    <row r="182" spans="1:20" ht="14.1" customHeight="1">
      <c r="A182" s="224" t="s">
        <v>1491</v>
      </c>
      <c r="B182" s="218" t="s">
        <v>1492</v>
      </c>
      <c r="C182" s="223">
        <v>3</v>
      </c>
      <c r="D182" s="218" t="s">
        <v>1493</v>
      </c>
      <c r="E182" s="240">
        <v>6</v>
      </c>
      <c r="F182" s="223">
        <v>4816</v>
      </c>
      <c r="G182" s="223">
        <v>1977</v>
      </c>
      <c r="H182" s="223">
        <v>1</v>
      </c>
      <c r="I182" s="223">
        <v>1</v>
      </c>
      <c r="J182" s="223"/>
      <c r="K182" s="238">
        <v>221198.88</v>
      </c>
      <c r="L182" s="241">
        <v>61</v>
      </c>
      <c r="M182" s="228">
        <v>86267.563200000004</v>
      </c>
      <c r="N182" s="230">
        <v>45.93</v>
      </c>
      <c r="O182" s="231">
        <v>86267</v>
      </c>
      <c r="R182" s="223"/>
      <c r="T182" s="217"/>
    </row>
    <row r="183" spans="1:20" ht="14.1" customHeight="1">
      <c r="A183" s="224" t="s">
        <v>1491</v>
      </c>
      <c r="B183" s="218" t="s">
        <v>1492</v>
      </c>
      <c r="C183" s="223">
        <v>3</v>
      </c>
      <c r="D183" s="218" t="s">
        <v>1493</v>
      </c>
      <c r="E183" s="240">
        <v>6</v>
      </c>
      <c r="F183" s="223">
        <v>4816</v>
      </c>
      <c r="G183" s="223">
        <v>1977</v>
      </c>
      <c r="H183" s="223">
        <v>1</v>
      </c>
      <c r="I183" s="223">
        <v>1</v>
      </c>
      <c r="J183" s="223"/>
      <c r="K183" s="238">
        <v>221198.88</v>
      </c>
      <c r="L183" s="241">
        <v>61</v>
      </c>
      <c r="M183" s="228">
        <v>86267.563200000004</v>
      </c>
      <c r="N183" s="230">
        <v>45.93</v>
      </c>
      <c r="O183" s="231">
        <v>86267</v>
      </c>
      <c r="R183" s="223"/>
      <c r="T183" s="217"/>
    </row>
    <row r="184" spans="1:20" ht="14.1" customHeight="1">
      <c r="A184" s="224" t="s">
        <v>1491</v>
      </c>
      <c r="B184" s="218" t="s">
        <v>1492</v>
      </c>
      <c r="C184" s="223">
        <v>3</v>
      </c>
      <c r="D184" s="218" t="s">
        <v>1493</v>
      </c>
      <c r="E184" s="240">
        <v>8</v>
      </c>
      <c r="F184" s="223">
        <v>4816</v>
      </c>
      <c r="G184" s="223">
        <v>1983</v>
      </c>
      <c r="H184" s="223">
        <v>1</v>
      </c>
      <c r="I184" s="223">
        <v>1</v>
      </c>
      <c r="J184" s="223"/>
      <c r="K184" s="240">
        <v>285348</v>
      </c>
      <c r="L184" s="241">
        <v>57</v>
      </c>
      <c r="M184" s="238">
        <v>122699.64</v>
      </c>
      <c r="N184" s="230">
        <v>59.25</v>
      </c>
      <c r="O184" s="231">
        <v>122699</v>
      </c>
      <c r="R184" s="223"/>
      <c r="T184" s="217"/>
    </row>
    <row r="185" spans="1:20" ht="14.1" customHeight="1">
      <c r="A185" s="224" t="s">
        <v>1494</v>
      </c>
      <c r="B185" s="218" t="s">
        <v>1495</v>
      </c>
      <c r="C185" s="223">
        <v>1</v>
      </c>
      <c r="D185" s="218" t="s">
        <v>1488</v>
      </c>
      <c r="E185" s="240">
        <v>2</v>
      </c>
      <c r="F185" s="223">
        <v>2228</v>
      </c>
      <c r="G185" s="223">
        <v>1978</v>
      </c>
      <c r="H185" s="223">
        <v>1</v>
      </c>
      <c r="I185" s="223">
        <v>0</v>
      </c>
      <c r="J185" s="223"/>
      <c r="K185" s="238">
        <v>36182.72</v>
      </c>
      <c r="L185" s="241">
        <v>80</v>
      </c>
      <c r="M185" s="239">
        <v>7236.5439999999999</v>
      </c>
      <c r="N185" s="230">
        <v>16.239999999999998</v>
      </c>
      <c r="O185" s="231">
        <v>0</v>
      </c>
      <c r="P185" s="314"/>
      <c r="Q185" s="276">
        <f t="shared" si="6" ref="Q185:Q248">ROUND(F185,2)</f>
        <v>2228</v>
      </c>
      <c r="R185" s="275">
        <f>(SUMIFS('Dec 31 2018 OFFS'!$AG:$AG,'Dec 31 2018 OFFS'!$AI:$AI,'T1 2019 Pipeline Data Lagasco'!$A185,'Dec 31 2018 OFFS'!$U:$U,'T1 2019 Pipeline Data Lagasco'!$E185,'Dec 31 2018 OFFS'!$AK:$AK,'T1 2019 Pipeline Data Lagasco'!$Q185,'Dec 31 2018 OFFS'!$W:$W,'T1 2019 Pipeline Data Lagasco'!$G185))/(MAX(COUNTIFS('Dec 31 2018 OFFS'!$AI:$AI,'T1 2019 Pipeline Data Lagasco'!$A185,'Dec 31 2018 OFFS'!$U:$U,'T1 2019 Pipeline Data Lagasco'!$E185,'Dec 31 2018 OFFS'!$AK:$AK,'T1 2019 Pipeline Data Lagasco'!$Q185,'Dec 31 2018 OFFS'!$W:$W,'T1 2019 Pipeline Data Lagasco'!$G185),1))</f>
        <v>0</v>
      </c>
      <c r="S185" s="275">
        <f t="shared" si="7" ref="S185:S248">O185-R185</f>
        <v>0</v>
      </c>
      <c r="T185" s="217"/>
    </row>
    <row r="186" spans="1:20" ht="14.1" customHeight="1">
      <c r="A186" s="224" t="s">
        <v>1494</v>
      </c>
      <c r="B186" s="218" t="s">
        <v>1495</v>
      </c>
      <c r="C186" s="223">
        <v>1</v>
      </c>
      <c r="D186" s="218" t="s">
        <v>1488</v>
      </c>
      <c r="E186" s="240">
        <v>2</v>
      </c>
      <c r="F186" s="226">
        <v>3848.0313850000002</v>
      </c>
      <c r="G186" s="223">
        <v>1978</v>
      </c>
      <c r="H186" s="223">
        <v>1</v>
      </c>
      <c r="I186" s="223">
        <v>0</v>
      </c>
      <c r="J186" s="223"/>
      <c r="K186" s="229">
        <v>62492.029690000003</v>
      </c>
      <c r="L186" s="241">
        <v>80</v>
      </c>
      <c r="M186" s="229">
        <v>12498.405940000001</v>
      </c>
      <c r="N186" s="230">
        <v>16.239999999999998</v>
      </c>
      <c r="O186" s="231">
        <v>0</v>
      </c>
      <c r="P186" s="314"/>
      <c r="Q186" s="276">
        <f t="shared" si="6"/>
        <v>3848.03</v>
      </c>
      <c r="R186" s="275">
        <f>(SUMIFS('Dec 31 2018 OFFS'!$AG:$AG,'Dec 31 2018 OFFS'!$AI:$AI,'T1 2019 Pipeline Data Lagasco'!$A186,'Dec 31 2018 OFFS'!$U:$U,'T1 2019 Pipeline Data Lagasco'!$E186,'Dec 31 2018 OFFS'!$AK:$AK,'T1 2019 Pipeline Data Lagasco'!$Q186,'Dec 31 2018 OFFS'!$W:$W,'T1 2019 Pipeline Data Lagasco'!$G186))/(MAX(COUNTIFS('Dec 31 2018 OFFS'!$AI:$AI,'T1 2019 Pipeline Data Lagasco'!$A186,'Dec 31 2018 OFFS'!$U:$U,'T1 2019 Pipeline Data Lagasco'!$E186,'Dec 31 2018 OFFS'!$AK:$AK,'T1 2019 Pipeline Data Lagasco'!$Q186,'Dec 31 2018 OFFS'!$W:$W,'T1 2019 Pipeline Data Lagasco'!$G186),1))</f>
        <v>0</v>
      </c>
      <c r="S186" s="275">
        <f t="shared" si="7"/>
        <v>0</v>
      </c>
      <c r="T186" s="217"/>
    </row>
    <row r="187" spans="1:20" ht="14.1" customHeight="1">
      <c r="A187" s="224" t="s">
        <v>1494</v>
      </c>
      <c r="B187" s="218" t="s">
        <v>1495</v>
      </c>
      <c r="C187" s="223">
        <v>1</v>
      </c>
      <c r="D187" s="218" t="s">
        <v>1488</v>
      </c>
      <c r="E187" s="240">
        <v>2</v>
      </c>
      <c r="F187" s="223">
        <v>6259</v>
      </c>
      <c r="G187" s="223">
        <v>1978</v>
      </c>
      <c r="H187" s="223">
        <v>1</v>
      </c>
      <c r="I187" s="223">
        <v>0</v>
      </c>
      <c r="J187" s="223"/>
      <c r="K187" s="238">
        <v>101646.16</v>
      </c>
      <c r="L187" s="241">
        <v>80</v>
      </c>
      <c r="M187" s="239">
        <v>20329.232</v>
      </c>
      <c r="N187" s="230">
        <v>16.239999999999998</v>
      </c>
      <c r="O187" s="231">
        <v>0</v>
      </c>
      <c r="P187" s="314"/>
      <c r="Q187" s="276">
        <f t="shared" si="6"/>
        <v>6259</v>
      </c>
      <c r="R187" s="275">
        <f>(SUMIFS('Dec 31 2018 OFFS'!$AG:$AG,'Dec 31 2018 OFFS'!$AI:$AI,'T1 2019 Pipeline Data Lagasco'!$A187,'Dec 31 2018 OFFS'!$U:$U,'T1 2019 Pipeline Data Lagasco'!$E187,'Dec 31 2018 OFFS'!$AK:$AK,'T1 2019 Pipeline Data Lagasco'!$Q187,'Dec 31 2018 OFFS'!$W:$W,'T1 2019 Pipeline Data Lagasco'!$G187))/(MAX(COUNTIFS('Dec 31 2018 OFFS'!$AI:$AI,'T1 2019 Pipeline Data Lagasco'!$A187,'Dec 31 2018 OFFS'!$U:$U,'T1 2019 Pipeline Data Lagasco'!$E187,'Dec 31 2018 OFFS'!$AK:$AK,'T1 2019 Pipeline Data Lagasco'!$Q187,'Dec 31 2018 OFFS'!$W:$W,'T1 2019 Pipeline Data Lagasco'!$G187),1))</f>
        <v>0</v>
      </c>
      <c r="S187" s="275">
        <f t="shared" si="7"/>
        <v>0</v>
      </c>
      <c r="T187" s="217"/>
    </row>
    <row r="188" spans="1:20" ht="14.1" customHeight="1">
      <c r="A188" s="224" t="s">
        <v>1494</v>
      </c>
      <c r="B188" s="218" t="s">
        <v>1495</v>
      </c>
      <c r="C188" s="223">
        <v>1</v>
      </c>
      <c r="D188" s="218" t="s">
        <v>1488</v>
      </c>
      <c r="E188" s="240">
        <v>2</v>
      </c>
      <c r="F188" s="223">
        <v>9035</v>
      </c>
      <c r="G188" s="223">
        <v>1978</v>
      </c>
      <c r="H188" s="223">
        <v>1</v>
      </c>
      <c r="I188" s="223">
        <v>0</v>
      </c>
      <c r="J188" s="223"/>
      <c r="K188" s="237">
        <v>146728.40</v>
      </c>
      <c r="L188" s="241">
        <v>80</v>
      </c>
      <c r="M188" s="238">
        <v>29345.68</v>
      </c>
      <c r="N188" s="230">
        <v>16.239999999999998</v>
      </c>
      <c r="O188" s="231">
        <v>0</v>
      </c>
      <c r="P188" s="314"/>
      <c r="Q188" s="276">
        <f t="shared" si="6"/>
        <v>9035</v>
      </c>
      <c r="R188" s="275">
        <f>(SUMIFS('Dec 31 2018 OFFS'!$AG:$AG,'Dec 31 2018 OFFS'!$AI:$AI,'T1 2019 Pipeline Data Lagasco'!$A188,'Dec 31 2018 OFFS'!$U:$U,'T1 2019 Pipeline Data Lagasco'!$E188,'Dec 31 2018 OFFS'!$AK:$AK,'T1 2019 Pipeline Data Lagasco'!$Q188,'Dec 31 2018 OFFS'!$W:$W,'T1 2019 Pipeline Data Lagasco'!$G188))/(MAX(COUNTIFS('Dec 31 2018 OFFS'!$AI:$AI,'T1 2019 Pipeline Data Lagasco'!$A188,'Dec 31 2018 OFFS'!$U:$U,'T1 2019 Pipeline Data Lagasco'!$E188,'Dec 31 2018 OFFS'!$AK:$AK,'T1 2019 Pipeline Data Lagasco'!$Q188,'Dec 31 2018 OFFS'!$W:$W,'T1 2019 Pipeline Data Lagasco'!$G188),1))</f>
        <v>0</v>
      </c>
      <c r="S188" s="275">
        <f t="shared" si="7"/>
        <v>0</v>
      </c>
      <c r="T188" s="217"/>
    </row>
    <row r="189" spans="1:20" ht="14.1" customHeight="1">
      <c r="A189" s="224" t="s">
        <v>1494</v>
      </c>
      <c r="B189" s="218" t="s">
        <v>1495</v>
      </c>
      <c r="C189" s="223">
        <v>1</v>
      </c>
      <c r="D189" s="218" t="s">
        <v>1488</v>
      </c>
      <c r="E189" s="240">
        <v>2</v>
      </c>
      <c r="F189" s="223">
        <v>2575</v>
      </c>
      <c r="G189" s="223">
        <v>1986</v>
      </c>
      <c r="H189" s="223">
        <v>1</v>
      </c>
      <c r="I189" s="223">
        <v>0</v>
      </c>
      <c r="J189" s="223"/>
      <c r="K189" s="240">
        <v>41818</v>
      </c>
      <c r="L189" s="241">
        <v>79</v>
      </c>
      <c r="M189" s="238">
        <v>8781.7800000000007</v>
      </c>
      <c r="N189" s="230">
        <v>16.239999999999998</v>
      </c>
      <c r="O189" s="231">
        <v>0</v>
      </c>
      <c r="P189" s="314"/>
      <c r="Q189" s="276">
        <f t="shared" si="6"/>
        <v>2575</v>
      </c>
      <c r="R189" s="275">
        <f>(SUMIFS('Dec 31 2018 OFFS'!$AG:$AG,'Dec 31 2018 OFFS'!$AI:$AI,'T1 2019 Pipeline Data Lagasco'!$A189,'Dec 31 2018 OFFS'!$U:$U,'T1 2019 Pipeline Data Lagasco'!$E189,'Dec 31 2018 OFFS'!$AK:$AK,'T1 2019 Pipeline Data Lagasco'!$Q189,'Dec 31 2018 OFFS'!$W:$W,'T1 2019 Pipeline Data Lagasco'!$G189))/(MAX(COUNTIFS('Dec 31 2018 OFFS'!$AI:$AI,'T1 2019 Pipeline Data Lagasco'!$A189,'Dec 31 2018 OFFS'!$U:$U,'T1 2019 Pipeline Data Lagasco'!$E189,'Dec 31 2018 OFFS'!$AK:$AK,'T1 2019 Pipeline Data Lagasco'!$Q189,'Dec 31 2018 OFFS'!$W:$W,'T1 2019 Pipeline Data Lagasco'!$G189),1))</f>
        <v>0</v>
      </c>
      <c r="S189" s="275">
        <f t="shared" si="7"/>
        <v>0</v>
      </c>
      <c r="T189" s="217"/>
    </row>
    <row r="190" spans="1:20" ht="14.1" customHeight="1">
      <c r="A190" s="224" t="s">
        <v>1494</v>
      </c>
      <c r="B190" s="218" t="s">
        <v>1495</v>
      </c>
      <c r="C190" s="223">
        <v>1</v>
      </c>
      <c r="D190" s="218" t="s">
        <v>1488</v>
      </c>
      <c r="E190" s="240">
        <v>2</v>
      </c>
      <c r="F190" s="226">
        <v>5040.3541850000001</v>
      </c>
      <c r="G190" s="223">
        <v>1986</v>
      </c>
      <c r="H190" s="223">
        <v>1</v>
      </c>
      <c r="I190" s="223">
        <v>0</v>
      </c>
      <c r="J190" s="223"/>
      <c r="K190" s="229">
        <v>81855.35196</v>
      </c>
      <c r="L190" s="241">
        <v>79</v>
      </c>
      <c r="M190" s="229">
        <v>17189.623909999998</v>
      </c>
      <c r="N190" s="230">
        <v>16.239999999999998</v>
      </c>
      <c r="O190" s="231">
        <v>0</v>
      </c>
      <c r="P190" s="314"/>
      <c r="Q190" s="276">
        <f t="shared" si="6"/>
        <v>5040.3500000000004</v>
      </c>
      <c r="R190" s="275">
        <f>(SUMIFS('Dec 31 2018 OFFS'!$AG:$AG,'Dec 31 2018 OFFS'!$AI:$AI,'T1 2019 Pipeline Data Lagasco'!$A190,'Dec 31 2018 OFFS'!$U:$U,'T1 2019 Pipeline Data Lagasco'!$E190,'Dec 31 2018 OFFS'!$AK:$AK,'T1 2019 Pipeline Data Lagasco'!$Q190,'Dec 31 2018 OFFS'!$W:$W,'T1 2019 Pipeline Data Lagasco'!$G190))/(MAX(COUNTIFS('Dec 31 2018 OFFS'!$AI:$AI,'T1 2019 Pipeline Data Lagasco'!$A190,'Dec 31 2018 OFFS'!$U:$U,'T1 2019 Pipeline Data Lagasco'!$E190,'Dec 31 2018 OFFS'!$AK:$AK,'T1 2019 Pipeline Data Lagasco'!$Q190,'Dec 31 2018 OFFS'!$W:$W,'T1 2019 Pipeline Data Lagasco'!$G190),1))</f>
        <v>0</v>
      </c>
      <c r="S190" s="275">
        <f t="shared" si="7"/>
        <v>0</v>
      </c>
      <c r="T190" s="217"/>
    </row>
    <row r="191" spans="1:20" ht="14.1" customHeight="1">
      <c r="A191" s="224" t="s">
        <v>1494</v>
      </c>
      <c r="B191" s="218" t="s">
        <v>1495</v>
      </c>
      <c r="C191" s="223">
        <v>1</v>
      </c>
      <c r="D191" s="218" t="s">
        <v>1488</v>
      </c>
      <c r="E191" s="240">
        <v>2</v>
      </c>
      <c r="F191" s="230">
        <v>2321.8200000000002</v>
      </c>
      <c r="G191" s="223">
        <v>1977</v>
      </c>
      <c r="H191" s="223">
        <v>1</v>
      </c>
      <c r="I191" s="223">
        <v>0</v>
      </c>
      <c r="J191" s="223"/>
      <c r="K191" s="228">
        <v>37706.356800000001</v>
      </c>
      <c r="L191" s="241">
        <v>80</v>
      </c>
      <c r="M191" s="229">
        <v>7541.2713599999997</v>
      </c>
      <c r="N191" s="230">
        <v>16.239999999999998</v>
      </c>
      <c r="O191" s="231">
        <v>0</v>
      </c>
      <c r="P191" s="314"/>
      <c r="Q191" s="276">
        <f t="shared" si="6"/>
        <v>2321.8200000000002</v>
      </c>
      <c r="R191" s="275">
        <f>(SUMIFS('Dec 31 2018 OFFS'!$AG:$AG,'Dec 31 2018 OFFS'!$AI:$AI,'T1 2019 Pipeline Data Lagasco'!$A191,'Dec 31 2018 OFFS'!$U:$U,'T1 2019 Pipeline Data Lagasco'!$E191,'Dec 31 2018 OFFS'!$AK:$AK,'T1 2019 Pipeline Data Lagasco'!$Q191,'Dec 31 2018 OFFS'!$W:$W,'T1 2019 Pipeline Data Lagasco'!$G191))/(MAX(COUNTIFS('Dec 31 2018 OFFS'!$AI:$AI,'T1 2019 Pipeline Data Lagasco'!$A191,'Dec 31 2018 OFFS'!$U:$U,'T1 2019 Pipeline Data Lagasco'!$E191,'Dec 31 2018 OFFS'!$AK:$AK,'T1 2019 Pipeline Data Lagasco'!$Q191,'Dec 31 2018 OFFS'!$W:$W,'T1 2019 Pipeline Data Lagasco'!$G191),1))</f>
        <v>0</v>
      </c>
      <c r="S191" s="275">
        <f t="shared" si="7"/>
        <v>0</v>
      </c>
      <c r="T191" s="217"/>
    </row>
    <row r="192" spans="1:20" ht="14.1" customHeight="1">
      <c r="A192" s="224" t="s">
        <v>1494</v>
      </c>
      <c r="B192" s="218" t="s">
        <v>1495</v>
      </c>
      <c r="C192" s="223">
        <v>1</v>
      </c>
      <c r="D192" s="218" t="s">
        <v>1488</v>
      </c>
      <c r="E192" s="240">
        <v>2</v>
      </c>
      <c r="F192" s="226">
        <v>3087.0734010000001</v>
      </c>
      <c r="G192" s="223">
        <v>1978</v>
      </c>
      <c r="H192" s="223">
        <v>1</v>
      </c>
      <c r="I192" s="223">
        <v>0</v>
      </c>
      <c r="J192" s="223"/>
      <c r="K192" s="229">
        <v>50134.072039999999</v>
      </c>
      <c r="L192" s="241">
        <v>80</v>
      </c>
      <c r="M192" s="229">
        <v>10026.814410000001</v>
      </c>
      <c r="N192" s="230">
        <v>16.239999999999998</v>
      </c>
      <c r="O192" s="231">
        <v>0</v>
      </c>
      <c r="P192" s="314"/>
      <c r="Q192" s="276">
        <f t="shared" si="6"/>
        <v>3087.07</v>
      </c>
      <c r="R192" s="275">
        <f>(SUMIFS('Dec 31 2018 OFFS'!$AG:$AG,'Dec 31 2018 OFFS'!$AI:$AI,'T1 2019 Pipeline Data Lagasco'!$A192,'Dec 31 2018 OFFS'!$U:$U,'T1 2019 Pipeline Data Lagasco'!$E192,'Dec 31 2018 OFFS'!$AK:$AK,'T1 2019 Pipeline Data Lagasco'!$Q192,'Dec 31 2018 OFFS'!$W:$W,'T1 2019 Pipeline Data Lagasco'!$G192))/(MAX(COUNTIFS('Dec 31 2018 OFFS'!$AI:$AI,'T1 2019 Pipeline Data Lagasco'!$A192,'Dec 31 2018 OFFS'!$U:$U,'T1 2019 Pipeline Data Lagasco'!$E192,'Dec 31 2018 OFFS'!$AK:$AK,'T1 2019 Pipeline Data Lagasco'!$Q192,'Dec 31 2018 OFFS'!$W:$W,'T1 2019 Pipeline Data Lagasco'!$G192),1))</f>
        <v>0</v>
      </c>
      <c r="S192" s="275">
        <f t="shared" si="7"/>
        <v>0</v>
      </c>
      <c r="T192" s="217"/>
    </row>
    <row r="193" spans="1:19" s="217" customFormat="1" ht="14.1" customHeight="1">
      <c r="A193" s="224" t="s">
        <v>1494</v>
      </c>
      <c r="B193" s="218" t="s">
        <v>1495</v>
      </c>
      <c r="C193" s="223">
        <v>1</v>
      </c>
      <c r="D193" s="218" t="s">
        <v>1488</v>
      </c>
      <c r="E193" s="240">
        <v>2</v>
      </c>
      <c r="F193" s="223">
        <v>3023</v>
      </c>
      <c r="G193" s="223">
        <v>2005</v>
      </c>
      <c r="H193" s="223">
        <v>1</v>
      </c>
      <c r="I193" s="223">
        <v>1</v>
      </c>
      <c r="J193" s="223"/>
      <c r="K193" s="238">
        <v>49093.52</v>
      </c>
      <c r="L193" s="241">
        <v>54</v>
      </c>
      <c r="M193" s="228">
        <v>22583.019199999999</v>
      </c>
      <c r="N193" s="230">
        <v>16.239999999999998</v>
      </c>
      <c r="O193" s="231">
        <v>22583</v>
      </c>
      <c r="P193" s="314"/>
      <c r="Q193" s="276">
        <f t="shared" si="6"/>
        <v>3023</v>
      </c>
      <c r="R193" s="275">
        <f>(SUMIFS('Dec 31 2018 OFFS'!$AG:$AG,'Dec 31 2018 OFFS'!$AI:$AI,'T1 2019 Pipeline Data Lagasco'!$A193,'Dec 31 2018 OFFS'!$U:$U,'T1 2019 Pipeline Data Lagasco'!$E193,'Dec 31 2018 OFFS'!$AK:$AK,'T1 2019 Pipeline Data Lagasco'!$Q193,'Dec 31 2018 OFFS'!$W:$W,'T1 2019 Pipeline Data Lagasco'!$G193))/(MAX(COUNTIFS('Dec 31 2018 OFFS'!$AI:$AI,'T1 2019 Pipeline Data Lagasco'!$A193,'Dec 31 2018 OFFS'!$U:$U,'T1 2019 Pipeline Data Lagasco'!$E193,'Dec 31 2018 OFFS'!$AK:$AK,'T1 2019 Pipeline Data Lagasco'!$Q193,'Dec 31 2018 OFFS'!$W:$W,'T1 2019 Pipeline Data Lagasco'!$G193),1))</f>
        <v>22583</v>
      </c>
      <c r="S193" s="275">
        <f t="shared" si="7"/>
        <v>0</v>
      </c>
    </row>
    <row r="194" spans="1:19" s="217" customFormat="1" ht="14.1" customHeight="1">
      <c r="A194" s="224" t="s">
        <v>1494</v>
      </c>
      <c r="B194" s="218" t="s">
        <v>1495</v>
      </c>
      <c r="C194" s="223">
        <v>1</v>
      </c>
      <c r="D194" s="218" t="s">
        <v>1488</v>
      </c>
      <c r="E194" s="240">
        <v>2</v>
      </c>
      <c r="F194" s="223">
        <v>8259</v>
      </c>
      <c r="G194" s="223">
        <v>1978</v>
      </c>
      <c r="H194" s="223">
        <v>1</v>
      </c>
      <c r="I194" s="223">
        <v>1</v>
      </c>
      <c r="J194" s="223"/>
      <c r="K194" s="238">
        <v>134126.16</v>
      </c>
      <c r="L194" s="241">
        <v>80</v>
      </c>
      <c r="M194" s="239">
        <v>26825.232</v>
      </c>
      <c r="N194" s="230">
        <v>16.239999999999998</v>
      </c>
      <c r="O194" s="231">
        <v>26825</v>
      </c>
      <c r="P194" s="314"/>
      <c r="Q194" s="276">
        <f t="shared" si="6"/>
        <v>8259</v>
      </c>
      <c r="R194" s="275">
        <f>(SUMIFS('Dec 31 2018 OFFS'!$AG:$AG,'Dec 31 2018 OFFS'!$AI:$AI,'T1 2019 Pipeline Data Lagasco'!$A194,'Dec 31 2018 OFFS'!$U:$U,'T1 2019 Pipeline Data Lagasco'!$E194,'Dec 31 2018 OFFS'!$AK:$AK,'T1 2019 Pipeline Data Lagasco'!$Q194,'Dec 31 2018 OFFS'!$W:$W,'T1 2019 Pipeline Data Lagasco'!$G194))/(MAX(COUNTIFS('Dec 31 2018 OFFS'!$AI:$AI,'T1 2019 Pipeline Data Lagasco'!$A194,'Dec 31 2018 OFFS'!$U:$U,'T1 2019 Pipeline Data Lagasco'!$E194,'Dec 31 2018 OFFS'!$AK:$AK,'T1 2019 Pipeline Data Lagasco'!$Q194,'Dec 31 2018 OFFS'!$W:$W,'T1 2019 Pipeline Data Lagasco'!$G194),1))</f>
        <v>26825</v>
      </c>
      <c r="S194" s="275">
        <f t="shared" si="7"/>
        <v>0</v>
      </c>
    </row>
    <row r="195" spans="1:19" s="217" customFormat="1" ht="14.1" customHeight="1">
      <c r="A195" s="224" t="s">
        <v>1494</v>
      </c>
      <c r="B195" s="218" t="s">
        <v>1495</v>
      </c>
      <c r="C195" s="223">
        <v>1</v>
      </c>
      <c r="D195" s="218" t="s">
        <v>1488</v>
      </c>
      <c r="E195" s="240">
        <v>2</v>
      </c>
      <c r="F195" s="223">
        <v>4487</v>
      </c>
      <c r="G195" s="223">
        <v>1978</v>
      </c>
      <c r="H195" s="223">
        <v>1</v>
      </c>
      <c r="I195" s="223">
        <v>1</v>
      </c>
      <c r="J195" s="223"/>
      <c r="K195" s="238">
        <v>72868.88</v>
      </c>
      <c r="L195" s="241">
        <v>80</v>
      </c>
      <c r="M195" s="239">
        <v>14573.776</v>
      </c>
      <c r="N195" s="230">
        <v>16.239999999999998</v>
      </c>
      <c r="O195" s="231">
        <v>14573</v>
      </c>
      <c r="P195" s="314"/>
      <c r="Q195" s="276">
        <f t="shared" si="6"/>
        <v>4487</v>
      </c>
      <c r="R195" s="275">
        <f>(SUMIFS('Dec 31 2018 OFFS'!$AG:$AG,'Dec 31 2018 OFFS'!$AI:$AI,'T1 2019 Pipeline Data Lagasco'!$A195,'Dec 31 2018 OFFS'!$U:$U,'T1 2019 Pipeline Data Lagasco'!$E195,'Dec 31 2018 OFFS'!$AK:$AK,'T1 2019 Pipeline Data Lagasco'!$Q195,'Dec 31 2018 OFFS'!$W:$W,'T1 2019 Pipeline Data Lagasco'!$G195))/(MAX(COUNTIFS('Dec 31 2018 OFFS'!$AI:$AI,'T1 2019 Pipeline Data Lagasco'!$A195,'Dec 31 2018 OFFS'!$U:$U,'T1 2019 Pipeline Data Lagasco'!$E195,'Dec 31 2018 OFFS'!$AK:$AK,'T1 2019 Pipeline Data Lagasco'!$Q195,'Dec 31 2018 OFFS'!$W:$W,'T1 2019 Pipeline Data Lagasco'!$G195),1))</f>
        <v>14573</v>
      </c>
      <c r="S195" s="275">
        <f t="shared" si="7"/>
        <v>0</v>
      </c>
    </row>
    <row r="196" spans="1:19" s="217" customFormat="1" ht="14.1" customHeight="1">
      <c r="A196" s="224" t="s">
        <v>1494</v>
      </c>
      <c r="B196" s="218" t="s">
        <v>1495</v>
      </c>
      <c r="C196" s="223">
        <v>1</v>
      </c>
      <c r="D196" s="218" t="s">
        <v>1488</v>
      </c>
      <c r="E196" s="240">
        <v>2</v>
      </c>
      <c r="F196" s="226">
        <v>5647.8672909999996</v>
      </c>
      <c r="G196" s="223">
        <v>1986</v>
      </c>
      <c r="H196" s="223">
        <v>1</v>
      </c>
      <c r="I196" s="223">
        <v>1</v>
      </c>
      <c r="J196" s="223"/>
      <c r="K196" s="228">
        <v>91721.364799999996</v>
      </c>
      <c r="L196" s="241">
        <v>79</v>
      </c>
      <c r="M196" s="229">
        <v>19261.48661</v>
      </c>
      <c r="N196" s="230">
        <v>16.239999999999998</v>
      </c>
      <c r="O196" s="231">
        <v>19261</v>
      </c>
      <c r="P196" s="314"/>
      <c r="Q196" s="276">
        <f t="shared" si="6"/>
        <v>5647.87</v>
      </c>
      <c r="R196" s="275">
        <f>(SUMIFS('Dec 31 2018 OFFS'!$AG:$AG,'Dec 31 2018 OFFS'!$AI:$AI,'T1 2019 Pipeline Data Lagasco'!$A196,'Dec 31 2018 OFFS'!$U:$U,'T1 2019 Pipeline Data Lagasco'!$E196,'Dec 31 2018 OFFS'!$AK:$AK,'T1 2019 Pipeline Data Lagasco'!$Q196,'Dec 31 2018 OFFS'!$W:$W,'T1 2019 Pipeline Data Lagasco'!$G196))/(MAX(COUNTIFS('Dec 31 2018 OFFS'!$AI:$AI,'T1 2019 Pipeline Data Lagasco'!$A196,'Dec 31 2018 OFFS'!$U:$U,'T1 2019 Pipeline Data Lagasco'!$E196,'Dec 31 2018 OFFS'!$AK:$AK,'T1 2019 Pipeline Data Lagasco'!$Q196,'Dec 31 2018 OFFS'!$W:$W,'T1 2019 Pipeline Data Lagasco'!$G196),1))</f>
        <v>19261</v>
      </c>
      <c r="S196" s="275">
        <f t="shared" si="7"/>
        <v>0</v>
      </c>
    </row>
    <row r="197" spans="1:19" s="217" customFormat="1" ht="14.1" customHeight="1">
      <c r="A197" s="224" t="s">
        <v>1494</v>
      </c>
      <c r="B197" s="218" t="s">
        <v>1495</v>
      </c>
      <c r="C197" s="223">
        <v>1</v>
      </c>
      <c r="D197" s="218" t="s">
        <v>1488</v>
      </c>
      <c r="E197" s="240">
        <v>3</v>
      </c>
      <c r="F197" s="223">
        <v>2911</v>
      </c>
      <c r="G197" s="223">
        <v>1982</v>
      </c>
      <c r="H197" s="223">
        <v>1</v>
      </c>
      <c r="I197" s="223">
        <v>1</v>
      </c>
      <c r="J197" s="223"/>
      <c r="K197" s="238">
        <v>68670.490000000005</v>
      </c>
      <c r="L197" s="241">
        <v>80</v>
      </c>
      <c r="M197" s="239">
        <v>13734.098</v>
      </c>
      <c r="N197" s="230">
        <v>23.59</v>
      </c>
      <c r="O197" s="231">
        <v>13734</v>
      </c>
      <c r="P197" s="314"/>
      <c r="Q197" s="276">
        <f t="shared" si="6"/>
        <v>2911</v>
      </c>
      <c r="R197" s="275">
        <f>(SUMIFS('Dec 31 2018 OFFS'!$AG:$AG,'Dec 31 2018 OFFS'!$AI:$AI,'T1 2019 Pipeline Data Lagasco'!$A197,'Dec 31 2018 OFFS'!$U:$U,'T1 2019 Pipeline Data Lagasco'!$E197,'Dec 31 2018 OFFS'!$AK:$AK,'T1 2019 Pipeline Data Lagasco'!$Q197,'Dec 31 2018 OFFS'!$W:$W,'T1 2019 Pipeline Data Lagasco'!$G197))/(MAX(COUNTIFS('Dec 31 2018 OFFS'!$AI:$AI,'T1 2019 Pipeline Data Lagasco'!$A197,'Dec 31 2018 OFFS'!$U:$U,'T1 2019 Pipeline Data Lagasco'!$E197,'Dec 31 2018 OFFS'!$AK:$AK,'T1 2019 Pipeline Data Lagasco'!$Q197,'Dec 31 2018 OFFS'!$W:$W,'T1 2019 Pipeline Data Lagasco'!$G197),1))</f>
        <v>13734</v>
      </c>
      <c r="S197" s="275">
        <f t="shared" si="7"/>
        <v>0</v>
      </c>
    </row>
    <row r="198" spans="1:19" s="217" customFormat="1" ht="14.1" customHeight="1">
      <c r="A198" s="224" t="s">
        <v>1494</v>
      </c>
      <c r="B198" s="218" t="s">
        <v>1495</v>
      </c>
      <c r="C198" s="223">
        <v>1</v>
      </c>
      <c r="D198" s="218" t="s">
        <v>1488</v>
      </c>
      <c r="E198" s="240">
        <v>3</v>
      </c>
      <c r="F198" s="230">
        <v>3302.82</v>
      </c>
      <c r="G198" s="223">
        <v>1986</v>
      </c>
      <c r="H198" s="223">
        <v>1</v>
      </c>
      <c r="I198" s="223">
        <v>0</v>
      </c>
      <c r="J198" s="223"/>
      <c r="K198" s="228">
        <v>77913.523799999995</v>
      </c>
      <c r="L198" s="241">
        <v>79</v>
      </c>
      <c r="M198" s="238">
        <v>16361.84</v>
      </c>
      <c r="N198" s="230">
        <v>23.59</v>
      </c>
      <c r="O198" s="231">
        <v>0</v>
      </c>
      <c r="P198" s="314"/>
      <c r="Q198" s="276">
        <f t="shared" si="6"/>
        <v>3302.82</v>
      </c>
      <c r="R198" s="275">
        <f>(SUMIFS('Dec 31 2018 OFFS'!$AG:$AG,'Dec 31 2018 OFFS'!$AI:$AI,'T1 2019 Pipeline Data Lagasco'!$A198,'Dec 31 2018 OFFS'!$U:$U,'T1 2019 Pipeline Data Lagasco'!$E198,'Dec 31 2018 OFFS'!$AK:$AK,'T1 2019 Pipeline Data Lagasco'!$Q198,'Dec 31 2018 OFFS'!$W:$W,'T1 2019 Pipeline Data Lagasco'!$G198))/(MAX(COUNTIFS('Dec 31 2018 OFFS'!$AI:$AI,'T1 2019 Pipeline Data Lagasco'!$A198,'Dec 31 2018 OFFS'!$U:$U,'T1 2019 Pipeline Data Lagasco'!$E198,'Dec 31 2018 OFFS'!$AK:$AK,'T1 2019 Pipeline Data Lagasco'!$Q198,'Dec 31 2018 OFFS'!$W:$W,'T1 2019 Pipeline Data Lagasco'!$G198),1))</f>
        <v>0</v>
      </c>
      <c r="S198" s="275">
        <f t="shared" si="7"/>
        <v>0</v>
      </c>
    </row>
    <row r="199" spans="1:19" s="217" customFormat="1" ht="14.1" customHeight="1">
      <c r="A199" s="224" t="s">
        <v>1494</v>
      </c>
      <c r="B199" s="218" t="s">
        <v>1495</v>
      </c>
      <c r="C199" s="223">
        <v>1</v>
      </c>
      <c r="D199" s="218" t="s">
        <v>1488</v>
      </c>
      <c r="E199" s="240">
        <v>3</v>
      </c>
      <c r="F199" s="230">
        <v>3216.34</v>
      </c>
      <c r="G199" s="223">
        <v>1978</v>
      </c>
      <c r="H199" s="223">
        <v>1</v>
      </c>
      <c r="I199" s="223">
        <v>0</v>
      </c>
      <c r="J199" s="223"/>
      <c r="K199" s="228">
        <v>75873.460600000006</v>
      </c>
      <c r="L199" s="241">
        <v>80</v>
      </c>
      <c r="M199" s="229">
        <v>15174.69212</v>
      </c>
      <c r="N199" s="230">
        <v>23.59</v>
      </c>
      <c r="O199" s="231">
        <v>0</v>
      </c>
      <c r="P199" s="314"/>
      <c r="Q199" s="276">
        <f t="shared" si="6"/>
        <v>3216.34</v>
      </c>
      <c r="R199" s="275">
        <f>(SUMIFS('Dec 31 2018 OFFS'!$AG:$AG,'Dec 31 2018 OFFS'!$AI:$AI,'T1 2019 Pipeline Data Lagasco'!$A199,'Dec 31 2018 OFFS'!$U:$U,'T1 2019 Pipeline Data Lagasco'!$E199,'Dec 31 2018 OFFS'!$AK:$AK,'T1 2019 Pipeline Data Lagasco'!$Q199,'Dec 31 2018 OFFS'!$W:$W,'T1 2019 Pipeline Data Lagasco'!$G199))/(MAX(COUNTIFS('Dec 31 2018 OFFS'!$AI:$AI,'T1 2019 Pipeline Data Lagasco'!$A199,'Dec 31 2018 OFFS'!$U:$U,'T1 2019 Pipeline Data Lagasco'!$E199,'Dec 31 2018 OFFS'!$AK:$AK,'T1 2019 Pipeline Data Lagasco'!$Q199,'Dec 31 2018 OFFS'!$W:$W,'T1 2019 Pipeline Data Lagasco'!$G199),1))</f>
        <v>0</v>
      </c>
      <c r="S199" s="275">
        <f t="shared" si="7"/>
        <v>0</v>
      </c>
    </row>
    <row r="200" spans="1:19" s="217" customFormat="1" ht="14.1" customHeight="1">
      <c r="A200" s="224" t="s">
        <v>1494</v>
      </c>
      <c r="B200" s="218" t="s">
        <v>1495</v>
      </c>
      <c r="C200" s="223">
        <v>1</v>
      </c>
      <c r="D200" s="218" t="s">
        <v>1488</v>
      </c>
      <c r="E200" s="240">
        <v>3</v>
      </c>
      <c r="F200" s="226">
        <v>3907.1193090000002</v>
      </c>
      <c r="G200" s="223">
        <v>1989</v>
      </c>
      <c r="H200" s="223">
        <v>1</v>
      </c>
      <c r="I200" s="223">
        <v>0</v>
      </c>
      <c r="J200" s="223"/>
      <c r="K200" s="229">
        <v>92168.944510000001</v>
      </c>
      <c r="L200" s="241">
        <v>75</v>
      </c>
      <c r="M200" s="229">
        <v>23042.236130000001</v>
      </c>
      <c r="N200" s="230">
        <v>23.59</v>
      </c>
      <c r="O200" s="231">
        <v>0</v>
      </c>
      <c r="P200" s="314"/>
      <c r="Q200" s="276">
        <f t="shared" si="6"/>
        <v>3907.12</v>
      </c>
      <c r="R200" s="275">
        <f>(SUMIFS('Dec 31 2018 OFFS'!$AG:$AG,'Dec 31 2018 OFFS'!$AI:$AI,'T1 2019 Pipeline Data Lagasco'!$A200,'Dec 31 2018 OFFS'!$U:$U,'T1 2019 Pipeline Data Lagasco'!$E200,'Dec 31 2018 OFFS'!$AK:$AK,'T1 2019 Pipeline Data Lagasco'!$Q200,'Dec 31 2018 OFFS'!$W:$W,'T1 2019 Pipeline Data Lagasco'!$G200))/(MAX(COUNTIFS('Dec 31 2018 OFFS'!$AI:$AI,'T1 2019 Pipeline Data Lagasco'!$A200,'Dec 31 2018 OFFS'!$U:$U,'T1 2019 Pipeline Data Lagasco'!$E200,'Dec 31 2018 OFFS'!$AK:$AK,'T1 2019 Pipeline Data Lagasco'!$Q200,'Dec 31 2018 OFFS'!$W:$W,'T1 2019 Pipeline Data Lagasco'!$G200),1))</f>
        <v>0</v>
      </c>
      <c r="S200" s="275">
        <f t="shared" si="7"/>
        <v>0</v>
      </c>
    </row>
    <row r="201" spans="1:19" s="217" customFormat="1" ht="14.1" customHeight="1">
      <c r="A201" s="224" t="s">
        <v>1494</v>
      </c>
      <c r="B201" s="218" t="s">
        <v>1495</v>
      </c>
      <c r="C201" s="223">
        <v>1</v>
      </c>
      <c r="D201" s="218" t="s">
        <v>1488</v>
      </c>
      <c r="E201" s="240">
        <v>3</v>
      </c>
      <c r="F201" s="236">
        <v>2503.83851</v>
      </c>
      <c r="G201" s="223">
        <v>1978</v>
      </c>
      <c r="H201" s="223">
        <v>1</v>
      </c>
      <c r="I201" s="223">
        <v>0</v>
      </c>
      <c r="J201" s="223"/>
      <c r="K201" s="229">
        <v>59065.550450000002</v>
      </c>
      <c r="L201" s="241">
        <v>80</v>
      </c>
      <c r="M201" s="229">
        <v>11813.11009</v>
      </c>
      <c r="N201" s="230">
        <v>23.59</v>
      </c>
      <c r="O201" s="231">
        <v>0</v>
      </c>
      <c r="P201" s="314"/>
      <c r="Q201" s="276">
        <f t="shared" si="6"/>
        <v>2503.84</v>
      </c>
      <c r="R201" s="275">
        <f>(SUMIFS('Dec 31 2018 OFFS'!$AG:$AG,'Dec 31 2018 OFFS'!$AI:$AI,'T1 2019 Pipeline Data Lagasco'!$A201,'Dec 31 2018 OFFS'!$U:$U,'T1 2019 Pipeline Data Lagasco'!$E201,'Dec 31 2018 OFFS'!$AK:$AK,'T1 2019 Pipeline Data Lagasco'!$Q201,'Dec 31 2018 OFFS'!$W:$W,'T1 2019 Pipeline Data Lagasco'!$G201))/(MAX(COUNTIFS('Dec 31 2018 OFFS'!$AI:$AI,'T1 2019 Pipeline Data Lagasco'!$A201,'Dec 31 2018 OFFS'!$U:$U,'T1 2019 Pipeline Data Lagasco'!$E201,'Dec 31 2018 OFFS'!$AK:$AK,'T1 2019 Pipeline Data Lagasco'!$Q201,'Dec 31 2018 OFFS'!$W:$W,'T1 2019 Pipeline Data Lagasco'!$G201),1))</f>
        <v>0</v>
      </c>
      <c r="S201" s="275">
        <f t="shared" si="7"/>
        <v>0</v>
      </c>
    </row>
    <row r="202" spans="1:19" s="217" customFormat="1" ht="14.1" customHeight="1">
      <c r="A202" s="224" t="s">
        <v>1494</v>
      </c>
      <c r="B202" s="218" t="s">
        <v>1495</v>
      </c>
      <c r="C202" s="223">
        <v>1</v>
      </c>
      <c r="D202" s="218" t="s">
        <v>1488</v>
      </c>
      <c r="E202" s="240">
        <v>3</v>
      </c>
      <c r="F202" s="226">
        <v>4949.4749220000003</v>
      </c>
      <c r="G202" s="223">
        <v>1996</v>
      </c>
      <c r="H202" s="223">
        <v>1</v>
      </c>
      <c r="I202" s="223">
        <v>1</v>
      </c>
      <c r="J202" s="223"/>
      <c r="K202" s="228">
        <v>116758.1134</v>
      </c>
      <c r="L202" s="241">
        <v>66</v>
      </c>
      <c r="M202" s="229">
        <v>39697.758560000002</v>
      </c>
      <c r="N202" s="230">
        <v>23.59</v>
      </c>
      <c r="O202" s="231">
        <v>39697</v>
      </c>
      <c r="P202" s="314"/>
      <c r="Q202" s="276">
        <f t="shared" si="6"/>
        <v>4949.47</v>
      </c>
      <c r="R202" s="275">
        <f>(SUMIFS('Dec 31 2018 OFFS'!$AG:$AG,'Dec 31 2018 OFFS'!$AI:$AI,'T1 2019 Pipeline Data Lagasco'!$A202,'Dec 31 2018 OFFS'!$U:$U,'T1 2019 Pipeline Data Lagasco'!$E202,'Dec 31 2018 OFFS'!$AK:$AK,'T1 2019 Pipeline Data Lagasco'!$Q202,'Dec 31 2018 OFFS'!$W:$W,'T1 2019 Pipeline Data Lagasco'!$G202))/(MAX(COUNTIFS('Dec 31 2018 OFFS'!$AI:$AI,'T1 2019 Pipeline Data Lagasco'!$A202,'Dec 31 2018 OFFS'!$U:$U,'T1 2019 Pipeline Data Lagasco'!$E202,'Dec 31 2018 OFFS'!$AK:$AK,'T1 2019 Pipeline Data Lagasco'!$Q202,'Dec 31 2018 OFFS'!$W:$W,'T1 2019 Pipeline Data Lagasco'!$G202),1))</f>
        <v>39697</v>
      </c>
      <c r="S202" s="275">
        <f t="shared" si="7"/>
        <v>0</v>
      </c>
    </row>
    <row r="203" spans="1:19" s="217" customFormat="1" ht="14.1" customHeight="1">
      <c r="A203" s="224" t="s">
        <v>1494</v>
      </c>
      <c r="B203" s="218" t="s">
        <v>1495</v>
      </c>
      <c r="C203" s="223">
        <v>1</v>
      </c>
      <c r="D203" s="218" t="s">
        <v>1488</v>
      </c>
      <c r="E203" s="240">
        <v>3</v>
      </c>
      <c r="F203" s="226">
        <v>7240.6493970000001</v>
      </c>
      <c r="G203" s="223">
        <v>1974</v>
      </c>
      <c r="H203" s="223">
        <v>1</v>
      </c>
      <c r="I203" s="223">
        <v>1</v>
      </c>
      <c r="J203" s="223"/>
      <c r="K203" s="228">
        <v>170806.91930000001</v>
      </c>
      <c r="L203" s="241">
        <v>80</v>
      </c>
      <c r="M203" s="229">
        <v>34161.383849999998</v>
      </c>
      <c r="N203" s="230">
        <v>23.59</v>
      </c>
      <c r="O203" s="231">
        <v>34161</v>
      </c>
      <c r="P203" s="314"/>
      <c r="Q203" s="276">
        <f t="shared" si="6"/>
        <v>7240.65</v>
      </c>
      <c r="R203" s="275">
        <f>(SUMIFS('Dec 31 2018 OFFS'!$AG:$AG,'Dec 31 2018 OFFS'!$AI:$AI,'T1 2019 Pipeline Data Lagasco'!$A203,'Dec 31 2018 OFFS'!$U:$U,'T1 2019 Pipeline Data Lagasco'!$E203,'Dec 31 2018 OFFS'!$AK:$AK,'T1 2019 Pipeline Data Lagasco'!$Q203,'Dec 31 2018 OFFS'!$W:$W,'T1 2019 Pipeline Data Lagasco'!$G203))/(MAX(COUNTIFS('Dec 31 2018 OFFS'!$AI:$AI,'T1 2019 Pipeline Data Lagasco'!$A203,'Dec 31 2018 OFFS'!$U:$U,'T1 2019 Pipeline Data Lagasco'!$E203,'Dec 31 2018 OFFS'!$AK:$AK,'T1 2019 Pipeline Data Lagasco'!$Q203,'Dec 31 2018 OFFS'!$W:$W,'T1 2019 Pipeline Data Lagasco'!$G203),1))</f>
        <v>34161</v>
      </c>
      <c r="S203" s="275">
        <f t="shared" si="7"/>
        <v>0</v>
      </c>
    </row>
    <row r="204" spans="1:19" s="217" customFormat="1" ht="14.1" customHeight="1">
      <c r="A204" s="224" t="s">
        <v>1494</v>
      </c>
      <c r="B204" s="218" t="s">
        <v>1495</v>
      </c>
      <c r="C204" s="223">
        <v>1</v>
      </c>
      <c r="D204" s="218" t="s">
        <v>1488</v>
      </c>
      <c r="E204" s="240">
        <v>3</v>
      </c>
      <c r="F204" s="223">
        <v>5005</v>
      </c>
      <c r="G204" s="223">
        <v>2006</v>
      </c>
      <c r="H204" s="223">
        <v>1</v>
      </c>
      <c r="I204" s="223">
        <v>1</v>
      </c>
      <c r="J204" s="223"/>
      <c r="K204" s="238">
        <v>118067.95</v>
      </c>
      <c r="L204" s="241">
        <v>52</v>
      </c>
      <c r="M204" s="239">
        <v>56672.616000000002</v>
      </c>
      <c r="N204" s="230">
        <v>23.59</v>
      </c>
      <c r="O204" s="231">
        <v>56672</v>
      </c>
      <c r="P204" s="314"/>
      <c r="Q204" s="276">
        <f t="shared" si="6"/>
        <v>5005</v>
      </c>
      <c r="R204" s="275">
        <f>(SUMIFS('Dec 31 2018 OFFS'!$AG:$AG,'Dec 31 2018 OFFS'!$AI:$AI,'T1 2019 Pipeline Data Lagasco'!$A204,'Dec 31 2018 OFFS'!$U:$U,'T1 2019 Pipeline Data Lagasco'!$E204,'Dec 31 2018 OFFS'!$AK:$AK,'T1 2019 Pipeline Data Lagasco'!$Q204,'Dec 31 2018 OFFS'!$W:$W,'T1 2019 Pipeline Data Lagasco'!$G204))/(MAX(COUNTIFS('Dec 31 2018 OFFS'!$AI:$AI,'T1 2019 Pipeline Data Lagasco'!$A204,'Dec 31 2018 OFFS'!$U:$U,'T1 2019 Pipeline Data Lagasco'!$E204,'Dec 31 2018 OFFS'!$AK:$AK,'T1 2019 Pipeline Data Lagasco'!$Q204,'Dec 31 2018 OFFS'!$W:$W,'T1 2019 Pipeline Data Lagasco'!$G204),1))</f>
        <v>56672</v>
      </c>
      <c r="S204" s="275">
        <f t="shared" si="7"/>
        <v>0</v>
      </c>
    </row>
    <row r="205" spans="1:19" s="217" customFormat="1" ht="14.1" customHeight="1">
      <c r="A205" s="224" t="s">
        <v>1494</v>
      </c>
      <c r="B205" s="218" t="s">
        <v>1495</v>
      </c>
      <c r="C205" s="223">
        <v>1</v>
      </c>
      <c r="D205" s="218" t="s">
        <v>1488</v>
      </c>
      <c r="E205" s="240">
        <v>3</v>
      </c>
      <c r="F205" s="226">
        <v>5356.069399</v>
      </c>
      <c r="G205" s="223">
        <v>1981</v>
      </c>
      <c r="H205" s="223">
        <v>1</v>
      </c>
      <c r="I205" s="223">
        <v>0</v>
      </c>
      <c r="J205" s="223"/>
      <c r="K205" s="228">
        <v>126349.6771</v>
      </c>
      <c r="L205" s="241">
        <v>80</v>
      </c>
      <c r="M205" s="229">
        <v>25269.935420000002</v>
      </c>
      <c r="N205" s="230">
        <v>23.59</v>
      </c>
      <c r="O205" s="231">
        <v>0</v>
      </c>
      <c r="P205" s="314"/>
      <c r="Q205" s="276">
        <f t="shared" si="6"/>
        <v>5356.07</v>
      </c>
      <c r="R205" s="275">
        <f>(SUMIFS('Dec 31 2018 OFFS'!$AG:$AG,'Dec 31 2018 OFFS'!$AI:$AI,'T1 2019 Pipeline Data Lagasco'!$A205,'Dec 31 2018 OFFS'!$U:$U,'T1 2019 Pipeline Data Lagasco'!$E205,'Dec 31 2018 OFFS'!$AK:$AK,'T1 2019 Pipeline Data Lagasco'!$Q205,'Dec 31 2018 OFFS'!$W:$W,'T1 2019 Pipeline Data Lagasco'!$G205))/(MAX(COUNTIFS('Dec 31 2018 OFFS'!$AI:$AI,'T1 2019 Pipeline Data Lagasco'!$A205,'Dec 31 2018 OFFS'!$U:$U,'T1 2019 Pipeline Data Lagasco'!$E205,'Dec 31 2018 OFFS'!$AK:$AK,'T1 2019 Pipeline Data Lagasco'!$Q205,'Dec 31 2018 OFFS'!$W:$W,'T1 2019 Pipeline Data Lagasco'!$G205),1))</f>
        <v>0</v>
      </c>
      <c r="S205" s="275">
        <f t="shared" si="7"/>
        <v>0</v>
      </c>
    </row>
    <row r="206" spans="1:19" s="217" customFormat="1" ht="14.1" customHeight="1">
      <c r="A206" s="224" t="s">
        <v>1494</v>
      </c>
      <c r="B206" s="218" t="s">
        <v>1495</v>
      </c>
      <c r="C206" s="223">
        <v>1</v>
      </c>
      <c r="D206" s="218" t="s">
        <v>1488</v>
      </c>
      <c r="E206" s="240">
        <v>3</v>
      </c>
      <c r="F206" s="223">
        <v>4510</v>
      </c>
      <c r="G206" s="223">
        <v>2005</v>
      </c>
      <c r="H206" s="223">
        <v>1</v>
      </c>
      <c r="I206" s="223">
        <v>1</v>
      </c>
      <c r="J206" s="223"/>
      <c r="K206" s="237">
        <v>106390.90</v>
      </c>
      <c r="L206" s="241">
        <v>54</v>
      </c>
      <c r="M206" s="239">
        <v>48939.813999999998</v>
      </c>
      <c r="N206" s="230">
        <v>23.59</v>
      </c>
      <c r="O206" s="231">
        <v>48939</v>
      </c>
      <c r="P206" s="314"/>
      <c r="Q206" s="276">
        <f t="shared" si="6"/>
        <v>4510</v>
      </c>
      <c r="R206" s="275">
        <f>(SUMIFS('Dec 31 2018 OFFS'!$AG:$AG,'Dec 31 2018 OFFS'!$AI:$AI,'T1 2019 Pipeline Data Lagasco'!$A206,'Dec 31 2018 OFFS'!$U:$U,'T1 2019 Pipeline Data Lagasco'!$E206,'Dec 31 2018 OFFS'!$AK:$AK,'T1 2019 Pipeline Data Lagasco'!$Q206,'Dec 31 2018 OFFS'!$W:$W,'T1 2019 Pipeline Data Lagasco'!$G206))/(MAX(COUNTIFS('Dec 31 2018 OFFS'!$AI:$AI,'T1 2019 Pipeline Data Lagasco'!$A206,'Dec 31 2018 OFFS'!$U:$U,'T1 2019 Pipeline Data Lagasco'!$E206,'Dec 31 2018 OFFS'!$AK:$AK,'T1 2019 Pipeline Data Lagasco'!$Q206,'Dec 31 2018 OFFS'!$W:$W,'T1 2019 Pipeline Data Lagasco'!$G206),1))</f>
        <v>48939</v>
      </c>
      <c r="S206" s="275">
        <f t="shared" si="7"/>
        <v>0</v>
      </c>
    </row>
    <row r="207" spans="1:19" s="217" customFormat="1" ht="14.1" customHeight="1">
      <c r="A207" s="224" t="s">
        <v>1494</v>
      </c>
      <c r="B207" s="218" t="s">
        <v>1495</v>
      </c>
      <c r="C207" s="223">
        <v>1</v>
      </c>
      <c r="D207" s="218" t="s">
        <v>1488</v>
      </c>
      <c r="E207" s="240">
        <v>3</v>
      </c>
      <c r="F207" s="223">
        <v>4936</v>
      </c>
      <c r="G207" s="223">
        <v>2005</v>
      </c>
      <c r="H207" s="223">
        <v>1</v>
      </c>
      <c r="I207" s="223">
        <v>1</v>
      </c>
      <c r="J207" s="223"/>
      <c r="K207" s="238">
        <v>116440.24</v>
      </c>
      <c r="L207" s="241">
        <v>54</v>
      </c>
      <c r="M207" s="228">
        <v>53562.510399999999</v>
      </c>
      <c r="N207" s="230">
        <v>23.59</v>
      </c>
      <c r="O207" s="231">
        <v>53562</v>
      </c>
      <c r="P207" s="314"/>
      <c r="Q207" s="276">
        <f t="shared" si="6"/>
        <v>4936</v>
      </c>
      <c r="R207" s="275">
        <f>(SUMIFS('Dec 31 2018 OFFS'!$AG:$AG,'Dec 31 2018 OFFS'!$AI:$AI,'T1 2019 Pipeline Data Lagasco'!$A207,'Dec 31 2018 OFFS'!$U:$U,'T1 2019 Pipeline Data Lagasco'!$E207,'Dec 31 2018 OFFS'!$AK:$AK,'T1 2019 Pipeline Data Lagasco'!$Q207,'Dec 31 2018 OFFS'!$W:$W,'T1 2019 Pipeline Data Lagasco'!$G207))/(MAX(COUNTIFS('Dec 31 2018 OFFS'!$AI:$AI,'T1 2019 Pipeline Data Lagasco'!$A207,'Dec 31 2018 OFFS'!$U:$U,'T1 2019 Pipeline Data Lagasco'!$E207,'Dec 31 2018 OFFS'!$AK:$AK,'T1 2019 Pipeline Data Lagasco'!$Q207,'Dec 31 2018 OFFS'!$W:$W,'T1 2019 Pipeline Data Lagasco'!$G207),1))</f>
        <v>53562</v>
      </c>
      <c r="S207" s="275">
        <f t="shared" si="7"/>
        <v>0</v>
      </c>
    </row>
    <row r="208" spans="1:19" s="217" customFormat="1" ht="14.1" customHeight="1">
      <c r="A208" s="224" t="s">
        <v>1494</v>
      </c>
      <c r="B208" s="218" t="s">
        <v>1495</v>
      </c>
      <c r="C208" s="223">
        <v>1</v>
      </c>
      <c r="D208" s="218" t="s">
        <v>1488</v>
      </c>
      <c r="E208" s="240">
        <v>3</v>
      </c>
      <c r="F208" s="226">
        <v>5782.8738480000002</v>
      </c>
      <c r="G208" s="223">
        <v>1977</v>
      </c>
      <c r="H208" s="223">
        <v>1</v>
      </c>
      <c r="I208" s="223">
        <v>1</v>
      </c>
      <c r="J208" s="223"/>
      <c r="K208" s="228">
        <v>136417.99410000001</v>
      </c>
      <c r="L208" s="241">
        <v>80</v>
      </c>
      <c r="M208" s="229">
        <v>27283.598819999999</v>
      </c>
      <c r="N208" s="230">
        <v>23.59</v>
      </c>
      <c r="O208" s="231">
        <v>27283</v>
      </c>
      <c r="P208" s="314"/>
      <c r="Q208" s="276">
        <f t="shared" si="6"/>
        <v>5782.87</v>
      </c>
      <c r="R208" s="275">
        <f>(SUMIFS('Dec 31 2018 OFFS'!$AG:$AG,'Dec 31 2018 OFFS'!$AI:$AI,'T1 2019 Pipeline Data Lagasco'!$A208,'Dec 31 2018 OFFS'!$U:$U,'T1 2019 Pipeline Data Lagasco'!$E208,'Dec 31 2018 OFFS'!$AK:$AK,'T1 2019 Pipeline Data Lagasco'!$Q208,'Dec 31 2018 OFFS'!$W:$W,'T1 2019 Pipeline Data Lagasco'!$G208))/(MAX(COUNTIFS('Dec 31 2018 OFFS'!$AI:$AI,'T1 2019 Pipeline Data Lagasco'!$A208,'Dec 31 2018 OFFS'!$U:$U,'T1 2019 Pipeline Data Lagasco'!$E208,'Dec 31 2018 OFFS'!$AK:$AK,'T1 2019 Pipeline Data Lagasco'!$Q208,'Dec 31 2018 OFFS'!$W:$W,'T1 2019 Pipeline Data Lagasco'!$G208),1))</f>
        <v>27283</v>
      </c>
      <c r="S208" s="275">
        <f t="shared" si="7"/>
        <v>0</v>
      </c>
    </row>
    <row r="209" spans="1:19" s="217" customFormat="1" ht="14.1" customHeight="1">
      <c r="A209" s="224" t="s">
        <v>1494</v>
      </c>
      <c r="B209" s="218" t="s">
        <v>1495</v>
      </c>
      <c r="C209" s="223">
        <v>1</v>
      </c>
      <c r="D209" s="218" t="s">
        <v>1488</v>
      </c>
      <c r="E209" s="240">
        <v>3</v>
      </c>
      <c r="F209" s="223">
        <v>5360</v>
      </c>
      <c r="G209" s="223">
        <v>2005</v>
      </c>
      <c r="H209" s="223">
        <v>1</v>
      </c>
      <c r="I209" s="223">
        <v>1</v>
      </c>
      <c r="J209" s="223"/>
      <c r="K209" s="237">
        <v>126442.40</v>
      </c>
      <c r="L209" s="241">
        <v>54</v>
      </c>
      <c r="M209" s="239">
        <v>58163.504000000001</v>
      </c>
      <c r="N209" s="230">
        <v>23.59</v>
      </c>
      <c r="O209" s="231">
        <v>58163</v>
      </c>
      <c r="P209" s="314"/>
      <c r="Q209" s="276">
        <f t="shared" si="6"/>
        <v>5360</v>
      </c>
      <c r="R209" s="275">
        <f>(SUMIFS('Dec 31 2018 OFFS'!$AG:$AG,'Dec 31 2018 OFFS'!$AI:$AI,'T1 2019 Pipeline Data Lagasco'!$A209,'Dec 31 2018 OFFS'!$U:$U,'T1 2019 Pipeline Data Lagasco'!$E209,'Dec 31 2018 OFFS'!$AK:$AK,'T1 2019 Pipeline Data Lagasco'!$Q209,'Dec 31 2018 OFFS'!$W:$W,'T1 2019 Pipeline Data Lagasco'!$G209))/(MAX(COUNTIFS('Dec 31 2018 OFFS'!$AI:$AI,'T1 2019 Pipeline Data Lagasco'!$A209,'Dec 31 2018 OFFS'!$U:$U,'T1 2019 Pipeline Data Lagasco'!$E209,'Dec 31 2018 OFFS'!$AK:$AK,'T1 2019 Pipeline Data Lagasco'!$Q209,'Dec 31 2018 OFFS'!$W:$W,'T1 2019 Pipeline Data Lagasco'!$G209),1))</f>
        <v>58163</v>
      </c>
      <c r="S209" s="275">
        <f t="shared" si="7"/>
        <v>0</v>
      </c>
    </row>
    <row r="210" spans="1:19" s="217" customFormat="1" ht="14.1" customHeight="1">
      <c r="A210" s="224" t="s">
        <v>1494</v>
      </c>
      <c r="B210" s="218" t="s">
        <v>1495</v>
      </c>
      <c r="C210" s="223">
        <v>1</v>
      </c>
      <c r="D210" s="218" t="s">
        <v>1488</v>
      </c>
      <c r="E210" s="240">
        <v>3</v>
      </c>
      <c r="F210" s="223">
        <v>4095</v>
      </c>
      <c r="G210" s="223">
        <v>2005</v>
      </c>
      <c r="H210" s="223">
        <v>1</v>
      </c>
      <c r="I210" s="223">
        <v>1</v>
      </c>
      <c r="J210" s="223"/>
      <c r="K210" s="238">
        <v>96601.05</v>
      </c>
      <c r="L210" s="241">
        <v>54</v>
      </c>
      <c r="M210" s="239">
        <v>44436.483</v>
      </c>
      <c r="N210" s="230">
        <v>23.59</v>
      </c>
      <c r="O210" s="231">
        <v>44436</v>
      </c>
      <c r="P210" s="314"/>
      <c r="Q210" s="276">
        <f t="shared" si="6"/>
        <v>4095</v>
      </c>
      <c r="R210" s="275">
        <f>(SUMIFS('Dec 31 2018 OFFS'!$AG:$AG,'Dec 31 2018 OFFS'!$AI:$AI,'T1 2019 Pipeline Data Lagasco'!$A210,'Dec 31 2018 OFFS'!$U:$U,'T1 2019 Pipeline Data Lagasco'!$E210,'Dec 31 2018 OFFS'!$AK:$AK,'T1 2019 Pipeline Data Lagasco'!$Q210,'Dec 31 2018 OFFS'!$W:$W,'T1 2019 Pipeline Data Lagasco'!$G210))/(MAX(COUNTIFS('Dec 31 2018 OFFS'!$AI:$AI,'T1 2019 Pipeline Data Lagasco'!$A210,'Dec 31 2018 OFFS'!$U:$U,'T1 2019 Pipeline Data Lagasco'!$E210,'Dec 31 2018 OFFS'!$AK:$AK,'T1 2019 Pipeline Data Lagasco'!$Q210,'Dec 31 2018 OFFS'!$W:$W,'T1 2019 Pipeline Data Lagasco'!$G210),1))</f>
        <v>44436</v>
      </c>
      <c r="S210" s="275">
        <f t="shared" si="7"/>
        <v>0</v>
      </c>
    </row>
    <row r="211" spans="1:19" s="217" customFormat="1" ht="14.1" customHeight="1">
      <c r="A211" s="224" t="s">
        <v>1494</v>
      </c>
      <c r="B211" s="218" t="s">
        <v>1495</v>
      </c>
      <c r="C211" s="223">
        <v>1</v>
      </c>
      <c r="D211" s="218" t="s">
        <v>1488</v>
      </c>
      <c r="E211" s="240">
        <v>3</v>
      </c>
      <c r="F211" s="226">
        <v>3724.4749579999998</v>
      </c>
      <c r="G211" s="223">
        <v>1980</v>
      </c>
      <c r="H211" s="223">
        <v>1</v>
      </c>
      <c r="I211" s="223">
        <v>1</v>
      </c>
      <c r="J211" s="223"/>
      <c r="K211" s="229">
        <v>87860.364249999999</v>
      </c>
      <c r="L211" s="241">
        <v>80</v>
      </c>
      <c r="M211" s="229">
        <v>17572.07285</v>
      </c>
      <c r="N211" s="230">
        <v>23.59</v>
      </c>
      <c r="O211" s="231">
        <v>17572</v>
      </c>
      <c r="P211" s="314"/>
      <c r="Q211" s="276">
        <f t="shared" si="6"/>
        <v>3724.47</v>
      </c>
      <c r="R211" s="275">
        <f>(SUMIFS('Dec 31 2018 OFFS'!$AG:$AG,'Dec 31 2018 OFFS'!$AI:$AI,'T1 2019 Pipeline Data Lagasco'!$A211,'Dec 31 2018 OFFS'!$U:$U,'T1 2019 Pipeline Data Lagasco'!$E211,'Dec 31 2018 OFFS'!$AK:$AK,'T1 2019 Pipeline Data Lagasco'!$Q211,'Dec 31 2018 OFFS'!$W:$W,'T1 2019 Pipeline Data Lagasco'!$G211))/(MAX(COUNTIFS('Dec 31 2018 OFFS'!$AI:$AI,'T1 2019 Pipeline Data Lagasco'!$A211,'Dec 31 2018 OFFS'!$U:$U,'T1 2019 Pipeline Data Lagasco'!$E211,'Dec 31 2018 OFFS'!$AK:$AK,'T1 2019 Pipeline Data Lagasco'!$Q211,'Dec 31 2018 OFFS'!$W:$W,'T1 2019 Pipeline Data Lagasco'!$G211),1))</f>
        <v>17572</v>
      </c>
      <c r="S211" s="275">
        <f t="shared" si="7"/>
        <v>0</v>
      </c>
    </row>
    <row r="212" spans="1:19" s="217" customFormat="1" ht="14.1" customHeight="1">
      <c r="A212" s="224" t="s">
        <v>1494</v>
      </c>
      <c r="B212" s="218" t="s">
        <v>1495</v>
      </c>
      <c r="C212" s="223">
        <v>1</v>
      </c>
      <c r="D212" s="218" t="s">
        <v>1488</v>
      </c>
      <c r="E212" s="240">
        <v>3</v>
      </c>
      <c r="F212" s="226">
        <v>3976.6074960000001</v>
      </c>
      <c r="G212" s="223">
        <v>1983</v>
      </c>
      <c r="H212" s="223">
        <v>1</v>
      </c>
      <c r="I212" s="223">
        <v>1</v>
      </c>
      <c r="J212" s="223"/>
      <c r="K212" s="229">
        <v>93808.170840000006</v>
      </c>
      <c r="L212" s="241">
        <v>80</v>
      </c>
      <c r="M212" s="229">
        <v>18761.634170000001</v>
      </c>
      <c r="N212" s="230">
        <v>23.59</v>
      </c>
      <c r="O212" s="231">
        <v>18761</v>
      </c>
      <c r="P212" s="314"/>
      <c r="Q212" s="276">
        <f t="shared" si="6"/>
        <v>3976.61</v>
      </c>
      <c r="R212" s="275">
        <f>(SUMIFS('Dec 31 2018 OFFS'!$AG:$AG,'Dec 31 2018 OFFS'!$AI:$AI,'T1 2019 Pipeline Data Lagasco'!$A212,'Dec 31 2018 OFFS'!$U:$U,'T1 2019 Pipeline Data Lagasco'!$E212,'Dec 31 2018 OFFS'!$AK:$AK,'T1 2019 Pipeline Data Lagasco'!$Q212,'Dec 31 2018 OFFS'!$W:$W,'T1 2019 Pipeline Data Lagasco'!$G212))/(MAX(COUNTIFS('Dec 31 2018 OFFS'!$AI:$AI,'T1 2019 Pipeline Data Lagasco'!$A212,'Dec 31 2018 OFFS'!$U:$U,'T1 2019 Pipeline Data Lagasco'!$E212,'Dec 31 2018 OFFS'!$AK:$AK,'T1 2019 Pipeline Data Lagasco'!$Q212,'Dec 31 2018 OFFS'!$W:$W,'T1 2019 Pipeline Data Lagasco'!$G212),1))</f>
        <v>18761</v>
      </c>
      <c r="S212" s="275">
        <f t="shared" si="7"/>
        <v>0</v>
      </c>
    </row>
    <row r="213" spans="1:19" s="217" customFormat="1" ht="15" customHeight="1">
      <c r="A213" s="224" t="s">
        <v>1494</v>
      </c>
      <c r="B213" s="218" t="s">
        <v>1495</v>
      </c>
      <c r="C213" s="223">
        <v>1</v>
      </c>
      <c r="D213" s="218" t="s">
        <v>1488</v>
      </c>
      <c r="E213" s="240">
        <v>3</v>
      </c>
      <c r="F213" s="226">
        <v>6307.6113660000001</v>
      </c>
      <c r="G213" s="223">
        <v>1981</v>
      </c>
      <c r="H213" s="223">
        <v>1</v>
      </c>
      <c r="I213" s="223">
        <v>1</v>
      </c>
      <c r="J213" s="223"/>
      <c r="K213" s="228">
        <v>148796.5521</v>
      </c>
      <c r="L213" s="241">
        <v>80</v>
      </c>
      <c r="M213" s="229">
        <v>29759.310420000002</v>
      </c>
      <c r="N213" s="230">
        <v>23.59</v>
      </c>
      <c r="O213" s="231">
        <v>29759</v>
      </c>
      <c r="P213" s="314"/>
      <c r="Q213" s="276">
        <f t="shared" si="6"/>
        <v>6307.61</v>
      </c>
      <c r="R213" s="275">
        <f>(SUMIFS('Dec 31 2018 OFFS'!$AG:$AG,'Dec 31 2018 OFFS'!$AI:$AI,'T1 2019 Pipeline Data Lagasco'!$A213,'Dec 31 2018 OFFS'!$U:$U,'T1 2019 Pipeline Data Lagasco'!$E213,'Dec 31 2018 OFFS'!$AK:$AK,'T1 2019 Pipeline Data Lagasco'!$Q213,'Dec 31 2018 OFFS'!$W:$W,'T1 2019 Pipeline Data Lagasco'!$G213))/(MAX(COUNTIFS('Dec 31 2018 OFFS'!$AI:$AI,'T1 2019 Pipeline Data Lagasco'!$A213,'Dec 31 2018 OFFS'!$U:$U,'T1 2019 Pipeline Data Lagasco'!$E213,'Dec 31 2018 OFFS'!$AK:$AK,'T1 2019 Pipeline Data Lagasco'!$Q213,'Dec 31 2018 OFFS'!$W:$W,'T1 2019 Pipeline Data Lagasco'!$G213),1))</f>
        <v>29759</v>
      </c>
      <c r="S213" s="275">
        <f t="shared" si="7"/>
        <v>0</v>
      </c>
    </row>
    <row r="214" spans="1:19" s="217" customFormat="1" ht="15" customHeight="1">
      <c r="A214" s="224" t="s">
        <v>1494</v>
      </c>
      <c r="B214" s="218" t="s">
        <v>1495</v>
      </c>
      <c r="C214" s="223">
        <v>1</v>
      </c>
      <c r="D214" s="218" t="s">
        <v>1488</v>
      </c>
      <c r="E214" s="240">
        <v>3</v>
      </c>
      <c r="F214" s="226">
        <v>4696.6205989999999</v>
      </c>
      <c r="G214" s="223">
        <v>1981</v>
      </c>
      <c r="H214" s="223">
        <v>1</v>
      </c>
      <c r="I214" s="223">
        <v>1</v>
      </c>
      <c r="J214" s="223"/>
      <c r="K214" s="228">
        <v>110793.27989999999</v>
      </c>
      <c r="L214" s="241">
        <v>80</v>
      </c>
      <c r="M214" s="229">
        <v>22158.655989999999</v>
      </c>
      <c r="N214" s="230">
        <v>23.59</v>
      </c>
      <c r="O214" s="231">
        <v>22158</v>
      </c>
      <c r="P214" s="315"/>
      <c r="Q214" s="276">
        <f t="shared" si="6"/>
        <v>4696.62</v>
      </c>
      <c r="R214" s="275">
        <f>(SUMIFS('Dec 31 2018 OFFS'!$AG:$AG,'Dec 31 2018 OFFS'!$AI:$AI,'T1 2019 Pipeline Data Lagasco'!$A214,'Dec 31 2018 OFFS'!$U:$U,'T1 2019 Pipeline Data Lagasco'!$E214,'Dec 31 2018 OFFS'!$AK:$AK,'T1 2019 Pipeline Data Lagasco'!$Q214,'Dec 31 2018 OFFS'!$W:$W,'T1 2019 Pipeline Data Lagasco'!$G214))/(MAX(COUNTIFS('Dec 31 2018 OFFS'!$AI:$AI,'T1 2019 Pipeline Data Lagasco'!$A214,'Dec 31 2018 OFFS'!$U:$U,'T1 2019 Pipeline Data Lagasco'!$E214,'Dec 31 2018 OFFS'!$AK:$AK,'T1 2019 Pipeline Data Lagasco'!$Q214,'Dec 31 2018 OFFS'!$W:$W,'T1 2019 Pipeline Data Lagasco'!$G214),1))</f>
        <v>22158</v>
      </c>
      <c r="S214" s="275">
        <f t="shared" si="7"/>
        <v>0</v>
      </c>
    </row>
    <row r="215" spans="1:19" s="217" customFormat="1" ht="14.1" customHeight="1">
      <c r="A215" s="224" t="s">
        <v>1494</v>
      </c>
      <c r="B215" s="218" t="s">
        <v>1495</v>
      </c>
      <c r="C215" s="223">
        <v>1</v>
      </c>
      <c r="D215" s="218" t="s">
        <v>1488</v>
      </c>
      <c r="E215" s="240">
        <v>3</v>
      </c>
      <c r="F215" s="236">
        <v>10307.31597</v>
      </c>
      <c r="G215" s="223">
        <v>1981</v>
      </c>
      <c r="H215" s="223">
        <v>1</v>
      </c>
      <c r="I215" s="223">
        <v>1</v>
      </c>
      <c r="J215" s="223"/>
      <c r="K215" s="228">
        <v>243149.58379999999</v>
      </c>
      <c r="L215" s="241">
        <v>80</v>
      </c>
      <c r="M215" s="229">
        <v>48629.916770000003</v>
      </c>
      <c r="N215" s="230">
        <v>23.59</v>
      </c>
      <c r="O215" s="231">
        <v>48629</v>
      </c>
      <c r="P215" s="315"/>
      <c r="Q215" s="276">
        <f t="shared" si="6"/>
        <v>10307.32</v>
      </c>
      <c r="R215" s="275">
        <f>(SUMIFS('Dec 31 2018 OFFS'!$AG:$AG,'Dec 31 2018 OFFS'!$AI:$AI,'T1 2019 Pipeline Data Lagasco'!$A215,'Dec 31 2018 OFFS'!$U:$U,'T1 2019 Pipeline Data Lagasco'!$E215,'Dec 31 2018 OFFS'!$AK:$AK,'T1 2019 Pipeline Data Lagasco'!$Q215,'Dec 31 2018 OFFS'!$W:$W,'T1 2019 Pipeline Data Lagasco'!$G215))/(MAX(COUNTIFS('Dec 31 2018 OFFS'!$AI:$AI,'T1 2019 Pipeline Data Lagasco'!$A215,'Dec 31 2018 OFFS'!$U:$U,'T1 2019 Pipeline Data Lagasco'!$E215,'Dec 31 2018 OFFS'!$AK:$AK,'T1 2019 Pipeline Data Lagasco'!$Q215,'Dec 31 2018 OFFS'!$W:$W,'T1 2019 Pipeline Data Lagasco'!$G215),1))</f>
        <v>48629</v>
      </c>
      <c r="S215" s="275">
        <f t="shared" si="7"/>
        <v>0</v>
      </c>
    </row>
    <row r="216" spans="1:19" s="217" customFormat="1" ht="14.1" customHeight="1">
      <c r="A216" s="224" t="s">
        <v>1494</v>
      </c>
      <c r="B216" s="218" t="s">
        <v>1495</v>
      </c>
      <c r="C216" s="223">
        <v>1</v>
      </c>
      <c r="D216" s="218" t="s">
        <v>1488</v>
      </c>
      <c r="E216" s="240">
        <v>3</v>
      </c>
      <c r="F216" s="236">
        <v>13132.545550000001</v>
      </c>
      <c r="G216" s="223">
        <v>1981</v>
      </c>
      <c r="H216" s="223">
        <v>1</v>
      </c>
      <c r="I216" s="223">
        <v>1</v>
      </c>
      <c r="J216" s="223"/>
      <c r="K216" s="228">
        <v>309796.74959999998</v>
      </c>
      <c r="L216" s="241">
        <v>80</v>
      </c>
      <c r="M216" s="229">
        <v>61959.349909999997</v>
      </c>
      <c r="N216" s="230">
        <v>23.59</v>
      </c>
      <c r="O216" s="231">
        <v>61959</v>
      </c>
      <c r="P216" s="315"/>
      <c r="Q216" s="276">
        <f t="shared" si="6"/>
        <v>13132.55</v>
      </c>
      <c r="R216" s="275">
        <f>(SUMIFS('Dec 31 2018 OFFS'!$AG:$AG,'Dec 31 2018 OFFS'!$AI:$AI,'T1 2019 Pipeline Data Lagasco'!$A216,'Dec 31 2018 OFFS'!$U:$U,'T1 2019 Pipeline Data Lagasco'!$E216,'Dec 31 2018 OFFS'!$AK:$AK,'T1 2019 Pipeline Data Lagasco'!$Q216,'Dec 31 2018 OFFS'!$W:$W,'T1 2019 Pipeline Data Lagasco'!$G216))/(MAX(COUNTIFS('Dec 31 2018 OFFS'!$AI:$AI,'T1 2019 Pipeline Data Lagasco'!$A216,'Dec 31 2018 OFFS'!$U:$U,'T1 2019 Pipeline Data Lagasco'!$E216,'Dec 31 2018 OFFS'!$AK:$AK,'T1 2019 Pipeline Data Lagasco'!$Q216,'Dec 31 2018 OFFS'!$W:$W,'T1 2019 Pipeline Data Lagasco'!$G216),1))</f>
        <v>61959</v>
      </c>
      <c r="S216" s="275">
        <f t="shared" si="7"/>
        <v>0</v>
      </c>
    </row>
    <row r="217" spans="1:19" s="217" customFormat="1" ht="14.1" customHeight="1">
      <c r="A217" s="224" t="s">
        <v>1494</v>
      </c>
      <c r="B217" s="218" t="s">
        <v>1495</v>
      </c>
      <c r="C217" s="223">
        <v>1</v>
      </c>
      <c r="D217" s="218" t="s">
        <v>1488</v>
      </c>
      <c r="E217" s="240">
        <v>3</v>
      </c>
      <c r="F217" s="236">
        <v>7558.4315399999996</v>
      </c>
      <c r="G217" s="223">
        <v>1981</v>
      </c>
      <c r="H217" s="223">
        <v>1</v>
      </c>
      <c r="I217" s="223">
        <v>0</v>
      </c>
      <c r="J217" s="223"/>
      <c r="K217" s="237">
        <v>178303.40</v>
      </c>
      <c r="L217" s="241">
        <v>80</v>
      </c>
      <c r="M217" s="238">
        <v>35660.68</v>
      </c>
      <c r="N217" s="230">
        <v>23.59</v>
      </c>
      <c r="O217" s="231">
        <v>0</v>
      </c>
      <c r="P217" s="315"/>
      <c r="Q217" s="276">
        <f t="shared" si="6"/>
        <v>7558.43</v>
      </c>
      <c r="R217" s="275">
        <f>(SUMIFS('Dec 31 2018 OFFS'!$AG:$AG,'Dec 31 2018 OFFS'!$AI:$AI,'T1 2019 Pipeline Data Lagasco'!$A217,'Dec 31 2018 OFFS'!$U:$U,'T1 2019 Pipeline Data Lagasco'!$E217,'Dec 31 2018 OFFS'!$AK:$AK,'T1 2019 Pipeline Data Lagasco'!$Q217,'Dec 31 2018 OFFS'!$W:$W,'T1 2019 Pipeline Data Lagasco'!$G217))/(MAX(COUNTIFS('Dec 31 2018 OFFS'!$AI:$AI,'T1 2019 Pipeline Data Lagasco'!$A217,'Dec 31 2018 OFFS'!$U:$U,'T1 2019 Pipeline Data Lagasco'!$E217,'Dec 31 2018 OFFS'!$AK:$AK,'T1 2019 Pipeline Data Lagasco'!$Q217,'Dec 31 2018 OFFS'!$W:$W,'T1 2019 Pipeline Data Lagasco'!$G217),1))</f>
        <v>0</v>
      </c>
      <c r="S217" s="275">
        <f t="shared" si="7"/>
        <v>0</v>
      </c>
    </row>
    <row r="218" spans="1:19" s="217" customFormat="1" ht="14.1" customHeight="1">
      <c r="A218" s="224" t="s">
        <v>1494</v>
      </c>
      <c r="B218" s="218" t="s">
        <v>1495</v>
      </c>
      <c r="C218" s="223">
        <v>1</v>
      </c>
      <c r="D218" s="218" t="s">
        <v>1488</v>
      </c>
      <c r="E218" s="240">
        <v>3</v>
      </c>
      <c r="F218" s="226">
        <v>9110.4656149999992</v>
      </c>
      <c r="G218" s="223">
        <v>1981</v>
      </c>
      <c r="H218" s="223">
        <v>1</v>
      </c>
      <c r="I218" s="223">
        <v>1</v>
      </c>
      <c r="J218" s="223"/>
      <c r="K218" s="228">
        <v>214915.88389999999</v>
      </c>
      <c r="L218" s="241">
        <v>80</v>
      </c>
      <c r="M218" s="229">
        <v>42983.176769999998</v>
      </c>
      <c r="N218" s="230">
        <v>23.59</v>
      </c>
      <c r="O218" s="231">
        <v>42983</v>
      </c>
      <c r="P218" s="315"/>
      <c r="Q218" s="276">
        <f t="shared" si="6"/>
        <v>9110.4699999999993</v>
      </c>
      <c r="R218" s="275">
        <f>(SUMIFS('Dec 31 2018 OFFS'!$AG:$AG,'Dec 31 2018 OFFS'!$AI:$AI,'T1 2019 Pipeline Data Lagasco'!$A218,'Dec 31 2018 OFFS'!$U:$U,'T1 2019 Pipeline Data Lagasco'!$E218,'Dec 31 2018 OFFS'!$AK:$AK,'T1 2019 Pipeline Data Lagasco'!$Q218,'Dec 31 2018 OFFS'!$W:$W,'T1 2019 Pipeline Data Lagasco'!$G218))/(MAX(COUNTIFS('Dec 31 2018 OFFS'!$AI:$AI,'T1 2019 Pipeline Data Lagasco'!$A218,'Dec 31 2018 OFFS'!$U:$U,'T1 2019 Pipeline Data Lagasco'!$E218,'Dec 31 2018 OFFS'!$AK:$AK,'T1 2019 Pipeline Data Lagasco'!$Q218,'Dec 31 2018 OFFS'!$W:$W,'T1 2019 Pipeline Data Lagasco'!$G218),1))</f>
        <v>42983</v>
      </c>
      <c r="S218" s="275">
        <f t="shared" si="7"/>
        <v>0</v>
      </c>
    </row>
    <row r="219" spans="1:19" s="217" customFormat="1" ht="14.1" customHeight="1">
      <c r="A219" s="224" t="s">
        <v>1494</v>
      </c>
      <c r="B219" s="218" t="s">
        <v>1495</v>
      </c>
      <c r="C219" s="223">
        <v>1</v>
      </c>
      <c r="D219" s="218" t="s">
        <v>1488</v>
      </c>
      <c r="E219" s="240">
        <v>3</v>
      </c>
      <c r="F219" s="226">
        <v>8213.4840139999997</v>
      </c>
      <c r="G219" s="223">
        <v>1981</v>
      </c>
      <c r="H219" s="223">
        <v>1</v>
      </c>
      <c r="I219" s="223">
        <v>1</v>
      </c>
      <c r="J219" s="223"/>
      <c r="K219" s="228">
        <v>193756.08790000001</v>
      </c>
      <c r="L219" s="241">
        <v>80</v>
      </c>
      <c r="M219" s="229">
        <v>38751.217579999997</v>
      </c>
      <c r="N219" s="230">
        <v>23.59</v>
      </c>
      <c r="O219" s="231">
        <v>38751</v>
      </c>
      <c r="P219" s="315"/>
      <c r="Q219" s="276">
        <f t="shared" si="6"/>
        <v>8213.48</v>
      </c>
      <c r="R219" s="275">
        <f>(SUMIFS('Dec 31 2018 OFFS'!$AG:$AG,'Dec 31 2018 OFFS'!$AI:$AI,'T1 2019 Pipeline Data Lagasco'!$A219,'Dec 31 2018 OFFS'!$U:$U,'T1 2019 Pipeline Data Lagasco'!$E219,'Dec 31 2018 OFFS'!$AK:$AK,'T1 2019 Pipeline Data Lagasco'!$Q219,'Dec 31 2018 OFFS'!$W:$W,'T1 2019 Pipeline Data Lagasco'!$G219))/(MAX(COUNTIFS('Dec 31 2018 OFFS'!$AI:$AI,'T1 2019 Pipeline Data Lagasco'!$A219,'Dec 31 2018 OFFS'!$U:$U,'T1 2019 Pipeline Data Lagasco'!$E219,'Dec 31 2018 OFFS'!$AK:$AK,'T1 2019 Pipeline Data Lagasco'!$Q219,'Dec 31 2018 OFFS'!$W:$W,'T1 2019 Pipeline Data Lagasco'!$G219),1))</f>
        <v>38751</v>
      </c>
      <c r="S219" s="275">
        <f t="shared" si="7"/>
        <v>0</v>
      </c>
    </row>
    <row r="220" spans="1:19" s="217" customFormat="1" ht="14.1" customHeight="1">
      <c r="A220" s="224" t="s">
        <v>1494</v>
      </c>
      <c r="B220" s="218" t="s">
        <v>1495</v>
      </c>
      <c r="C220" s="223">
        <v>1</v>
      </c>
      <c r="D220" s="218" t="s">
        <v>1488</v>
      </c>
      <c r="E220" s="240">
        <v>3</v>
      </c>
      <c r="F220" s="232">
        <v>212.86088620000001</v>
      </c>
      <c r="G220" s="223">
        <v>1977</v>
      </c>
      <c r="H220" s="223">
        <v>1</v>
      </c>
      <c r="I220" s="223">
        <v>1</v>
      </c>
      <c r="J220" s="223"/>
      <c r="K220" s="233">
        <v>5021.3883059999998</v>
      </c>
      <c r="L220" s="241">
        <v>80</v>
      </c>
      <c r="M220" s="233">
        <v>1004.277661</v>
      </c>
      <c r="N220" s="230">
        <v>23.59</v>
      </c>
      <c r="O220" s="231">
        <v>1004</v>
      </c>
      <c r="P220" s="315"/>
      <c r="Q220" s="276">
        <f t="shared" si="6"/>
        <v>212.86</v>
      </c>
      <c r="R220" s="275">
        <f>(SUMIFS('Dec 31 2018 OFFS'!$AG:$AG,'Dec 31 2018 OFFS'!$AI:$AI,'T1 2019 Pipeline Data Lagasco'!$A220,'Dec 31 2018 OFFS'!$U:$U,'T1 2019 Pipeline Data Lagasco'!$E220,'Dec 31 2018 OFFS'!$AK:$AK,'T1 2019 Pipeline Data Lagasco'!$Q220,'Dec 31 2018 OFFS'!$W:$W,'T1 2019 Pipeline Data Lagasco'!$G220))/(MAX(COUNTIFS('Dec 31 2018 OFFS'!$AI:$AI,'T1 2019 Pipeline Data Lagasco'!$A220,'Dec 31 2018 OFFS'!$U:$U,'T1 2019 Pipeline Data Lagasco'!$E220,'Dec 31 2018 OFFS'!$AK:$AK,'T1 2019 Pipeline Data Lagasco'!$Q220,'Dec 31 2018 OFFS'!$W:$W,'T1 2019 Pipeline Data Lagasco'!$G220),1))</f>
        <v>1004</v>
      </c>
      <c r="S220" s="275">
        <f t="shared" si="7"/>
        <v>0</v>
      </c>
    </row>
    <row r="221" spans="1:19" s="217" customFormat="1" ht="14.1" customHeight="1">
      <c r="A221" s="224" t="s">
        <v>1494</v>
      </c>
      <c r="B221" s="218" t="s">
        <v>1495</v>
      </c>
      <c r="C221" s="223">
        <v>1</v>
      </c>
      <c r="D221" s="218" t="s">
        <v>1488</v>
      </c>
      <c r="E221" s="240">
        <v>3</v>
      </c>
      <c r="F221" s="226">
        <v>5131.5287230000004</v>
      </c>
      <c r="G221" s="223">
        <v>1981</v>
      </c>
      <c r="H221" s="223">
        <v>1</v>
      </c>
      <c r="I221" s="223">
        <v>1</v>
      </c>
      <c r="J221" s="223"/>
      <c r="K221" s="228">
        <v>121052.7626</v>
      </c>
      <c r="L221" s="241">
        <v>80</v>
      </c>
      <c r="M221" s="229">
        <v>24210.552510000001</v>
      </c>
      <c r="N221" s="230">
        <v>23.59</v>
      </c>
      <c r="O221" s="231">
        <v>24210</v>
      </c>
      <c r="P221" s="315"/>
      <c r="Q221" s="276">
        <f t="shared" si="6"/>
        <v>5131.53</v>
      </c>
      <c r="R221" s="275">
        <f>(SUMIFS('Dec 31 2018 OFFS'!$AG:$AG,'Dec 31 2018 OFFS'!$AI:$AI,'T1 2019 Pipeline Data Lagasco'!$A221,'Dec 31 2018 OFFS'!$U:$U,'T1 2019 Pipeline Data Lagasco'!$E221,'Dec 31 2018 OFFS'!$AK:$AK,'T1 2019 Pipeline Data Lagasco'!$Q221,'Dec 31 2018 OFFS'!$W:$W,'T1 2019 Pipeline Data Lagasco'!$G221))/(MAX(COUNTIFS('Dec 31 2018 OFFS'!$AI:$AI,'T1 2019 Pipeline Data Lagasco'!$A221,'Dec 31 2018 OFFS'!$U:$U,'T1 2019 Pipeline Data Lagasco'!$E221,'Dec 31 2018 OFFS'!$AK:$AK,'T1 2019 Pipeline Data Lagasco'!$Q221,'Dec 31 2018 OFFS'!$W:$W,'T1 2019 Pipeline Data Lagasco'!$G221),1))</f>
        <v>24210</v>
      </c>
      <c r="S221" s="275">
        <f t="shared" si="7"/>
        <v>0</v>
      </c>
    </row>
    <row r="222" spans="1:19" s="217" customFormat="1" ht="14.1" customHeight="1">
      <c r="A222" s="224" t="s">
        <v>1494</v>
      </c>
      <c r="B222" s="218" t="s">
        <v>1495</v>
      </c>
      <c r="C222" s="223">
        <v>1</v>
      </c>
      <c r="D222" s="218" t="s">
        <v>1488</v>
      </c>
      <c r="E222" s="240">
        <v>3</v>
      </c>
      <c r="F222" s="226">
        <v>4187.6639210000003</v>
      </c>
      <c r="G222" s="223">
        <v>1984</v>
      </c>
      <c r="H222" s="223">
        <v>1</v>
      </c>
      <c r="I222" s="223">
        <v>1</v>
      </c>
      <c r="J222" s="223"/>
      <c r="K222" s="229">
        <v>98786.991890000005</v>
      </c>
      <c r="L222" s="241">
        <v>80</v>
      </c>
      <c r="M222" s="229">
        <v>19757.398379999999</v>
      </c>
      <c r="N222" s="230">
        <v>23.59</v>
      </c>
      <c r="O222" s="231">
        <v>19757</v>
      </c>
      <c r="P222" s="315"/>
      <c r="Q222" s="276">
        <f t="shared" si="6"/>
        <v>4187.66</v>
      </c>
      <c r="R222" s="275">
        <f>(SUMIFS('Dec 31 2018 OFFS'!$AG:$AG,'Dec 31 2018 OFFS'!$AI:$AI,'T1 2019 Pipeline Data Lagasco'!$A222,'Dec 31 2018 OFFS'!$U:$U,'T1 2019 Pipeline Data Lagasco'!$E222,'Dec 31 2018 OFFS'!$AK:$AK,'T1 2019 Pipeline Data Lagasco'!$Q222,'Dec 31 2018 OFFS'!$W:$W,'T1 2019 Pipeline Data Lagasco'!$G222))/(MAX(COUNTIFS('Dec 31 2018 OFFS'!$AI:$AI,'T1 2019 Pipeline Data Lagasco'!$A222,'Dec 31 2018 OFFS'!$U:$U,'T1 2019 Pipeline Data Lagasco'!$E222,'Dec 31 2018 OFFS'!$AK:$AK,'T1 2019 Pipeline Data Lagasco'!$Q222,'Dec 31 2018 OFFS'!$W:$W,'T1 2019 Pipeline Data Lagasco'!$G222),1))</f>
        <v>19757</v>
      </c>
      <c r="S222" s="275">
        <f t="shared" si="7"/>
        <v>0</v>
      </c>
    </row>
    <row r="223" spans="1:19" s="217" customFormat="1" ht="14.1" customHeight="1">
      <c r="A223" s="224" t="s">
        <v>1494</v>
      </c>
      <c r="B223" s="218" t="s">
        <v>1495</v>
      </c>
      <c r="C223" s="223">
        <v>1</v>
      </c>
      <c r="D223" s="218" t="s">
        <v>1488</v>
      </c>
      <c r="E223" s="240">
        <v>3</v>
      </c>
      <c r="F223" s="226">
        <v>4803.2478920000003</v>
      </c>
      <c r="G223" s="223">
        <v>1977</v>
      </c>
      <c r="H223" s="223">
        <v>1</v>
      </c>
      <c r="I223" s="223">
        <v>1</v>
      </c>
      <c r="J223" s="223"/>
      <c r="K223" s="228">
        <v>113308.61780000001</v>
      </c>
      <c r="L223" s="241">
        <v>80</v>
      </c>
      <c r="M223" s="229">
        <v>22661.723559999999</v>
      </c>
      <c r="N223" s="230">
        <v>23.59</v>
      </c>
      <c r="O223" s="231">
        <v>22661</v>
      </c>
      <c r="P223" s="315"/>
      <c r="Q223" s="276">
        <f t="shared" si="6"/>
        <v>4803.25</v>
      </c>
      <c r="R223" s="275">
        <f>(SUMIFS('Dec 31 2018 OFFS'!$AG:$AG,'Dec 31 2018 OFFS'!$AI:$AI,'T1 2019 Pipeline Data Lagasco'!$A223,'Dec 31 2018 OFFS'!$U:$U,'T1 2019 Pipeline Data Lagasco'!$E223,'Dec 31 2018 OFFS'!$AK:$AK,'T1 2019 Pipeline Data Lagasco'!$Q223,'Dec 31 2018 OFFS'!$W:$W,'T1 2019 Pipeline Data Lagasco'!$G223))/(MAX(COUNTIFS('Dec 31 2018 OFFS'!$AI:$AI,'T1 2019 Pipeline Data Lagasco'!$A223,'Dec 31 2018 OFFS'!$U:$U,'T1 2019 Pipeline Data Lagasco'!$E223,'Dec 31 2018 OFFS'!$AK:$AK,'T1 2019 Pipeline Data Lagasco'!$Q223,'Dec 31 2018 OFFS'!$W:$W,'T1 2019 Pipeline Data Lagasco'!$G223),1))</f>
        <v>22661</v>
      </c>
      <c r="S223" s="275">
        <f t="shared" si="7"/>
        <v>0</v>
      </c>
    </row>
    <row r="224" spans="1:19" s="217" customFormat="1" ht="14.1" customHeight="1">
      <c r="A224" s="224" t="s">
        <v>1494</v>
      </c>
      <c r="B224" s="218" t="s">
        <v>1495</v>
      </c>
      <c r="C224" s="223">
        <v>1</v>
      </c>
      <c r="D224" s="218" t="s">
        <v>1488</v>
      </c>
      <c r="E224" s="240">
        <v>3</v>
      </c>
      <c r="F224" s="223">
        <v>5650</v>
      </c>
      <c r="G224" s="223">
        <v>2003</v>
      </c>
      <c r="H224" s="223">
        <v>1</v>
      </c>
      <c r="I224" s="223">
        <v>1</v>
      </c>
      <c r="J224" s="223"/>
      <c r="K224" s="237">
        <v>133283.50</v>
      </c>
      <c r="L224" s="241">
        <v>57</v>
      </c>
      <c r="M224" s="239">
        <v>57311.904999999999</v>
      </c>
      <c r="N224" s="230">
        <v>23.59</v>
      </c>
      <c r="O224" s="231">
        <v>57311</v>
      </c>
      <c r="P224" s="315"/>
      <c r="Q224" s="276">
        <f t="shared" si="6"/>
        <v>5650</v>
      </c>
      <c r="R224" s="275">
        <f>(SUMIFS('Dec 31 2018 OFFS'!$AG:$AG,'Dec 31 2018 OFFS'!$AI:$AI,'T1 2019 Pipeline Data Lagasco'!$A224,'Dec 31 2018 OFFS'!$U:$U,'T1 2019 Pipeline Data Lagasco'!$E224,'Dec 31 2018 OFFS'!$AK:$AK,'T1 2019 Pipeline Data Lagasco'!$Q224,'Dec 31 2018 OFFS'!$W:$W,'T1 2019 Pipeline Data Lagasco'!$G224))/(MAX(COUNTIFS('Dec 31 2018 OFFS'!$AI:$AI,'T1 2019 Pipeline Data Lagasco'!$A224,'Dec 31 2018 OFFS'!$U:$U,'T1 2019 Pipeline Data Lagasco'!$E224,'Dec 31 2018 OFFS'!$AK:$AK,'T1 2019 Pipeline Data Lagasco'!$Q224,'Dec 31 2018 OFFS'!$W:$W,'T1 2019 Pipeline Data Lagasco'!$G224),1))</f>
        <v>57311</v>
      </c>
      <c r="S224" s="275">
        <f t="shared" si="7"/>
        <v>0</v>
      </c>
    </row>
    <row r="225" spans="1:19" s="217" customFormat="1" ht="14.1" customHeight="1">
      <c r="A225" s="224" t="s">
        <v>1494</v>
      </c>
      <c r="B225" s="218" t="s">
        <v>1495</v>
      </c>
      <c r="C225" s="223">
        <v>1</v>
      </c>
      <c r="D225" s="218" t="s">
        <v>1488</v>
      </c>
      <c r="E225" s="240">
        <v>3</v>
      </c>
      <c r="F225" s="223">
        <v>3222</v>
      </c>
      <c r="G225" s="223">
        <v>2010</v>
      </c>
      <c r="H225" s="223">
        <v>1</v>
      </c>
      <c r="I225" s="223">
        <v>1</v>
      </c>
      <c r="J225" s="223"/>
      <c r="K225" s="238">
        <v>76006.98</v>
      </c>
      <c r="L225" s="241">
        <v>39</v>
      </c>
      <c r="M225" s="228">
        <v>46364.257799999999</v>
      </c>
      <c r="N225" s="230">
        <v>23.59</v>
      </c>
      <c r="O225" s="231">
        <v>46364</v>
      </c>
      <c r="P225" s="315"/>
      <c r="Q225" s="276">
        <f t="shared" si="6"/>
        <v>3222</v>
      </c>
      <c r="R225" s="275">
        <f>(SUMIFS('Dec 31 2018 OFFS'!$AG:$AG,'Dec 31 2018 OFFS'!$AI:$AI,'T1 2019 Pipeline Data Lagasco'!$A225,'Dec 31 2018 OFFS'!$U:$U,'T1 2019 Pipeline Data Lagasco'!$E225,'Dec 31 2018 OFFS'!$AK:$AK,'T1 2019 Pipeline Data Lagasco'!$Q225,'Dec 31 2018 OFFS'!$W:$W,'T1 2019 Pipeline Data Lagasco'!$G225))/(MAX(COUNTIFS('Dec 31 2018 OFFS'!$AI:$AI,'T1 2019 Pipeline Data Lagasco'!$A225,'Dec 31 2018 OFFS'!$U:$U,'T1 2019 Pipeline Data Lagasco'!$E225,'Dec 31 2018 OFFS'!$AK:$AK,'T1 2019 Pipeline Data Lagasco'!$Q225,'Dec 31 2018 OFFS'!$W:$W,'T1 2019 Pipeline Data Lagasco'!$G225),1))</f>
        <v>46364</v>
      </c>
      <c r="S225" s="275">
        <f t="shared" si="7"/>
        <v>0</v>
      </c>
    </row>
    <row r="226" spans="1:19" s="217" customFormat="1" ht="14.1" customHeight="1">
      <c r="A226" s="224" t="s">
        <v>1494</v>
      </c>
      <c r="B226" s="218" t="s">
        <v>1495</v>
      </c>
      <c r="C226" s="223">
        <v>1</v>
      </c>
      <c r="D226" s="218" t="s">
        <v>1488</v>
      </c>
      <c r="E226" s="240">
        <v>3</v>
      </c>
      <c r="F226" s="223">
        <v>4924</v>
      </c>
      <c r="G226" s="223">
        <v>2005</v>
      </c>
      <c r="H226" s="223">
        <v>1</v>
      </c>
      <c r="I226" s="223">
        <v>1</v>
      </c>
      <c r="J226" s="223"/>
      <c r="K226" s="238">
        <v>116157.16</v>
      </c>
      <c r="L226" s="241">
        <v>54</v>
      </c>
      <c r="M226" s="228">
        <v>53432.293599999997</v>
      </c>
      <c r="N226" s="230">
        <v>23.59</v>
      </c>
      <c r="O226" s="231">
        <v>53432</v>
      </c>
      <c r="P226" s="315"/>
      <c r="Q226" s="276">
        <f t="shared" si="6"/>
        <v>4924</v>
      </c>
      <c r="R226" s="275">
        <f>(SUMIFS('Dec 31 2018 OFFS'!$AG:$AG,'Dec 31 2018 OFFS'!$AI:$AI,'T1 2019 Pipeline Data Lagasco'!$A226,'Dec 31 2018 OFFS'!$U:$U,'T1 2019 Pipeline Data Lagasco'!$E226,'Dec 31 2018 OFFS'!$AK:$AK,'T1 2019 Pipeline Data Lagasco'!$Q226,'Dec 31 2018 OFFS'!$W:$W,'T1 2019 Pipeline Data Lagasco'!$G226))/(MAX(COUNTIFS('Dec 31 2018 OFFS'!$AI:$AI,'T1 2019 Pipeline Data Lagasco'!$A226,'Dec 31 2018 OFFS'!$U:$U,'T1 2019 Pipeline Data Lagasco'!$E226,'Dec 31 2018 OFFS'!$AK:$AK,'T1 2019 Pipeline Data Lagasco'!$Q226,'Dec 31 2018 OFFS'!$W:$W,'T1 2019 Pipeline Data Lagasco'!$G226),1))</f>
        <v>53432</v>
      </c>
      <c r="S226" s="275">
        <f t="shared" si="7"/>
        <v>0</v>
      </c>
    </row>
    <row r="227" spans="1:19" s="217" customFormat="1" ht="14.1" customHeight="1">
      <c r="A227" s="224" t="s">
        <v>1494</v>
      </c>
      <c r="B227" s="218" t="s">
        <v>1495</v>
      </c>
      <c r="C227" s="223">
        <v>1</v>
      </c>
      <c r="D227" s="218" t="s">
        <v>1488</v>
      </c>
      <c r="E227" s="240">
        <v>3</v>
      </c>
      <c r="F227" s="226">
        <v>4595.1442239999997</v>
      </c>
      <c r="G227" s="223">
        <v>1977</v>
      </c>
      <c r="H227" s="223">
        <v>1</v>
      </c>
      <c r="I227" s="223">
        <v>0</v>
      </c>
      <c r="J227" s="223"/>
      <c r="K227" s="228">
        <v>108399.4522</v>
      </c>
      <c r="L227" s="241">
        <v>80</v>
      </c>
      <c r="M227" s="229">
        <v>21679.890449999999</v>
      </c>
      <c r="N227" s="230">
        <v>23.59</v>
      </c>
      <c r="O227" s="231">
        <v>0</v>
      </c>
      <c r="P227" s="315"/>
      <c r="Q227" s="276">
        <f t="shared" si="6"/>
        <v>4595.1400000000003</v>
      </c>
      <c r="R227" s="275">
        <f>(SUMIFS('Dec 31 2018 OFFS'!$AG:$AG,'Dec 31 2018 OFFS'!$AI:$AI,'T1 2019 Pipeline Data Lagasco'!$A227,'Dec 31 2018 OFFS'!$U:$U,'T1 2019 Pipeline Data Lagasco'!$E227,'Dec 31 2018 OFFS'!$AK:$AK,'T1 2019 Pipeline Data Lagasco'!$Q227,'Dec 31 2018 OFFS'!$W:$W,'T1 2019 Pipeline Data Lagasco'!$G227))/(MAX(COUNTIFS('Dec 31 2018 OFFS'!$AI:$AI,'T1 2019 Pipeline Data Lagasco'!$A227,'Dec 31 2018 OFFS'!$U:$U,'T1 2019 Pipeline Data Lagasco'!$E227,'Dec 31 2018 OFFS'!$AK:$AK,'T1 2019 Pipeline Data Lagasco'!$Q227,'Dec 31 2018 OFFS'!$W:$W,'T1 2019 Pipeline Data Lagasco'!$G227),1))</f>
        <v>0</v>
      </c>
      <c r="S227" s="275">
        <f t="shared" si="7"/>
        <v>0</v>
      </c>
    </row>
    <row r="228" spans="1:19" s="217" customFormat="1" ht="14.1" customHeight="1">
      <c r="A228" s="224" t="s">
        <v>1494</v>
      </c>
      <c r="B228" s="218" t="s">
        <v>1495</v>
      </c>
      <c r="C228" s="223">
        <v>1</v>
      </c>
      <c r="D228" s="218" t="s">
        <v>1488</v>
      </c>
      <c r="E228" s="240">
        <v>3</v>
      </c>
      <c r="F228" s="223">
        <v>4346</v>
      </c>
      <c r="G228" s="223">
        <v>2006</v>
      </c>
      <c r="H228" s="223">
        <v>1</v>
      </c>
      <c r="I228" s="223">
        <v>1</v>
      </c>
      <c r="J228" s="223"/>
      <c r="K228" s="238">
        <v>102522.14</v>
      </c>
      <c r="L228" s="241">
        <v>52</v>
      </c>
      <c r="M228" s="228">
        <v>49210.627200000003</v>
      </c>
      <c r="N228" s="230">
        <v>23.59</v>
      </c>
      <c r="O228" s="231">
        <v>49210</v>
      </c>
      <c r="P228" s="315"/>
      <c r="Q228" s="276">
        <f t="shared" si="6"/>
        <v>4346</v>
      </c>
      <c r="R228" s="275">
        <f>(SUMIFS('Dec 31 2018 OFFS'!$AG:$AG,'Dec 31 2018 OFFS'!$AI:$AI,'T1 2019 Pipeline Data Lagasco'!$A228,'Dec 31 2018 OFFS'!$U:$U,'T1 2019 Pipeline Data Lagasco'!$E228,'Dec 31 2018 OFFS'!$AK:$AK,'T1 2019 Pipeline Data Lagasco'!$Q228,'Dec 31 2018 OFFS'!$W:$W,'T1 2019 Pipeline Data Lagasco'!$G228))/(MAX(COUNTIFS('Dec 31 2018 OFFS'!$AI:$AI,'T1 2019 Pipeline Data Lagasco'!$A228,'Dec 31 2018 OFFS'!$U:$U,'T1 2019 Pipeline Data Lagasco'!$E228,'Dec 31 2018 OFFS'!$AK:$AK,'T1 2019 Pipeline Data Lagasco'!$Q228,'Dec 31 2018 OFFS'!$W:$W,'T1 2019 Pipeline Data Lagasco'!$G228),1))</f>
        <v>49210</v>
      </c>
      <c r="S228" s="275">
        <f t="shared" si="7"/>
        <v>0</v>
      </c>
    </row>
    <row r="229" spans="1:19" s="217" customFormat="1" ht="14.1" customHeight="1">
      <c r="A229" s="224" t="s">
        <v>1494</v>
      </c>
      <c r="B229" s="218" t="s">
        <v>1495</v>
      </c>
      <c r="C229" s="223">
        <v>1</v>
      </c>
      <c r="D229" s="218" t="s">
        <v>1488</v>
      </c>
      <c r="E229" s="240">
        <v>3</v>
      </c>
      <c r="F229" s="223">
        <v>6925</v>
      </c>
      <c r="G229" s="223">
        <v>1984</v>
      </c>
      <c r="H229" s="223">
        <v>1</v>
      </c>
      <c r="I229" s="223">
        <v>1</v>
      </c>
      <c r="J229" s="223"/>
      <c r="K229" s="238">
        <v>163360.75</v>
      </c>
      <c r="L229" s="241">
        <v>80</v>
      </c>
      <c r="M229" s="238">
        <v>32672.15</v>
      </c>
      <c r="N229" s="230">
        <v>23.59</v>
      </c>
      <c r="O229" s="231">
        <v>32672</v>
      </c>
      <c r="P229" s="315"/>
      <c r="Q229" s="276">
        <f t="shared" si="6"/>
        <v>6925</v>
      </c>
      <c r="R229" s="275">
        <f>(SUMIFS('Dec 31 2018 OFFS'!$AG:$AG,'Dec 31 2018 OFFS'!$AI:$AI,'T1 2019 Pipeline Data Lagasco'!$A229,'Dec 31 2018 OFFS'!$U:$U,'T1 2019 Pipeline Data Lagasco'!$E229,'Dec 31 2018 OFFS'!$AK:$AK,'T1 2019 Pipeline Data Lagasco'!$Q229,'Dec 31 2018 OFFS'!$W:$W,'T1 2019 Pipeline Data Lagasco'!$G229))/(MAX(COUNTIFS('Dec 31 2018 OFFS'!$AI:$AI,'T1 2019 Pipeline Data Lagasco'!$A229,'Dec 31 2018 OFFS'!$U:$U,'T1 2019 Pipeline Data Lagasco'!$E229,'Dec 31 2018 OFFS'!$AK:$AK,'T1 2019 Pipeline Data Lagasco'!$Q229,'Dec 31 2018 OFFS'!$W:$W,'T1 2019 Pipeline Data Lagasco'!$G229),1))</f>
        <v>32672</v>
      </c>
      <c r="S229" s="275">
        <f t="shared" si="7"/>
        <v>0</v>
      </c>
    </row>
    <row r="230" spans="1:19" s="217" customFormat="1" ht="14.1" customHeight="1">
      <c r="A230" s="224" t="s">
        <v>1494</v>
      </c>
      <c r="B230" s="218" t="s">
        <v>1495</v>
      </c>
      <c r="C230" s="223">
        <v>1</v>
      </c>
      <c r="D230" s="218" t="s">
        <v>1488</v>
      </c>
      <c r="E230" s="240">
        <v>3</v>
      </c>
      <c r="F230" s="226">
        <v>7863.5168329999997</v>
      </c>
      <c r="G230" s="223">
        <v>1977</v>
      </c>
      <c r="H230" s="223">
        <v>1</v>
      </c>
      <c r="I230" s="223">
        <v>1</v>
      </c>
      <c r="J230" s="223"/>
      <c r="K230" s="228">
        <v>185500.3621</v>
      </c>
      <c r="L230" s="241">
        <v>80</v>
      </c>
      <c r="M230" s="229">
        <v>37100.072419999997</v>
      </c>
      <c r="N230" s="230">
        <v>23.59</v>
      </c>
      <c r="O230" s="231">
        <v>37100</v>
      </c>
      <c r="P230" s="315"/>
      <c r="Q230" s="276">
        <f t="shared" si="6"/>
        <v>7863.52</v>
      </c>
      <c r="R230" s="275">
        <f>(SUMIFS('Dec 31 2018 OFFS'!$AG:$AG,'Dec 31 2018 OFFS'!$AI:$AI,'T1 2019 Pipeline Data Lagasco'!$A230,'Dec 31 2018 OFFS'!$U:$U,'T1 2019 Pipeline Data Lagasco'!$E230,'Dec 31 2018 OFFS'!$AK:$AK,'T1 2019 Pipeline Data Lagasco'!$Q230,'Dec 31 2018 OFFS'!$W:$W,'T1 2019 Pipeline Data Lagasco'!$G230))/(MAX(COUNTIFS('Dec 31 2018 OFFS'!$AI:$AI,'T1 2019 Pipeline Data Lagasco'!$A230,'Dec 31 2018 OFFS'!$U:$U,'T1 2019 Pipeline Data Lagasco'!$E230,'Dec 31 2018 OFFS'!$AK:$AK,'T1 2019 Pipeline Data Lagasco'!$Q230,'Dec 31 2018 OFFS'!$W:$W,'T1 2019 Pipeline Data Lagasco'!$G230),1))</f>
        <v>37100</v>
      </c>
      <c r="S230" s="275">
        <f t="shared" si="7"/>
        <v>0</v>
      </c>
    </row>
    <row r="231" spans="1:19" s="217" customFormat="1" ht="14.1" customHeight="1">
      <c r="A231" s="224" t="s">
        <v>1494</v>
      </c>
      <c r="B231" s="218" t="s">
        <v>1495</v>
      </c>
      <c r="C231" s="223">
        <v>1</v>
      </c>
      <c r="D231" s="218" t="s">
        <v>1488</v>
      </c>
      <c r="E231" s="240">
        <v>3</v>
      </c>
      <c r="F231" s="226">
        <v>5663.418471</v>
      </c>
      <c r="G231" s="223">
        <v>1977</v>
      </c>
      <c r="H231" s="223">
        <v>1</v>
      </c>
      <c r="I231" s="223">
        <v>1</v>
      </c>
      <c r="J231" s="223"/>
      <c r="K231" s="228">
        <v>133600.0417</v>
      </c>
      <c r="L231" s="241">
        <v>80</v>
      </c>
      <c r="M231" s="229">
        <v>26720.00835</v>
      </c>
      <c r="N231" s="230">
        <v>23.59</v>
      </c>
      <c r="O231" s="231">
        <v>26720</v>
      </c>
      <c r="P231" s="315"/>
      <c r="Q231" s="276">
        <f t="shared" si="6"/>
        <v>5663.42</v>
      </c>
      <c r="R231" s="275">
        <f>(SUMIFS('Dec 31 2018 OFFS'!$AG:$AG,'Dec 31 2018 OFFS'!$AI:$AI,'T1 2019 Pipeline Data Lagasco'!$A231,'Dec 31 2018 OFFS'!$U:$U,'T1 2019 Pipeline Data Lagasco'!$E231,'Dec 31 2018 OFFS'!$AK:$AK,'T1 2019 Pipeline Data Lagasco'!$Q231,'Dec 31 2018 OFFS'!$W:$W,'T1 2019 Pipeline Data Lagasco'!$G231))/(MAX(COUNTIFS('Dec 31 2018 OFFS'!$AI:$AI,'T1 2019 Pipeline Data Lagasco'!$A231,'Dec 31 2018 OFFS'!$U:$U,'T1 2019 Pipeline Data Lagasco'!$E231,'Dec 31 2018 OFFS'!$AK:$AK,'T1 2019 Pipeline Data Lagasco'!$Q231,'Dec 31 2018 OFFS'!$W:$W,'T1 2019 Pipeline Data Lagasco'!$G231),1))</f>
        <v>26720</v>
      </c>
      <c r="S231" s="275">
        <f t="shared" si="7"/>
        <v>0</v>
      </c>
    </row>
    <row r="232" spans="1:19" s="217" customFormat="1" ht="14.1" customHeight="1">
      <c r="A232" s="224" t="s">
        <v>1494</v>
      </c>
      <c r="B232" s="218" t="s">
        <v>1495</v>
      </c>
      <c r="C232" s="223">
        <v>1</v>
      </c>
      <c r="D232" s="218" t="s">
        <v>1488</v>
      </c>
      <c r="E232" s="240">
        <v>3</v>
      </c>
      <c r="F232" s="226">
        <v>4166.7321629999997</v>
      </c>
      <c r="G232" s="223">
        <v>1980</v>
      </c>
      <c r="H232" s="223">
        <v>1</v>
      </c>
      <c r="I232" s="223">
        <v>1</v>
      </c>
      <c r="J232" s="223"/>
      <c r="K232" s="229">
        <v>98293.211720000007</v>
      </c>
      <c r="L232" s="241">
        <v>80</v>
      </c>
      <c r="M232" s="229">
        <v>19658.642339999999</v>
      </c>
      <c r="N232" s="230">
        <v>23.59</v>
      </c>
      <c r="O232" s="231">
        <v>19658</v>
      </c>
      <c r="P232" s="315"/>
      <c r="Q232" s="276">
        <f t="shared" si="6"/>
        <v>4166.7299999999996</v>
      </c>
      <c r="R232" s="275">
        <f>(SUMIFS('Dec 31 2018 OFFS'!$AG:$AG,'Dec 31 2018 OFFS'!$AI:$AI,'T1 2019 Pipeline Data Lagasco'!$A232,'Dec 31 2018 OFFS'!$U:$U,'T1 2019 Pipeline Data Lagasco'!$E232,'Dec 31 2018 OFFS'!$AK:$AK,'T1 2019 Pipeline Data Lagasco'!$Q232,'Dec 31 2018 OFFS'!$W:$W,'T1 2019 Pipeline Data Lagasco'!$G232))/(MAX(COUNTIFS('Dec 31 2018 OFFS'!$AI:$AI,'T1 2019 Pipeline Data Lagasco'!$A232,'Dec 31 2018 OFFS'!$U:$U,'T1 2019 Pipeline Data Lagasco'!$E232,'Dec 31 2018 OFFS'!$AK:$AK,'T1 2019 Pipeline Data Lagasco'!$Q232,'Dec 31 2018 OFFS'!$W:$W,'T1 2019 Pipeline Data Lagasco'!$G232),1))</f>
        <v>19658</v>
      </c>
      <c r="S232" s="275">
        <f t="shared" si="7"/>
        <v>0</v>
      </c>
    </row>
    <row r="233" spans="1:19" s="217" customFormat="1" ht="14.1" customHeight="1">
      <c r="A233" s="224" t="s">
        <v>1494</v>
      </c>
      <c r="B233" s="218" t="s">
        <v>1495</v>
      </c>
      <c r="C233" s="223">
        <v>1</v>
      </c>
      <c r="D233" s="218" t="s">
        <v>1488</v>
      </c>
      <c r="E233" s="240">
        <v>3</v>
      </c>
      <c r="F233" s="236">
        <v>6185.2688500000004</v>
      </c>
      <c r="G233" s="223">
        <v>1977</v>
      </c>
      <c r="H233" s="223">
        <v>1</v>
      </c>
      <c r="I233" s="223">
        <v>0</v>
      </c>
      <c r="J233" s="223"/>
      <c r="K233" s="228">
        <v>145910.49220000001</v>
      </c>
      <c r="L233" s="241">
        <v>80</v>
      </c>
      <c r="M233" s="229">
        <v>29182.098429999998</v>
      </c>
      <c r="N233" s="230">
        <v>23.59</v>
      </c>
      <c r="O233" s="231">
        <v>0</v>
      </c>
      <c r="P233" s="315"/>
      <c r="Q233" s="276">
        <f t="shared" si="6"/>
        <v>6185.27</v>
      </c>
      <c r="R233" s="275">
        <f>(SUMIFS('Dec 31 2018 OFFS'!$AG:$AG,'Dec 31 2018 OFFS'!$AI:$AI,'T1 2019 Pipeline Data Lagasco'!$A233,'Dec 31 2018 OFFS'!$U:$U,'T1 2019 Pipeline Data Lagasco'!$E233,'Dec 31 2018 OFFS'!$AK:$AK,'T1 2019 Pipeline Data Lagasco'!$Q233,'Dec 31 2018 OFFS'!$W:$W,'T1 2019 Pipeline Data Lagasco'!$G233))/(MAX(COUNTIFS('Dec 31 2018 OFFS'!$AI:$AI,'T1 2019 Pipeline Data Lagasco'!$A233,'Dec 31 2018 OFFS'!$U:$U,'T1 2019 Pipeline Data Lagasco'!$E233,'Dec 31 2018 OFFS'!$AK:$AK,'T1 2019 Pipeline Data Lagasco'!$Q233,'Dec 31 2018 OFFS'!$W:$W,'T1 2019 Pipeline Data Lagasco'!$G233),1))</f>
        <v>0</v>
      </c>
      <c r="S233" s="275">
        <f t="shared" si="7"/>
        <v>0</v>
      </c>
    </row>
    <row r="234" spans="1:19" s="217" customFormat="1" ht="14.1" customHeight="1">
      <c r="A234" s="224" t="s">
        <v>1494</v>
      </c>
      <c r="B234" s="218" t="s">
        <v>1495</v>
      </c>
      <c r="C234" s="223">
        <v>1</v>
      </c>
      <c r="D234" s="218" t="s">
        <v>1488</v>
      </c>
      <c r="E234" s="240">
        <v>3</v>
      </c>
      <c r="F234" s="226">
        <v>4050.0983080000001</v>
      </c>
      <c r="G234" s="223">
        <v>1962</v>
      </c>
      <c r="H234" s="223">
        <v>1</v>
      </c>
      <c r="I234" s="223">
        <v>1</v>
      </c>
      <c r="J234" s="223"/>
      <c r="K234" s="229">
        <v>95541.819080000001</v>
      </c>
      <c r="L234" s="241">
        <v>80</v>
      </c>
      <c r="M234" s="229">
        <v>19108.363819999999</v>
      </c>
      <c r="N234" s="230">
        <v>23.59</v>
      </c>
      <c r="O234" s="231">
        <v>19108</v>
      </c>
      <c r="P234" s="315"/>
      <c r="Q234" s="276">
        <f t="shared" si="6"/>
        <v>4050.10</v>
      </c>
      <c r="R234" s="275">
        <f>(SUMIFS('Dec 31 2018 OFFS'!$AG:$AG,'Dec 31 2018 OFFS'!$AI:$AI,'T1 2019 Pipeline Data Lagasco'!$A234,'Dec 31 2018 OFFS'!$U:$U,'T1 2019 Pipeline Data Lagasco'!$E234,'Dec 31 2018 OFFS'!$AK:$AK,'T1 2019 Pipeline Data Lagasco'!$Q234,'Dec 31 2018 OFFS'!$W:$W,'T1 2019 Pipeline Data Lagasco'!$G234))/(MAX(COUNTIFS('Dec 31 2018 OFFS'!$AI:$AI,'T1 2019 Pipeline Data Lagasco'!$A234,'Dec 31 2018 OFFS'!$U:$U,'T1 2019 Pipeline Data Lagasco'!$E234,'Dec 31 2018 OFFS'!$AK:$AK,'T1 2019 Pipeline Data Lagasco'!$Q234,'Dec 31 2018 OFFS'!$W:$W,'T1 2019 Pipeline Data Lagasco'!$G234),1))</f>
        <v>19108</v>
      </c>
      <c r="S234" s="275">
        <f t="shared" si="7"/>
        <v>0</v>
      </c>
    </row>
    <row r="235" spans="1:19" s="217" customFormat="1" ht="14.1" customHeight="1">
      <c r="A235" s="224" t="s">
        <v>1494</v>
      </c>
      <c r="B235" s="218" t="s">
        <v>1495</v>
      </c>
      <c r="C235" s="223">
        <v>1</v>
      </c>
      <c r="D235" s="218" t="s">
        <v>1488</v>
      </c>
      <c r="E235" s="240">
        <v>3</v>
      </c>
      <c r="F235" s="230">
        <v>2804.92</v>
      </c>
      <c r="G235" s="223">
        <v>1962</v>
      </c>
      <c r="H235" s="223">
        <v>1</v>
      </c>
      <c r="I235" s="223">
        <v>0</v>
      </c>
      <c r="J235" s="223"/>
      <c r="K235" s="228">
        <v>66168.0628</v>
      </c>
      <c r="L235" s="241">
        <v>80</v>
      </c>
      <c r="M235" s="229">
        <v>13233.61256</v>
      </c>
      <c r="N235" s="230">
        <v>23.59</v>
      </c>
      <c r="O235" s="231">
        <v>0</v>
      </c>
      <c r="P235" s="315"/>
      <c r="Q235" s="276">
        <f t="shared" si="6"/>
        <v>2804.92</v>
      </c>
      <c r="R235" s="275">
        <f>(SUMIFS('Dec 31 2018 OFFS'!$AG:$AG,'Dec 31 2018 OFFS'!$AI:$AI,'T1 2019 Pipeline Data Lagasco'!$A235,'Dec 31 2018 OFFS'!$U:$U,'T1 2019 Pipeline Data Lagasco'!$E235,'Dec 31 2018 OFFS'!$AK:$AK,'T1 2019 Pipeline Data Lagasco'!$Q235,'Dec 31 2018 OFFS'!$W:$W,'T1 2019 Pipeline Data Lagasco'!$G235))/(MAX(COUNTIFS('Dec 31 2018 OFFS'!$AI:$AI,'T1 2019 Pipeline Data Lagasco'!$A235,'Dec 31 2018 OFFS'!$U:$U,'T1 2019 Pipeline Data Lagasco'!$E235,'Dec 31 2018 OFFS'!$AK:$AK,'T1 2019 Pipeline Data Lagasco'!$Q235,'Dec 31 2018 OFFS'!$W:$W,'T1 2019 Pipeline Data Lagasco'!$G235),1))</f>
        <v>0</v>
      </c>
      <c r="S235" s="275">
        <f t="shared" si="7"/>
        <v>0</v>
      </c>
    </row>
    <row r="236" spans="1:19" s="217" customFormat="1" ht="14.1" customHeight="1">
      <c r="A236" s="224" t="s">
        <v>1494</v>
      </c>
      <c r="B236" s="218" t="s">
        <v>1495</v>
      </c>
      <c r="C236" s="223">
        <v>1</v>
      </c>
      <c r="D236" s="218" t="s">
        <v>1488</v>
      </c>
      <c r="E236" s="240">
        <v>3</v>
      </c>
      <c r="F236" s="226">
        <v>3750.3935919999999</v>
      </c>
      <c r="G236" s="223">
        <v>1977</v>
      </c>
      <c r="H236" s="223">
        <v>1</v>
      </c>
      <c r="I236" s="223">
        <v>1</v>
      </c>
      <c r="J236" s="223"/>
      <c r="K236" s="229">
        <v>88471.784839999993</v>
      </c>
      <c r="L236" s="241">
        <v>80</v>
      </c>
      <c r="M236" s="229">
        <v>17694.356970000001</v>
      </c>
      <c r="N236" s="230">
        <v>23.59</v>
      </c>
      <c r="O236" s="231">
        <v>17694</v>
      </c>
      <c r="P236" s="315"/>
      <c r="Q236" s="276">
        <f t="shared" si="6"/>
        <v>3750.39</v>
      </c>
      <c r="R236" s="275">
        <f>(SUMIFS('Dec 31 2018 OFFS'!$AG:$AG,'Dec 31 2018 OFFS'!$AI:$AI,'T1 2019 Pipeline Data Lagasco'!$A236,'Dec 31 2018 OFFS'!$U:$U,'T1 2019 Pipeline Data Lagasco'!$E236,'Dec 31 2018 OFFS'!$AK:$AK,'T1 2019 Pipeline Data Lagasco'!$Q236,'Dec 31 2018 OFFS'!$W:$W,'T1 2019 Pipeline Data Lagasco'!$G236))/(MAX(COUNTIFS('Dec 31 2018 OFFS'!$AI:$AI,'T1 2019 Pipeline Data Lagasco'!$A236,'Dec 31 2018 OFFS'!$U:$U,'T1 2019 Pipeline Data Lagasco'!$E236,'Dec 31 2018 OFFS'!$AK:$AK,'T1 2019 Pipeline Data Lagasco'!$Q236,'Dec 31 2018 OFFS'!$W:$W,'T1 2019 Pipeline Data Lagasco'!$G236),1))</f>
        <v>17694</v>
      </c>
      <c r="S236" s="275">
        <f t="shared" si="7"/>
        <v>0</v>
      </c>
    </row>
    <row r="237" spans="1:19" s="217" customFormat="1" ht="14.1" customHeight="1">
      <c r="A237" s="224" t="s">
        <v>1494</v>
      </c>
      <c r="B237" s="218" t="s">
        <v>1495</v>
      </c>
      <c r="C237" s="223">
        <v>1</v>
      </c>
      <c r="D237" s="218" t="s">
        <v>1488</v>
      </c>
      <c r="E237" s="240">
        <v>3</v>
      </c>
      <c r="F237" s="226">
        <v>4319.389639</v>
      </c>
      <c r="G237" s="223">
        <v>1982</v>
      </c>
      <c r="H237" s="223">
        <v>1</v>
      </c>
      <c r="I237" s="223">
        <v>1</v>
      </c>
      <c r="J237" s="223"/>
      <c r="K237" s="228">
        <v>101894.4016</v>
      </c>
      <c r="L237" s="241">
        <v>80</v>
      </c>
      <c r="M237" s="229">
        <v>20378.88032</v>
      </c>
      <c r="N237" s="230">
        <v>23.59</v>
      </c>
      <c r="O237" s="231">
        <v>20378</v>
      </c>
      <c r="P237" s="315"/>
      <c r="Q237" s="276">
        <f t="shared" si="6"/>
        <v>4319.3900000000003</v>
      </c>
      <c r="R237" s="275">
        <f>(SUMIFS('Dec 31 2018 OFFS'!$AG:$AG,'Dec 31 2018 OFFS'!$AI:$AI,'T1 2019 Pipeline Data Lagasco'!$A237,'Dec 31 2018 OFFS'!$U:$U,'T1 2019 Pipeline Data Lagasco'!$E237,'Dec 31 2018 OFFS'!$AK:$AK,'T1 2019 Pipeline Data Lagasco'!$Q237,'Dec 31 2018 OFFS'!$W:$W,'T1 2019 Pipeline Data Lagasco'!$G237))/(MAX(COUNTIFS('Dec 31 2018 OFFS'!$AI:$AI,'T1 2019 Pipeline Data Lagasco'!$A237,'Dec 31 2018 OFFS'!$U:$U,'T1 2019 Pipeline Data Lagasco'!$E237,'Dec 31 2018 OFFS'!$AK:$AK,'T1 2019 Pipeline Data Lagasco'!$Q237,'Dec 31 2018 OFFS'!$W:$W,'T1 2019 Pipeline Data Lagasco'!$G237),1))</f>
        <v>20378</v>
      </c>
      <c r="S237" s="275">
        <f t="shared" si="7"/>
        <v>0</v>
      </c>
    </row>
    <row r="238" spans="1:19" s="217" customFormat="1" ht="14.1" customHeight="1">
      <c r="A238" s="224" t="s">
        <v>1494</v>
      </c>
      <c r="B238" s="218" t="s">
        <v>1495</v>
      </c>
      <c r="C238" s="223">
        <v>1</v>
      </c>
      <c r="D238" s="218" t="s">
        <v>1488</v>
      </c>
      <c r="E238" s="240">
        <v>3</v>
      </c>
      <c r="F238" s="226">
        <v>1357.9395930000001</v>
      </c>
      <c r="G238" s="223">
        <v>1980</v>
      </c>
      <c r="H238" s="223">
        <v>1</v>
      </c>
      <c r="I238" s="223">
        <v>1</v>
      </c>
      <c r="J238" s="223"/>
      <c r="K238" s="239">
        <v>32033.794999999998</v>
      </c>
      <c r="L238" s="241">
        <v>80</v>
      </c>
      <c r="M238" s="233">
        <v>6406.7590010000004</v>
      </c>
      <c r="N238" s="230">
        <v>23.59</v>
      </c>
      <c r="O238" s="231">
        <v>6406</v>
      </c>
      <c r="P238" s="315"/>
      <c r="Q238" s="276">
        <f t="shared" si="6"/>
        <v>1357.94</v>
      </c>
      <c r="R238" s="275">
        <f>(SUMIFS('Dec 31 2018 OFFS'!$AG:$AG,'Dec 31 2018 OFFS'!$AI:$AI,'T1 2019 Pipeline Data Lagasco'!$A238,'Dec 31 2018 OFFS'!$U:$U,'T1 2019 Pipeline Data Lagasco'!$E238,'Dec 31 2018 OFFS'!$AK:$AK,'T1 2019 Pipeline Data Lagasco'!$Q238,'Dec 31 2018 OFFS'!$W:$W,'T1 2019 Pipeline Data Lagasco'!$G238))/(MAX(COUNTIFS('Dec 31 2018 OFFS'!$AI:$AI,'T1 2019 Pipeline Data Lagasco'!$A238,'Dec 31 2018 OFFS'!$U:$U,'T1 2019 Pipeline Data Lagasco'!$E238,'Dec 31 2018 OFFS'!$AK:$AK,'T1 2019 Pipeline Data Lagasco'!$Q238,'Dec 31 2018 OFFS'!$W:$W,'T1 2019 Pipeline Data Lagasco'!$G238),1))</f>
        <v>6406</v>
      </c>
      <c r="S238" s="275">
        <f t="shared" si="7"/>
        <v>0</v>
      </c>
    </row>
    <row r="239" spans="1:19" s="217" customFormat="1" ht="14.1" customHeight="1">
      <c r="A239" s="224" t="s">
        <v>1494</v>
      </c>
      <c r="B239" s="218" t="s">
        <v>1495</v>
      </c>
      <c r="C239" s="223">
        <v>1</v>
      </c>
      <c r="D239" s="218" t="s">
        <v>1488</v>
      </c>
      <c r="E239" s="240">
        <v>3</v>
      </c>
      <c r="F239" s="226">
        <v>1275.9842149999999</v>
      </c>
      <c r="G239" s="223">
        <v>1980</v>
      </c>
      <c r="H239" s="223">
        <v>1</v>
      </c>
      <c r="I239" s="223">
        <v>1</v>
      </c>
      <c r="J239" s="223"/>
      <c r="K239" s="229">
        <v>30100.467629999999</v>
      </c>
      <c r="L239" s="241">
        <v>80</v>
      </c>
      <c r="M239" s="233">
        <v>6020.0935259999997</v>
      </c>
      <c r="N239" s="230">
        <v>23.59</v>
      </c>
      <c r="O239" s="231">
        <v>6020</v>
      </c>
      <c r="P239" s="315"/>
      <c r="Q239" s="276">
        <f t="shared" si="6"/>
        <v>1275.98</v>
      </c>
      <c r="R239" s="275">
        <f>(SUMIFS('Dec 31 2018 OFFS'!$AG:$AG,'Dec 31 2018 OFFS'!$AI:$AI,'T1 2019 Pipeline Data Lagasco'!$A239,'Dec 31 2018 OFFS'!$U:$U,'T1 2019 Pipeline Data Lagasco'!$E239,'Dec 31 2018 OFFS'!$AK:$AK,'T1 2019 Pipeline Data Lagasco'!$Q239,'Dec 31 2018 OFFS'!$W:$W,'T1 2019 Pipeline Data Lagasco'!$G239))/(MAX(COUNTIFS('Dec 31 2018 OFFS'!$AI:$AI,'T1 2019 Pipeline Data Lagasco'!$A239,'Dec 31 2018 OFFS'!$U:$U,'T1 2019 Pipeline Data Lagasco'!$E239,'Dec 31 2018 OFFS'!$AK:$AK,'T1 2019 Pipeline Data Lagasco'!$Q239,'Dec 31 2018 OFFS'!$W:$W,'T1 2019 Pipeline Data Lagasco'!$G239),1))</f>
        <v>6020</v>
      </c>
      <c r="S239" s="275">
        <f t="shared" si="7"/>
        <v>0</v>
      </c>
    </row>
    <row r="240" spans="1:19" s="217" customFormat="1" ht="14.1" customHeight="1">
      <c r="A240" s="224" t="s">
        <v>1494</v>
      </c>
      <c r="B240" s="218" t="s">
        <v>1495</v>
      </c>
      <c r="C240" s="223">
        <v>1</v>
      </c>
      <c r="D240" s="218" t="s">
        <v>1488</v>
      </c>
      <c r="E240" s="240">
        <v>3</v>
      </c>
      <c r="F240" s="226">
        <v>1042.3228039999999</v>
      </c>
      <c r="G240" s="223">
        <v>1985</v>
      </c>
      <c r="H240" s="223">
        <v>1</v>
      </c>
      <c r="I240" s="223">
        <v>1</v>
      </c>
      <c r="J240" s="223"/>
      <c r="K240" s="229">
        <v>24588.394960000001</v>
      </c>
      <c r="L240" s="241">
        <v>80</v>
      </c>
      <c r="M240" s="233">
        <v>4917.6789909999998</v>
      </c>
      <c r="N240" s="230">
        <v>23.59</v>
      </c>
      <c r="O240" s="231">
        <v>4917</v>
      </c>
      <c r="P240" s="315"/>
      <c r="Q240" s="276">
        <f t="shared" si="6"/>
        <v>1042.32</v>
      </c>
      <c r="R240" s="275">
        <f>(SUMIFS('Dec 31 2018 OFFS'!$AG:$AG,'Dec 31 2018 OFFS'!$AI:$AI,'T1 2019 Pipeline Data Lagasco'!$A240,'Dec 31 2018 OFFS'!$U:$U,'T1 2019 Pipeline Data Lagasco'!$E240,'Dec 31 2018 OFFS'!$AK:$AK,'T1 2019 Pipeline Data Lagasco'!$Q240,'Dec 31 2018 OFFS'!$W:$W,'T1 2019 Pipeline Data Lagasco'!$G240))/(MAX(COUNTIFS('Dec 31 2018 OFFS'!$AI:$AI,'T1 2019 Pipeline Data Lagasco'!$A240,'Dec 31 2018 OFFS'!$U:$U,'T1 2019 Pipeline Data Lagasco'!$E240,'Dec 31 2018 OFFS'!$AK:$AK,'T1 2019 Pipeline Data Lagasco'!$Q240,'Dec 31 2018 OFFS'!$W:$W,'T1 2019 Pipeline Data Lagasco'!$G240),1))</f>
        <v>4917</v>
      </c>
      <c r="S240" s="275">
        <f t="shared" si="7"/>
        <v>0</v>
      </c>
    </row>
    <row r="241" spans="1:19" s="217" customFormat="1" ht="14.1" customHeight="1">
      <c r="A241" s="224" t="s">
        <v>1494</v>
      </c>
      <c r="B241" s="218" t="s">
        <v>1495</v>
      </c>
      <c r="C241" s="223">
        <v>1</v>
      </c>
      <c r="D241" s="218" t="s">
        <v>1488</v>
      </c>
      <c r="E241" s="240">
        <v>3</v>
      </c>
      <c r="F241" s="236">
        <v>4486.4828100000004</v>
      </c>
      <c r="G241" s="223">
        <v>1985</v>
      </c>
      <c r="H241" s="223">
        <v>1</v>
      </c>
      <c r="I241" s="223">
        <v>1</v>
      </c>
      <c r="J241" s="223"/>
      <c r="K241" s="228">
        <v>105836.1295</v>
      </c>
      <c r="L241" s="241">
        <v>80</v>
      </c>
      <c r="M241" s="228">
        <v>21167.225900000001</v>
      </c>
      <c r="N241" s="230">
        <v>23.59</v>
      </c>
      <c r="O241" s="231">
        <v>21167</v>
      </c>
      <c r="P241" s="315"/>
      <c r="Q241" s="276">
        <f t="shared" si="6"/>
        <v>4486.4799999999996</v>
      </c>
      <c r="R241" s="275">
        <f>(SUMIFS('Dec 31 2018 OFFS'!$AG:$AG,'Dec 31 2018 OFFS'!$AI:$AI,'T1 2019 Pipeline Data Lagasco'!$A241,'Dec 31 2018 OFFS'!$U:$U,'T1 2019 Pipeline Data Lagasco'!$E241,'Dec 31 2018 OFFS'!$AK:$AK,'T1 2019 Pipeline Data Lagasco'!$Q241,'Dec 31 2018 OFFS'!$W:$W,'T1 2019 Pipeline Data Lagasco'!$G241))/(MAX(COUNTIFS('Dec 31 2018 OFFS'!$AI:$AI,'T1 2019 Pipeline Data Lagasco'!$A241,'Dec 31 2018 OFFS'!$U:$U,'T1 2019 Pipeline Data Lagasco'!$E241,'Dec 31 2018 OFFS'!$AK:$AK,'T1 2019 Pipeline Data Lagasco'!$Q241,'Dec 31 2018 OFFS'!$W:$W,'T1 2019 Pipeline Data Lagasco'!$G241),1))</f>
        <v>21167</v>
      </c>
      <c r="S241" s="275">
        <f t="shared" si="7"/>
        <v>0</v>
      </c>
    </row>
    <row r="242" spans="1:19" s="217" customFormat="1" ht="14.1" customHeight="1">
      <c r="A242" s="224" t="s">
        <v>1494</v>
      </c>
      <c r="B242" s="218" t="s">
        <v>1495</v>
      </c>
      <c r="C242" s="223">
        <v>1</v>
      </c>
      <c r="D242" s="218" t="s">
        <v>1488</v>
      </c>
      <c r="E242" s="240">
        <v>3</v>
      </c>
      <c r="F242" s="236">
        <v>5158.8253100000002</v>
      </c>
      <c r="G242" s="223">
        <v>1983</v>
      </c>
      <c r="H242" s="223">
        <v>1</v>
      </c>
      <c r="I242" s="223">
        <v>1</v>
      </c>
      <c r="J242" s="223"/>
      <c r="K242" s="228">
        <v>121696.6891</v>
      </c>
      <c r="L242" s="241">
        <v>80</v>
      </c>
      <c r="M242" s="229">
        <v>24339.337810000001</v>
      </c>
      <c r="N242" s="230">
        <v>23.59</v>
      </c>
      <c r="O242" s="231">
        <v>24339</v>
      </c>
      <c r="P242" s="315"/>
      <c r="Q242" s="276">
        <f t="shared" si="6"/>
        <v>5158.83</v>
      </c>
      <c r="R242" s="275">
        <f>(SUMIFS('Dec 31 2018 OFFS'!$AG:$AG,'Dec 31 2018 OFFS'!$AI:$AI,'T1 2019 Pipeline Data Lagasco'!$A242,'Dec 31 2018 OFFS'!$U:$U,'T1 2019 Pipeline Data Lagasco'!$E242,'Dec 31 2018 OFFS'!$AK:$AK,'T1 2019 Pipeline Data Lagasco'!$Q242,'Dec 31 2018 OFFS'!$W:$W,'T1 2019 Pipeline Data Lagasco'!$G242))/(MAX(COUNTIFS('Dec 31 2018 OFFS'!$AI:$AI,'T1 2019 Pipeline Data Lagasco'!$A242,'Dec 31 2018 OFFS'!$U:$U,'T1 2019 Pipeline Data Lagasco'!$E242,'Dec 31 2018 OFFS'!$AK:$AK,'T1 2019 Pipeline Data Lagasco'!$Q242,'Dec 31 2018 OFFS'!$W:$W,'T1 2019 Pipeline Data Lagasco'!$G242),1))</f>
        <v>24339</v>
      </c>
      <c r="S242" s="275">
        <f t="shared" si="7"/>
        <v>0</v>
      </c>
    </row>
    <row r="243" spans="1:19" s="217" customFormat="1" ht="14.1" customHeight="1">
      <c r="A243" s="224" t="s">
        <v>1494</v>
      </c>
      <c r="B243" s="218" t="s">
        <v>1495</v>
      </c>
      <c r="C243" s="223">
        <v>1</v>
      </c>
      <c r="D243" s="218" t="s">
        <v>1488</v>
      </c>
      <c r="E243" s="240">
        <v>3</v>
      </c>
      <c r="F243" s="226">
        <v>1064.1403889999999</v>
      </c>
      <c r="G243" s="223">
        <v>1985</v>
      </c>
      <c r="H243" s="223">
        <v>1</v>
      </c>
      <c r="I243" s="223">
        <v>1</v>
      </c>
      <c r="J243" s="223"/>
      <c r="K243" s="229">
        <v>25103.071779999998</v>
      </c>
      <c r="L243" s="241">
        <v>80</v>
      </c>
      <c r="M243" s="233">
        <v>5020.614356</v>
      </c>
      <c r="N243" s="230">
        <v>23.59</v>
      </c>
      <c r="O243" s="231">
        <v>5020</v>
      </c>
      <c r="P243" s="315"/>
      <c r="Q243" s="276">
        <f t="shared" si="6"/>
        <v>1064.1400000000001</v>
      </c>
      <c r="R243" s="275">
        <f>(SUMIFS('Dec 31 2018 OFFS'!$AG:$AG,'Dec 31 2018 OFFS'!$AI:$AI,'T1 2019 Pipeline Data Lagasco'!$A243,'Dec 31 2018 OFFS'!$U:$U,'T1 2019 Pipeline Data Lagasco'!$E243,'Dec 31 2018 OFFS'!$AK:$AK,'T1 2019 Pipeline Data Lagasco'!$Q243,'Dec 31 2018 OFFS'!$W:$W,'T1 2019 Pipeline Data Lagasco'!$G243))/(MAX(COUNTIFS('Dec 31 2018 OFFS'!$AI:$AI,'T1 2019 Pipeline Data Lagasco'!$A243,'Dec 31 2018 OFFS'!$U:$U,'T1 2019 Pipeline Data Lagasco'!$E243,'Dec 31 2018 OFFS'!$AK:$AK,'T1 2019 Pipeline Data Lagasco'!$Q243,'Dec 31 2018 OFFS'!$W:$W,'T1 2019 Pipeline Data Lagasco'!$G243),1))</f>
        <v>5020</v>
      </c>
      <c r="S243" s="275">
        <f t="shared" si="7"/>
        <v>0</v>
      </c>
    </row>
    <row r="244" spans="1:19" s="217" customFormat="1" ht="14.1" customHeight="1">
      <c r="A244" s="224" t="s">
        <v>1494</v>
      </c>
      <c r="B244" s="218" t="s">
        <v>1495</v>
      </c>
      <c r="C244" s="223">
        <v>1</v>
      </c>
      <c r="D244" s="218" t="s">
        <v>1488</v>
      </c>
      <c r="E244" s="240">
        <v>3</v>
      </c>
      <c r="F244" s="223">
        <v>4105</v>
      </c>
      <c r="G244" s="223">
        <v>2004</v>
      </c>
      <c r="H244" s="223">
        <v>1</v>
      </c>
      <c r="I244" s="223">
        <v>1</v>
      </c>
      <c r="J244" s="223"/>
      <c r="K244" s="238">
        <v>96836.95</v>
      </c>
      <c r="L244" s="241">
        <v>56</v>
      </c>
      <c r="M244" s="239">
        <v>42608.258000000002</v>
      </c>
      <c r="N244" s="230">
        <v>23.59</v>
      </c>
      <c r="O244" s="231">
        <v>42608</v>
      </c>
      <c r="P244" s="315"/>
      <c r="Q244" s="276">
        <f t="shared" si="6"/>
        <v>4105</v>
      </c>
      <c r="R244" s="275">
        <f>(SUMIFS('Dec 31 2018 OFFS'!$AG:$AG,'Dec 31 2018 OFFS'!$AI:$AI,'T1 2019 Pipeline Data Lagasco'!$A244,'Dec 31 2018 OFFS'!$U:$U,'T1 2019 Pipeline Data Lagasco'!$E244,'Dec 31 2018 OFFS'!$AK:$AK,'T1 2019 Pipeline Data Lagasco'!$Q244,'Dec 31 2018 OFFS'!$W:$W,'T1 2019 Pipeline Data Lagasco'!$G244))/(MAX(COUNTIFS('Dec 31 2018 OFFS'!$AI:$AI,'T1 2019 Pipeline Data Lagasco'!$A244,'Dec 31 2018 OFFS'!$U:$U,'T1 2019 Pipeline Data Lagasco'!$E244,'Dec 31 2018 OFFS'!$AK:$AK,'T1 2019 Pipeline Data Lagasco'!$Q244,'Dec 31 2018 OFFS'!$W:$W,'T1 2019 Pipeline Data Lagasco'!$G244),1))</f>
        <v>42608</v>
      </c>
      <c r="S244" s="275">
        <f t="shared" si="7"/>
        <v>0</v>
      </c>
    </row>
    <row r="245" spans="1:19" s="217" customFormat="1" ht="14.1" customHeight="1">
      <c r="A245" s="224" t="s">
        <v>1494</v>
      </c>
      <c r="B245" s="218" t="s">
        <v>1495</v>
      </c>
      <c r="C245" s="223">
        <v>1</v>
      </c>
      <c r="D245" s="218" t="s">
        <v>1488</v>
      </c>
      <c r="E245" s="240">
        <v>3</v>
      </c>
      <c r="F245" s="223">
        <v>6658</v>
      </c>
      <c r="G245" s="223">
        <v>2005</v>
      </c>
      <c r="H245" s="223">
        <v>1</v>
      </c>
      <c r="I245" s="223">
        <v>1</v>
      </c>
      <c r="J245" s="223"/>
      <c r="K245" s="238">
        <v>157062.22</v>
      </c>
      <c r="L245" s="241">
        <v>54</v>
      </c>
      <c r="M245" s="228">
        <v>72248.621199999994</v>
      </c>
      <c r="N245" s="230">
        <v>23.59</v>
      </c>
      <c r="O245" s="231">
        <v>72248</v>
      </c>
      <c r="P245" s="315"/>
      <c r="Q245" s="276">
        <f t="shared" si="6"/>
        <v>6658</v>
      </c>
      <c r="R245" s="275">
        <f>(SUMIFS('Dec 31 2018 OFFS'!$AG:$AG,'Dec 31 2018 OFFS'!$AI:$AI,'T1 2019 Pipeline Data Lagasco'!$A245,'Dec 31 2018 OFFS'!$U:$U,'T1 2019 Pipeline Data Lagasco'!$E245,'Dec 31 2018 OFFS'!$AK:$AK,'T1 2019 Pipeline Data Lagasco'!$Q245,'Dec 31 2018 OFFS'!$W:$W,'T1 2019 Pipeline Data Lagasco'!$G245))/(MAX(COUNTIFS('Dec 31 2018 OFFS'!$AI:$AI,'T1 2019 Pipeline Data Lagasco'!$A245,'Dec 31 2018 OFFS'!$U:$U,'T1 2019 Pipeline Data Lagasco'!$E245,'Dec 31 2018 OFFS'!$AK:$AK,'T1 2019 Pipeline Data Lagasco'!$Q245,'Dec 31 2018 OFFS'!$W:$W,'T1 2019 Pipeline Data Lagasco'!$G245),1))</f>
        <v>72248</v>
      </c>
      <c r="S245" s="275">
        <f t="shared" si="7"/>
        <v>0</v>
      </c>
    </row>
    <row r="246" spans="1:19" s="217" customFormat="1" ht="14.1" customHeight="1">
      <c r="A246" s="224" t="s">
        <v>1494</v>
      </c>
      <c r="B246" s="218" t="s">
        <v>1495</v>
      </c>
      <c r="C246" s="223">
        <v>1</v>
      </c>
      <c r="D246" s="218" t="s">
        <v>1488</v>
      </c>
      <c r="E246" s="240">
        <v>3</v>
      </c>
      <c r="F246" s="223">
        <v>4630</v>
      </c>
      <c r="G246" s="223">
        <v>1986</v>
      </c>
      <c r="H246" s="223">
        <v>1</v>
      </c>
      <c r="I246" s="223">
        <v>0</v>
      </c>
      <c r="J246" s="223"/>
      <c r="K246" s="237">
        <v>109221.70</v>
      </c>
      <c r="L246" s="241">
        <v>79</v>
      </c>
      <c r="M246" s="239">
        <v>22936.557000000001</v>
      </c>
      <c r="N246" s="230">
        <v>23.59</v>
      </c>
      <c r="O246" s="231">
        <v>0</v>
      </c>
      <c r="P246" s="315"/>
      <c r="Q246" s="276">
        <f t="shared" si="6"/>
        <v>4630</v>
      </c>
      <c r="R246" s="275">
        <f>(SUMIFS('Dec 31 2018 OFFS'!$AG:$AG,'Dec 31 2018 OFFS'!$AI:$AI,'T1 2019 Pipeline Data Lagasco'!$A246,'Dec 31 2018 OFFS'!$U:$U,'T1 2019 Pipeline Data Lagasco'!$E246,'Dec 31 2018 OFFS'!$AK:$AK,'T1 2019 Pipeline Data Lagasco'!$Q246,'Dec 31 2018 OFFS'!$W:$W,'T1 2019 Pipeline Data Lagasco'!$G246))/(MAX(COUNTIFS('Dec 31 2018 OFFS'!$AI:$AI,'T1 2019 Pipeline Data Lagasco'!$A246,'Dec 31 2018 OFFS'!$U:$U,'T1 2019 Pipeline Data Lagasco'!$E246,'Dec 31 2018 OFFS'!$AK:$AK,'T1 2019 Pipeline Data Lagasco'!$Q246,'Dec 31 2018 OFFS'!$W:$W,'T1 2019 Pipeline Data Lagasco'!$G246),1))</f>
        <v>0</v>
      </c>
      <c r="S246" s="275">
        <f t="shared" si="7"/>
        <v>0</v>
      </c>
    </row>
    <row r="247" spans="1:19" s="217" customFormat="1" ht="14.1" customHeight="1">
      <c r="A247" s="224" t="s">
        <v>1494</v>
      </c>
      <c r="B247" s="218" t="s">
        <v>1495</v>
      </c>
      <c r="C247" s="223">
        <v>1</v>
      </c>
      <c r="D247" s="218" t="s">
        <v>1488</v>
      </c>
      <c r="E247" s="240">
        <v>3</v>
      </c>
      <c r="F247" s="226">
        <v>5650.9184720000003</v>
      </c>
      <c r="G247" s="223">
        <v>1983</v>
      </c>
      <c r="H247" s="223">
        <v>1</v>
      </c>
      <c r="I247" s="223">
        <v>1</v>
      </c>
      <c r="J247" s="223"/>
      <c r="K247" s="228">
        <v>133305.1667</v>
      </c>
      <c r="L247" s="241">
        <v>80</v>
      </c>
      <c r="M247" s="229">
        <v>26661.033350000002</v>
      </c>
      <c r="N247" s="230">
        <v>23.59</v>
      </c>
      <c r="O247" s="231">
        <v>26661</v>
      </c>
      <c r="P247" s="315"/>
      <c r="Q247" s="276">
        <f t="shared" si="6"/>
        <v>5650.92</v>
      </c>
      <c r="R247" s="275">
        <f>(SUMIFS('Dec 31 2018 OFFS'!$AG:$AG,'Dec 31 2018 OFFS'!$AI:$AI,'T1 2019 Pipeline Data Lagasco'!$A247,'Dec 31 2018 OFFS'!$U:$U,'T1 2019 Pipeline Data Lagasco'!$E247,'Dec 31 2018 OFFS'!$AK:$AK,'T1 2019 Pipeline Data Lagasco'!$Q247,'Dec 31 2018 OFFS'!$W:$W,'T1 2019 Pipeline Data Lagasco'!$G247))/(MAX(COUNTIFS('Dec 31 2018 OFFS'!$AI:$AI,'T1 2019 Pipeline Data Lagasco'!$A247,'Dec 31 2018 OFFS'!$U:$U,'T1 2019 Pipeline Data Lagasco'!$E247,'Dec 31 2018 OFFS'!$AK:$AK,'T1 2019 Pipeline Data Lagasco'!$Q247,'Dec 31 2018 OFFS'!$W:$W,'T1 2019 Pipeline Data Lagasco'!$G247),1))</f>
        <v>26661</v>
      </c>
      <c r="S247" s="275">
        <f t="shared" si="7"/>
        <v>0</v>
      </c>
    </row>
    <row r="248" spans="1:19" s="217" customFormat="1" ht="14.1" customHeight="1">
      <c r="A248" s="224" t="s">
        <v>1494</v>
      </c>
      <c r="B248" s="218" t="s">
        <v>1495</v>
      </c>
      <c r="C248" s="223">
        <v>1</v>
      </c>
      <c r="D248" s="218" t="s">
        <v>1488</v>
      </c>
      <c r="E248" s="240">
        <v>3</v>
      </c>
      <c r="F248" s="223">
        <v>6430</v>
      </c>
      <c r="G248" s="223">
        <v>2002</v>
      </c>
      <c r="H248" s="223">
        <v>1</v>
      </c>
      <c r="I248" s="223">
        <v>1</v>
      </c>
      <c r="J248" s="223"/>
      <c r="K248" s="237">
        <v>151683.70000000001</v>
      </c>
      <c r="L248" s="241">
        <v>57</v>
      </c>
      <c r="M248" s="239">
        <v>65223.991000000002</v>
      </c>
      <c r="N248" s="230">
        <v>23.59</v>
      </c>
      <c r="O248" s="231">
        <v>65223</v>
      </c>
      <c r="P248" s="315"/>
      <c r="Q248" s="276">
        <f t="shared" si="6"/>
        <v>6430</v>
      </c>
      <c r="R248" s="275">
        <f>(SUMIFS('Dec 31 2018 OFFS'!$AG:$AG,'Dec 31 2018 OFFS'!$AI:$AI,'T1 2019 Pipeline Data Lagasco'!$A248,'Dec 31 2018 OFFS'!$U:$U,'T1 2019 Pipeline Data Lagasco'!$E248,'Dec 31 2018 OFFS'!$AK:$AK,'T1 2019 Pipeline Data Lagasco'!$Q248,'Dec 31 2018 OFFS'!$W:$W,'T1 2019 Pipeline Data Lagasco'!$G248))/(MAX(COUNTIFS('Dec 31 2018 OFFS'!$AI:$AI,'T1 2019 Pipeline Data Lagasco'!$A248,'Dec 31 2018 OFFS'!$U:$U,'T1 2019 Pipeline Data Lagasco'!$E248,'Dec 31 2018 OFFS'!$AK:$AK,'T1 2019 Pipeline Data Lagasco'!$Q248,'Dec 31 2018 OFFS'!$W:$W,'T1 2019 Pipeline Data Lagasco'!$G248),1))</f>
        <v>65223</v>
      </c>
      <c r="S248" s="275">
        <f t="shared" si="7"/>
        <v>0</v>
      </c>
    </row>
    <row r="249" spans="1:19" s="217" customFormat="1" ht="14.1" customHeight="1">
      <c r="A249" s="224" t="s">
        <v>1494</v>
      </c>
      <c r="B249" s="218" t="s">
        <v>1495</v>
      </c>
      <c r="C249" s="223">
        <v>1</v>
      </c>
      <c r="D249" s="218" t="s">
        <v>1488</v>
      </c>
      <c r="E249" s="240">
        <v>3</v>
      </c>
      <c r="F249" s="226">
        <v>4662.9263739999997</v>
      </c>
      <c r="G249" s="223">
        <v>1983</v>
      </c>
      <c r="H249" s="223">
        <v>1</v>
      </c>
      <c r="I249" s="223">
        <v>1</v>
      </c>
      <c r="J249" s="223"/>
      <c r="K249" s="228">
        <v>109998.4332</v>
      </c>
      <c r="L249" s="241">
        <v>80</v>
      </c>
      <c r="M249" s="229">
        <v>21999.68663</v>
      </c>
      <c r="N249" s="230">
        <v>23.59</v>
      </c>
      <c r="O249" s="231">
        <v>21999</v>
      </c>
      <c r="P249" s="315"/>
      <c r="Q249" s="276">
        <f t="shared" si="8" ref="Q249:Q312">ROUND(F249,2)</f>
        <v>4662.93</v>
      </c>
      <c r="R249" s="275">
        <f>(SUMIFS('Dec 31 2018 OFFS'!$AG:$AG,'Dec 31 2018 OFFS'!$AI:$AI,'T1 2019 Pipeline Data Lagasco'!$A249,'Dec 31 2018 OFFS'!$U:$U,'T1 2019 Pipeline Data Lagasco'!$E249,'Dec 31 2018 OFFS'!$AK:$AK,'T1 2019 Pipeline Data Lagasco'!$Q249,'Dec 31 2018 OFFS'!$W:$W,'T1 2019 Pipeline Data Lagasco'!$G249))/(MAX(COUNTIFS('Dec 31 2018 OFFS'!$AI:$AI,'T1 2019 Pipeline Data Lagasco'!$A249,'Dec 31 2018 OFFS'!$U:$U,'T1 2019 Pipeline Data Lagasco'!$E249,'Dec 31 2018 OFFS'!$AK:$AK,'T1 2019 Pipeline Data Lagasco'!$Q249,'Dec 31 2018 OFFS'!$W:$W,'T1 2019 Pipeline Data Lagasco'!$G249),1))</f>
        <v>21999</v>
      </c>
      <c r="S249" s="275">
        <f t="shared" si="9" ref="S249:S312">O249-R249</f>
        <v>0</v>
      </c>
    </row>
    <row r="250" spans="1:19" s="217" customFormat="1" ht="14.1" customHeight="1">
      <c r="A250" s="224" t="s">
        <v>1494</v>
      </c>
      <c r="B250" s="218" t="s">
        <v>1495</v>
      </c>
      <c r="C250" s="223">
        <v>1</v>
      </c>
      <c r="D250" s="218" t="s">
        <v>1488</v>
      </c>
      <c r="E250" s="240">
        <v>3</v>
      </c>
      <c r="F250" s="226">
        <v>3771.8174760000002</v>
      </c>
      <c r="G250" s="223">
        <v>1994</v>
      </c>
      <c r="H250" s="223">
        <v>1</v>
      </c>
      <c r="I250" s="223">
        <v>1</v>
      </c>
      <c r="J250" s="223"/>
      <c r="K250" s="229">
        <v>88977.17426</v>
      </c>
      <c r="L250" s="241">
        <v>68</v>
      </c>
      <c r="M250" s="229">
        <v>28472.695759999999</v>
      </c>
      <c r="N250" s="230">
        <v>23.59</v>
      </c>
      <c r="O250" s="231">
        <v>28472</v>
      </c>
      <c r="P250" s="315"/>
      <c r="Q250" s="276">
        <f t="shared" si="8"/>
        <v>3771.82</v>
      </c>
      <c r="R250" s="275">
        <f>(SUMIFS('Dec 31 2018 OFFS'!$AG:$AG,'Dec 31 2018 OFFS'!$AI:$AI,'T1 2019 Pipeline Data Lagasco'!$A250,'Dec 31 2018 OFFS'!$U:$U,'T1 2019 Pipeline Data Lagasco'!$E250,'Dec 31 2018 OFFS'!$AK:$AK,'T1 2019 Pipeline Data Lagasco'!$Q250,'Dec 31 2018 OFFS'!$W:$W,'T1 2019 Pipeline Data Lagasco'!$G250))/(MAX(COUNTIFS('Dec 31 2018 OFFS'!$AI:$AI,'T1 2019 Pipeline Data Lagasco'!$A250,'Dec 31 2018 OFFS'!$U:$U,'T1 2019 Pipeline Data Lagasco'!$E250,'Dec 31 2018 OFFS'!$AK:$AK,'T1 2019 Pipeline Data Lagasco'!$Q250,'Dec 31 2018 OFFS'!$W:$W,'T1 2019 Pipeline Data Lagasco'!$G250),1))</f>
        <v>28472</v>
      </c>
      <c r="S250" s="275">
        <f t="shared" si="9"/>
        <v>0</v>
      </c>
    </row>
    <row r="251" spans="1:19" s="217" customFormat="1" ht="14.1" customHeight="1">
      <c r="A251" s="224" t="s">
        <v>1494</v>
      </c>
      <c r="B251" s="218" t="s">
        <v>1495</v>
      </c>
      <c r="C251" s="223">
        <v>1</v>
      </c>
      <c r="D251" s="218" t="s">
        <v>1488</v>
      </c>
      <c r="E251" s="240">
        <v>3</v>
      </c>
      <c r="F251" s="232">
        <v>758.69420379999997</v>
      </c>
      <c r="G251" s="223">
        <v>1981</v>
      </c>
      <c r="H251" s="223">
        <v>1</v>
      </c>
      <c r="I251" s="223">
        <v>1</v>
      </c>
      <c r="J251" s="223"/>
      <c r="K251" s="229">
        <v>17897.596269999998</v>
      </c>
      <c r="L251" s="241">
        <v>80</v>
      </c>
      <c r="M251" s="233">
        <v>3579.5192529999999</v>
      </c>
      <c r="N251" s="230">
        <v>23.59</v>
      </c>
      <c r="O251" s="231">
        <v>3579</v>
      </c>
      <c r="P251" s="315"/>
      <c r="Q251" s="276">
        <f t="shared" si="8"/>
        <v>758.69</v>
      </c>
      <c r="R251" s="275">
        <f>(SUMIFS('Dec 31 2018 OFFS'!$AG:$AG,'Dec 31 2018 OFFS'!$AI:$AI,'T1 2019 Pipeline Data Lagasco'!$A251,'Dec 31 2018 OFFS'!$U:$U,'T1 2019 Pipeline Data Lagasco'!$E251,'Dec 31 2018 OFFS'!$AK:$AK,'T1 2019 Pipeline Data Lagasco'!$Q251,'Dec 31 2018 OFFS'!$W:$W,'T1 2019 Pipeline Data Lagasco'!$G251))/(MAX(COUNTIFS('Dec 31 2018 OFFS'!$AI:$AI,'T1 2019 Pipeline Data Lagasco'!$A251,'Dec 31 2018 OFFS'!$U:$U,'T1 2019 Pipeline Data Lagasco'!$E251,'Dec 31 2018 OFFS'!$AK:$AK,'T1 2019 Pipeline Data Lagasco'!$Q251,'Dec 31 2018 OFFS'!$W:$W,'T1 2019 Pipeline Data Lagasco'!$G251),1))</f>
        <v>3579</v>
      </c>
      <c r="S251" s="275">
        <f t="shared" si="9"/>
        <v>0</v>
      </c>
    </row>
    <row r="252" spans="1:19" s="217" customFormat="1" ht="14.1" customHeight="1">
      <c r="A252" s="224" t="s">
        <v>1494</v>
      </c>
      <c r="B252" s="218" t="s">
        <v>1495</v>
      </c>
      <c r="C252" s="223">
        <v>1</v>
      </c>
      <c r="D252" s="218" t="s">
        <v>1488</v>
      </c>
      <c r="E252" s="240">
        <v>3</v>
      </c>
      <c r="F252" s="226">
        <v>7963.3855960000001</v>
      </c>
      <c r="G252" s="223">
        <v>1981</v>
      </c>
      <c r="H252" s="223">
        <v>1</v>
      </c>
      <c r="I252" s="223">
        <v>1</v>
      </c>
      <c r="J252" s="223"/>
      <c r="K252" s="228">
        <v>187856.26620000001</v>
      </c>
      <c r="L252" s="241">
        <v>80</v>
      </c>
      <c r="M252" s="229">
        <v>37571.253239999998</v>
      </c>
      <c r="N252" s="230">
        <v>23.59</v>
      </c>
      <c r="O252" s="231">
        <v>37571</v>
      </c>
      <c r="P252" s="315"/>
      <c r="Q252" s="276">
        <f t="shared" si="8"/>
        <v>7963.39</v>
      </c>
      <c r="R252" s="275">
        <f>(SUMIFS('Dec 31 2018 OFFS'!$AG:$AG,'Dec 31 2018 OFFS'!$AI:$AI,'T1 2019 Pipeline Data Lagasco'!$A252,'Dec 31 2018 OFFS'!$U:$U,'T1 2019 Pipeline Data Lagasco'!$E252,'Dec 31 2018 OFFS'!$AK:$AK,'T1 2019 Pipeline Data Lagasco'!$Q252,'Dec 31 2018 OFFS'!$W:$W,'T1 2019 Pipeline Data Lagasco'!$G252))/(MAX(COUNTIFS('Dec 31 2018 OFFS'!$AI:$AI,'T1 2019 Pipeline Data Lagasco'!$A252,'Dec 31 2018 OFFS'!$U:$U,'T1 2019 Pipeline Data Lagasco'!$E252,'Dec 31 2018 OFFS'!$AK:$AK,'T1 2019 Pipeline Data Lagasco'!$Q252,'Dec 31 2018 OFFS'!$W:$W,'T1 2019 Pipeline Data Lagasco'!$G252),1))</f>
        <v>37571</v>
      </c>
      <c r="S252" s="275">
        <f t="shared" si="9"/>
        <v>0</v>
      </c>
    </row>
    <row r="253" spans="1:19" s="217" customFormat="1" ht="14.1" customHeight="1">
      <c r="A253" s="224" t="s">
        <v>1494</v>
      </c>
      <c r="B253" s="218" t="s">
        <v>1495</v>
      </c>
      <c r="C253" s="223">
        <v>1</v>
      </c>
      <c r="D253" s="218" t="s">
        <v>1488</v>
      </c>
      <c r="E253" s="240">
        <v>3</v>
      </c>
      <c r="F253" s="232">
        <v>963.71388290000004</v>
      </c>
      <c r="G253" s="223">
        <v>1985</v>
      </c>
      <c r="H253" s="223">
        <v>1</v>
      </c>
      <c r="I253" s="223">
        <v>1</v>
      </c>
      <c r="J253" s="223"/>
      <c r="K253" s="228">
        <v>22734.0105</v>
      </c>
      <c r="L253" s="241">
        <v>80</v>
      </c>
      <c r="M253" s="233">
        <v>4546.8020990000005</v>
      </c>
      <c r="N253" s="230">
        <v>23.59</v>
      </c>
      <c r="O253" s="231">
        <v>4546</v>
      </c>
      <c r="P253" s="315"/>
      <c r="Q253" s="276">
        <f t="shared" si="8"/>
        <v>963.71</v>
      </c>
      <c r="R253" s="275">
        <f>(SUMIFS('Dec 31 2018 OFFS'!$AG:$AG,'Dec 31 2018 OFFS'!$AI:$AI,'T1 2019 Pipeline Data Lagasco'!$A253,'Dec 31 2018 OFFS'!$U:$U,'T1 2019 Pipeline Data Lagasco'!$E253,'Dec 31 2018 OFFS'!$AK:$AK,'T1 2019 Pipeline Data Lagasco'!$Q253,'Dec 31 2018 OFFS'!$W:$W,'T1 2019 Pipeline Data Lagasco'!$G253))/(MAX(COUNTIFS('Dec 31 2018 OFFS'!$AI:$AI,'T1 2019 Pipeline Data Lagasco'!$A253,'Dec 31 2018 OFFS'!$U:$U,'T1 2019 Pipeline Data Lagasco'!$E253,'Dec 31 2018 OFFS'!$AK:$AK,'T1 2019 Pipeline Data Lagasco'!$Q253,'Dec 31 2018 OFFS'!$W:$W,'T1 2019 Pipeline Data Lagasco'!$G253),1))</f>
        <v>4546</v>
      </c>
      <c r="S253" s="275">
        <f t="shared" si="9"/>
        <v>0</v>
      </c>
    </row>
    <row r="254" spans="1:19" s="217" customFormat="1" ht="14.1" customHeight="1">
      <c r="A254" s="224" t="s">
        <v>1494</v>
      </c>
      <c r="B254" s="218" t="s">
        <v>1495</v>
      </c>
      <c r="C254" s="223">
        <v>1</v>
      </c>
      <c r="D254" s="218" t="s">
        <v>1488</v>
      </c>
      <c r="E254" s="240">
        <v>3</v>
      </c>
      <c r="F254" s="226">
        <v>4064.829279</v>
      </c>
      <c r="G254" s="223">
        <v>1982</v>
      </c>
      <c r="H254" s="223">
        <v>1</v>
      </c>
      <c r="I254" s="223">
        <v>1</v>
      </c>
      <c r="J254" s="223"/>
      <c r="K254" s="229">
        <v>95889.322679999997</v>
      </c>
      <c r="L254" s="241">
        <v>80</v>
      </c>
      <c r="M254" s="229">
        <v>19177.864539999999</v>
      </c>
      <c r="N254" s="230">
        <v>23.59</v>
      </c>
      <c r="O254" s="231">
        <v>19177</v>
      </c>
      <c r="P254" s="315"/>
      <c r="Q254" s="276">
        <f t="shared" si="8"/>
        <v>4064.83</v>
      </c>
      <c r="R254" s="275">
        <f>(SUMIFS('Dec 31 2018 OFFS'!$AG:$AG,'Dec 31 2018 OFFS'!$AI:$AI,'T1 2019 Pipeline Data Lagasco'!$A254,'Dec 31 2018 OFFS'!$U:$U,'T1 2019 Pipeline Data Lagasco'!$E254,'Dec 31 2018 OFFS'!$AK:$AK,'T1 2019 Pipeline Data Lagasco'!$Q254,'Dec 31 2018 OFFS'!$W:$W,'T1 2019 Pipeline Data Lagasco'!$G254))/(MAX(COUNTIFS('Dec 31 2018 OFFS'!$AI:$AI,'T1 2019 Pipeline Data Lagasco'!$A254,'Dec 31 2018 OFFS'!$U:$U,'T1 2019 Pipeline Data Lagasco'!$E254,'Dec 31 2018 OFFS'!$AK:$AK,'T1 2019 Pipeline Data Lagasco'!$Q254,'Dec 31 2018 OFFS'!$W:$W,'T1 2019 Pipeline Data Lagasco'!$G254),1))</f>
        <v>19177</v>
      </c>
      <c r="S254" s="275">
        <f t="shared" si="9"/>
        <v>0</v>
      </c>
    </row>
    <row r="255" spans="1:19" s="217" customFormat="1" ht="14.1" customHeight="1">
      <c r="A255" s="224" t="s">
        <v>1494</v>
      </c>
      <c r="B255" s="218" t="s">
        <v>1495</v>
      </c>
      <c r="C255" s="223">
        <v>1</v>
      </c>
      <c r="D255" s="218" t="s">
        <v>1488</v>
      </c>
      <c r="E255" s="240">
        <v>3</v>
      </c>
      <c r="F255" s="226">
        <v>2049.2125390000001</v>
      </c>
      <c r="G255" s="223">
        <v>1982</v>
      </c>
      <c r="H255" s="223">
        <v>1</v>
      </c>
      <c r="I255" s="223">
        <v>1</v>
      </c>
      <c r="J255" s="223"/>
      <c r="K255" s="228">
        <v>48340.923799999997</v>
      </c>
      <c r="L255" s="241">
        <v>80</v>
      </c>
      <c r="M255" s="233">
        <v>9668.1847589999998</v>
      </c>
      <c r="N255" s="230">
        <v>23.59</v>
      </c>
      <c r="O255" s="231">
        <v>9668</v>
      </c>
      <c r="P255" s="315"/>
      <c r="Q255" s="276">
        <f t="shared" si="8"/>
        <v>2049.21</v>
      </c>
      <c r="R255" s="275">
        <f>(SUMIFS('Dec 31 2018 OFFS'!$AG:$AG,'Dec 31 2018 OFFS'!$AI:$AI,'T1 2019 Pipeline Data Lagasco'!$A255,'Dec 31 2018 OFFS'!$U:$U,'T1 2019 Pipeline Data Lagasco'!$E255,'Dec 31 2018 OFFS'!$AK:$AK,'T1 2019 Pipeline Data Lagasco'!$Q255,'Dec 31 2018 OFFS'!$W:$W,'T1 2019 Pipeline Data Lagasco'!$G255))/(MAX(COUNTIFS('Dec 31 2018 OFFS'!$AI:$AI,'T1 2019 Pipeline Data Lagasco'!$A255,'Dec 31 2018 OFFS'!$U:$U,'T1 2019 Pipeline Data Lagasco'!$E255,'Dec 31 2018 OFFS'!$AK:$AK,'T1 2019 Pipeline Data Lagasco'!$Q255,'Dec 31 2018 OFFS'!$W:$W,'T1 2019 Pipeline Data Lagasco'!$G255),1))</f>
        <v>9668</v>
      </c>
      <c r="S255" s="275">
        <f t="shared" si="9"/>
        <v>0</v>
      </c>
    </row>
    <row r="256" spans="1:19" s="217" customFormat="1" ht="15" customHeight="1">
      <c r="A256" s="224" t="s">
        <v>1494</v>
      </c>
      <c r="B256" s="218" t="s">
        <v>1495</v>
      </c>
      <c r="C256" s="223">
        <v>1</v>
      </c>
      <c r="D256" s="218" t="s">
        <v>1488</v>
      </c>
      <c r="E256" s="240">
        <v>3</v>
      </c>
      <c r="F256" s="223">
        <v>2681</v>
      </c>
      <c r="G256" s="223">
        <v>2004</v>
      </c>
      <c r="H256" s="223">
        <v>1</v>
      </c>
      <c r="I256" s="223">
        <v>1</v>
      </c>
      <c r="J256" s="223"/>
      <c r="K256" s="238">
        <v>63244.79</v>
      </c>
      <c r="L256" s="241">
        <v>56</v>
      </c>
      <c r="M256" s="228">
        <v>27827.707600000002</v>
      </c>
      <c r="N256" s="230">
        <v>23.59</v>
      </c>
      <c r="O256" s="231">
        <v>27827</v>
      </c>
      <c r="P256" s="315"/>
      <c r="Q256" s="276">
        <f t="shared" si="8"/>
        <v>2681</v>
      </c>
      <c r="R256" s="275">
        <f>(SUMIFS('Dec 31 2018 OFFS'!$AG:$AG,'Dec 31 2018 OFFS'!$AI:$AI,'T1 2019 Pipeline Data Lagasco'!$A256,'Dec 31 2018 OFFS'!$U:$U,'T1 2019 Pipeline Data Lagasco'!$E256,'Dec 31 2018 OFFS'!$AK:$AK,'T1 2019 Pipeline Data Lagasco'!$Q256,'Dec 31 2018 OFFS'!$W:$W,'T1 2019 Pipeline Data Lagasco'!$G256))/(MAX(COUNTIFS('Dec 31 2018 OFFS'!$AI:$AI,'T1 2019 Pipeline Data Lagasco'!$A256,'Dec 31 2018 OFFS'!$U:$U,'T1 2019 Pipeline Data Lagasco'!$E256,'Dec 31 2018 OFFS'!$AK:$AK,'T1 2019 Pipeline Data Lagasco'!$Q256,'Dec 31 2018 OFFS'!$W:$W,'T1 2019 Pipeline Data Lagasco'!$G256),1))</f>
        <v>27827</v>
      </c>
      <c r="S256" s="275">
        <f t="shared" si="9"/>
        <v>0</v>
      </c>
    </row>
    <row r="257" spans="1:20" ht="15" customHeight="1">
      <c r="A257" s="224" t="s">
        <v>1494</v>
      </c>
      <c r="B257" s="218" t="s">
        <v>1495</v>
      </c>
      <c r="C257" s="223">
        <v>1</v>
      </c>
      <c r="D257" s="218" t="s">
        <v>1488</v>
      </c>
      <c r="E257" s="240">
        <v>3</v>
      </c>
      <c r="F257" s="226">
        <v>3961.4172079999998</v>
      </c>
      <c r="G257" s="223">
        <v>1983</v>
      </c>
      <c r="H257" s="223">
        <v>1</v>
      </c>
      <c r="I257" s="223">
        <v>1</v>
      </c>
      <c r="J257" s="223"/>
      <c r="K257" s="229">
        <v>93449.831940000004</v>
      </c>
      <c r="L257" s="241">
        <v>80</v>
      </c>
      <c r="M257" s="229">
        <v>18689.966390000001</v>
      </c>
      <c r="N257" s="230">
        <v>23.59</v>
      </c>
      <c r="O257" s="231">
        <v>18689</v>
      </c>
      <c r="P257" s="315"/>
      <c r="Q257" s="276">
        <f t="shared" si="8"/>
        <v>3961.42</v>
      </c>
      <c r="R257" s="275">
        <f>(SUMIFS('Dec 31 2018 OFFS'!$AG:$AG,'Dec 31 2018 OFFS'!$AI:$AI,'T1 2019 Pipeline Data Lagasco'!$A257,'Dec 31 2018 OFFS'!$U:$U,'T1 2019 Pipeline Data Lagasco'!$E257,'Dec 31 2018 OFFS'!$AK:$AK,'T1 2019 Pipeline Data Lagasco'!$Q257,'Dec 31 2018 OFFS'!$W:$W,'T1 2019 Pipeline Data Lagasco'!$G257))/(MAX(COUNTIFS('Dec 31 2018 OFFS'!$AI:$AI,'T1 2019 Pipeline Data Lagasco'!$A257,'Dec 31 2018 OFFS'!$U:$U,'T1 2019 Pipeline Data Lagasco'!$E257,'Dec 31 2018 OFFS'!$AK:$AK,'T1 2019 Pipeline Data Lagasco'!$Q257,'Dec 31 2018 OFFS'!$W:$W,'T1 2019 Pipeline Data Lagasco'!$G257),1))</f>
        <v>18689</v>
      </c>
      <c r="S257" s="275">
        <f t="shared" si="9"/>
        <v>0</v>
      </c>
      <c r="T257" s="217"/>
    </row>
    <row r="258" spans="1:20" ht="14.1" customHeight="1">
      <c r="A258" s="224" t="s">
        <v>1494</v>
      </c>
      <c r="B258" s="218" t="s">
        <v>1495</v>
      </c>
      <c r="C258" s="223">
        <v>1</v>
      </c>
      <c r="D258" s="218" t="s">
        <v>1488</v>
      </c>
      <c r="E258" s="240">
        <v>3</v>
      </c>
      <c r="F258" s="226">
        <v>4085.2689110000001</v>
      </c>
      <c r="G258" s="223">
        <v>1984</v>
      </c>
      <c r="H258" s="223">
        <v>1</v>
      </c>
      <c r="I258" s="223">
        <v>1</v>
      </c>
      <c r="J258" s="223"/>
      <c r="K258" s="228">
        <v>96371.493600000002</v>
      </c>
      <c r="L258" s="241">
        <v>80</v>
      </c>
      <c r="M258" s="229">
        <v>19274.298719999999</v>
      </c>
      <c r="N258" s="230">
        <v>23.59</v>
      </c>
      <c r="O258" s="231">
        <v>19274</v>
      </c>
      <c r="P258" s="315"/>
      <c r="Q258" s="276">
        <f t="shared" si="8"/>
        <v>4085.27</v>
      </c>
      <c r="R258" s="275">
        <f>(SUMIFS('Dec 31 2018 OFFS'!$AG:$AG,'Dec 31 2018 OFFS'!$AI:$AI,'T1 2019 Pipeline Data Lagasco'!$A258,'Dec 31 2018 OFFS'!$U:$U,'T1 2019 Pipeline Data Lagasco'!$E258,'Dec 31 2018 OFFS'!$AK:$AK,'T1 2019 Pipeline Data Lagasco'!$Q258,'Dec 31 2018 OFFS'!$W:$W,'T1 2019 Pipeline Data Lagasco'!$G258))/(MAX(COUNTIFS('Dec 31 2018 OFFS'!$AI:$AI,'T1 2019 Pipeline Data Lagasco'!$A258,'Dec 31 2018 OFFS'!$U:$U,'T1 2019 Pipeline Data Lagasco'!$E258,'Dec 31 2018 OFFS'!$AK:$AK,'T1 2019 Pipeline Data Lagasco'!$Q258,'Dec 31 2018 OFFS'!$W:$W,'T1 2019 Pipeline Data Lagasco'!$G258),1))</f>
        <v>19274</v>
      </c>
      <c r="S258" s="275">
        <f t="shared" si="9"/>
        <v>0</v>
      </c>
      <c r="T258" s="217"/>
    </row>
    <row r="259" spans="1:20" ht="14.1" customHeight="1">
      <c r="A259" s="224" t="s">
        <v>1494</v>
      </c>
      <c r="B259" s="218" t="s">
        <v>1495</v>
      </c>
      <c r="C259" s="223">
        <v>1</v>
      </c>
      <c r="D259" s="218" t="s">
        <v>1488</v>
      </c>
      <c r="E259" s="240">
        <v>3</v>
      </c>
      <c r="F259" s="226">
        <v>9124.6060350000007</v>
      </c>
      <c r="G259" s="223">
        <v>1983</v>
      </c>
      <c r="H259" s="223">
        <v>1</v>
      </c>
      <c r="I259" s="223">
        <v>1</v>
      </c>
      <c r="J259" s="223"/>
      <c r="K259" s="228">
        <v>215249.4564</v>
      </c>
      <c r="L259" s="241">
        <v>80</v>
      </c>
      <c r="M259" s="229">
        <v>43049.89127</v>
      </c>
      <c r="N259" s="230">
        <v>23.59</v>
      </c>
      <c r="O259" s="231">
        <v>43049</v>
      </c>
      <c r="P259" s="315"/>
      <c r="Q259" s="276">
        <f t="shared" si="8"/>
        <v>9124.61</v>
      </c>
      <c r="R259" s="275">
        <f>(SUMIFS('Dec 31 2018 OFFS'!$AG:$AG,'Dec 31 2018 OFFS'!$AI:$AI,'T1 2019 Pipeline Data Lagasco'!$A259,'Dec 31 2018 OFFS'!$U:$U,'T1 2019 Pipeline Data Lagasco'!$E259,'Dec 31 2018 OFFS'!$AK:$AK,'T1 2019 Pipeline Data Lagasco'!$Q259,'Dec 31 2018 OFFS'!$W:$W,'T1 2019 Pipeline Data Lagasco'!$G259))/(MAX(COUNTIFS('Dec 31 2018 OFFS'!$AI:$AI,'T1 2019 Pipeline Data Lagasco'!$A259,'Dec 31 2018 OFFS'!$U:$U,'T1 2019 Pipeline Data Lagasco'!$E259,'Dec 31 2018 OFFS'!$AK:$AK,'T1 2019 Pipeline Data Lagasco'!$Q259,'Dec 31 2018 OFFS'!$W:$W,'T1 2019 Pipeline Data Lagasco'!$G259),1))</f>
        <v>43049</v>
      </c>
      <c r="S259" s="275">
        <f t="shared" si="9"/>
        <v>0</v>
      </c>
      <c r="T259" s="217"/>
    </row>
    <row r="260" spans="1:20" ht="14.1" customHeight="1">
      <c r="A260" s="224" t="s">
        <v>1494</v>
      </c>
      <c r="B260" s="218" t="s">
        <v>1495</v>
      </c>
      <c r="C260" s="223">
        <v>1</v>
      </c>
      <c r="D260" s="218" t="s">
        <v>1488</v>
      </c>
      <c r="E260" s="240">
        <v>3</v>
      </c>
      <c r="F260" s="223">
        <v>2709</v>
      </c>
      <c r="G260" s="223">
        <v>2005</v>
      </c>
      <c r="H260" s="223">
        <v>1</v>
      </c>
      <c r="I260" s="223">
        <v>1</v>
      </c>
      <c r="J260" s="223"/>
      <c r="K260" s="238">
        <v>63905.31</v>
      </c>
      <c r="L260" s="241">
        <v>54</v>
      </c>
      <c r="M260" s="228">
        <v>29396.442599999998</v>
      </c>
      <c r="N260" s="230">
        <v>23.59</v>
      </c>
      <c r="O260" s="231">
        <v>29396</v>
      </c>
      <c r="P260" s="315"/>
      <c r="Q260" s="276">
        <f t="shared" si="8"/>
        <v>2709</v>
      </c>
      <c r="R260" s="275">
        <f>(SUMIFS('Dec 31 2018 OFFS'!$AG:$AG,'Dec 31 2018 OFFS'!$AI:$AI,'T1 2019 Pipeline Data Lagasco'!$A260,'Dec 31 2018 OFFS'!$U:$U,'T1 2019 Pipeline Data Lagasco'!$E260,'Dec 31 2018 OFFS'!$AK:$AK,'T1 2019 Pipeline Data Lagasco'!$Q260,'Dec 31 2018 OFFS'!$W:$W,'T1 2019 Pipeline Data Lagasco'!$G260))/(MAX(COUNTIFS('Dec 31 2018 OFFS'!$AI:$AI,'T1 2019 Pipeline Data Lagasco'!$A260,'Dec 31 2018 OFFS'!$U:$U,'T1 2019 Pipeline Data Lagasco'!$E260,'Dec 31 2018 OFFS'!$AK:$AK,'T1 2019 Pipeline Data Lagasco'!$Q260,'Dec 31 2018 OFFS'!$W:$W,'T1 2019 Pipeline Data Lagasco'!$G260),1))</f>
        <v>29396</v>
      </c>
      <c r="S260" s="275">
        <f t="shared" si="9"/>
        <v>0</v>
      </c>
      <c r="T260" s="217"/>
    </row>
    <row r="261" spans="1:20" ht="14.1" customHeight="1">
      <c r="A261" s="224" t="s">
        <v>1494</v>
      </c>
      <c r="B261" s="218" t="s">
        <v>1495</v>
      </c>
      <c r="C261" s="223">
        <v>1</v>
      </c>
      <c r="D261" s="218" t="s">
        <v>1488</v>
      </c>
      <c r="E261" s="240">
        <v>3</v>
      </c>
      <c r="F261" s="226">
        <v>5902.3620339999998</v>
      </c>
      <c r="G261" s="223">
        <v>1983</v>
      </c>
      <c r="H261" s="223">
        <v>1</v>
      </c>
      <c r="I261" s="223">
        <v>1</v>
      </c>
      <c r="J261" s="223"/>
      <c r="K261" s="228">
        <v>139236.72039999999</v>
      </c>
      <c r="L261" s="241">
        <v>80</v>
      </c>
      <c r="M261" s="229">
        <v>27847.344079999999</v>
      </c>
      <c r="N261" s="230">
        <v>23.59</v>
      </c>
      <c r="O261" s="231">
        <v>27847</v>
      </c>
      <c r="P261" s="315"/>
      <c r="Q261" s="276">
        <f t="shared" si="8"/>
        <v>5902.36</v>
      </c>
      <c r="R261" s="275">
        <f>(SUMIFS('Dec 31 2018 OFFS'!$AG:$AG,'Dec 31 2018 OFFS'!$AI:$AI,'T1 2019 Pipeline Data Lagasco'!$A261,'Dec 31 2018 OFFS'!$U:$U,'T1 2019 Pipeline Data Lagasco'!$E261,'Dec 31 2018 OFFS'!$AK:$AK,'T1 2019 Pipeline Data Lagasco'!$Q261,'Dec 31 2018 OFFS'!$W:$W,'T1 2019 Pipeline Data Lagasco'!$G261))/(MAX(COUNTIFS('Dec 31 2018 OFFS'!$AI:$AI,'T1 2019 Pipeline Data Lagasco'!$A261,'Dec 31 2018 OFFS'!$U:$U,'T1 2019 Pipeline Data Lagasco'!$E261,'Dec 31 2018 OFFS'!$AK:$AK,'T1 2019 Pipeline Data Lagasco'!$Q261,'Dec 31 2018 OFFS'!$W:$W,'T1 2019 Pipeline Data Lagasco'!$G261),1))</f>
        <v>27847</v>
      </c>
      <c r="S261" s="275">
        <f t="shared" si="9"/>
        <v>0</v>
      </c>
      <c r="T261" s="217"/>
    </row>
    <row r="262" spans="1:20" ht="14.1" customHeight="1">
      <c r="A262" s="224" t="s">
        <v>1494</v>
      </c>
      <c r="B262" s="218" t="s">
        <v>1495</v>
      </c>
      <c r="C262" s="223">
        <v>1</v>
      </c>
      <c r="D262" s="218" t="s">
        <v>1488</v>
      </c>
      <c r="E262" s="240">
        <v>3</v>
      </c>
      <c r="F262" s="226">
        <v>7027.9525519999997</v>
      </c>
      <c r="G262" s="223">
        <v>1984</v>
      </c>
      <c r="H262" s="223">
        <v>1</v>
      </c>
      <c r="I262" s="223">
        <v>1</v>
      </c>
      <c r="J262" s="223"/>
      <c r="K262" s="228">
        <v>165789.4007</v>
      </c>
      <c r="L262" s="241">
        <v>80</v>
      </c>
      <c r="M262" s="229">
        <v>33157.880140000001</v>
      </c>
      <c r="N262" s="230">
        <v>23.59</v>
      </c>
      <c r="O262" s="231">
        <v>33157</v>
      </c>
      <c r="P262" s="315"/>
      <c r="Q262" s="276">
        <f t="shared" si="8"/>
        <v>7027.95</v>
      </c>
      <c r="R262" s="275">
        <f>(SUMIFS('Dec 31 2018 OFFS'!$AG:$AG,'Dec 31 2018 OFFS'!$AI:$AI,'T1 2019 Pipeline Data Lagasco'!$A262,'Dec 31 2018 OFFS'!$U:$U,'T1 2019 Pipeline Data Lagasco'!$E262,'Dec 31 2018 OFFS'!$AK:$AK,'T1 2019 Pipeline Data Lagasco'!$Q262,'Dec 31 2018 OFFS'!$W:$W,'T1 2019 Pipeline Data Lagasco'!$G262))/(MAX(COUNTIFS('Dec 31 2018 OFFS'!$AI:$AI,'T1 2019 Pipeline Data Lagasco'!$A262,'Dec 31 2018 OFFS'!$U:$U,'T1 2019 Pipeline Data Lagasco'!$E262,'Dec 31 2018 OFFS'!$AK:$AK,'T1 2019 Pipeline Data Lagasco'!$Q262,'Dec 31 2018 OFFS'!$W:$W,'T1 2019 Pipeline Data Lagasco'!$G262),1))</f>
        <v>33157</v>
      </c>
      <c r="S262" s="275">
        <f t="shared" si="9"/>
        <v>0</v>
      </c>
      <c r="T262" s="217"/>
    </row>
    <row r="263" spans="1:20" ht="14.1" customHeight="1">
      <c r="A263" s="224" t="s">
        <v>1494</v>
      </c>
      <c r="B263" s="218" t="s">
        <v>1495</v>
      </c>
      <c r="C263" s="223">
        <v>1</v>
      </c>
      <c r="D263" s="218" t="s">
        <v>1488</v>
      </c>
      <c r="E263" s="240">
        <v>3</v>
      </c>
      <c r="F263" s="223">
        <v>3427</v>
      </c>
      <c r="G263" s="223">
        <v>2004</v>
      </c>
      <c r="H263" s="223">
        <v>1</v>
      </c>
      <c r="I263" s="223">
        <v>1</v>
      </c>
      <c r="J263" s="223"/>
      <c r="K263" s="238">
        <v>80842.929999999993</v>
      </c>
      <c r="L263" s="241">
        <v>56</v>
      </c>
      <c r="M263" s="228">
        <v>35570.889199999998</v>
      </c>
      <c r="N263" s="230">
        <v>23.59</v>
      </c>
      <c r="O263" s="231">
        <v>35570</v>
      </c>
      <c r="P263" s="315"/>
      <c r="Q263" s="276">
        <f t="shared" si="8"/>
        <v>3427</v>
      </c>
      <c r="R263" s="275">
        <f>(SUMIFS('Dec 31 2018 OFFS'!$AG:$AG,'Dec 31 2018 OFFS'!$AI:$AI,'T1 2019 Pipeline Data Lagasco'!$A263,'Dec 31 2018 OFFS'!$U:$U,'T1 2019 Pipeline Data Lagasco'!$E263,'Dec 31 2018 OFFS'!$AK:$AK,'T1 2019 Pipeline Data Lagasco'!$Q263,'Dec 31 2018 OFFS'!$W:$W,'T1 2019 Pipeline Data Lagasco'!$G263))/(MAX(COUNTIFS('Dec 31 2018 OFFS'!$AI:$AI,'T1 2019 Pipeline Data Lagasco'!$A263,'Dec 31 2018 OFFS'!$U:$U,'T1 2019 Pipeline Data Lagasco'!$E263,'Dec 31 2018 OFFS'!$AK:$AK,'T1 2019 Pipeline Data Lagasco'!$Q263,'Dec 31 2018 OFFS'!$W:$W,'T1 2019 Pipeline Data Lagasco'!$G263),1))</f>
        <v>35570</v>
      </c>
      <c r="S263" s="275">
        <f t="shared" si="9"/>
        <v>0</v>
      </c>
      <c r="T263" s="217"/>
    </row>
    <row r="264" spans="1:20" ht="14.1" customHeight="1">
      <c r="A264" s="224" t="s">
        <v>1494</v>
      </c>
      <c r="B264" s="218" t="s">
        <v>1495</v>
      </c>
      <c r="C264" s="223">
        <v>1</v>
      </c>
      <c r="D264" s="218" t="s">
        <v>1488</v>
      </c>
      <c r="E264" s="240">
        <v>3</v>
      </c>
      <c r="F264" s="223">
        <v>4580</v>
      </c>
      <c r="G264" s="223">
        <v>2004</v>
      </c>
      <c r="H264" s="223">
        <v>1</v>
      </c>
      <c r="I264" s="246">
        <v>0</v>
      </c>
      <c r="J264" s="223"/>
      <c r="K264" s="237">
        <v>108042.20</v>
      </c>
      <c r="L264" s="241">
        <v>56</v>
      </c>
      <c r="M264" s="239">
        <v>47538.567999999999</v>
      </c>
      <c r="N264" s="230">
        <v>23.59</v>
      </c>
      <c r="O264" s="248">
        <v>0</v>
      </c>
      <c r="P264" s="317" t="s">
        <v>1560</v>
      </c>
      <c r="Q264" s="276">
        <f t="shared" si="8"/>
        <v>4580</v>
      </c>
      <c r="R264" s="275">
        <f>(SUMIFS('Dec 31 2018 OFFS'!$AG:$AG,'Dec 31 2018 OFFS'!$AI:$AI,'T1 2019 Pipeline Data Lagasco'!$A264,'Dec 31 2018 OFFS'!$U:$U,'T1 2019 Pipeline Data Lagasco'!$E264,'Dec 31 2018 OFFS'!$AK:$AK,'T1 2019 Pipeline Data Lagasco'!$Q264,'Dec 31 2018 OFFS'!$W:$W,'T1 2019 Pipeline Data Lagasco'!$G264))/(MAX(COUNTIFS('Dec 31 2018 OFFS'!$AI:$AI,'T1 2019 Pipeline Data Lagasco'!$A264,'Dec 31 2018 OFFS'!$U:$U,'T1 2019 Pipeline Data Lagasco'!$E264,'Dec 31 2018 OFFS'!$AK:$AK,'T1 2019 Pipeline Data Lagasco'!$Q264,'Dec 31 2018 OFFS'!$W:$W,'T1 2019 Pipeline Data Lagasco'!$G264),1))</f>
        <v>0</v>
      </c>
      <c r="S264" s="275">
        <f t="shared" si="9"/>
        <v>0</v>
      </c>
      <c r="T264" s="278" t="e">
        <f t="shared" si="10" ref="T264:T265">R264/O264</f>
        <v>#DIV/0!</v>
      </c>
    </row>
    <row r="265" spans="1:20" ht="14.1" customHeight="1">
      <c r="A265" s="224" t="s">
        <v>1494</v>
      </c>
      <c r="B265" s="218" t="s">
        <v>1495</v>
      </c>
      <c r="C265" s="223">
        <v>1</v>
      </c>
      <c r="D265" s="218" t="s">
        <v>1488</v>
      </c>
      <c r="E265" s="240">
        <v>3</v>
      </c>
      <c r="F265" s="223">
        <v>5907</v>
      </c>
      <c r="G265" s="223">
        <v>2008</v>
      </c>
      <c r="H265" s="230">
        <v>0.75</v>
      </c>
      <c r="I265" s="225">
        <v>0</v>
      </c>
      <c r="J265" s="223"/>
      <c r="K265" s="238">
        <v>139346.13</v>
      </c>
      <c r="L265" s="241">
        <v>49</v>
      </c>
      <c r="M265" s="228">
        <v>71066.526299999998</v>
      </c>
      <c r="N265" s="230">
        <v>23.59</v>
      </c>
      <c r="O265" s="287">
        <v>0</v>
      </c>
      <c r="P265" s="316" t="s">
        <v>1558</v>
      </c>
      <c r="Q265" s="276">
        <f t="shared" si="8"/>
        <v>5907</v>
      </c>
      <c r="R265" s="275">
        <f>(SUMIFS('Dec 31 2018 OFFS'!$AG:$AG,'Dec 31 2018 OFFS'!$AI:$AI,'T1 2019 Pipeline Data Lagasco'!$A265,'Dec 31 2018 OFFS'!$U:$U,'T1 2019 Pipeline Data Lagasco'!$E265,'Dec 31 2018 OFFS'!$AK:$AK,'T1 2019 Pipeline Data Lagasco'!$Q265,'Dec 31 2018 OFFS'!$W:$W,'T1 2019 Pipeline Data Lagasco'!$G265))/(MAX(COUNTIFS('Dec 31 2018 OFFS'!$AI:$AI,'T1 2019 Pipeline Data Lagasco'!$A265,'Dec 31 2018 OFFS'!$U:$U,'T1 2019 Pipeline Data Lagasco'!$E265,'Dec 31 2018 OFFS'!$AK:$AK,'T1 2019 Pipeline Data Lagasco'!$Q265,'Dec 31 2018 OFFS'!$W:$W,'T1 2019 Pipeline Data Lagasco'!$G265),1))</f>
        <v>0</v>
      </c>
      <c r="S265" s="275">
        <f t="shared" si="9"/>
        <v>0</v>
      </c>
      <c r="T265" s="278" t="e">
        <f t="shared" si="10"/>
        <v>#DIV/0!</v>
      </c>
    </row>
    <row r="266" spans="1:20" ht="14.1" customHeight="1">
      <c r="A266" s="224" t="s">
        <v>1494</v>
      </c>
      <c r="B266" s="218" t="s">
        <v>1495</v>
      </c>
      <c r="C266" s="223">
        <v>1</v>
      </c>
      <c r="D266" s="218" t="s">
        <v>1488</v>
      </c>
      <c r="E266" s="240">
        <v>3</v>
      </c>
      <c r="F266" s="226">
        <v>3468.1101359999998</v>
      </c>
      <c r="G266" s="223">
        <v>1983</v>
      </c>
      <c r="H266" s="223">
        <v>1</v>
      </c>
      <c r="I266" s="223">
        <v>1</v>
      </c>
      <c r="J266" s="223"/>
      <c r="K266" s="228">
        <v>81812.718099999998</v>
      </c>
      <c r="L266" s="241">
        <v>80</v>
      </c>
      <c r="M266" s="229">
        <v>16362.54362</v>
      </c>
      <c r="N266" s="230">
        <v>23.59</v>
      </c>
      <c r="O266" s="231">
        <v>16362</v>
      </c>
      <c r="P266" s="315"/>
      <c r="Q266" s="276">
        <f t="shared" si="8"/>
        <v>3468.11</v>
      </c>
      <c r="R266" s="275">
        <f>(SUMIFS('Dec 31 2018 OFFS'!$AG:$AG,'Dec 31 2018 OFFS'!$AI:$AI,'T1 2019 Pipeline Data Lagasco'!$A266,'Dec 31 2018 OFFS'!$U:$U,'T1 2019 Pipeline Data Lagasco'!$E266,'Dec 31 2018 OFFS'!$AK:$AK,'T1 2019 Pipeline Data Lagasco'!$Q266,'Dec 31 2018 OFFS'!$W:$W,'T1 2019 Pipeline Data Lagasco'!$G266))/(MAX(COUNTIFS('Dec 31 2018 OFFS'!$AI:$AI,'T1 2019 Pipeline Data Lagasco'!$A266,'Dec 31 2018 OFFS'!$U:$U,'T1 2019 Pipeline Data Lagasco'!$E266,'Dec 31 2018 OFFS'!$AK:$AK,'T1 2019 Pipeline Data Lagasco'!$Q266,'Dec 31 2018 OFFS'!$W:$W,'T1 2019 Pipeline Data Lagasco'!$G266),1))</f>
        <v>16362</v>
      </c>
      <c r="S266" s="275">
        <f t="shared" si="9"/>
        <v>0</v>
      </c>
      <c r="T266" s="217"/>
    </row>
    <row r="267" spans="1:20" ht="14.1" customHeight="1">
      <c r="A267" s="224" t="s">
        <v>1494</v>
      </c>
      <c r="B267" s="218" t="s">
        <v>1495</v>
      </c>
      <c r="C267" s="223">
        <v>1</v>
      </c>
      <c r="D267" s="218" t="s">
        <v>1488</v>
      </c>
      <c r="E267" s="240">
        <v>3</v>
      </c>
      <c r="F267" s="226">
        <v>4305.3148359999996</v>
      </c>
      <c r="G267" s="223">
        <v>1985</v>
      </c>
      <c r="H267" s="223">
        <v>1</v>
      </c>
      <c r="I267" s="223">
        <v>1</v>
      </c>
      <c r="J267" s="223"/>
      <c r="K267" s="239">
        <v>101562.37699999999</v>
      </c>
      <c r="L267" s="241">
        <v>80</v>
      </c>
      <c r="M267" s="228">
        <v>20312.475399999999</v>
      </c>
      <c r="N267" s="230">
        <v>23.59</v>
      </c>
      <c r="O267" s="231">
        <v>20312</v>
      </c>
      <c r="P267" s="315"/>
      <c r="Q267" s="276">
        <f t="shared" si="8"/>
        <v>4305.3100000000004</v>
      </c>
      <c r="R267" s="275">
        <f>(SUMIFS('Dec 31 2018 OFFS'!$AG:$AG,'Dec 31 2018 OFFS'!$AI:$AI,'T1 2019 Pipeline Data Lagasco'!$A267,'Dec 31 2018 OFFS'!$U:$U,'T1 2019 Pipeline Data Lagasco'!$E267,'Dec 31 2018 OFFS'!$AK:$AK,'T1 2019 Pipeline Data Lagasco'!$Q267,'Dec 31 2018 OFFS'!$W:$W,'T1 2019 Pipeline Data Lagasco'!$G267))/(MAX(COUNTIFS('Dec 31 2018 OFFS'!$AI:$AI,'T1 2019 Pipeline Data Lagasco'!$A267,'Dec 31 2018 OFFS'!$U:$U,'T1 2019 Pipeline Data Lagasco'!$E267,'Dec 31 2018 OFFS'!$AK:$AK,'T1 2019 Pipeline Data Lagasco'!$Q267,'Dec 31 2018 OFFS'!$W:$W,'T1 2019 Pipeline Data Lagasco'!$G267),1))</f>
        <v>20312</v>
      </c>
      <c r="S267" s="275">
        <f t="shared" si="9"/>
        <v>0</v>
      </c>
      <c r="T267" s="217"/>
    </row>
    <row r="268" spans="1:20" ht="14.1" customHeight="1">
      <c r="A268" s="224" t="s">
        <v>1494</v>
      </c>
      <c r="B268" s="218" t="s">
        <v>1495</v>
      </c>
      <c r="C268" s="223">
        <v>1</v>
      </c>
      <c r="D268" s="218" t="s">
        <v>1488</v>
      </c>
      <c r="E268" s="240">
        <v>3</v>
      </c>
      <c r="F268" s="226">
        <v>6986.1546529999996</v>
      </c>
      <c r="G268" s="223">
        <v>1983</v>
      </c>
      <c r="H268" s="223">
        <v>1</v>
      </c>
      <c r="I268" s="223">
        <v>1</v>
      </c>
      <c r="J268" s="223"/>
      <c r="K268" s="228">
        <v>164803.38829999999</v>
      </c>
      <c r="L268" s="241">
        <v>80</v>
      </c>
      <c r="M268" s="229">
        <v>32960.677649999998</v>
      </c>
      <c r="N268" s="230">
        <v>23.59</v>
      </c>
      <c r="O268" s="231">
        <v>32960</v>
      </c>
      <c r="P268" s="315"/>
      <c r="Q268" s="276">
        <f t="shared" si="8"/>
        <v>6986.15</v>
      </c>
      <c r="R268" s="275">
        <f>(SUMIFS('Dec 31 2018 OFFS'!$AG:$AG,'Dec 31 2018 OFFS'!$AI:$AI,'T1 2019 Pipeline Data Lagasco'!$A268,'Dec 31 2018 OFFS'!$U:$U,'T1 2019 Pipeline Data Lagasco'!$E268,'Dec 31 2018 OFFS'!$AK:$AK,'T1 2019 Pipeline Data Lagasco'!$Q268,'Dec 31 2018 OFFS'!$W:$W,'T1 2019 Pipeline Data Lagasco'!$G268))/(MAX(COUNTIFS('Dec 31 2018 OFFS'!$AI:$AI,'T1 2019 Pipeline Data Lagasco'!$A268,'Dec 31 2018 OFFS'!$U:$U,'T1 2019 Pipeline Data Lagasco'!$E268,'Dec 31 2018 OFFS'!$AK:$AK,'T1 2019 Pipeline Data Lagasco'!$Q268,'Dec 31 2018 OFFS'!$W:$W,'T1 2019 Pipeline Data Lagasco'!$G268),1))</f>
        <v>32960</v>
      </c>
      <c r="S268" s="275">
        <f t="shared" si="9"/>
        <v>0</v>
      </c>
      <c r="T268" s="217"/>
    </row>
    <row r="269" spans="1:20" ht="14.1" customHeight="1">
      <c r="A269" s="224" t="s">
        <v>1494</v>
      </c>
      <c r="B269" s="218" t="s">
        <v>1495</v>
      </c>
      <c r="C269" s="223">
        <v>1</v>
      </c>
      <c r="D269" s="218" t="s">
        <v>1488</v>
      </c>
      <c r="E269" s="240">
        <v>3</v>
      </c>
      <c r="F269" s="226">
        <v>5193.7006369999999</v>
      </c>
      <c r="G269" s="223">
        <v>1981</v>
      </c>
      <c r="H269" s="223">
        <v>1</v>
      </c>
      <c r="I269" s="223">
        <v>1</v>
      </c>
      <c r="J269" s="223"/>
      <c r="K269" s="239">
        <v>122519.398</v>
      </c>
      <c r="L269" s="241">
        <v>80</v>
      </c>
      <c r="M269" s="229">
        <v>24503.87961</v>
      </c>
      <c r="N269" s="230">
        <v>23.59</v>
      </c>
      <c r="O269" s="231">
        <v>24503</v>
      </c>
      <c r="P269" s="315"/>
      <c r="Q269" s="276">
        <f t="shared" si="8"/>
        <v>5193.70</v>
      </c>
      <c r="R269" s="275">
        <f>(SUMIFS('Dec 31 2018 OFFS'!$AG:$AG,'Dec 31 2018 OFFS'!$AI:$AI,'T1 2019 Pipeline Data Lagasco'!$A269,'Dec 31 2018 OFFS'!$U:$U,'T1 2019 Pipeline Data Lagasco'!$E269,'Dec 31 2018 OFFS'!$AK:$AK,'T1 2019 Pipeline Data Lagasco'!$Q269,'Dec 31 2018 OFFS'!$W:$W,'T1 2019 Pipeline Data Lagasco'!$G269))/(MAX(COUNTIFS('Dec 31 2018 OFFS'!$AI:$AI,'T1 2019 Pipeline Data Lagasco'!$A269,'Dec 31 2018 OFFS'!$U:$U,'T1 2019 Pipeline Data Lagasco'!$E269,'Dec 31 2018 OFFS'!$AK:$AK,'T1 2019 Pipeline Data Lagasco'!$Q269,'Dec 31 2018 OFFS'!$W:$W,'T1 2019 Pipeline Data Lagasco'!$G269),1))</f>
        <v>24503</v>
      </c>
      <c r="S269" s="275">
        <f t="shared" si="9"/>
        <v>0</v>
      </c>
      <c r="T269" s="217"/>
    </row>
    <row r="270" spans="1:20" ht="14.1" customHeight="1">
      <c r="A270" s="224" t="s">
        <v>1494</v>
      </c>
      <c r="B270" s="218" t="s">
        <v>1495</v>
      </c>
      <c r="C270" s="223">
        <v>1</v>
      </c>
      <c r="D270" s="218" t="s">
        <v>1488</v>
      </c>
      <c r="E270" s="240">
        <v>3</v>
      </c>
      <c r="F270" s="226">
        <v>7579.0024050000002</v>
      </c>
      <c r="G270" s="223">
        <v>1981</v>
      </c>
      <c r="H270" s="223">
        <v>1</v>
      </c>
      <c r="I270" s="223">
        <v>1</v>
      </c>
      <c r="J270" s="223"/>
      <c r="K270" s="228">
        <v>178788.6667</v>
      </c>
      <c r="L270" s="241">
        <v>80</v>
      </c>
      <c r="M270" s="229">
        <v>35757.733350000002</v>
      </c>
      <c r="N270" s="230">
        <v>23.59</v>
      </c>
      <c r="O270" s="231">
        <v>35757</v>
      </c>
      <c r="P270" s="315"/>
      <c r="Q270" s="276">
        <f t="shared" si="8"/>
        <v>7579</v>
      </c>
      <c r="R270" s="275">
        <f>(SUMIFS('Dec 31 2018 OFFS'!$AG:$AG,'Dec 31 2018 OFFS'!$AI:$AI,'T1 2019 Pipeline Data Lagasco'!$A270,'Dec 31 2018 OFFS'!$U:$U,'T1 2019 Pipeline Data Lagasco'!$E270,'Dec 31 2018 OFFS'!$AK:$AK,'T1 2019 Pipeline Data Lagasco'!$Q270,'Dec 31 2018 OFFS'!$W:$W,'T1 2019 Pipeline Data Lagasco'!$G270))/(MAX(COUNTIFS('Dec 31 2018 OFFS'!$AI:$AI,'T1 2019 Pipeline Data Lagasco'!$A270,'Dec 31 2018 OFFS'!$U:$U,'T1 2019 Pipeline Data Lagasco'!$E270,'Dec 31 2018 OFFS'!$AK:$AK,'T1 2019 Pipeline Data Lagasco'!$Q270,'Dec 31 2018 OFFS'!$W:$W,'T1 2019 Pipeline Data Lagasco'!$G270),1))</f>
        <v>35757</v>
      </c>
      <c r="S270" s="275">
        <f t="shared" si="9"/>
        <v>0</v>
      </c>
      <c r="T270" s="217"/>
    </row>
    <row r="271" spans="1:20" ht="14.1" customHeight="1">
      <c r="A271" s="224" t="s">
        <v>1494</v>
      </c>
      <c r="B271" s="218" t="s">
        <v>1495</v>
      </c>
      <c r="C271" s="223">
        <v>1</v>
      </c>
      <c r="D271" s="218" t="s">
        <v>1488</v>
      </c>
      <c r="E271" s="240">
        <v>3</v>
      </c>
      <c r="F271" s="226">
        <v>6205.5116310000003</v>
      </c>
      <c r="G271" s="223">
        <v>1985</v>
      </c>
      <c r="H271" s="223">
        <v>1</v>
      </c>
      <c r="I271" s="223">
        <v>1</v>
      </c>
      <c r="J271" s="223"/>
      <c r="K271" s="228">
        <v>146388.01939999999</v>
      </c>
      <c r="L271" s="241">
        <v>80</v>
      </c>
      <c r="M271" s="229">
        <v>29277.603879999999</v>
      </c>
      <c r="N271" s="230">
        <v>23.59</v>
      </c>
      <c r="O271" s="231">
        <v>29277</v>
      </c>
      <c r="P271" s="315"/>
      <c r="Q271" s="276">
        <f t="shared" si="8"/>
        <v>6205.51</v>
      </c>
      <c r="R271" s="275">
        <f>(SUMIFS('Dec 31 2018 OFFS'!$AG:$AG,'Dec 31 2018 OFFS'!$AI:$AI,'T1 2019 Pipeline Data Lagasco'!$A271,'Dec 31 2018 OFFS'!$U:$U,'T1 2019 Pipeline Data Lagasco'!$E271,'Dec 31 2018 OFFS'!$AK:$AK,'T1 2019 Pipeline Data Lagasco'!$Q271,'Dec 31 2018 OFFS'!$W:$W,'T1 2019 Pipeline Data Lagasco'!$G271))/(MAX(COUNTIFS('Dec 31 2018 OFFS'!$AI:$AI,'T1 2019 Pipeline Data Lagasco'!$A271,'Dec 31 2018 OFFS'!$U:$U,'T1 2019 Pipeline Data Lagasco'!$E271,'Dec 31 2018 OFFS'!$AK:$AK,'T1 2019 Pipeline Data Lagasco'!$Q271,'Dec 31 2018 OFFS'!$W:$W,'T1 2019 Pipeline Data Lagasco'!$G271),1))</f>
        <v>29277</v>
      </c>
      <c r="S271" s="275">
        <f t="shared" si="9"/>
        <v>0</v>
      </c>
      <c r="T271" s="217"/>
    </row>
    <row r="272" spans="1:20" ht="14.1" customHeight="1">
      <c r="A272" s="224" t="s">
        <v>1494</v>
      </c>
      <c r="B272" s="218" t="s">
        <v>1495</v>
      </c>
      <c r="C272" s="223">
        <v>1</v>
      </c>
      <c r="D272" s="218" t="s">
        <v>1488</v>
      </c>
      <c r="E272" s="240">
        <v>3</v>
      </c>
      <c r="F272" s="236">
        <v>13426.213519999999</v>
      </c>
      <c r="G272" s="223">
        <v>1982</v>
      </c>
      <c r="H272" s="223">
        <v>1</v>
      </c>
      <c r="I272" s="223">
        <v>1</v>
      </c>
      <c r="J272" s="223"/>
      <c r="K272" s="239">
        <v>316724.37699999998</v>
      </c>
      <c r="L272" s="241">
        <v>80</v>
      </c>
      <c r="M272" s="228">
        <v>63344.875399999997</v>
      </c>
      <c r="N272" s="230">
        <v>23.59</v>
      </c>
      <c r="O272" s="231">
        <v>63344</v>
      </c>
      <c r="P272" s="315"/>
      <c r="Q272" s="276">
        <f t="shared" si="8"/>
        <v>13426.21</v>
      </c>
      <c r="R272" s="275">
        <f>(SUMIFS('Dec 31 2018 OFFS'!$AG:$AG,'Dec 31 2018 OFFS'!$AI:$AI,'T1 2019 Pipeline Data Lagasco'!$A272,'Dec 31 2018 OFFS'!$U:$U,'T1 2019 Pipeline Data Lagasco'!$E272,'Dec 31 2018 OFFS'!$AK:$AK,'T1 2019 Pipeline Data Lagasco'!$Q272,'Dec 31 2018 OFFS'!$W:$W,'T1 2019 Pipeline Data Lagasco'!$G272))/(MAX(COUNTIFS('Dec 31 2018 OFFS'!$AI:$AI,'T1 2019 Pipeline Data Lagasco'!$A272,'Dec 31 2018 OFFS'!$U:$U,'T1 2019 Pipeline Data Lagasco'!$E272,'Dec 31 2018 OFFS'!$AK:$AK,'T1 2019 Pipeline Data Lagasco'!$Q272,'Dec 31 2018 OFFS'!$W:$W,'T1 2019 Pipeline Data Lagasco'!$G272),1))</f>
        <v>63344</v>
      </c>
      <c r="S272" s="275">
        <f t="shared" si="9"/>
        <v>0</v>
      </c>
      <c r="T272" s="217"/>
    </row>
    <row r="273" spans="1:19" s="217" customFormat="1" ht="14.1" customHeight="1">
      <c r="A273" s="224" t="s">
        <v>1494</v>
      </c>
      <c r="B273" s="218" t="s">
        <v>1495</v>
      </c>
      <c r="C273" s="223">
        <v>1</v>
      </c>
      <c r="D273" s="218" t="s">
        <v>1488</v>
      </c>
      <c r="E273" s="240">
        <v>3</v>
      </c>
      <c r="F273" s="226">
        <v>6113.9105840000002</v>
      </c>
      <c r="G273" s="223">
        <v>1977</v>
      </c>
      <c r="H273" s="223">
        <v>1</v>
      </c>
      <c r="I273" s="223">
        <v>1</v>
      </c>
      <c r="J273" s="223"/>
      <c r="K273" s="228">
        <v>144227.1507</v>
      </c>
      <c r="L273" s="241">
        <v>80</v>
      </c>
      <c r="M273" s="229">
        <v>28845.43014</v>
      </c>
      <c r="N273" s="230">
        <v>23.59</v>
      </c>
      <c r="O273" s="231">
        <v>28845</v>
      </c>
      <c r="P273" s="315"/>
      <c r="Q273" s="276">
        <f t="shared" si="8"/>
        <v>6113.91</v>
      </c>
      <c r="R273" s="275">
        <f>(SUMIFS('Dec 31 2018 OFFS'!$AG:$AG,'Dec 31 2018 OFFS'!$AI:$AI,'T1 2019 Pipeline Data Lagasco'!$A273,'Dec 31 2018 OFFS'!$U:$U,'T1 2019 Pipeline Data Lagasco'!$E273,'Dec 31 2018 OFFS'!$AK:$AK,'T1 2019 Pipeline Data Lagasco'!$Q273,'Dec 31 2018 OFFS'!$W:$W,'T1 2019 Pipeline Data Lagasco'!$G273))/(MAX(COUNTIFS('Dec 31 2018 OFFS'!$AI:$AI,'T1 2019 Pipeline Data Lagasco'!$A273,'Dec 31 2018 OFFS'!$U:$U,'T1 2019 Pipeline Data Lagasco'!$E273,'Dec 31 2018 OFFS'!$AK:$AK,'T1 2019 Pipeline Data Lagasco'!$Q273,'Dec 31 2018 OFFS'!$W:$W,'T1 2019 Pipeline Data Lagasco'!$G273),1))</f>
        <v>28845</v>
      </c>
      <c r="S273" s="275">
        <f t="shared" si="9"/>
        <v>0</v>
      </c>
    </row>
    <row r="274" spans="1:19" s="217" customFormat="1" ht="14.1" customHeight="1">
      <c r="A274" s="224" t="s">
        <v>1494</v>
      </c>
      <c r="B274" s="218" t="s">
        <v>1495</v>
      </c>
      <c r="C274" s="223">
        <v>1</v>
      </c>
      <c r="D274" s="218" t="s">
        <v>1488</v>
      </c>
      <c r="E274" s="240">
        <v>3</v>
      </c>
      <c r="F274" s="226">
        <v>2598.0642290000001</v>
      </c>
      <c r="G274" s="223">
        <v>1991</v>
      </c>
      <c r="H274" s="223">
        <v>1</v>
      </c>
      <c r="I274" s="223">
        <v>1</v>
      </c>
      <c r="J274" s="223"/>
      <c r="K274" s="229">
        <v>61288.335169999998</v>
      </c>
      <c r="L274" s="241">
        <v>72</v>
      </c>
      <c r="M274" s="229">
        <v>17160.733850000001</v>
      </c>
      <c r="N274" s="230">
        <v>23.59</v>
      </c>
      <c r="O274" s="231">
        <v>17160</v>
      </c>
      <c r="P274" s="315"/>
      <c r="Q274" s="276">
        <f t="shared" si="8"/>
        <v>2598.06</v>
      </c>
      <c r="R274" s="275">
        <f>(SUMIFS('Dec 31 2018 OFFS'!$AG:$AG,'Dec 31 2018 OFFS'!$AI:$AI,'T1 2019 Pipeline Data Lagasco'!$A274,'Dec 31 2018 OFFS'!$U:$U,'T1 2019 Pipeline Data Lagasco'!$E274,'Dec 31 2018 OFFS'!$AK:$AK,'T1 2019 Pipeline Data Lagasco'!$Q274,'Dec 31 2018 OFFS'!$W:$W,'T1 2019 Pipeline Data Lagasco'!$G274))/(MAX(COUNTIFS('Dec 31 2018 OFFS'!$AI:$AI,'T1 2019 Pipeline Data Lagasco'!$A274,'Dec 31 2018 OFFS'!$U:$U,'T1 2019 Pipeline Data Lagasco'!$E274,'Dec 31 2018 OFFS'!$AK:$AK,'T1 2019 Pipeline Data Lagasco'!$Q274,'Dec 31 2018 OFFS'!$W:$W,'T1 2019 Pipeline Data Lagasco'!$G274),1))</f>
        <v>17160</v>
      </c>
      <c r="S274" s="275">
        <f t="shared" si="9"/>
        <v>0</v>
      </c>
    </row>
    <row r="275" spans="1:19" s="217" customFormat="1" ht="14.1" customHeight="1">
      <c r="A275" s="224" t="s">
        <v>1494</v>
      </c>
      <c r="B275" s="218" t="s">
        <v>1495</v>
      </c>
      <c r="C275" s="223">
        <v>1</v>
      </c>
      <c r="D275" s="218" t="s">
        <v>1488</v>
      </c>
      <c r="E275" s="240">
        <v>3</v>
      </c>
      <c r="F275" s="226">
        <v>3434.7111869999999</v>
      </c>
      <c r="G275" s="223">
        <v>1979</v>
      </c>
      <c r="H275" s="223">
        <v>1</v>
      </c>
      <c r="I275" s="223">
        <v>0</v>
      </c>
      <c r="J275" s="223"/>
      <c r="K275" s="229">
        <v>81024.836890000006</v>
      </c>
      <c r="L275" s="241">
        <v>80</v>
      </c>
      <c r="M275" s="229">
        <v>16204.96738</v>
      </c>
      <c r="N275" s="230">
        <v>23.59</v>
      </c>
      <c r="O275" s="231">
        <v>0</v>
      </c>
      <c r="P275" s="315"/>
      <c r="Q275" s="276">
        <f t="shared" si="8"/>
        <v>3434.71</v>
      </c>
      <c r="R275" s="275">
        <f>(SUMIFS('Dec 31 2018 OFFS'!$AG:$AG,'Dec 31 2018 OFFS'!$AI:$AI,'T1 2019 Pipeline Data Lagasco'!$A275,'Dec 31 2018 OFFS'!$U:$U,'T1 2019 Pipeline Data Lagasco'!$E275,'Dec 31 2018 OFFS'!$AK:$AK,'T1 2019 Pipeline Data Lagasco'!$Q275,'Dec 31 2018 OFFS'!$W:$W,'T1 2019 Pipeline Data Lagasco'!$G275))/(MAX(COUNTIFS('Dec 31 2018 OFFS'!$AI:$AI,'T1 2019 Pipeline Data Lagasco'!$A275,'Dec 31 2018 OFFS'!$U:$U,'T1 2019 Pipeline Data Lagasco'!$E275,'Dec 31 2018 OFFS'!$AK:$AK,'T1 2019 Pipeline Data Lagasco'!$Q275,'Dec 31 2018 OFFS'!$W:$W,'T1 2019 Pipeline Data Lagasco'!$G275),1))</f>
        <v>0</v>
      </c>
      <c r="S275" s="275">
        <f t="shared" si="9"/>
        <v>0</v>
      </c>
    </row>
    <row r="276" spans="1:19" s="217" customFormat="1" ht="14.1" customHeight="1">
      <c r="A276" s="224" t="s">
        <v>1494</v>
      </c>
      <c r="B276" s="218" t="s">
        <v>1495</v>
      </c>
      <c r="C276" s="223">
        <v>1</v>
      </c>
      <c r="D276" s="218" t="s">
        <v>1488</v>
      </c>
      <c r="E276" s="240">
        <v>3</v>
      </c>
      <c r="F276" s="226">
        <v>4801.3778140000004</v>
      </c>
      <c r="G276" s="223">
        <v>1979</v>
      </c>
      <c r="H276" s="223">
        <v>1</v>
      </c>
      <c r="I276" s="223">
        <v>1</v>
      </c>
      <c r="J276" s="223"/>
      <c r="K276" s="228">
        <v>113264.50260000001</v>
      </c>
      <c r="L276" s="241">
        <v>80</v>
      </c>
      <c r="M276" s="229">
        <v>22652.900529999999</v>
      </c>
      <c r="N276" s="230">
        <v>23.59</v>
      </c>
      <c r="O276" s="231">
        <v>22652</v>
      </c>
      <c r="P276" s="315"/>
      <c r="Q276" s="276">
        <f t="shared" si="8"/>
        <v>4801.38</v>
      </c>
      <c r="R276" s="275">
        <f>(SUMIFS('Dec 31 2018 OFFS'!$AG:$AG,'Dec 31 2018 OFFS'!$AI:$AI,'T1 2019 Pipeline Data Lagasco'!$A276,'Dec 31 2018 OFFS'!$U:$U,'T1 2019 Pipeline Data Lagasco'!$E276,'Dec 31 2018 OFFS'!$AK:$AK,'T1 2019 Pipeline Data Lagasco'!$Q276,'Dec 31 2018 OFFS'!$W:$W,'T1 2019 Pipeline Data Lagasco'!$G276))/(MAX(COUNTIFS('Dec 31 2018 OFFS'!$AI:$AI,'T1 2019 Pipeline Data Lagasco'!$A276,'Dec 31 2018 OFFS'!$U:$U,'T1 2019 Pipeline Data Lagasco'!$E276,'Dec 31 2018 OFFS'!$AK:$AK,'T1 2019 Pipeline Data Lagasco'!$Q276,'Dec 31 2018 OFFS'!$W:$W,'T1 2019 Pipeline Data Lagasco'!$G276),1))</f>
        <v>22652</v>
      </c>
      <c r="S276" s="275">
        <f t="shared" si="9"/>
        <v>0</v>
      </c>
    </row>
    <row r="277" spans="1:19" s="217" customFormat="1" ht="14.1" customHeight="1">
      <c r="A277" s="224" t="s">
        <v>1494</v>
      </c>
      <c r="B277" s="218" t="s">
        <v>1495</v>
      </c>
      <c r="C277" s="223">
        <v>1</v>
      </c>
      <c r="D277" s="218" t="s">
        <v>1488</v>
      </c>
      <c r="E277" s="240">
        <v>3</v>
      </c>
      <c r="F277" s="236">
        <v>14924.146549999999</v>
      </c>
      <c r="G277" s="223">
        <v>1979</v>
      </c>
      <c r="H277" s="223">
        <v>1</v>
      </c>
      <c r="I277" s="223">
        <v>1</v>
      </c>
      <c r="J277" s="223"/>
      <c r="K277" s="228">
        <v>352060.61709999997</v>
      </c>
      <c r="L277" s="241">
        <v>80</v>
      </c>
      <c r="M277" s="229">
        <v>70412.123420000004</v>
      </c>
      <c r="N277" s="230">
        <v>23.59</v>
      </c>
      <c r="O277" s="231">
        <v>70412</v>
      </c>
      <c r="P277" s="315"/>
      <c r="Q277" s="276">
        <f t="shared" si="8"/>
        <v>14924.15</v>
      </c>
      <c r="R277" s="275">
        <f>(SUMIFS('Dec 31 2018 OFFS'!$AG:$AG,'Dec 31 2018 OFFS'!$AI:$AI,'T1 2019 Pipeline Data Lagasco'!$A277,'Dec 31 2018 OFFS'!$U:$U,'T1 2019 Pipeline Data Lagasco'!$E277,'Dec 31 2018 OFFS'!$AK:$AK,'T1 2019 Pipeline Data Lagasco'!$Q277,'Dec 31 2018 OFFS'!$W:$W,'T1 2019 Pipeline Data Lagasco'!$G277))/(MAX(COUNTIFS('Dec 31 2018 OFFS'!$AI:$AI,'T1 2019 Pipeline Data Lagasco'!$A277,'Dec 31 2018 OFFS'!$U:$U,'T1 2019 Pipeline Data Lagasco'!$E277,'Dec 31 2018 OFFS'!$AK:$AK,'T1 2019 Pipeline Data Lagasco'!$Q277,'Dec 31 2018 OFFS'!$W:$W,'T1 2019 Pipeline Data Lagasco'!$G277),1))</f>
        <v>70412</v>
      </c>
      <c r="S277" s="275">
        <f t="shared" si="9"/>
        <v>0</v>
      </c>
    </row>
    <row r="278" spans="1:19" s="217" customFormat="1" ht="14.1" customHeight="1">
      <c r="A278" s="224" t="s">
        <v>1494</v>
      </c>
      <c r="B278" s="218" t="s">
        <v>1495</v>
      </c>
      <c r="C278" s="223">
        <v>1</v>
      </c>
      <c r="D278" s="218" t="s">
        <v>1488</v>
      </c>
      <c r="E278" s="240">
        <v>3</v>
      </c>
      <c r="F278" s="226">
        <v>1809.0878740000001</v>
      </c>
      <c r="G278" s="223">
        <v>1979</v>
      </c>
      <c r="H278" s="223">
        <v>1</v>
      </c>
      <c r="I278" s="223">
        <v>1</v>
      </c>
      <c r="J278" s="223"/>
      <c r="K278" s="229">
        <v>42676.382949999999</v>
      </c>
      <c r="L278" s="241">
        <v>80</v>
      </c>
      <c r="M278" s="229">
        <v>8535.2765899999995</v>
      </c>
      <c r="N278" s="230">
        <v>23.59</v>
      </c>
      <c r="O278" s="231">
        <v>8535</v>
      </c>
      <c r="P278" s="315"/>
      <c r="Q278" s="276">
        <f t="shared" si="8"/>
        <v>1809.09</v>
      </c>
      <c r="R278" s="275">
        <f>(SUMIFS('Dec 31 2018 OFFS'!$AG:$AG,'Dec 31 2018 OFFS'!$AI:$AI,'T1 2019 Pipeline Data Lagasco'!$A278,'Dec 31 2018 OFFS'!$U:$U,'T1 2019 Pipeline Data Lagasco'!$E278,'Dec 31 2018 OFFS'!$AK:$AK,'T1 2019 Pipeline Data Lagasco'!$Q278,'Dec 31 2018 OFFS'!$W:$W,'T1 2019 Pipeline Data Lagasco'!$G278))/(MAX(COUNTIFS('Dec 31 2018 OFFS'!$AI:$AI,'T1 2019 Pipeline Data Lagasco'!$A278,'Dec 31 2018 OFFS'!$U:$U,'T1 2019 Pipeline Data Lagasco'!$E278,'Dec 31 2018 OFFS'!$AK:$AK,'T1 2019 Pipeline Data Lagasco'!$Q278,'Dec 31 2018 OFFS'!$W:$W,'T1 2019 Pipeline Data Lagasco'!$G278),1))</f>
        <v>8535</v>
      </c>
      <c r="S278" s="275">
        <f t="shared" si="9"/>
        <v>0</v>
      </c>
    </row>
    <row r="279" spans="1:19" s="217" customFormat="1" ht="14.1" customHeight="1">
      <c r="A279" s="224" t="s">
        <v>1494</v>
      </c>
      <c r="B279" s="218" t="s">
        <v>1495</v>
      </c>
      <c r="C279" s="223">
        <v>1</v>
      </c>
      <c r="D279" s="218" t="s">
        <v>1488</v>
      </c>
      <c r="E279" s="240">
        <v>3</v>
      </c>
      <c r="F279" s="236">
        <v>4801.0497299999997</v>
      </c>
      <c r="G279" s="223">
        <v>1983</v>
      </c>
      <c r="H279" s="223">
        <v>1</v>
      </c>
      <c r="I279" s="223">
        <v>1</v>
      </c>
      <c r="J279" s="223"/>
      <c r="K279" s="228">
        <v>113256.7631</v>
      </c>
      <c r="L279" s="241">
        <v>80</v>
      </c>
      <c r="M279" s="229">
        <v>22651.352620000001</v>
      </c>
      <c r="N279" s="230">
        <v>23.59</v>
      </c>
      <c r="O279" s="231">
        <v>22651</v>
      </c>
      <c r="P279" s="315"/>
      <c r="Q279" s="276">
        <f t="shared" si="8"/>
        <v>4801.05</v>
      </c>
      <c r="R279" s="275">
        <f>(SUMIFS('Dec 31 2018 OFFS'!$AG:$AG,'Dec 31 2018 OFFS'!$AI:$AI,'T1 2019 Pipeline Data Lagasco'!$A279,'Dec 31 2018 OFFS'!$U:$U,'T1 2019 Pipeline Data Lagasco'!$E279,'Dec 31 2018 OFFS'!$AK:$AK,'T1 2019 Pipeline Data Lagasco'!$Q279,'Dec 31 2018 OFFS'!$W:$W,'T1 2019 Pipeline Data Lagasco'!$G279))/(MAX(COUNTIFS('Dec 31 2018 OFFS'!$AI:$AI,'T1 2019 Pipeline Data Lagasco'!$A279,'Dec 31 2018 OFFS'!$U:$U,'T1 2019 Pipeline Data Lagasco'!$E279,'Dec 31 2018 OFFS'!$AK:$AK,'T1 2019 Pipeline Data Lagasco'!$Q279,'Dec 31 2018 OFFS'!$W:$W,'T1 2019 Pipeline Data Lagasco'!$G279),1))</f>
        <v>22651</v>
      </c>
      <c r="S279" s="275">
        <f t="shared" si="9"/>
        <v>0</v>
      </c>
    </row>
    <row r="280" spans="1:19" s="217" customFormat="1" ht="14.1" customHeight="1">
      <c r="A280" s="224" t="s">
        <v>1494</v>
      </c>
      <c r="B280" s="218" t="s">
        <v>1495</v>
      </c>
      <c r="C280" s="223">
        <v>1</v>
      </c>
      <c r="D280" s="218" t="s">
        <v>1488</v>
      </c>
      <c r="E280" s="240">
        <v>3</v>
      </c>
      <c r="F280" s="226">
        <v>1221.9159749999999</v>
      </c>
      <c r="G280" s="223">
        <v>1979</v>
      </c>
      <c r="H280" s="223">
        <v>1</v>
      </c>
      <c r="I280" s="223">
        <v>1</v>
      </c>
      <c r="J280" s="223"/>
      <c r="K280" s="229">
        <v>28824.99785</v>
      </c>
      <c r="L280" s="241">
        <v>80</v>
      </c>
      <c r="M280" s="233">
        <v>5764.9995710000003</v>
      </c>
      <c r="N280" s="230">
        <v>23.59</v>
      </c>
      <c r="O280" s="231">
        <v>5764</v>
      </c>
      <c r="P280" s="315"/>
      <c r="Q280" s="276">
        <f t="shared" si="8"/>
        <v>1221.92</v>
      </c>
      <c r="R280" s="275">
        <f>(SUMIFS('Dec 31 2018 OFFS'!$AG:$AG,'Dec 31 2018 OFFS'!$AI:$AI,'T1 2019 Pipeline Data Lagasco'!$A280,'Dec 31 2018 OFFS'!$U:$U,'T1 2019 Pipeline Data Lagasco'!$E280,'Dec 31 2018 OFFS'!$AK:$AK,'T1 2019 Pipeline Data Lagasco'!$Q280,'Dec 31 2018 OFFS'!$W:$W,'T1 2019 Pipeline Data Lagasco'!$G280))/(MAX(COUNTIFS('Dec 31 2018 OFFS'!$AI:$AI,'T1 2019 Pipeline Data Lagasco'!$A280,'Dec 31 2018 OFFS'!$U:$U,'T1 2019 Pipeline Data Lagasco'!$E280,'Dec 31 2018 OFFS'!$AK:$AK,'T1 2019 Pipeline Data Lagasco'!$Q280,'Dec 31 2018 OFFS'!$W:$W,'T1 2019 Pipeline Data Lagasco'!$G280),1))</f>
        <v>5765</v>
      </c>
      <c r="S280" s="275">
        <f t="shared" si="9"/>
        <v>-1</v>
      </c>
    </row>
    <row r="281" spans="1:19" s="217" customFormat="1" ht="14.1" customHeight="1">
      <c r="A281" s="224" t="s">
        <v>1494</v>
      </c>
      <c r="B281" s="218" t="s">
        <v>1495</v>
      </c>
      <c r="C281" s="223">
        <v>1</v>
      </c>
      <c r="D281" s="218" t="s">
        <v>1488</v>
      </c>
      <c r="E281" s="240">
        <v>3</v>
      </c>
      <c r="F281" s="223">
        <v>4388</v>
      </c>
      <c r="G281" s="223">
        <v>2005</v>
      </c>
      <c r="H281" s="223">
        <v>1</v>
      </c>
      <c r="I281" s="223">
        <v>1</v>
      </c>
      <c r="J281" s="223"/>
      <c r="K281" s="238">
        <v>103512.92</v>
      </c>
      <c r="L281" s="241">
        <v>54</v>
      </c>
      <c r="M281" s="228">
        <v>47615.943200000002</v>
      </c>
      <c r="N281" s="230">
        <v>23.59</v>
      </c>
      <c r="O281" s="231">
        <v>47615</v>
      </c>
      <c r="P281" s="315"/>
      <c r="Q281" s="276">
        <f t="shared" si="8"/>
        <v>4388</v>
      </c>
      <c r="R281" s="275">
        <f>(SUMIFS('Dec 31 2018 OFFS'!$AG:$AG,'Dec 31 2018 OFFS'!$AI:$AI,'T1 2019 Pipeline Data Lagasco'!$A281,'Dec 31 2018 OFFS'!$U:$U,'T1 2019 Pipeline Data Lagasco'!$E281,'Dec 31 2018 OFFS'!$AK:$AK,'T1 2019 Pipeline Data Lagasco'!$Q281,'Dec 31 2018 OFFS'!$W:$W,'T1 2019 Pipeline Data Lagasco'!$G281))/(MAX(COUNTIFS('Dec 31 2018 OFFS'!$AI:$AI,'T1 2019 Pipeline Data Lagasco'!$A281,'Dec 31 2018 OFFS'!$U:$U,'T1 2019 Pipeline Data Lagasco'!$E281,'Dec 31 2018 OFFS'!$AK:$AK,'T1 2019 Pipeline Data Lagasco'!$Q281,'Dec 31 2018 OFFS'!$W:$W,'T1 2019 Pipeline Data Lagasco'!$G281),1))</f>
        <v>47615</v>
      </c>
      <c r="S281" s="275">
        <f t="shared" si="9"/>
        <v>0</v>
      </c>
    </row>
    <row r="282" spans="1:19" s="217" customFormat="1" ht="14.1" customHeight="1">
      <c r="A282" s="224" t="s">
        <v>1494</v>
      </c>
      <c r="B282" s="218" t="s">
        <v>1495</v>
      </c>
      <c r="C282" s="223">
        <v>1</v>
      </c>
      <c r="D282" s="218" t="s">
        <v>1488</v>
      </c>
      <c r="E282" s="240">
        <v>3</v>
      </c>
      <c r="F282" s="226">
        <v>6734.4814319999996</v>
      </c>
      <c r="G282" s="223">
        <v>1980</v>
      </c>
      <c r="H282" s="223">
        <v>1</v>
      </c>
      <c r="I282" s="223">
        <v>1</v>
      </c>
      <c r="J282" s="223"/>
      <c r="K282" s="239">
        <v>158866.41699999999</v>
      </c>
      <c r="L282" s="241">
        <v>80</v>
      </c>
      <c r="M282" s="228">
        <v>31773.2834</v>
      </c>
      <c r="N282" s="230">
        <v>23.59</v>
      </c>
      <c r="O282" s="231">
        <v>31773</v>
      </c>
      <c r="P282" s="315"/>
      <c r="Q282" s="276">
        <f t="shared" si="8"/>
        <v>6734.48</v>
      </c>
      <c r="R282" s="275">
        <f>(SUMIFS('Dec 31 2018 OFFS'!$AG:$AG,'Dec 31 2018 OFFS'!$AI:$AI,'T1 2019 Pipeline Data Lagasco'!$A282,'Dec 31 2018 OFFS'!$U:$U,'T1 2019 Pipeline Data Lagasco'!$E282,'Dec 31 2018 OFFS'!$AK:$AK,'T1 2019 Pipeline Data Lagasco'!$Q282,'Dec 31 2018 OFFS'!$W:$W,'T1 2019 Pipeline Data Lagasco'!$G282))/(MAX(COUNTIFS('Dec 31 2018 OFFS'!$AI:$AI,'T1 2019 Pipeline Data Lagasco'!$A282,'Dec 31 2018 OFFS'!$U:$U,'T1 2019 Pipeline Data Lagasco'!$E282,'Dec 31 2018 OFFS'!$AK:$AK,'T1 2019 Pipeline Data Lagasco'!$Q282,'Dec 31 2018 OFFS'!$W:$W,'T1 2019 Pipeline Data Lagasco'!$G282),1))</f>
        <v>31773</v>
      </c>
      <c r="S282" s="275">
        <f t="shared" si="9"/>
        <v>0</v>
      </c>
    </row>
    <row r="283" spans="1:19" s="217" customFormat="1" ht="14.1" customHeight="1">
      <c r="A283" s="224" t="s">
        <v>1494</v>
      </c>
      <c r="B283" s="218" t="s">
        <v>1495</v>
      </c>
      <c r="C283" s="223">
        <v>1</v>
      </c>
      <c r="D283" s="218" t="s">
        <v>1488</v>
      </c>
      <c r="E283" s="240">
        <v>3</v>
      </c>
      <c r="F283" s="226">
        <v>6515.780651</v>
      </c>
      <c r="G283" s="223">
        <v>1979</v>
      </c>
      <c r="H283" s="223">
        <v>1</v>
      </c>
      <c r="I283" s="223">
        <v>1</v>
      </c>
      <c r="J283" s="223"/>
      <c r="K283" s="228">
        <v>153707.26560000001</v>
      </c>
      <c r="L283" s="241">
        <v>80</v>
      </c>
      <c r="M283" s="229">
        <v>30741.453109999999</v>
      </c>
      <c r="N283" s="230">
        <v>23.59</v>
      </c>
      <c r="O283" s="231">
        <v>30741</v>
      </c>
      <c r="P283" s="315"/>
      <c r="Q283" s="276">
        <f t="shared" si="8"/>
        <v>6515.78</v>
      </c>
      <c r="R283" s="275">
        <f>(SUMIFS('Dec 31 2018 OFFS'!$AG:$AG,'Dec 31 2018 OFFS'!$AI:$AI,'T1 2019 Pipeline Data Lagasco'!$A283,'Dec 31 2018 OFFS'!$U:$U,'T1 2019 Pipeline Data Lagasco'!$E283,'Dec 31 2018 OFFS'!$AK:$AK,'T1 2019 Pipeline Data Lagasco'!$Q283,'Dec 31 2018 OFFS'!$W:$W,'T1 2019 Pipeline Data Lagasco'!$G283))/(MAX(COUNTIFS('Dec 31 2018 OFFS'!$AI:$AI,'T1 2019 Pipeline Data Lagasco'!$A283,'Dec 31 2018 OFFS'!$U:$U,'T1 2019 Pipeline Data Lagasco'!$E283,'Dec 31 2018 OFFS'!$AK:$AK,'T1 2019 Pipeline Data Lagasco'!$Q283,'Dec 31 2018 OFFS'!$W:$W,'T1 2019 Pipeline Data Lagasco'!$G283),1))</f>
        <v>30741</v>
      </c>
      <c r="S283" s="275">
        <f t="shared" si="9"/>
        <v>0</v>
      </c>
    </row>
    <row r="284" spans="1:19" s="217" customFormat="1" ht="14.1" customHeight="1">
      <c r="A284" s="224" t="s">
        <v>1494</v>
      </c>
      <c r="B284" s="218" t="s">
        <v>1495</v>
      </c>
      <c r="C284" s="223">
        <v>1</v>
      </c>
      <c r="D284" s="218" t="s">
        <v>1488</v>
      </c>
      <c r="E284" s="240">
        <v>3</v>
      </c>
      <c r="F284" s="226">
        <v>6132.5129459999998</v>
      </c>
      <c r="G284" s="223">
        <v>1979</v>
      </c>
      <c r="H284" s="223">
        <v>1</v>
      </c>
      <c r="I284" s="223">
        <v>1</v>
      </c>
      <c r="J284" s="223"/>
      <c r="K284" s="228">
        <v>144665.9804</v>
      </c>
      <c r="L284" s="241">
        <v>80</v>
      </c>
      <c r="M284" s="229">
        <v>28933.196080000002</v>
      </c>
      <c r="N284" s="230">
        <v>23.59</v>
      </c>
      <c r="O284" s="231">
        <v>28933</v>
      </c>
      <c r="P284" s="315"/>
      <c r="Q284" s="276">
        <f t="shared" si="8"/>
        <v>6132.51</v>
      </c>
      <c r="R284" s="275">
        <f>(SUMIFS('Dec 31 2018 OFFS'!$AG:$AG,'Dec 31 2018 OFFS'!$AI:$AI,'T1 2019 Pipeline Data Lagasco'!$A284,'Dec 31 2018 OFFS'!$U:$U,'T1 2019 Pipeline Data Lagasco'!$E284,'Dec 31 2018 OFFS'!$AK:$AK,'T1 2019 Pipeline Data Lagasco'!$Q284,'Dec 31 2018 OFFS'!$W:$W,'T1 2019 Pipeline Data Lagasco'!$G284))/(MAX(COUNTIFS('Dec 31 2018 OFFS'!$AI:$AI,'T1 2019 Pipeline Data Lagasco'!$A284,'Dec 31 2018 OFFS'!$U:$U,'T1 2019 Pipeline Data Lagasco'!$E284,'Dec 31 2018 OFFS'!$AK:$AK,'T1 2019 Pipeline Data Lagasco'!$Q284,'Dec 31 2018 OFFS'!$W:$W,'T1 2019 Pipeline Data Lagasco'!$G284),1))</f>
        <v>28933</v>
      </c>
      <c r="S284" s="275">
        <f t="shared" si="9"/>
        <v>0</v>
      </c>
    </row>
    <row r="285" spans="1:19" s="217" customFormat="1" ht="14.1" customHeight="1">
      <c r="A285" s="224" t="s">
        <v>1494</v>
      </c>
      <c r="B285" s="218" t="s">
        <v>1495</v>
      </c>
      <c r="C285" s="223">
        <v>1</v>
      </c>
      <c r="D285" s="218" t="s">
        <v>1488</v>
      </c>
      <c r="E285" s="240">
        <v>3</v>
      </c>
      <c r="F285" s="226">
        <v>7210.1703950000001</v>
      </c>
      <c r="G285" s="223">
        <v>1980</v>
      </c>
      <c r="H285" s="223">
        <v>1</v>
      </c>
      <c r="I285" s="223">
        <v>1</v>
      </c>
      <c r="J285" s="223"/>
      <c r="K285" s="228">
        <v>170087.91959999999</v>
      </c>
      <c r="L285" s="241">
        <v>80</v>
      </c>
      <c r="M285" s="229">
        <v>34017.583919999997</v>
      </c>
      <c r="N285" s="230">
        <v>23.59</v>
      </c>
      <c r="O285" s="231">
        <v>34017</v>
      </c>
      <c r="P285" s="315"/>
      <c r="Q285" s="276">
        <f t="shared" si="8"/>
        <v>7210.17</v>
      </c>
      <c r="R285" s="275">
        <f>(SUMIFS('Dec 31 2018 OFFS'!$AG:$AG,'Dec 31 2018 OFFS'!$AI:$AI,'T1 2019 Pipeline Data Lagasco'!$A285,'Dec 31 2018 OFFS'!$U:$U,'T1 2019 Pipeline Data Lagasco'!$E285,'Dec 31 2018 OFFS'!$AK:$AK,'T1 2019 Pipeline Data Lagasco'!$Q285,'Dec 31 2018 OFFS'!$W:$W,'T1 2019 Pipeline Data Lagasco'!$G285))/(MAX(COUNTIFS('Dec 31 2018 OFFS'!$AI:$AI,'T1 2019 Pipeline Data Lagasco'!$A285,'Dec 31 2018 OFFS'!$U:$U,'T1 2019 Pipeline Data Lagasco'!$E285,'Dec 31 2018 OFFS'!$AK:$AK,'T1 2019 Pipeline Data Lagasco'!$Q285,'Dec 31 2018 OFFS'!$W:$W,'T1 2019 Pipeline Data Lagasco'!$G285),1))</f>
        <v>34017</v>
      </c>
      <c r="S285" s="275">
        <f t="shared" si="9"/>
        <v>0</v>
      </c>
    </row>
    <row r="286" spans="1:19" s="217" customFormat="1" ht="14.1" customHeight="1">
      <c r="A286" s="224" t="s">
        <v>1494</v>
      </c>
      <c r="B286" s="218" t="s">
        <v>1495</v>
      </c>
      <c r="C286" s="223">
        <v>1</v>
      </c>
      <c r="D286" s="218" t="s">
        <v>1488</v>
      </c>
      <c r="E286" s="240">
        <v>3</v>
      </c>
      <c r="F286" s="226">
        <v>7067.2570130000004</v>
      </c>
      <c r="G286" s="223">
        <v>1980</v>
      </c>
      <c r="H286" s="223">
        <v>1</v>
      </c>
      <c r="I286" s="223">
        <v>1</v>
      </c>
      <c r="J286" s="223"/>
      <c r="K286" s="228">
        <v>166716.59289999999</v>
      </c>
      <c r="L286" s="241">
        <v>80</v>
      </c>
      <c r="M286" s="229">
        <v>33343.318590000003</v>
      </c>
      <c r="N286" s="230">
        <v>23.59</v>
      </c>
      <c r="O286" s="231">
        <v>33343</v>
      </c>
      <c r="P286" s="315"/>
      <c r="Q286" s="276">
        <f t="shared" si="8"/>
        <v>7067.26</v>
      </c>
      <c r="R286" s="275">
        <f>(SUMIFS('Dec 31 2018 OFFS'!$AG:$AG,'Dec 31 2018 OFFS'!$AI:$AI,'T1 2019 Pipeline Data Lagasco'!$A286,'Dec 31 2018 OFFS'!$U:$U,'T1 2019 Pipeline Data Lagasco'!$E286,'Dec 31 2018 OFFS'!$AK:$AK,'T1 2019 Pipeline Data Lagasco'!$Q286,'Dec 31 2018 OFFS'!$W:$W,'T1 2019 Pipeline Data Lagasco'!$G286))/(MAX(COUNTIFS('Dec 31 2018 OFFS'!$AI:$AI,'T1 2019 Pipeline Data Lagasco'!$A286,'Dec 31 2018 OFFS'!$U:$U,'T1 2019 Pipeline Data Lagasco'!$E286,'Dec 31 2018 OFFS'!$AK:$AK,'T1 2019 Pipeline Data Lagasco'!$Q286,'Dec 31 2018 OFFS'!$W:$W,'T1 2019 Pipeline Data Lagasco'!$G286),1))</f>
        <v>33343</v>
      </c>
      <c r="S286" s="275">
        <f t="shared" si="9"/>
        <v>0</v>
      </c>
    </row>
    <row r="287" spans="1:19" s="217" customFormat="1" ht="14.1" customHeight="1">
      <c r="A287" s="224" t="s">
        <v>1494</v>
      </c>
      <c r="B287" s="218" t="s">
        <v>1495</v>
      </c>
      <c r="C287" s="223">
        <v>1</v>
      </c>
      <c r="D287" s="218" t="s">
        <v>1488</v>
      </c>
      <c r="E287" s="240">
        <v>3</v>
      </c>
      <c r="F287" s="223">
        <v>3870</v>
      </c>
      <c r="G287" s="223">
        <v>2004</v>
      </c>
      <c r="H287" s="223">
        <v>1</v>
      </c>
      <c r="I287" s="223">
        <v>1</v>
      </c>
      <c r="J287" s="223"/>
      <c r="K287" s="237">
        <v>91293.30</v>
      </c>
      <c r="L287" s="241">
        <v>56</v>
      </c>
      <c r="M287" s="239">
        <v>40169.052000000003</v>
      </c>
      <c r="N287" s="230">
        <v>23.59</v>
      </c>
      <c r="O287" s="231">
        <v>40169</v>
      </c>
      <c r="P287" s="315"/>
      <c r="Q287" s="276">
        <f t="shared" si="8"/>
        <v>3870</v>
      </c>
      <c r="R287" s="275">
        <f>(SUMIFS('Dec 31 2018 OFFS'!$AG:$AG,'Dec 31 2018 OFFS'!$AI:$AI,'T1 2019 Pipeline Data Lagasco'!$A287,'Dec 31 2018 OFFS'!$U:$U,'T1 2019 Pipeline Data Lagasco'!$E287,'Dec 31 2018 OFFS'!$AK:$AK,'T1 2019 Pipeline Data Lagasco'!$Q287,'Dec 31 2018 OFFS'!$W:$W,'T1 2019 Pipeline Data Lagasco'!$G287))/(MAX(COUNTIFS('Dec 31 2018 OFFS'!$AI:$AI,'T1 2019 Pipeline Data Lagasco'!$A287,'Dec 31 2018 OFFS'!$U:$U,'T1 2019 Pipeline Data Lagasco'!$E287,'Dec 31 2018 OFFS'!$AK:$AK,'T1 2019 Pipeline Data Lagasco'!$Q287,'Dec 31 2018 OFFS'!$W:$W,'T1 2019 Pipeline Data Lagasco'!$G287),1))</f>
        <v>40169</v>
      </c>
      <c r="S287" s="275">
        <f t="shared" si="9"/>
        <v>0</v>
      </c>
    </row>
    <row r="288" spans="1:19" s="217" customFormat="1" ht="14.1" customHeight="1">
      <c r="A288" s="224" t="s">
        <v>1494</v>
      </c>
      <c r="B288" s="218" t="s">
        <v>1495</v>
      </c>
      <c r="C288" s="223">
        <v>1</v>
      </c>
      <c r="D288" s="218" t="s">
        <v>1488</v>
      </c>
      <c r="E288" s="240">
        <v>3</v>
      </c>
      <c r="F288" s="226">
        <v>5531.2990520000003</v>
      </c>
      <c r="G288" s="223">
        <v>1982</v>
      </c>
      <c r="H288" s="223">
        <v>1</v>
      </c>
      <c r="I288" s="223">
        <v>1</v>
      </c>
      <c r="J288" s="223"/>
      <c r="K288" s="228">
        <v>130483.3446</v>
      </c>
      <c r="L288" s="241">
        <v>80</v>
      </c>
      <c r="M288" s="229">
        <v>26096.66893</v>
      </c>
      <c r="N288" s="230">
        <v>23.59</v>
      </c>
      <c r="O288" s="231">
        <v>26096</v>
      </c>
      <c r="P288" s="315"/>
      <c r="Q288" s="276">
        <f t="shared" si="8"/>
        <v>5531.30</v>
      </c>
      <c r="R288" s="275">
        <f>(SUMIFS('Dec 31 2018 OFFS'!$AG:$AG,'Dec 31 2018 OFFS'!$AI:$AI,'T1 2019 Pipeline Data Lagasco'!$A288,'Dec 31 2018 OFFS'!$U:$U,'T1 2019 Pipeline Data Lagasco'!$E288,'Dec 31 2018 OFFS'!$AK:$AK,'T1 2019 Pipeline Data Lagasco'!$Q288,'Dec 31 2018 OFFS'!$W:$W,'T1 2019 Pipeline Data Lagasco'!$G288))/(MAX(COUNTIFS('Dec 31 2018 OFFS'!$AI:$AI,'T1 2019 Pipeline Data Lagasco'!$A288,'Dec 31 2018 OFFS'!$U:$U,'T1 2019 Pipeline Data Lagasco'!$E288,'Dec 31 2018 OFFS'!$AK:$AK,'T1 2019 Pipeline Data Lagasco'!$Q288,'Dec 31 2018 OFFS'!$W:$W,'T1 2019 Pipeline Data Lagasco'!$G288),1))</f>
        <v>26096</v>
      </c>
      <c r="S288" s="275">
        <f t="shared" si="9"/>
        <v>0</v>
      </c>
    </row>
    <row r="289" spans="1:19" s="217" customFormat="1" ht="14.1" customHeight="1">
      <c r="A289" s="224" t="s">
        <v>1494</v>
      </c>
      <c r="B289" s="218" t="s">
        <v>1495</v>
      </c>
      <c r="C289" s="223">
        <v>1</v>
      </c>
      <c r="D289" s="218" t="s">
        <v>1488</v>
      </c>
      <c r="E289" s="240">
        <v>3</v>
      </c>
      <c r="F289" s="223">
        <v>7745</v>
      </c>
      <c r="G289" s="223">
        <v>2005</v>
      </c>
      <c r="H289" s="223">
        <v>1</v>
      </c>
      <c r="I289" s="223">
        <v>1</v>
      </c>
      <c r="J289" s="223"/>
      <c r="K289" s="238">
        <v>182704.55</v>
      </c>
      <c r="L289" s="241">
        <v>54</v>
      </c>
      <c r="M289" s="239">
        <v>84044.092999999993</v>
      </c>
      <c r="N289" s="230">
        <v>23.59</v>
      </c>
      <c r="O289" s="231">
        <v>84044</v>
      </c>
      <c r="P289" s="315"/>
      <c r="Q289" s="276">
        <f t="shared" si="8"/>
        <v>7745</v>
      </c>
      <c r="R289" s="275">
        <f>(SUMIFS('Dec 31 2018 OFFS'!$AG:$AG,'Dec 31 2018 OFFS'!$AI:$AI,'T1 2019 Pipeline Data Lagasco'!$A289,'Dec 31 2018 OFFS'!$U:$U,'T1 2019 Pipeline Data Lagasco'!$E289,'Dec 31 2018 OFFS'!$AK:$AK,'T1 2019 Pipeline Data Lagasco'!$Q289,'Dec 31 2018 OFFS'!$W:$W,'T1 2019 Pipeline Data Lagasco'!$G289))/(MAX(COUNTIFS('Dec 31 2018 OFFS'!$AI:$AI,'T1 2019 Pipeline Data Lagasco'!$A289,'Dec 31 2018 OFFS'!$U:$U,'T1 2019 Pipeline Data Lagasco'!$E289,'Dec 31 2018 OFFS'!$AK:$AK,'T1 2019 Pipeline Data Lagasco'!$Q289,'Dec 31 2018 OFFS'!$W:$W,'T1 2019 Pipeline Data Lagasco'!$G289),1))</f>
        <v>84044</v>
      </c>
      <c r="S289" s="275">
        <f t="shared" si="9"/>
        <v>0</v>
      </c>
    </row>
    <row r="290" spans="1:19" s="217" customFormat="1" ht="14.1" customHeight="1">
      <c r="A290" s="224" t="s">
        <v>1494</v>
      </c>
      <c r="B290" s="218" t="s">
        <v>1495</v>
      </c>
      <c r="C290" s="223">
        <v>1</v>
      </c>
      <c r="D290" s="218" t="s">
        <v>1488</v>
      </c>
      <c r="E290" s="240">
        <v>3</v>
      </c>
      <c r="F290" s="223">
        <v>7463</v>
      </c>
      <c r="G290" s="223">
        <v>2005</v>
      </c>
      <c r="H290" s="223">
        <v>1</v>
      </c>
      <c r="I290" s="223">
        <v>1</v>
      </c>
      <c r="J290" s="223"/>
      <c r="K290" s="238">
        <v>176052.17</v>
      </c>
      <c r="L290" s="241">
        <v>54</v>
      </c>
      <c r="M290" s="228">
        <v>80983.998200000002</v>
      </c>
      <c r="N290" s="230">
        <v>23.59</v>
      </c>
      <c r="O290" s="231">
        <v>80983</v>
      </c>
      <c r="P290" s="315"/>
      <c r="Q290" s="276">
        <f t="shared" si="8"/>
        <v>7463</v>
      </c>
      <c r="R290" s="275">
        <f>(SUMIFS('Dec 31 2018 OFFS'!$AG:$AG,'Dec 31 2018 OFFS'!$AI:$AI,'T1 2019 Pipeline Data Lagasco'!$A290,'Dec 31 2018 OFFS'!$U:$U,'T1 2019 Pipeline Data Lagasco'!$E290,'Dec 31 2018 OFFS'!$AK:$AK,'T1 2019 Pipeline Data Lagasco'!$Q290,'Dec 31 2018 OFFS'!$W:$W,'T1 2019 Pipeline Data Lagasco'!$G290))/(MAX(COUNTIFS('Dec 31 2018 OFFS'!$AI:$AI,'T1 2019 Pipeline Data Lagasco'!$A290,'Dec 31 2018 OFFS'!$U:$U,'T1 2019 Pipeline Data Lagasco'!$E290,'Dec 31 2018 OFFS'!$AK:$AK,'T1 2019 Pipeline Data Lagasco'!$Q290,'Dec 31 2018 OFFS'!$W:$W,'T1 2019 Pipeline Data Lagasco'!$G290),1))</f>
        <v>80984</v>
      </c>
      <c r="S290" s="275">
        <f t="shared" si="9"/>
        <v>-1</v>
      </c>
    </row>
    <row r="291" spans="1:19" s="217" customFormat="1" ht="14.1" customHeight="1">
      <c r="A291" s="224" t="s">
        <v>1494</v>
      </c>
      <c r="B291" s="218" t="s">
        <v>1495</v>
      </c>
      <c r="C291" s="223">
        <v>1</v>
      </c>
      <c r="D291" s="218" t="s">
        <v>1488</v>
      </c>
      <c r="E291" s="240">
        <v>3</v>
      </c>
      <c r="F291" s="223">
        <v>5691</v>
      </c>
      <c r="G291" s="223">
        <v>2005</v>
      </c>
      <c r="H291" s="223">
        <v>1</v>
      </c>
      <c r="I291" s="223">
        <v>1</v>
      </c>
      <c r="J291" s="223"/>
      <c r="K291" s="238">
        <v>134250.69</v>
      </c>
      <c r="L291" s="241">
        <v>54</v>
      </c>
      <c r="M291" s="228">
        <v>61755.3174</v>
      </c>
      <c r="N291" s="230">
        <v>23.59</v>
      </c>
      <c r="O291" s="231">
        <v>61755</v>
      </c>
      <c r="P291" s="315"/>
      <c r="Q291" s="276">
        <f t="shared" si="8"/>
        <v>5691</v>
      </c>
      <c r="R291" s="275">
        <f>(SUMIFS('Dec 31 2018 OFFS'!$AG:$AG,'Dec 31 2018 OFFS'!$AI:$AI,'T1 2019 Pipeline Data Lagasco'!$A291,'Dec 31 2018 OFFS'!$U:$U,'T1 2019 Pipeline Data Lagasco'!$E291,'Dec 31 2018 OFFS'!$AK:$AK,'T1 2019 Pipeline Data Lagasco'!$Q291,'Dec 31 2018 OFFS'!$W:$W,'T1 2019 Pipeline Data Lagasco'!$G291))/(MAX(COUNTIFS('Dec 31 2018 OFFS'!$AI:$AI,'T1 2019 Pipeline Data Lagasco'!$A291,'Dec 31 2018 OFFS'!$U:$U,'T1 2019 Pipeline Data Lagasco'!$E291,'Dec 31 2018 OFFS'!$AK:$AK,'T1 2019 Pipeline Data Lagasco'!$Q291,'Dec 31 2018 OFFS'!$W:$W,'T1 2019 Pipeline Data Lagasco'!$G291),1))</f>
        <v>61755</v>
      </c>
      <c r="S291" s="275">
        <f t="shared" si="9"/>
        <v>0</v>
      </c>
    </row>
    <row r="292" spans="1:19" s="217" customFormat="1" ht="14.1" customHeight="1">
      <c r="A292" s="224" t="s">
        <v>1494</v>
      </c>
      <c r="B292" s="218" t="s">
        <v>1495</v>
      </c>
      <c r="C292" s="223">
        <v>1</v>
      </c>
      <c r="D292" s="218" t="s">
        <v>1488</v>
      </c>
      <c r="E292" s="240">
        <v>3</v>
      </c>
      <c r="F292" s="226">
        <v>3640.5510760000002</v>
      </c>
      <c r="G292" s="223">
        <v>1982</v>
      </c>
      <c r="H292" s="223">
        <v>1</v>
      </c>
      <c r="I292" s="223">
        <v>1</v>
      </c>
      <c r="J292" s="223"/>
      <c r="K292" s="229">
        <v>85880.599879999994</v>
      </c>
      <c r="L292" s="241">
        <v>80</v>
      </c>
      <c r="M292" s="229">
        <v>17176.119979999999</v>
      </c>
      <c r="N292" s="230">
        <v>23.59</v>
      </c>
      <c r="O292" s="231">
        <v>17176</v>
      </c>
      <c r="P292" s="315"/>
      <c r="Q292" s="276">
        <f t="shared" si="8"/>
        <v>3640.55</v>
      </c>
      <c r="R292" s="275">
        <f>(SUMIFS('Dec 31 2018 OFFS'!$AG:$AG,'Dec 31 2018 OFFS'!$AI:$AI,'T1 2019 Pipeline Data Lagasco'!$A292,'Dec 31 2018 OFFS'!$U:$U,'T1 2019 Pipeline Data Lagasco'!$E292,'Dec 31 2018 OFFS'!$AK:$AK,'T1 2019 Pipeline Data Lagasco'!$Q292,'Dec 31 2018 OFFS'!$W:$W,'T1 2019 Pipeline Data Lagasco'!$G292))/(MAX(COUNTIFS('Dec 31 2018 OFFS'!$AI:$AI,'T1 2019 Pipeline Data Lagasco'!$A292,'Dec 31 2018 OFFS'!$U:$U,'T1 2019 Pipeline Data Lagasco'!$E292,'Dec 31 2018 OFFS'!$AK:$AK,'T1 2019 Pipeline Data Lagasco'!$Q292,'Dec 31 2018 OFFS'!$W:$W,'T1 2019 Pipeline Data Lagasco'!$G292),1))</f>
        <v>17176</v>
      </c>
      <c r="S292" s="275">
        <f t="shared" si="9"/>
        <v>0</v>
      </c>
    </row>
    <row r="293" spans="1:19" s="217" customFormat="1" ht="14.1" customHeight="1">
      <c r="A293" s="224" t="s">
        <v>1494</v>
      </c>
      <c r="B293" s="218" t="s">
        <v>1495</v>
      </c>
      <c r="C293" s="223">
        <v>1</v>
      </c>
      <c r="D293" s="218" t="s">
        <v>1488</v>
      </c>
      <c r="E293" s="240">
        <v>3</v>
      </c>
      <c r="F293" s="226">
        <v>1337.795237</v>
      </c>
      <c r="G293" s="223">
        <v>1980</v>
      </c>
      <c r="H293" s="223">
        <v>1</v>
      </c>
      <c r="I293" s="223">
        <v>1</v>
      </c>
      <c r="J293" s="223"/>
      <c r="K293" s="229">
        <v>31558.589639999998</v>
      </c>
      <c r="L293" s="241">
        <v>80</v>
      </c>
      <c r="M293" s="233">
        <v>6311.7179269999997</v>
      </c>
      <c r="N293" s="230">
        <v>23.59</v>
      </c>
      <c r="O293" s="231">
        <v>6311</v>
      </c>
      <c r="P293" s="315"/>
      <c r="Q293" s="276">
        <f t="shared" si="8"/>
        <v>1337.80</v>
      </c>
      <c r="R293" s="275">
        <f>(SUMIFS('Dec 31 2018 OFFS'!$AG:$AG,'Dec 31 2018 OFFS'!$AI:$AI,'T1 2019 Pipeline Data Lagasco'!$A293,'Dec 31 2018 OFFS'!$U:$U,'T1 2019 Pipeline Data Lagasco'!$E293,'Dec 31 2018 OFFS'!$AK:$AK,'T1 2019 Pipeline Data Lagasco'!$Q293,'Dec 31 2018 OFFS'!$W:$W,'T1 2019 Pipeline Data Lagasco'!$G293))/(MAX(COUNTIFS('Dec 31 2018 OFFS'!$AI:$AI,'T1 2019 Pipeline Data Lagasco'!$A293,'Dec 31 2018 OFFS'!$U:$U,'T1 2019 Pipeline Data Lagasco'!$E293,'Dec 31 2018 OFFS'!$AK:$AK,'T1 2019 Pipeline Data Lagasco'!$Q293,'Dec 31 2018 OFFS'!$W:$W,'T1 2019 Pipeline Data Lagasco'!$G293),1))</f>
        <v>6311</v>
      </c>
      <c r="S293" s="275">
        <f t="shared" si="9"/>
        <v>0</v>
      </c>
    </row>
    <row r="294" spans="1:19" s="217" customFormat="1" ht="14.1" customHeight="1">
      <c r="A294" s="224" t="s">
        <v>1494</v>
      </c>
      <c r="B294" s="218" t="s">
        <v>1495</v>
      </c>
      <c r="C294" s="223">
        <v>1</v>
      </c>
      <c r="D294" s="218" t="s">
        <v>1488</v>
      </c>
      <c r="E294" s="240">
        <v>3</v>
      </c>
      <c r="F294" s="223">
        <v>5122</v>
      </c>
      <c r="G294" s="223">
        <v>2004</v>
      </c>
      <c r="H294" s="223">
        <v>1</v>
      </c>
      <c r="I294" s="223">
        <v>1</v>
      </c>
      <c r="J294" s="223"/>
      <c r="K294" s="238">
        <v>120827.98</v>
      </c>
      <c r="L294" s="241">
        <v>56</v>
      </c>
      <c r="M294" s="228">
        <v>53164.311199999996</v>
      </c>
      <c r="N294" s="230">
        <v>23.59</v>
      </c>
      <c r="O294" s="231">
        <v>53164</v>
      </c>
      <c r="P294" s="315"/>
      <c r="Q294" s="276">
        <f t="shared" si="8"/>
        <v>5122</v>
      </c>
      <c r="R294" s="275">
        <f>(SUMIFS('Dec 31 2018 OFFS'!$AG:$AG,'Dec 31 2018 OFFS'!$AI:$AI,'T1 2019 Pipeline Data Lagasco'!$A294,'Dec 31 2018 OFFS'!$U:$U,'T1 2019 Pipeline Data Lagasco'!$E294,'Dec 31 2018 OFFS'!$AK:$AK,'T1 2019 Pipeline Data Lagasco'!$Q294,'Dec 31 2018 OFFS'!$W:$W,'T1 2019 Pipeline Data Lagasco'!$G294))/(MAX(COUNTIFS('Dec 31 2018 OFFS'!$AI:$AI,'T1 2019 Pipeline Data Lagasco'!$A294,'Dec 31 2018 OFFS'!$U:$U,'T1 2019 Pipeline Data Lagasco'!$E294,'Dec 31 2018 OFFS'!$AK:$AK,'T1 2019 Pipeline Data Lagasco'!$Q294,'Dec 31 2018 OFFS'!$W:$W,'T1 2019 Pipeline Data Lagasco'!$G294),1))</f>
        <v>53164</v>
      </c>
      <c r="S294" s="275">
        <f t="shared" si="9"/>
        <v>0</v>
      </c>
    </row>
    <row r="295" spans="1:19" s="217" customFormat="1" ht="14.1" customHeight="1">
      <c r="A295" s="224" t="s">
        <v>1494</v>
      </c>
      <c r="B295" s="218" t="s">
        <v>1495</v>
      </c>
      <c r="C295" s="223">
        <v>1</v>
      </c>
      <c r="D295" s="218" t="s">
        <v>1488</v>
      </c>
      <c r="E295" s="240">
        <v>3</v>
      </c>
      <c r="F295" s="226">
        <v>7826.8042349999996</v>
      </c>
      <c r="G295" s="223">
        <v>1985</v>
      </c>
      <c r="H295" s="223">
        <v>1</v>
      </c>
      <c r="I295" s="223">
        <v>1</v>
      </c>
      <c r="J295" s="223"/>
      <c r="K295" s="228">
        <v>184634.3119</v>
      </c>
      <c r="L295" s="241">
        <v>80</v>
      </c>
      <c r="M295" s="229">
        <v>36926.862379999999</v>
      </c>
      <c r="N295" s="230">
        <v>23.59</v>
      </c>
      <c r="O295" s="231">
        <v>36926</v>
      </c>
      <c r="P295" s="315"/>
      <c r="Q295" s="276">
        <f t="shared" si="8"/>
        <v>7826.80</v>
      </c>
      <c r="R295" s="275">
        <f>(SUMIFS('Dec 31 2018 OFFS'!$AG:$AG,'Dec 31 2018 OFFS'!$AI:$AI,'T1 2019 Pipeline Data Lagasco'!$A295,'Dec 31 2018 OFFS'!$U:$U,'T1 2019 Pipeline Data Lagasco'!$E295,'Dec 31 2018 OFFS'!$AK:$AK,'T1 2019 Pipeline Data Lagasco'!$Q295,'Dec 31 2018 OFFS'!$W:$W,'T1 2019 Pipeline Data Lagasco'!$G295))/(MAX(COUNTIFS('Dec 31 2018 OFFS'!$AI:$AI,'T1 2019 Pipeline Data Lagasco'!$A295,'Dec 31 2018 OFFS'!$U:$U,'T1 2019 Pipeline Data Lagasco'!$E295,'Dec 31 2018 OFFS'!$AK:$AK,'T1 2019 Pipeline Data Lagasco'!$Q295,'Dec 31 2018 OFFS'!$W:$W,'T1 2019 Pipeline Data Lagasco'!$G295),1))</f>
        <v>36926</v>
      </c>
      <c r="S295" s="275">
        <f t="shared" si="9"/>
        <v>0</v>
      </c>
    </row>
    <row r="296" spans="1:19" s="217" customFormat="1" ht="14.1" customHeight="1">
      <c r="A296" s="224" t="s">
        <v>1494</v>
      </c>
      <c r="B296" s="218" t="s">
        <v>1495</v>
      </c>
      <c r="C296" s="223">
        <v>1</v>
      </c>
      <c r="D296" s="218" t="s">
        <v>1488</v>
      </c>
      <c r="E296" s="240">
        <v>3</v>
      </c>
      <c r="F296" s="236">
        <v>3827.0340099999999</v>
      </c>
      <c r="G296" s="223">
        <v>1985</v>
      </c>
      <c r="H296" s="223">
        <v>1</v>
      </c>
      <c r="I296" s="223">
        <v>1</v>
      </c>
      <c r="J296" s="223"/>
      <c r="K296" s="229">
        <v>90279.73229</v>
      </c>
      <c r="L296" s="241">
        <v>80</v>
      </c>
      <c r="M296" s="229">
        <v>18055.946459999999</v>
      </c>
      <c r="N296" s="230">
        <v>23.59</v>
      </c>
      <c r="O296" s="231">
        <v>18055</v>
      </c>
      <c r="P296" s="315"/>
      <c r="Q296" s="276">
        <f t="shared" si="8"/>
        <v>3827.03</v>
      </c>
      <c r="R296" s="275">
        <f>(SUMIFS('Dec 31 2018 OFFS'!$AG:$AG,'Dec 31 2018 OFFS'!$AI:$AI,'T1 2019 Pipeline Data Lagasco'!$A296,'Dec 31 2018 OFFS'!$U:$U,'T1 2019 Pipeline Data Lagasco'!$E296,'Dec 31 2018 OFFS'!$AK:$AK,'T1 2019 Pipeline Data Lagasco'!$Q296,'Dec 31 2018 OFFS'!$W:$W,'T1 2019 Pipeline Data Lagasco'!$G296))/(MAX(COUNTIFS('Dec 31 2018 OFFS'!$AI:$AI,'T1 2019 Pipeline Data Lagasco'!$A296,'Dec 31 2018 OFFS'!$U:$U,'T1 2019 Pipeline Data Lagasco'!$E296,'Dec 31 2018 OFFS'!$AK:$AK,'T1 2019 Pipeline Data Lagasco'!$Q296,'Dec 31 2018 OFFS'!$W:$W,'T1 2019 Pipeline Data Lagasco'!$G296),1))</f>
        <v>18055</v>
      </c>
      <c r="S296" s="275">
        <f t="shared" si="9"/>
        <v>0</v>
      </c>
    </row>
    <row r="297" spans="1:19" s="217" customFormat="1" ht="14.1" customHeight="1">
      <c r="A297" s="224" t="s">
        <v>1494</v>
      </c>
      <c r="B297" s="218" t="s">
        <v>1495</v>
      </c>
      <c r="C297" s="223">
        <v>1</v>
      </c>
      <c r="D297" s="218" t="s">
        <v>1488</v>
      </c>
      <c r="E297" s="240">
        <v>3</v>
      </c>
      <c r="F297" s="223">
        <v>5178</v>
      </c>
      <c r="G297" s="223">
        <v>2006</v>
      </c>
      <c r="H297" s="223">
        <v>1</v>
      </c>
      <c r="I297" s="223">
        <v>1</v>
      </c>
      <c r="J297" s="223"/>
      <c r="K297" s="238">
        <v>122149.02</v>
      </c>
      <c r="L297" s="241">
        <v>52</v>
      </c>
      <c r="M297" s="228">
        <v>58631.529600000002</v>
      </c>
      <c r="N297" s="230">
        <v>23.59</v>
      </c>
      <c r="O297" s="231">
        <v>58631</v>
      </c>
      <c r="P297" s="315"/>
      <c r="Q297" s="276">
        <f t="shared" si="8"/>
        <v>5178</v>
      </c>
      <c r="R297" s="275">
        <f>(SUMIFS('Dec 31 2018 OFFS'!$AG:$AG,'Dec 31 2018 OFFS'!$AI:$AI,'T1 2019 Pipeline Data Lagasco'!$A297,'Dec 31 2018 OFFS'!$U:$U,'T1 2019 Pipeline Data Lagasco'!$E297,'Dec 31 2018 OFFS'!$AK:$AK,'T1 2019 Pipeline Data Lagasco'!$Q297,'Dec 31 2018 OFFS'!$W:$W,'T1 2019 Pipeline Data Lagasco'!$G297))/(MAX(COUNTIFS('Dec 31 2018 OFFS'!$AI:$AI,'T1 2019 Pipeline Data Lagasco'!$A297,'Dec 31 2018 OFFS'!$U:$U,'T1 2019 Pipeline Data Lagasco'!$E297,'Dec 31 2018 OFFS'!$AK:$AK,'T1 2019 Pipeline Data Lagasco'!$Q297,'Dec 31 2018 OFFS'!$W:$W,'T1 2019 Pipeline Data Lagasco'!$G297),1))</f>
        <v>58631</v>
      </c>
      <c r="S297" s="275">
        <f t="shared" si="9"/>
        <v>0</v>
      </c>
    </row>
    <row r="298" spans="1:19" s="217" customFormat="1" ht="14.1" customHeight="1">
      <c r="A298" s="224" t="s">
        <v>1494</v>
      </c>
      <c r="B298" s="218" t="s">
        <v>1495</v>
      </c>
      <c r="C298" s="223">
        <v>1</v>
      </c>
      <c r="D298" s="218" t="s">
        <v>1488</v>
      </c>
      <c r="E298" s="240">
        <v>3</v>
      </c>
      <c r="F298" s="223">
        <v>3657</v>
      </c>
      <c r="G298" s="223">
        <v>2006</v>
      </c>
      <c r="H298" s="223">
        <v>1</v>
      </c>
      <c r="I298" s="223">
        <v>1</v>
      </c>
      <c r="J298" s="223"/>
      <c r="K298" s="238">
        <v>86268.63</v>
      </c>
      <c r="L298" s="241">
        <v>52</v>
      </c>
      <c r="M298" s="228">
        <v>41408.9424</v>
      </c>
      <c r="N298" s="230">
        <v>23.59</v>
      </c>
      <c r="O298" s="231">
        <v>41408</v>
      </c>
      <c r="P298" s="315"/>
      <c r="Q298" s="276">
        <f t="shared" si="8"/>
        <v>3657</v>
      </c>
      <c r="R298" s="275">
        <f>(SUMIFS('Dec 31 2018 OFFS'!$AG:$AG,'Dec 31 2018 OFFS'!$AI:$AI,'T1 2019 Pipeline Data Lagasco'!$A298,'Dec 31 2018 OFFS'!$U:$U,'T1 2019 Pipeline Data Lagasco'!$E298,'Dec 31 2018 OFFS'!$AK:$AK,'T1 2019 Pipeline Data Lagasco'!$Q298,'Dec 31 2018 OFFS'!$W:$W,'T1 2019 Pipeline Data Lagasco'!$G298))/(MAX(COUNTIFS('Dec 31 2018 OFFS'!$AI:$AI,'T1 2019 Pipeline Data Lagasco'!$A298,'Dec 31 2018 OFFS'!$U:$U,'T1 2019 Pipeline Data Lagasco'!$E298,'Dec 31 2018 OFFS'!$AK:$AK,'T1 2019 Pipeline Data Lagasco'!$Q298,'Dec 31 2018 OFFS'!$W:$W,'T1 2019 Pipeline Data Lagasco'!$G298),1))</f>
        <v>41408</v>
      </c>
      <c r="S298" s="275">
        <f t="shared" si="9"/>
        <v>0</v>
      </c>
    </row>
    <row r="299" spans="1:19" s="217" customFormat="1" ht="15" customHeight="1">
      <c r="A299" s="224" t="s">
        <v>1494</v>
      </c>
      <c r="B299" s="218" t="s">
        <v>1495</v>
      </c>
      <c r="C299" s="223">
        <v>1</v>
      </c>
      <c r="D299" s="218" t="s">
        <v>1488</v>
      </c>
      <c r="E299" s="240">
        <v>3</v>
      </c>
      <c r="F299" s="226">
        <v>3348.5891419999998</v>
      </c>
      <c r="G299" s="223">
        <v>1982</v>
      </c>
      <c r="H299" s="223">
        <v>1</v>
      </c>
      <c r="I299" s="223">
        <v>1</v>
      </c>
      <c r="J299" s="223"/>
      <c r="K299" s="229">
        <v>78993.217860000004</v>
      </c>
      <c r="L299" s="241">
        <v>80</v>
      </c>
      <c r="M299" s="229">
        <v>15798.64357</v>
      </c>
      <c r="N299" s="230">
        <v>23.59</v>
      </c>
      <c r="O299" s="231">
        <v>15798</v>
      </c>
      <c r="P299" s="315"/>
      <c r="Q299" s="276">
        <f t="shared" si="8"/>
        <v>3348.59</v>
      </c>
      <c r="R299" s="275">
        <f>(SUMIFS('Dec 31 2018 OFFS'!$AG:$AG,'Dec 31 2018 OFFS'!$AI:$AI,'T1 2019 Pipeline Data Lagasco'!$A299,'Dec 31 2018 OFFS'!$U:$U,'T1 2019 Pipeline Data Lagasco'!$E299,'Dec 31 2018 OFFS'!$AK:$AK,'T1 2019 Pipeline Data Lagasco'!$Q299,'Dec 31 2018 OFFS'!$W:$W,'T1 2019 Pipeline Data Lagasco'!$G299))/(MAX(COUNTIFS('Dec 31 2018 OFFS'!$AI:$AI,'T1 2019 Pipeline Data Lagasco'!$A299,'Dec 31 2018 OFFS'!$U:$U,'T1 2019 Pipeline Data Lagasco'!$E299,'Dec 31 2018 OFFS'!$AK:$AK,'T1 2019 Pipeline Data Lagasco'!$Q299,'Dec 31 2018 OFFS'!$W:$W,'T1 2019 Pipeline Data Lagasco'!$G299),1))</f>
        <v>15798</v>
      </c>
      <c r="S299" s="275">
        <f t="shared" si="9"/>
        <v>0</v>
      </c>
    </row>
    <row r="300" spans="1:19" s="217" customFormat="1" ht="15" customHeight="1">
      <c r="A300" s="224" t="s">
        <v>1494</v>
      </c>
      <c r="B300" s="218" t="s">
        <v>1495</v>
      </c>
      <c r="C300" s="223">
        <v>1</v>
      </c>
      <c r="D300" s="218" t="s">
        <v>1488</v>
      </c>
      <c r="E300" s="240">
        <v>3</v>
      </c>
      <c r="F300" s="226">
        <v>2168.503874</v>
      </c>
      <c r="G300" s="223">
        <v>1979</v>
      </c>
      <c r="H300" s="223">
        <v>1</v>
      </c>
      <c r="I300" s="223">
        <v>1</v>
      </c>
      <c r="J300" s="223"/>
      <c r="K300" s="229">
        <v>51155.006390000002</v>
      </c>
      <c r="L300" s="241">
        <v>80</v>
      </c>
      <c r="M300" s="229">
        <v>10231.00128</v>
      </c>
      <c r="N300" s="230">
        <v>23.59</v>
      </c>
      <c r="O300" s="231">
        <v>10231</v>
      </c>
      <c r="P300" s="315"/>
      <c r="Q300" s="276">
        <f t="shared" si="8"/>
        <v>2168.50</v>
      </c>
      <c r="R300" s="275">
        <f>(SUMIFS('Dec 31 2018 OFFS'!$AG:$AG,'Dec 31 2018 OFFS'!$AI:$AI,'T1 2019 Pipeline Data Lagasco'!$A300,'Dec 31 2018 OFFS'!$U:$U,'T1 2019 Pipeline Data Lagasco'!$E300,'Dec 31 2018 OFFS'!$AK:$AK,'T1 2019 Pipeline Data Lagasco'!$Q300,'Dec 31 2018 OFFS'!$W:$W,'T1 2019 Pipeline Data Lagasco'!$G300))/(MAX(COUNTIFS('Dec 31 2018 OFFS'!$AI:$AI,'T1 2019 Pipeline Data Lagasco'!$A300,'Dec 31 2018 OFFS'!$U:$U,'T1 2019 Pipeline Data Lagasco'!$E300,'Dec 31 2018 OFFS'!$AK:$AK,'T1 2019 Pipeline Data Lagasco'!$Q300,'Dec 31 2018 OFFS'!$W:$W,'T1 2019 Pipeline Data Lagasco'!$G300),1))</f>
        <v>10231</v>
      </c>
      <c r="S300" s="275">
        <f t="shared" si="9"/>
        <v>0</v>
      </c>
    </row>
    <row r="301" spans="1:19" s="217" customFormat="1" ht="14.1" customHeight="1">
      <c r="A301" s="224" t="s">
        <v>1494</v>
      </c>
      <c r="B301" s="218" t="s">
        <v>1495</v>
      </c>
      <c r="C301" s="223">
        <v>1</v>
      </c>
      <c r="D301" s="218" t="s">
        <v>1488</v>
      </c>
      <c r="E301" s="240">
        <v>3</v>
      </c>
      <c r="F301" s="226">
        <v>3088.1560789999999</v>
      </c>
      <c r="G301" s="223">
        <v>1979</v>
      </c>
      <c r="H301" s="223">
        <v>1</v>
      </c>
      <c r="I301" s="223">
        <v>1</v>
      </c>
      <c r="J301" s="223"/>
      <c r="K301" s="229">
        <v>72849.601890000005</v>
      </c>
      <c r="L301" s="241">
        <v>80</v>
      </c>
      <c r="M301" s="229">
        <v>14569.92038</v>
      </c>
      <c r="N301" s="230">
        <v>23.59</v>
      </c>
      <c r="O301" s="231">
        <v>14569</v>
      </c>
      <c r="P301" s="315"/>
      <c r="Q301" s="276">
        <f t="shared" si="8"/>
        <v>3088.16</v>
      </c>
      <c r="R301" s="275">
        <f>(SUMIFS('Dec 31 2018 OFFS'!$AG:$AG,'Dec 31 2018 OFFS'!$AI:$AI,'T1 2019 Pipeline Data Lagasco'!$A301,'Dec 31 2018 OFFS'!$U:$U,'T1 2019 Pipeline Data Lagasco'!$E301,'Dec 31 2018 OFFS'!$AK:$AK,'T1 2019 Pipeline Data Lagasco'!$Q301,'Dec 31 2018 OFFS'!$W:$W,'T1 2019 Pipeline Data Lagasco'!$G301))/(MAX(COUNTIFS('Dec 31 2018 OFFS'!$AI:$AI,'T1 2019 Pipeline Data Lagasco'!$A301,'Dec 31 2018 OFFS'!$U:$U,'T1 2019 Pipeline Data Lagasco'!$E301,'Dec 31 2018 OFFS'!$AK:$AK,'T1 2019 Pipeline Data Lagasco'!$Q301,'Dec 31 2018 OFFS'!$W:$W,'T1 2019 Pipeline Data Lagasco'!$G301),1))</f>
        <v>14569</v>
      </c>
      <c r="S301" s="275">
        <f t="shared" si="9"/>
        <v>0</v>
      </c>
    </row>
    <row r="302" spans="1:19" s="217" customFormat="1" ht="14.1" customHeight="1">
      <c r="A302" s="224" t="s">
        <v>1494</v>
      </c>
      <c r="B302" s="218" t="s">
        <v>1495</v>
      </c>
      <c r="C302" s="223">
        <v>1</v>
      </c>
      <c r="D302" s="218" t="s">
        <v>1488</v>
      </c>
      <c r="E302" s="240">
        <v>3</v>
      </c>
      <c r="F302" s="226">
        <v>3565.6166950000002</v>
      </c>
      <c r="G302" s="223">
        <v>1979</v>
      </c>
      <c r="H302" s="223">
        <v>1</v>
      </c>
      <c r="I302" s="223">
        <v>1</v>
      </c>
      <c r="J302" s="223"/>
      <c r="K302" s="229">
        <v>84112.897830000002</v>
      </c>
      <c r="L302" s="241">
        <v>80</v>
      </c>
      <c r="M302" s="229">
        <v>16822.579570000002</v>
      </c>
      <c r="N302" s="230">
        <v>23.59</v>
      </c>
      <c r="O302" s="231">
        <v>16822</v>
      </c>
      <c r="P302" s="315"/>
      <c r="Q302" s="276">
        <f t="shared" si="8"/>
        <v>3565.62</v>
      </c>
      <c r="R302" s="275">
        <f>(SUMIFS('Dec 31 2018 OFFS'!$AG:$AG,'Dec 31 2018 OFFS'!$AI:$AI,'T1 2019 Pipeline Data Lagasco'!$A302,'Dec 31 2018 OFFS'!$U:$U,'T1 2019 Pipeline Data Lagasco'!$E302,'Dec 31 2018 OFFS'!$AK:$AK,'T1 2019 Pipeline Data Lagasco'!$Q302,'Dec 31 2018 OFFS'!$W:$W,'T1 2019 Pipeline Data Lagasco'!$G302))/(MAX(COUNTIFS('Dec 31 2018 OFFS'!$AI:$AI,'T1 2019 Pipeline Data Lagasco'!$A302,'Dec 31 2018 OFFS'!$U:$U,'T1 2019 Pipeline Data Lagasco'!$E302,'Dec 31 2018 OFFS'!$AK:$AK,'T1 2019 Pipeline Data Lagasco'!$Q302,'Dec 31 2018 OFFS'!$W:$W,'T1 2019 Pipeline Data Lagasco'!$G302),1))</f>
        <v>16822</v>
      </c>
      <c r="S302" s="275">
        <f t="shared" si="9"/>
        <v>0</v>
      </c>
    </row>
    <row r="303" spans="1:19" s="217" customFormat="1" ht="14.1" customHeight="1">
      <c r="A303" s="224" t="s">
        <v>1494</v>
      </c>
      <c r="B303" s="218" t="s">
        <v>1495</v>
      </c>
      <c r="C303" s="223">
        <v>1</v>
      </c>
      <c r="D303" s="218" t="s">
        <v>1488</v>
      </c>
      <c r="E303" s="240">
        <v>3</v>
      </c>
      <c r="F303" s="226">
        <v>2751.0497890000001</v>
      </c>
      <c r="G303" s="223">
        <v>1979</v>
      </c>
      <c r="H303" s="223">
        <v>1</v>
      </c>
      <c r="I303" s="223">
        <v>1</v>
      </c>
      <c r="J303" s="223"/>
      <c r="K303" s="229">
        <v>64897.264519999997</v>
      </c>
      <c r="L303" s="241">
        <v>80</v>
      </c>
      <c r="M303" s="228">
        <v>12979.4529</v>
      </c>
      <c r="N303" s="230">
        <v>23.59</v>
      </c>
      <c r="O303" s="231">
        <v>12979</v>
      </c>
      <c r="P303" s="315"/>
      <c r="Q303" s="276">
        <f t="shared" si="8"/>
        <v>2751.05</v>
      </c>
      <c r="R303" s="275">
        <f>(SUMIFS('Dec 31 2018 OFFS'!$AG:$AG,'Dec 31 2018 OFFS'!$AI:$AI,'T1 2019 Pipeline Data Lagasco'!$A303,'Dec 31 2018 OFFS'!$U:$U,'T1 2019 Pipeline Data Lagasco'!$E303,'Dec 31 2018 OFFS'!$AK:$AK,'T1 2019 Pipeline Data Lagasco'!$Q303,'Dec 31 2018 OFFS'!$W:$W,'T1 2019 Pipeline Data Lagasco'!$G303))/(MAX(COUNTIFS('Dec 31 2018 OFFS'!$AI:$AI,'T1 2019 Pipeline Data Lagasco'!$A303,'Dec 31 2018 OFFS'!$U:$U,'T1 2019 Pipeline Data Lagasco'!$E303,'Dec 31 2018 OFFS'!$AK:$AK,'T1 2019 Pipeline Data Lagasco'!$Q303,'Dec 31 2018 OFFS'!$W:$W,'T1 2019 Pipeline Data Lagasco'!$G303),1))</f>
        <v>12979</v>
      </c>
      <c r="S303" s="275">
        <f t="shared" si="9"/>
        <v>0</v>
      </c>
    </row>
    <row r="304" spans="1:19" s="217" customFormat="1" ht="14.1" customHeight="1">
      <c r="A304" s="224" t="s">
        <v>1494</v>
      </c>
      <c r="B304" s="218" t="s">
        <v>1495</v>
      </c>
      <c r="C304" s="223">
        <v>1</v>
      </c>
      <c r="D304" s="218" t="s">
        <v>1488</v>
      </c>
      <c r="E304" s="240">
        <v>3</v>
      </c>
      <c r="F304" s="223">
        <v>6079</v>
      </c>
      <c r="G304" s="223">
        <v>2006</v>
      </c>
      <c r="H304" s="223">
        <v>1</v>
      </c>
      <c r="I304" s="223">
        <v>0</v>
      </c>
      <c r="J304" s="223"/>
      <c r="K304" s="238">
        <v>143403.60999999999</v>
      </c>
      <c r="L304" s="241">
        <v>52</v>
      </c>
      <c r="M304" s="228">
        <v>68833.732799999998</v>
      </c>
      <c r="N304" s="230">
        <v>23.59</v>
      </c>
      <c r="O304" s="231">
        <v>0</v>
      </c>
      <c r="P304" s="315"/>
      <c r="Q304" s="276">
        <f t="shared" si="8"/>
        <v>6079</v>
      </c>
      <c r="R304" s="275">
        <f>(SUMIFS('Dec 31 2018 OFFS'!$AG:$AG,'Dec 31 2018 OFFS'!$AI:$AI,'T1 2019 Pipeline Data Lagasco'!$A304,'Dec 31 2018 OFFS'!$U:$U,'T1 2019 Pipeline Data Lagasco'!$E304,'Dec 31 2018 OFFS'!$AK:$AK,'T1 2019 Pipeline Data Lagasco'!$Q304,'Dec 31 2018 OFFS'!$W:$W,'T1 2019 Pipeline Data Lagasco'!$G304))/(MAX(COUNTIFS('Dec 31 2018 OFFS'!$AI:$AI,'T1 2019 Pipeline Data Lagasco'!$A304,'Dec 31 2018 OFFS'!$U:$U,'T1 2019 Pipeline Data Lagasco'!$E304,'Dec 31 2018 OFFS'!$AK:$AK,'T1 2019 Pipeline Data Lagasco'!$Q304,'Dec 31 2018 OFFS'!$W:$W,'T1 2019 Pipeline Data Lagasco'!$G304),1))</f>
        <v>0</v>
      </c>
      <c r="S304" s="275">
        <f t="shared" si="9"/>
        <v>0</v>
      </c>
    </row>
    <row r="305" spans="1:19" s="217" customFormat="1" ht="14.1" customHeight="1">
      <c r="A305" s="224" t="s">
        <v>1494</v>
      </c>
      <c r="B305" s="218" t="s">
        <v>1495</v>
      </c>
      <c r="C305" s="223">
        <v>1</v>
      </c>
      <c r="D305" s="218" t="s">
        <v>1488</v>
      </c>
      <c r="E305" s="240">
        <v>3</v>
      </c>
      <c r="F305" s="226">
        <v>3274.639013</v>
      </c>
      <c r="G305" s="223">
        <v>1979</v>
      </c>
      <c r="H305" s="223">
        <v>1</v>
      </c>
      <c r="I305" s="223">
        <v>1</v>
      </c>
      <c r="J305" s="223"/>
      <c r="K305" s="229">
        <v>77248.73431</v>
      </c>
      <c r="L305" s="241">
        <v>80</v>
      </c>
      <c r="M305" s="229">
        <v>15449.746859999999</v>
      </c>
      <c r="N305" s="230">
        <v>23.59</v>
      </c>
      <c r="O305" s="231">
        <v>15449</v>
      </c>
      <c r="P305" s="315"/>
      <c r="Q305" s="276">
        <f t="shared" si="8"/>
        <v>3274.64</v>
      </c>
      <c r="R305" s="275">
        <f>(SUMIFS('Dec 31 2018 OFFS'!$AG:$AG,'Dec 31 2018 OFFS'!$AI:$AI,'T1 2019 Pipeline Data Lagasco'!$A305,'Dec 31 2018 OFFS'!$U:$U,'T1 2019 Pipeline Data Lagasco'!$E305,'Dec 31 2018 OFFS'!$AK:$AK,'T1 2019 Pipeline Data Lagasco'!$Q305,'Dec 31 2018 OFFS'!$W:$W,'T1 2019 Pipeline Data Lagasco'!$G305))/(MAX(COUNTIFS('Dec 31 2018 OFFS'!$AI:$AI,'T1 2019 Pipeline Data Lagasco'!$A305,'Dec 31 2018 OFFS'!$U:$U,'T1 2019 Pipeline Data Lagasco'!$E305,'Dec 31 2018 OFFS'!$AK:$AK,'T1 2019 Pipeline Data Lagasco'!$Q305,'Dec 31 2018 OFFS'!$W:$W,'T1 2019 Pipeline Data Lagasco'!$G305),1))</f>
        <v>15449</v>
      </c>
      <c r="S305" s="275">
        <f t="shared" si="9"/>
        <v>0</v>
      </c>
    </row>
    <row r="306" spans="1:19" s="217" customFormat="1" ht="14.1" customHeight="1">
      <c r="A306" s="224" t="s">
        <v>1494</v>
      </c>
      <c r="B306" s="218" t="s">
        <v>1495</v>
      </c>
      <c r="C306" s="223">
        <v>1</v>
      </c>
      <c r="D306" s="218" t="s">
        <v>1488</v>
      </c>
      <c r="E306" s="240">
        <v>3</v>
      </c>
      <c r="F306" s="226">
        <v>5057.0536590000002</v>
      </c>
      <c r="G306" s="223">
        <v>1979</v>
      </c>
      <c r="H306" s="223">
        <v>1</v>
      </c>
      <c r="I306" s="223">
        <v>1</v>
      </c>
      <c r="J306" s="223"/>
      <c r="K306" s="228">
        <v>119295.8958</v>
      </c>
      <c r="L306" s="241">
        <v>80</v>
      </c>
      <c r="M306" s="229">
        <v>23859.17916</v>
      </c>
      <c r="N306" s="230">
        <v>23.59</v>
      </c>
      <c r="O306" s="231">
        <v>23859</v>
      </c>
      <c r="P306" s="315"/>
      <c r="Q306" s="276">
        <f t="shared" si="8"/>
        <v>5057.05</v>
      </c>
      <c r="R306" s="275">
        <f>(SUMIFS('Dec 31 2018 OFFS'!$AG:$AG,'Dec 31 2018 OFFS'!$AI:$AI,'T1 2019 Pipeline Data Lagasco'!$A306,'Dec 31 2018 OFFS'!$U:$U,'T1 2019 Pipeline Data Lagasco'!$E306,'Dec 31 2018 OFFS'!$AK:$AK,'T1 2019 Pipeline Data Lagasco'!$Q306,'Dec 31 2018 OFFS'!$W:$W,'T1 2019 Pipeline Data Lagasco'!$G306))/(MAX(COUNTIFS('Dec 31 2018 OFFS'!$AI:$AI,'T1 2019 Pipeline Data Lagasco'!$A306,'Dec 31 2018 OFFS'!$U:$U,'T1 2019 Pipeline Data Lagasco'!$E306,'Dec 31 2018 OFFS'!$AK:$AK,'T1 2019 Pipeline Data Lagasco'!$Q306,'Dec 31 2018 OFFS'!$W:$W,'T1 2019 Pipeline Data Lagasco'!$G306),1))</f>
        <v>23859</v>
      </c>
      <c r="S306" s="275">
        <f t="shared" si="9"/>
        <v>0</v>
      </c>
    </row>
    <row r="307" spans="1:19" s="217" customFormat="1" ht="14.1" customHeight="1">
      <c r="A307" s="224" t="s">
        <v>1494</v>
      </c>
      <c r="B307" s="218" t="s">
        <v>1495</v>
      </c>
      <c r="C307" s="223">
        <v>1</v>
      </c>
      <c r="D307" s="218" t="s">
        <v>1488</v>
      </c>
      <c r="E307" s="240">
        <v>3</v>
      </c>
      <c r="F307" s="226">
        <v>4355.1836009999997</v>
      </c>
      <c r="G307" s="223">
        <v>1979</v>
      </c>
      <c r="H307" s="223">
        <v>1</v>
      </c>
      <c r="I307" s="223">
        <v>1</v>
      </c>
      <c r="J307" s="223"/>
      <c r="K307" s="228">
        <v>102738.78109999999</v>
      </c>
      <c r="L307" s="241">
        <v>80</v>
      </c>
      <c r="M307" s="229">
        <v>20547.756229999999</v>
      </c>
      <c r="N307" s="230">
        <v>23.59</v>
      </c>
      <c r="O307" s="231">
        <v>20547</v>
      </c>
      <c r="P307" s="315"/>
      <c r="Q307" s="276">
        <f t="shared" si="8"/>
        <v>4355.18</v>
      </c>
      <c r="R307" s="275">
        <f>(SUMIFS('Dec 31 2018 OFFS'!$AG:$AG,'Dec 31 2018 OFFS'!$AI:$AI,'T1 2019 Pipeline Data Lagasco'!$A307,'Dec 31 2018 OFFS'!$U:$U,'T1 2019 Pipeline Data Lagasco'!$E307,'Dec 31 2018 OFFS'!$AK:$AK,'T1 2019 Pipeline Data Lagasco'!$Q307,'Dec 31 2018 OFFS'!$W:$W,'T1 2019 Pipeline Data Lagasco'!$G307))/(MAX(COUNTIFS('Dec 31 2018 OFFS'!$AI:$AI,'T1 2019 Pipeline Data Lagasco'!$A307,'Dec 31 2018 OFFS'!$U:$U,'T1 2019 Pipeline Data Lagasco'!$E307,'Dec 31 2018 OFFS'!$AK:$AK,'T1 2019 Pipeline Data Lagasco'!$Q307,'Dec 31 2018 OFFS'!$W:$W,'T1 2019 Pipeline Data Lagasco'!$G307),1))</f>
        <v>20547</v>
      </c>
      <c r="S307" s="275">
        <f t="shared" si="9"/>
        <v>0</v>
      </c>
    </row>
    <row r="308" spans="1:19" s="217" customFormat="1" ht="14.1" customHeight="1">
      <c r="A308" s="224" t="s">
        <v>1494</v>
      </c>
      <c r="B308" s="218" t="s">
        <v>1495</v>
      </c>
      <c r="C308" s="223">
        <v>1</v>
      </c>
      <c r="D308" s="218" t="s">
        <v>1488</v>
      </c>
      <c r="E308" s="240">
        <v>3</v>
      </c>
      <c r="F308" s="226">
        <v>6807.2832669999998</v>
      </c>
      <c r="G308" s="223">
        <v>1981</v>
      </c>
      <c r="H308" s="223">
        <v>1</v>
      </c>
      <c r="I308" s="223">
        <v>1</v>
      </c>
      <c r="J308" s="223"/>
      <c r="K308" s="228">
        <v>160583.81229999999</v>
      </c>
      <c r="L308" s="241">
        <v>80</v>
      </c>
      <c r="M308" s="229">
        <v>32116.762460000002</v>
      </c>
      <c r="N308" s="230">
        <v>23.59</v>
      </c>
      <c r="O308" s="231">
        <v>32116</v>
      </c>
      <c r="P308" s="315"/>
      <c r="Q308" s="276">
        <f t="shared" si="8"/>
        <v>6807.28</v>
      </c>
      <c r="R308" s="275">
        <f>(SUMIFS('Dec 31 2018 OFFS'!$AG:$AG,'Dec 31 2018 OFFS'!$AI:$AI,'T1 2019 Pipeline Data Lagasco'!$A308,'Dec 31 2018 OFFS'!$U:$U,'T1 2019 Pipeline Data Lagasco'!$E308,'Dec 31 2018 OFFS'!$AK:$AK,'T1 2019 Pipeline Data Lagasco'!$Q308,'Dec 31 2018 OFFS'!$W:$W,'T1 2019 Pipeline Data Lagasco'!$G308))/(MAX(COUNTIFS('Dec 31 2018 OFFS'!$AI:$AI,'T1 2019 Pipeline Data Lagasco'!$A308,'Dec 31 2018 OFFS'!$U:$U,'T1 2019 Pipeline Data Lagasco'!$E308,'Dec 31 2018 OFFS'!$AK:$AK,'T1 2019 Pipeline Data Lagasco'!$Q308,'Dec 31 2018 OFFS'!$W:$W,'T1 2019 Pipeline Data Lagasco'!$G308),1))</f>
        <v>32116</v>
      </c>
      <c r="S308" s="275">
        <f t="shared" si="9"/>
        <v>0</v>
      </c>
    </row>
    <row r="309" spans="1:19" s="217" customFormat="1" ht="14.1" customHeight="1">
      <c r="A309" s="224" t="s">
        <v>1494</v>
      </c>
      <c r="B309" s="218" t="s">
        <v>1495</v>
      </c>
      <c r="C309" s="223">
        <v>1</v>
      </c>
      <c r="D309" s="218" t="s">
        <v>1488</v>
      </c>
      <c r="E309" s="240">
        <v>3</v>
      </c>
      <c r="F309" s="226">
        <v>4779.0681029999996</v>
      </c>
      <c r="G309" s="223">
        <v>1981</v>
      </c>
      <c r="H309" s="223">
        <v>1</v>
      </c>
      <c r="I309" s="223">
        <v>1</v>
      </c>
      <c r="J309" s="223"/>
      <c r="K309" s="228">
        <v>112738.2166</v>
      </c>
      <c r="L309" s="241">
        <v>80</v>
      </c>
      <c r="M309" s="229">
        <v>22547.643309999999</v>
      </c>
      <c r="N309" s="230">
        <v>23.59</v>
      </c>
      <c r="O309" s="231">
        <v>22547</v>
      </c>
      <c r="P309" s="315"/>
      <c r="Q309" s="276">
        <f t="shared" si="8"/>
        <v>4779.07</v>
      </c>
      <c r="R309" s="275">
        <f>(SUMIFS('Dec 31 2018 OFFS'!$AG:$AG,'Dec 31 2018 OFFS'!$AI:$AI,'T1 2019 Pipeline Data Lagasco'!$A309,'Dec 31 2018 OFFS'!$U:$U,'T1 2019 Pipeline Data Lagasco'!$E309,'Dec 31 2018 OFFS'!$AK:$AK,'T1 2019 Pipeline Data Lagasco'!$Q309,'Dec 31 2018 OFFS'!$W:$W,'T1 2019 Pipeline Data Lagasco'!$G309))/(MAX(COUNTIFS('Dec 31 2018 OFFS'!$AI:$AI,'T1 2019 Pipeline Data Lagasco'!$A309,'Dec 31 2018 OFFS'!$U:$U,'T1 2019 Pipeline Data Lagasco'!$E309,'Dec 31 2018 OFFS'!$AK:$AK,'T1 2019 Pipeline Data Lagasco'!$Q309,'Dec 31 2018 OFFS'!$W:$W,'T1 2019 Pipeline Data Lagasco'!$G309),1))</f>
        <v>22547</v>
      </c>
      <c r="S309" s="275">
        <f t="shared" si="9"/>
        <v>0</v>
      </c>
    </row>
    <row r="310" spans="1:19" s="217" customFormat="1" ht="14.1" customHeight="1">
      <c r="A310" s="224" t="s">
        <v>1494</v>
      </c>
      <c r="B310" s="218" t="s">
        <v>1495</v>
      </c>
      <c r="C310" s="223">
        <v>1</v>
      </c>
      <c r="D310" s="218" t="s">
        <v>1488</v>
      </c>
      <c r="E310" s="240">
        <v>3</v>
      </c>
      <c r="F310" s="236">
        <v>5326.3449899999996</v>
      </c>
      <c r="G310" s="223">
        <v>1984</v>
      </c>
      <c r="H310" s="223">
        <v>1</v>
      </c>
      <c r="I310" s="223">
        <v>1</v>
      </c>
      <c r="J310" s="223"/>
      <c r="K310" s="228">
        <v>125648.4783</v>
      </c>
      <c r="L310" s="241">
        <v>80</v>
      </c>
      <c r="M310" s="229">
        <v>25129.695660000001</v>
      </c>
      <c r="N310" s="230">
        <v>23.59</v>
      </c>
      <c r="O310" s="231">
        <v>25129</v>
      </c>
      <c r="P310" s="315"/>
      <c r="Q310" s="276">
        <f t="shared" si="8"/>
        <v>5326.34</v>
      </c>
      <c r="R310" s="275">
        <f>(SUMIFS('Dec 31 2018 OFFS'!$AG:$AG,'Dec 31 2018 OFFS'!$AI:$AI,'T1 2019 Pipeline Data Lagasco'!$A310,'Dec 31 2018 OFFS'!$U:$U,'T1 2019 Pipeline Data Lagasco'!$E310,'Dec 31 2018 OFFS'!$AK:$AK,'T1 2019 Pipeline Data Lagasco'!$Q310,'Dec 31 2018 OFFS'!$W:$W,'T1 2019 Pipeline Data Lagasco'!$G310))/(MAX(COUNTIFS('Dec 31 2018 OFFS'!$AI:$AI,'T1 2019 Pipeline Data Lagasco'!$A310,'Dec 31 2018 OFFS'!$U:$U,'T1 2019 Pipeline Data Lagasco'!$E310,'Dec 31 2018 OFFS'!$AK:$AK,'T1 2019 Pipeline Data Lagasco'!$Q310,'Dec 31 2018 OFFS'!$W:$W,'T1 2019 Pipeline Data Lagasco'!$G310),1))</f>
        <v>25129</v>
      </c>
      <c r="S310" s="275">
        <f t="shared" si="9"/>
        <v>0</v>
      </c>
    </row>
    <row r="311" spans="1:19" s="217" customFormat="1" ht="14.1" customHeight="1">
      <c r="A311" s="224" t="s">
        <v>1494</v>
      </c>
      <c r="B311" s="218" t="s">
        <v>1495</v>
      </c>
      <c r="C311" s="223">
        <v>1</v>
      </c>
      <c r="D311" s="218" t="s">
        <v>1488</v>
      </c>
      <c r="E311" s="240">
        <v>3</v>
      </c>
      <c r="F311" s="232">
        <v>812.63121009999998</v>
      </c>
      <c r="G311" s="223">
        <v>1984</v>
      </c>
      <c r="H311" s="223">
        <v>1</v>
      </c>
      <c r="I311" s="223">
        <v>1</v>
      </c>
      <c r="J311" s="223"/>
      <c r="K311" s="229">
        <v>19169.970249999998</v>
      </c>
      <c r="L311" s="241">
        <v>80</v>
      </c>
      <c r="M311" s="233">
        <v>3833.9940489999999</v>
      </c>
      <c r="N311" s="230">
        <v>23.59</v>
      </c>
      <c r="O311" s="231">
        <v>3833</v>
      </c>
      <c r="P311" s="315"/>
      <c r="Q311" s="276">
        <f t="shared" si="8"/>
        <v>812.63</v>
      </c>
      <c r="R311" s="275">
        <f>(SUMIFS('Dec 31 2018 OFFS'!$AG:$AG,'Dec 31 2018 OFFS'!$AI:$AI,'T1 2019 Pipeline Data Lagasco'!$A311,'Dec 31 2018 OFFS'!$U:$U,'T1 2019 Pipeline Data Lagasco'!$E311,'Dec 31 2018 OFFS'!$AK:$AK,'T1 2019 Pipeline Data Lagasco'!$Q311,'Dec 31 2018 OFFS'!$W:$W,'T1 2019 Pipeline Data Lagasco'!$G311))/(MAX(COUNTIFS('Dec 31 2018 OFFS'!$AI:$AI,'T1 2019 Pipeline Data Lagasco'!$A311,'Dec 31 2018 OFFS'!$U:$U,'T1 2019 Pipeline Data Lagasco'!$E311,'Dec 31 2018 OFFS'!$AK:$AK,'T1 2019 Pipeline Data Lagasco'!$Q311,'Dec 31 2018 OFFS'!$W:$W,'T1 2019 Pipeline Data Lagasco'!$G311),1))</f>
        <v>3833</v>
      </c>
      <c r="S311" s="275">
        <f t="shared" si="9"/>
        <v>0</v>
      </c>
    </row>
    <row r="312" spans="1:19" s="217" customFormat="1" ht="14.1" customHeight="1">
      <c r="A312" s="224" t="s">
        <v>1494</v>
      </c>
      <c r="B312" s="218" t="s">
        <v>1495</v>
      </c>
      <c r="C312" s="223">
        <v>1</v>
      </c>
      <c r="D312" s="218" t="s">
        <v>1488</v>
      </c>
      <c r="E312" s="240">
        <v>3</v>
      </c>
      <c r="F312" s="235">
        <v>10889.894700000001</v>
      </c>
      <c r="G312" s="223">
        <v>1981</v>
      </c>
      <c r="H312" s="223">
        <v>1</v>
      </c>
      <c r="I312" s="223">
        <v>1</v>
      </c>
      <c r="J312" s="223"/>
      <c r="K312" s="228">
        <v>256892.6159</v>
      </c>
      <c r="L312" s="241">
        <v>80</v>
      </c>
      <c r="M312" s="229">
        <v>51378.523179999997</v>
      </c>
      <c r="N312" s="230">
        <v>23.59</v>
      </c>
      <c r="O312" s="231">
        <v>51378</v>
      </c>
      <c r="P312" s="315"/>
      <c r="Q312" s="276">
        <f t="shared" si="8"/>
        <v>10889.89</v>
      </c>
      <c r="R312" s="275">
        <f>(SUMIFS('Dec 31 2018 OFFS'!$AG:$AG,'Dec 31 2018 OFFS'!$AI:$AI,'T1 2019 Pipeline Data Lagasco'!$A312,'Dec 31 2018 OFFS'!$U:$U,'T1 2019 Pipeline Data Lagasco'!$E312,'Dec 31 2018 OFFS'!$AK:$AK,'T1 2019 Pipeline Data Lagasco'!$Q312,'Dec 31 2018 OFFS'!$W:$W,'T1 2019 Pipeline Data Lagasco'!$G312))/(MAX(COUNTIFS('Dec 31 2018 OFFS'!$AI:$AI,'T1 2019 Pipeline Data Lagasco'!$A312,'Dec 31 2018 OFFS'!$U:$U,'T1 2019 Pipeline Data Lagasco'!$E312,'Dec 31 2018 OFFS'!$AK:$AK,'T1 2019 Pipeline Data Lagasco'!$Q312,'Dec 31 2018 OFFS'!$W:$W,'T1 2019 Pipeline Data Lagasco'!$G312),1))</f>
        <v>51378</v>
      </c>
      <c r="S312" s="275">
        <f t="shared" si="9"/>
        <v>0</v>
      </c>
    </row>
    <row r="313" spans="1:19" s="217" customFormat="1" ht="14.1" customHeight="1">
      <c r="A313" s="224" t="s">
        <v>1494</v>
      </c>
      <c r="B313" s="218" t="s">
        <v>1495</v>
      </c>
      <c r="C313" s="223">
        <v>1</v>
      </c>
      <c r="D313" s="218" t="s">
        <v>1488</v>
      </c>
      <c r="E313" s="240">
        <v>3</v>
      </c>
      <c r="F313" s="226">
        <v>5428.280683</v>
      </c>
      <c r="G313" s="223">
        <v>1981</v>
      </c>
      <c r="H313" s="223">
        <v>1</v>
      </c>
      <c r="I313" s="223">
        <v>1</v>
      </c>
      <c r="J313" s="223"/>
      <c r="K313" s="228">
        <v>128053.1413</v>
      </c>
      <c r="L313" s="241">
        <v>80</v>
      </c>
      <c r="M313" s="229">
        <v>25610.628260000001</v>
      </c>
      <c r="N313" s="230">
        <v>23.59</v>
      </c>
      <c r="O313" s="231">
        <v>25610</v>
      </c>
      <c r="P313" s="315"/>
      <c r="Q313" s="276">
        <f t="shared" si="11" ref="Q313:Q376">ROUND(F313,2)</f>
        <v>5428.28</v>
      </c>
      <c r="R313" s="275">
        <f>(SUMIFS('Dec 31 2018 OFFS'!$AG:$AG,'Dec 31 2018 OFFS'!$AI:$AI,'T1 2019 Pipeline Data Lagasco'!$A313,'Dec 31 2018 OFFS'!$U:$U,'T1 2019 Pipeline Data Lagasco'!$E313,'Dec 31 2018 OFFS'!$AK:$AK,'T1 2019 Pipeline Data Lagasco'!$Q313,'Dec 31 2018 OFFS'!$W:$W,'T1 2019 Pipeline Data Lagasco'!$G313))/(MAX(COUNTIFS('Dec 31 2018 OFFS'!$AI:$AI,'T1 2019 Pipeline Data Lagasco'!$A313,'Dec 31 2018 OFFS'!$U:$U,'T1 2019 Pipeline Data Lagasco'!$E313,'Dec 31 2018 OFFS'!$AK:$AK,'T1 2019 Pipeline Data Lagasco'!$Q313,'Dec 31 2018 OFFS'!$W:$W,'T1 2019 Pipeline Data Lagasco'!$G313),1))</f>
        <v>25610</v>
      </c>
      <c r="S313" s="275">
        <f t="shared" si="12" ref="S313:S376">O313-R313</f>
        <v>0</v>
      </c>
    </row>
    <row r="314" spans="1:19" s="217" customFormat="1" ht="14.1" customHeight="1">
      <c r="A314" s="224" t="s">
        <v>1494</v>
      </c>
      <c r="B314" s="218" t="s">
        <v>1495</v>
      </c>
      <c r="C314" s="223">
        <v>1</v>
      </c>
      <c r="D314" s="218" t="s">
        <v>1488</v>
      </c>
      <c r="E314" s="240">
        <v>3</v>
      </c>
      <c r="F314" s="226">
        <v>6157.1848609999997</v>
      </c>
      <c r="G314" s="223">
        <v>1981</v>
      </c>
      <c r="H314" s="223">
        <v>1</v>
      </c>
      <c r="I314" s="223">
        <v>1</v>
      </c>
      <c r="J314" s="223"/>
      <c r="K314" s="228">
        <v>145247.9909</v>
      </c>
      <c r="L314" s="241">
        <v>80</v>
      </c>
      <c r="M314" s="229">
        <v>29049.598170000001</v>
      </c>
      <c r="N314" s="230">
        <v>23.59</v>
      </c>
      <c r="O314" s="231">
        <v>29049</v>
      </c>
      <c r="P314" s="315"/>
      <c r="Q314" s="276">
        <f t="shared" si="11"/>
        <v>6157.18</v>
      </c>
      <c r="R314" s="275">
        <f>(SUMIFS('Dec 31 2018 OFFS'!$AG:$AG,'Dec 31 2018 OFFS'!$AI:$AI,'T1 2019 Pipeline Data Lagasco'!$A314,'Dec 31 2018 OFFS'!$U:$U,'T1 2019 Pipeline Data Lagasco'!$E314,'Dec 31 2018 OFFS'!$AK:$AK,'T1 2019 Pipeline Data Lagasco'!$Q314,'Dec 31 2018 OFFS'!$W:$W,'T1 2019 Pipeline Data Lagasco'!$G314))/(MAX(COUNTIFS('Dec 31 2018 OFFS'!$AI:$AI,'T1 2019 Pipeline Data Lagasco'!$A314,'Dec 31 2018 OFFS'!$U:$U,'T1 2019 Pipeline Data Lagasco'!$E314,'Dec 31 2018 OFFS'!$AK:$AK,'T1 2019 Pipeline Data Lagasco'!$Q314,'Dec 31 2018 OFFS'!$W:$W,'T1 2019 Pipeline Data Lagasco'!$G314),1))</f>
        <v>29049</v>
      </c>
      <c r="S314" s="275">
        <f t="shared" si="12"/>
        <v>0</v>
      </c>
    </row>
    <row r="315" spans="1:19" s="217" customFormat="1" ht="14.1" customHeight="1">
      <c r="A315" s="224" t="s">
        <v>1494</v>
      </c>
      <c r="B315" s="218" t="s">
        <v>1495</v>
      </c>
      <c r="C315" s="223">
        <v>1</v>
      </c>
      <c r="D315" s="218" t="s">
        <v>1488</v>
      </c>
      <c r="E315" s="240">
        <v>3</v>
      </c>
      <c r="F315" s="226">
        <v>3903.8056609999999</v>
      </c>
      <c r="G315" s="223">
        <v>1991</v>
      </c>
      <c r="H315" s="223">
        <v>1</v>
      </c>
      <c r="I315" s="223">
        <v>1</v>
      </c>
      <c r="J315" s="223"/>
      <c r="K315" s="229">
        <v>92090.775550000006</v>
      </c>
      <c r="L315" s="241">
        <v>72</v>
      </c>
      <c r="M315" s="229">
        <v>25785.417150000001</v>
      </c>
      <c r="N315" s="230">
        <v>23.59</v>
      </c>
      <c r="O315" s="231">
        <v>25785</v>
      </c>
      <c r="P315" s="315"/>
      <c r="Q315" s="276">
        <f t="shared" si="11"/>
        <v>3903.81</v>
      </c>
      <c r="R315" s="275">
        <f>(SUMIFS('Dec 31 2018 OFFS'!$AG:$AG,'Dec 31 2018 OFFS'!$AI:$AI,'T1 2019 Pipeline Data Lagasco'!$A315,'Dec 31 2018 OFFS'!$U:$U,'T1 2019 Pipeline Data Lagasco'!$E315,'Dec 31 2018 OFFS'!$AK:$AK,'T1 2019 Pipeline Data Lagasco'!$Q315,'Dec 31 2018 OFFS'!$W:$W,'T1 2019 Pipeline Data Lagasco'!$G315))/(MAX(COUNTIFS('Dec 31 2018 OFFS'!$AI:$AI,'T1 2019 Pipeline Data Lagasco'!$A315,'Dec 31 2018 OFFS'!$U:$U,'T1 2019 Pipeline Data Lagasco'!$E315,'Dec 31 2018 OFFS'!$AK:$AK,'T1 2019 Pipeline Data Lagasco'!$Q315,'Dec 31 2018 OFFS'!$W:$W,'T1 2019 Pipeline Data Lagasco'!$G315),1))</f>
        <v>25785</v>
      </c>
      <c r="S315" s="275">
        <f t="shared" si="12"/>
        <v>0</v>
      </c>
    </row>
    <row r="316" spans="1:19" s="217" customFormat="1" ht="14.1" customHeight="1">
      <c r="A316" s="224" t="s">
        <v>1494</v>
      </c>
      <c r="B316" s="218" t="s">
        <v>1495</v>
      </c>
      <c r="C316" s="223">
        <v>1</v>
      </c>
      <c r="D316" s="218" t="s">
        <v>1488</v>
      </c>
      <c r="E316" s="240">
        <v>3</v>
      </c>
      <c r="F316" s="226">
        <v>5971.3909030000004</v>
      </c>
      <c r="G316" s="223">
        <v>1982</v>
      </c>
      <c r="H316" s="223">
        <v>1</v>
      </c>
      <c r="I316" s="223">
        <v>0</v>
      </c>
      <c r="J316" s="223"/>
      <c r="K316" s="228">
        <v>140865.11139999999</v>
      </c>
      <c r="L316" s="241">
        <v>80</v>
      </c>
      <c r="M316" s="229">
        <v>28173.022280000001</v>
      </c>
      <c r="N316" s="230">
        <v>23.59</v>
      </c>
      <c r="O316" s="231">
        <v>0</v>
      </c>
      <c r="P316" s="315"/>
      <c r="Q316" s="276">
        <f t="shared" si="11"/>
        <v>5971.39</v>
      </c>
      <c r="R316" s="275">
        <f>(SUMIFS('Dec 31 2018 OFFS'!$AG:$AG,'Dec 31 2018 OFFS'!$AI:$AI,'T1 2019 Pipeline Data Lagasco'!$A316,'Dec 31 2018 OFFS'!$U:$U,'T1 2019 Pipeline Data Lagasco'!$E316,'Dec 31 2018 OFFS'!$AK:$AK,'T1 2019 Pipeline Data Lagasco'!$Q316,'Dec 31 2018 OFFS'!$W:$W,'T1 2019 Pipeline Data Lagasco'!$G316))/(MAX(COUNTIFS('Dec 31 2018 OFFS'!$AI:$AI,'T1 2019 Pipeline Data Lagasco'!$A316,'Dec 31 2018 OFFS'!$U:$U,'T1 2019 Pipeline Data Lagasco'!$E316,'Dec 31 2018 OFFS'!$AK:$AK,'T1 2019 Pipeline Data Lagasco'!$Q316,'Dec 31 2018 OFFS'!$W:$W,'T1 2019 Pipeline Data Lagasco'!$G316),1))</f>
        <v>0</v>
      </c>
      <c r="S316" s="275">
        <f t="shared" si="12"/>
        <v>0</v>
      </c>
    </row>
    <row r="317" spans="1:19" s="217" customFormat="1" ht="14.1" customHeight="1">
      <c r="A317" s="224" t="s">
        <v>1494</v>
      </c>
      <c r="B317" s="218" t="s">
        <v>1495</v>
      </c>
      <c r="C317" s="223">
        <v>1</v>
      </c>
      <c r="D317" s="218" t="s">
        <v>1488</v>
      </c>
      <c r="E317" s="240">
        <v>3</v>
      </c>
      <c r="F317" s="223">
        <v>3558</v>
      </c>
      <c r="G317" s="223">
        <v>2004</v>
      </c>
      <c r="H317" s="223">
        <v>1</v>
      </c>
      <c r="I317" s="223">
        <v>1</v>
      </c>
      <c r="J317" s="223"/>
      <c r="K317" s="238">
        <v>83933.22</v>
      </c>
      <c r="L317" s="241">
        <v>56</v>
      </c>
      <c r="M317" s="228">
        <v>36930.616800000003</v>
      </c>
      <c r="N317" s="230">
        <v>23.59</v>
      </c>
      <c r="O317" s="231">
        <v>36930</v>
      </c>
      <c r="P317" s="315"/>
      <c r="Q317" s="276">
        <f t="shared" si="11"/>
        <v>3558</v>
      </c>
      <c r="R317" s="275">
        <f>(SUMIFS('Dec 31 2018 OFFS'!$AG:$AG,'Dec 31 2018 OFFS'!$AI:$AI,'T1 2019 Pipeline Data Lagasco'!$A317,'Dec 31 2018 OFFS'!$U:$U,'T1 2019 Pipeline Data Lagasco'!$E317,'Dec 31 2018 OFFS'!$AK:$AK,'T1 2019 Pipeline Data Lagasco'!$Q317,'Dec 31 2018 OFFS'!$W:$W,'T1 2019 Pipeline Data Lagasco'!$G317))/(MAX(COUNTIFS('Dec 31 2018 OFFS'!$AI:$AI,'T1 2019 Pipeline Data Lagasco'!$A317,'Dec 31 2018 OFFS'!$U:$U,'T1 2019 Pipeline Data Lagasco'!$E317,'Dec 31 2018 OFFS'!$AK:$AK,'T1 2019 Pipeline Data Lagasco'!$Q317,'Dec 31 2018 OFFS'!$W:$W,'T1 2019 Pipeline Data Lagasco'!$G317),1))</f>
        <v>36930</v>
      </c>
      <c r="S317" s="275">
        <f t="shared" si="12"/>
        <v>0</v>
      </c>
    </row>
    <row r="318" spans="1:19" s="217" customFormat="1" ht="14.1" customHeight="1">
      <c r="A318" s="224" t="s">
        <v>1494</v>
      </c>
      <c r="B318" s="218" t="s">
        <v>1495</v>
      </c>
      <c r="C318" s="223">
        <v>1</v>
      </c>
      <c r="D318" s="218" t="s">
        <v>1488</v>
      </c>
      <c r="E318" s="240">
        <v>3</v>
      </c>
      <c r="F318" s="226">
        <v>3142.5524019999998</v>
      </c>
      <c r="G318" s="223">
        <v>1984</v>
      </c>
      <c r="H318" s="223">
        <v>1</v>
      </c>
      <c r="I318" s="223">
        <v>1</v>
      </c>
      <c r="J318" s="223"/>
      <c r="K318" s="229">
        <v>74132.811170000001</v>
      </c>
      <c r="L318" s="241">
        <v>80</v>
      </c>
      <c r="M318" s="229">
        <v>14826.56223</v>
      </c>
      <c r="N318" s="230">
        <v>23.59</v>
      </c>
      <c r="O318" s="231">
        <v>14826</v>
      </c>
      <c r="P318" s="315"/>
      <c r="Q318" s="276">
        <f t="shared" si="11"/>
        <v>3142.55</v>
      </c>
      <c r="R318" s="275">
        <f>(SUMIFS('Dec 31 2018 OFFS'!$AG:$AG,'Dec 31 2018 OFFS'!$AI:$AI,'T1 2019 Pipeline Data Lagasco'!$A318,'Dec 31 2018 OFFS'!$U:$U,'T1 2019 Pipeline Data Lagasco'!$E318,'Dec 31 2018 OFFS'!$AK:$AK,'T1 2019 Pipeline Data Lagasco'!$Q318,'Dec 31 2018 OFFS'!$W:$W,'T1 2019 Pipeline Data Lagasco'!$G318))/(MAX(COUNTIFS('Dec 31 2018 OFFS'!$AI:$AI,'T1 2019 Pipeline Data Lagasco'!$A318,'Dec 31 2018 OFFS'!$U:$U,'T1 2019 Pipeline Data Lagasco'!$E318,'Dec 31 2018 OFFS'!$AK:$AK,'T1 2019 Pipeline Data Lagasco'!$Q318,'Dec 31 2018 OFFS'!$W:$W,'T1 2019 Pipeline Data Lagasco'!$G318),1))</f>
        <v>14826</v>
      </c>
      <c r="S318" s="275">
        <f t="shared" si="12"/>
        <v>0</v>
      </c>
    </row>
    <row r="319" spans="1:19" s="217" customFormat="1" ht="14.1" customHeight="1">
      <c r="A319" s="224" t="s">
        <v>1494</v>
      </c>
      <c r="B319" s="218" t="s">
        <v>1495</v>
      </c>
      <c r="C319" s="223">
        <v>1</v>
      </c>
      <c r="D319" s="218" t="s">
        <v>1488</v>
      </c>
      <c r="E319" s="240">
        <v>3</v>
      </c>
      <c r="F319" s="223">
        <v>3261</v>
      </c>
      <c r="G319" s="223">
        <v>2004</v>
      </c>
      <c r="H319" s="223">
        <v>1</v>
      </c>
      <c r="I319" s="223">
        <v>1</v>
      </c>
      <c r="J319" s="223"/>
      <c r="K319" s="238">
        <v>76926.990000000005</v>
      </c>
      <c r="L319" s="241">
        <v>56</v>
      </c>
      <c r="M319" s="228">
        <v>33847.875599999999</v>
      </c>
      <c r="N319" s="230">
        <v>23.59</v>
      </c>
      <c r="O319" s="231">
        <v>33847</v>
      </c>
      <c r="P319" s="315"/>
      <c r="Q319" s="276">
        <f t="shared" si="11"/>
        <v>3261</v>
      </c>
      <c r="R319" s="275">
        <f>(SUMIFS('Dec 31 2018 OFFS'!$AG:$AG,'Dec 31 2018 OFFS'!$AI:$AI,'T1 2019 Pipeline Data Lagasco'!$A319,'Dec 31 2018 OFFS'!$U:$U,'T1 2019 Pipeline Data Lagasco'!$E319,'Dec 31 2018 OFFS'!$AK:$AK,'T1 2019 Pipeline Data Lagasco'!$Q319,'Dec 31 2018 OFFS'!$W:$W,'T1 2019 Pipeline Data Lagasco'!$G319))/(MAX(COUNTIFS('Dec 31 2018 OFFS'!$AI:$AI,'T1 2019 Pipeline Data Lagasco'!$A319,'Dec 31 2018 OFFS'!$U:$U,'T1 2019 Pipeline Data Lagasco'!$E319,'Dec 31 2018 OFFS'!$AK:$AK,'T1 2019 Pipeline Data Lagasco'!$Q319,'Dec 31 2018 OFFS'!$W:$W,'T1 2019 Pipeline Data Lagasco'!$G319),1))</f>
        <v>33847</v>
      </c>
      <c r="S319" s="275">
        <f t="shared" si="12"/>
        <v>0</v>
      </c>
    </row>
    <row r="320" spans="1:19" s="217" customFormat="1" ht="14.1" customHeight="1">
      <c r="A320" s="224" t="s">
        <v>1494</v>
      </c>
      <c r="B320" s="218" t="s">
        <v>1495</v>
      </c>
      <c r="C320" s="223">
        <v>1</v>
      </c>
      <c r="D320" s="218" t="s">
        <v>1488</v>
      </c>
      <c r="E320" s="240">
        <v>3</v>
      </c>
      <c r="F320" s="226">
        <v>5241.9289820000004</v>
      </c>
      <c r="G320" s="223">
        <v>1994</v>
      </c>
      <c r="H320" s="223">
        <v>1</v>
      </c>
      <c r="I320" s="223">
        <v>1</v>
      </c>
      <c r="J320" s="223"/>
      <c r="K320" s="228">
        <v>123657.1047</v>
      </c>
      <c r="L320" s="241">
        <v>68</v>
      </c>
      <c r="M320" s="228">
        <v>39570.273500000003</v>
      </c>
      <c r="N320" s="230">
        <v>23.59</v>
      </c>
      <c r="O320" s="231">
        <v>39570</v>
      </c>
      <c r="P320" s="315"/>
      <c r="Q320" s="276">
        <f t="shared" si="11"/>
        <v>5241.93</v>
      </c>
      <c r="R320" s="275">
        <f>(SUMIFS('Dec 31 2018 OFFS'!$AG:$AG,'Dec 31 2018 OFFS'!$AI:$AI,'T1 2019 Pipeline Data Lagasco'!$A320,'Dec 31 2018 OFFS'!$U:$U,'T1 2019 Pipeline Data Lagasco'!$E320,'Dec 31 2018 OFFS'!$AK:$AK,'T1 2019 Pipeline Data Lagasco'!$Q320,'Dec 31 2018 OFFS'!$W:$W,'T1 2019 Pipeline Data Lagasco'!$G320))/(MAX(COUNTIFS('Dec 31 2018 OFFS'!$AI:$AI,'T1 2019 Pipeline Data Lagasco'!$A320,'Dec 31 2018 OFFS'!$U:$U,'T1 2019 Pipeline Data Lagasco'!$E320,'Dec 31 2018 OFFS'!$AK:$AK,'T1 2019 Pipeline Data Lagasco'!$Q320,'Dec 31 2018 OFFS'!$W:$W,'T1 2019 Pipeline Data Lagasco'!$G320),1))</f>
        <v>39570</v>
      </c>
      <c r="S320" s="275">
        <f t="shared" si="12"/>
        <v>0</v>
      </c>
    </row>
    <row r="321" spans="1:19" s="217" customFormat="1" ht="14.1" customHeight="1">
      <c r="A321" s="224" t="s">
        <v>1494</v>
      </c>
      <c r="B321" s="218" t="s">
        <v>1495</v>
      </c>
      <c r="C321" s="223">
        <v>1</v>
      </c>
      <c r="D321" s="218" t="s">
        <v>1488</v>
      </c>
      <c r="E321" s="240">
        <v>3</v>
      </c>
      <c r="F321" s="226">
        <v>3246.3253650000001</v>
      </c>
      <c r="G321" s="223">
        <v>1983</v>
      </c>
      <c r="H321" s="223">
        <v>1</v>
      </c>
      <c r="I321" s="223">
        <v>1</v>
      </c>
      <c r="J321" s="223"/>
      <c r="K321" s="229">
        <v>76580.815369999997</v>
      </c>
      <c r="L321" s="241">
        <v>80</v>
      </c>
      <c r="M321" s="229">
        <v>15316.163070000001</v>
      </c>
      <c r="N321" s="230">
        <v>23.59</v>
      </c>
      <c r="O321" s="231">
        <v>15316</v>
      </c>
      <c r="P321" s="315"/>
      <c r="Q321" s="276">
        <f t="shared" si="11"/>
        <v>3246.33</v>
      </c>
      <c r="R321" s="275">
        <f>(SUMIFS('Dec 31 2018 OFFS'!$AG:$AG,'Dec 31 2018 OFFS'!$AI:$AI,'T1 2019 Pipeline Data Lagasco'!$A321,'Dec 31 2018 OFFS'!$U:$U,'T1 2019 Pipeline Data Lagasco'!$E321,'Dec 31 2018 OFFS'!$AK:$AK,'T1 2019 Pipeline Data Lagasco'!$Q321,'Dec 31 2018 OFFS'!$W:$W,'T1 2019 Pipeline Data Lagasco'!$G321))/(MAX(COUNTIFS('Dec 31 2018 OFFS'!$AI:$AI,'T1 2019 Pipeline Data Lagasco'!$A321,'Dec 31 2018 OFFS'!$U:$U,'T1 2019 Pipeline Data Lagasco'!$E321,'Dec 31 2018 OFFS'!$AK:$AK,'T1 2019 Pipeline Data Lagasco'!$Q321,'Dec 31 2018 OFFS'!$W:$W,'T1 2019 Pipeline Data Lagasco'!$G321),1))</f>
        <v>15316</v>
      </c>
      <c r="S321" s="275">
        <f t="shared" si="12"/>
        <v>0</v>
      </c>
    </row>
    <row r="322" spans="1:19" s="217" customFormat="1" ht="14.1" customHeight="1">
      <c r="A322" s="224" t="s">
        <v>1494</v>
      </c>
      <c r="B322" s="218" t="s">
        <v>1495</v>
      </c>
      <c r="C322" s="223">
        <v>1</v>
      </c>
      <c r="D322" s="218" t="s">
        <v>1488</v>
      </c>
      <c r="E322" s="240">
        <v>3</v>
      </c>
      <c r="F322" s="226">
        <v>5597.2439320000003</v>
      </c>
      <c r="G322" s="223">
        <v>1981</v>
      </c>
      <c r="H322" s="223">
        <v>1</v>
      </c>
      <c r="I322" s="223">
        <v>1</v>
      </c>
      <c r="J322" s="223"/>
      <c r="K322" s="228">
        <v>132038.98439999999</v>
      </c>
      <c r="L322" s="241">
        <v>80</v>
      </c>
      <c r="M322" s="229">
        <v>26407.796869999998</v>
      </c>
      <c r="N322" s="230">
        <v>23.59</v>
      </c>
      <c r="O322" s="231">
        <v>26407</v>
      </c>
      <c r="P322" s="315"/>
      <c r="Q322" s="276">
        <f t="shared" si="11"/>
        <v>5597.24</v>
      </c>
      <c r="R322" s="275">
        <f>(SUMIFS('Dec 31 2018 OFFS'!$AG:$AG,'Dec 31 2018 OFFS'!$AI:$AI,'T1 2019 Pipeline Data Lagasco'!$A322,'Dec 31 2018 OFFS'!$U:$U,'T1 2019 Pipeline Data Lagasco'!$E322,'Dec 31 2018 OFFS'!$AK:$AK,'T1 2019 Pipeline Data Lagasco'!$Q322,'Dec 31 2018 OFFS'!$W:$W,'T1 2019 Pipeline Data Lagasco'!$G322))/(MAX(COUNTIFS('Dec 31 2018 OFFS'!$AI:$AI,'T1 2019 Pipeline Data Lagasco'!$A322,'Dec 31 2018 OFFS'!$U:$U,'T1 2019 Pipeline Data Lagasco'!$E322,'Dec 31 2018 OFFS'!$AK:$AK,'T1 2019 Pipeline Data Lagasco'!$Q322,'Dec 31 2018 OFFS'!$W:$W,'T1 2019 Pipeline Data Lagasco'!$G322),1))</f>
        <v>26407</v>
      </c>
      <c r="S322" s="275">
        <f t="shared" si="12"/>
        <v>0</v>
      </c>
    </row>
    <row r="323" spans="1:19" s="217" customFormat="1" ht="14.1" customHeight="1">
      <c r="A323" s="224" t="s">
        <v>1494</v>
      </c>
      <c r="B323" s="218" t="s">
        <v>1495</v>
      </c>
      <c r="C323" s="223">
        <v>1</v>
      </c>
      <c r="D323" s="218" t="s">
        <v>1488</v>
      </c>
      <c r="E323" s="240">
        <v>3</v>
      </c>
      <c r="F323" s="226">
        <v>3245.6363889999998</v>
      </c>
      <c r="G323" s="223">
        <v>1984</v>
      </c>
      <c r="H323" s="223">
        <v>1</v>
      </c>
      <c r="I323" s="223">
        <v>1</v>
      </c>
      <c r="J323" s="223"/>
      <c r="K323" s="229">
        <v>76564.562420000002</v>
      </c>
      <c r="L323" s="241">
        <v>80</v>
      </c>
      <c r="M323" s="229">
        <v>15312.912480000001</v>
      </c>
      <c r="N323" s="230">
        <v>23.59</v>
      </c>
      <c r="O323" s="231">
        <v>15312</v>
      </c>
      <c r="P323" s="315"/>
      <c r="Q323" s="276">
        <f t="shared" si="11"/>
        <v>3245.64</v>
      </c>
      <c r="R323" s="275">
        <f>(SUMIFS('Dec 31 2018 OFFS'!$AG:$AG,'Dec 31 2018 OFFS'!$AI:$AI,'T1 2019 Pipeline Data Lagasco'!$A323,'Dec 31 2018 OFFS'!$U:$U,'T1 2019 Pipeline Data Lagasco'!$E323,'Dec 31 2018 OFFS'!$AK:$AK,'T1 2019 Pipeline Data Lagasco'!$Q323,'Dec 31 2018 OFFS'!$W:$W,'T1 2019 Pipeline Data Lagasco'!$G323))/(MAX(COUNTIFS('Dec 31 2018 OFFS'!$AI:$AI,'T1 2019 Pipeline Data Lagasco'!$A323,'Dec 31 2018 OFFS'!$U:$U,'T1 2019 Pipeline Data Lagasco'!$E323,'Dec 31 2018 OFFS'!$AK:$AK,'T1 2019 Pipeline Data Lagasco'!$Q323,'Dec 31 2018 OFFS'!$W:$W,'T1 2019 Pipeline Data Lagasco'!$G323),1))</f>
        <v>15312</v>
      </c>
      <c r="S323" s="275">
        <f t="shared" si="12"/>
        <v>0</v>
      </c>
    </row>
    <row r="324" spans="1:19" s="217" customFormat="1" ht="14.1" customHeight="1">
      <c r="A324" s="224" t="s">
        <v>1494</v>
      </c>
      <c r="B324" s="218" t="s">
        <v>1495</v>
      </c>
      <c r="C324" s="223">
        <v>1</v>
      </c>
      <c r="D324" s="218" t="s">
        <v>1488</v>
      </c>
      <c r="E324" s="240">
        <v>3</v>
      </c>
      <c r="F324" s="226">
        <v>7610.695318</v>
      </c>
      <c r="G324" s="223">
        <v>1981</v>
      </c>
      <c r="H324" s="223">
        <v>1</v>
      </c>
      <c r="I324" s="223">
        <v>1</v>
      </c>
      <c r="J324" s="223"/>
      <c r="K324" s="228">
        <v>179536.30249999999</v>
      </c>
      <c r="L324" s="241">
        <v>80</v>
      </c>
      <c r="M324" s="229">
        <v>35907.26051</v>
      </c>
      <c r="N324" s="230">
        <v>23.59</v>
      </c>
      <c r="O324" s="231">
        <v>35907</v>
      </c>
      <c r="P324" s="315"/>
      <c r="Q324" s="276">
        <f t="shared" si="11"/>
        <v>7610.70</v>
      </c>
      <c r="R324" s="275">
        <f>(SUMIFS('Dec 31 2018 OFFS'!$AG:$AG,'Dec 31 2018 OFFS'!$AI:$AI,'T1 2019 Pipeline Data Lagasco'!$A324,'Dec 31 2018 OFFS'!$U:$U,'T1 2019 Pipeline Data Lagasco'!$E324,'Dec 31 2018 OFFS'!$AK:$AK,'T1 2019 Pipeline Data Lagasco'!$Q324,'Dec 31 2018 OFFS'!$W:$W,'T1 2019 Pipeline Data Lagasco'!$G324))/(MAX(COUNTIFS('Dec 31 2018 OFFS'!$AI:$AI,'T1 2019 Pipeline Data Lagasco'!$A324,'Dec 31 2018 OFFS'!$U:$U,'T1 2019 Pipeline Data Lagasco'!$E324,'Dec 31 2018 OFFS'!$AK:$AK,'T1 2019 Pipeline Data Lagasco'!$Q324,'Dec 31 2018 OFFS'!$W:$W,'T1 2019 Pipeline Data Lagasco'!$G324),1))</f>
        <v>35907</v>
      </c>
      <c r="S324" s="275">
        <f t="shared" si="12"/>
        <v>0</v>
      </c>
    </row>
    <row r="325" spans="1:19" s="217" customFormat="1" ht="14.1" customHeight="1">
      <c r="A325" s="224" t="s">
        <v>1494</v>
      </c>
      <c r="B325" s="218" t="s">
        <v>1495</v>
      </c>
      <c r="C325" s="223">
        <v>1</v>
      </c>
      <c r="D325" s="218" t="s">
        <v>1488</v>
      </c>
      <c r="E325" s="240">
        <v>3</v>
      </c>
      <c r="F325" s="226">
        <v>9611.1217689999994</v>
      </c>
      <c r="G325" s="223">
        <v>1983</v>
      </c>
      <c r="H325" s="223">
        <v>1</v>
      </c>
      <c r="I325" s="223">
        <v>1</v>
      </c>
      <c r="J325" s="223"/>
      <c r="K325" s="228">
        <v>226726.36249999999</v>
      </c>
      <c r="L325" s="241">
        <v>80</v>
      </c>
      <c r="M325" s="229">
        <v>45345.272510000003</v>
      </c>
      <c r="N325" s="230">
        <v>23.59</v>
      </c>
      <c r="O325" s="231">
        <v>45345</v>
      </c>
      <c r="P325" s="315"/>
      <c r="Q325" s="276">
        <f t="shared" si="11"/>
        <v>9611.1200000000008</v>
      </c>
      <c r="R325" s="275">
        <f>(SUMIFS('Dec 31 2018 OFFS'!$AG:$AG,'Dec 31 2018 OFFS'!$AI:$AI,'T1 2019 Pipeline Data Lagasco'!$A325,'Dec 31 2018 OFFS'!$U:$U,'T1 2019 Pipeline Data Lagasco'!$E325,'Dec 31 2018 OFFS'!$AK:$AK,'T1 2019 Pipeline Data Lagasco'!$Q325,'Dec 31 2018 OFFS'!$W:$W,'T1 2019 Pipeline Data Lagasco'!$G325))/(MAX(COUNTIFS('Dec 31 2018 OFFS'!$AI:$AI,'T1 2019 Pipeline Data Lagasco'!$A325,'Dec 31 2018 OFFS'!$U:$U,'T1 2019 Pipeline Data Lagasco'!$E325,'Dec 31 2018 OFFS'!$AK:$AK,'T1 2019 Pipeline Data Lagasco'!$Q325,'Dec 31 2018 OFFS'!$W:$W,'T1 2019 Pipeline Data Lagasco'!$G325),1))</f>
        <v>45345</v>
      </c>
      <c r="S325" s="275">
        <f t="shared" si="12"/>
        <v>0</v>
      </c>
    </row>
    <row r="326" spans="1:19" s="217" customFormat="1" ht="14.1" customHeight="1">
      <c r="A326" s="224" t="s">
        <v>1494</v>
      </c>
      <c r="B326" s="218" t="s">
        <v>1495</v>
      </c>
      <c r="C326" s="223">
        <v>1</v>
      </c>
      <c r="D326" s="218" t="s">
        <v>1488</v>
      </c>
      <c r="E326" s="240">
        <v>3</v>
      </c>
      <c r="F326" s="226">
        <v>6165.0916850000003</v>
      </c>
      <c r="G326" s="223">
        <v>1984</v>
      </c>
      <c r="H326" s="223">
        <v>1</v>
      </c>
      <c r="I326" s="223">
        <v>1</v>
      </c>
      <c r="J326" s="223"/>
      <c r="K326" s="228">
        <v>145434.5128</v>
      </c>
      <c r="L326" s="241">
        <v>80</v>
      </c>
      <c r="M326" s="229">
        <v>29086.902569999998</v>
      </c>
      <c r="N326" s="230">
        <v>23.59</v>
      </c>
      <c r="O326" s="231">
        <v>29086</v>
      </c>
      <c r="P326" s="315"/>
      <c r="Q326" s="276">
        <f t="shared" si="11"/>
        <v>6165.09</v>
      </c>
      <c r="R326" s="275">
        <f>(SUMIFS('Dec 31 2018 OFFS'!$AG:$AG,'Dec 31 2018 OFFS'!$AI:$AI,'T1 2019 Pipeline Data Lagasco'!$A326,'Dec 31 2018 OFFS'!$U:$U,'T1 2019 Pipeline Data Lagasco'!$E326,'Dec 31 2018 OFFS'!$AK:$AK,'T1 2019 Pipeline Data Lagasco'!$Q326,'Dec 31 2018 OFFS'!$W:$W,'T1 2019 Pipeline Data Lagasco'!$G326))/(MAX(COUNTIFS('Dec 31 2018 OFFS'!$AI:$AI,'T1 2019 Pipeline Data Lagasco'!$A326,'Dec 31 2018 OFFS'!$U:$U,'T1 2019 Pipeline Data Lagasco'!$E326,'Dec 31 2018 OFFS'!$AK:$AK,'T1 2019 Pipeline Data Lagasco'!$Q326,'Dec 31 2018 OFFS'!$W:$W,'T1 2019 Pipeline Data Lagasco'!$G326),1))</f>
        <v>29086</v>
      </c>
      <c r="S326" s="275">
        <f t="shared" si="12"/>
        <v>0</v>
      </c>
    </row>
    <row r="327" spans="1:19" s="217" customFormat="1" ht="14.1" customHeight="1">
      <c r="A327" s="224" t="s">
        <v>1494</v>
      </c>
      <c r="B327" s="218" t="s">
        <v>1495</v>
      </c>
      <c r="C327" s="223">
        <v>1</v>
      </c>
      <c r="D327" s="218" t="s">
        <v>1488</v>
      </c>
      <c r="E327" s="240">
        <v>3</v>
      </c>
      <c r="F327" s="226">
        <v>8627.6244220000008</v>
      </c>
      <c r="G327" s="223">
        <v>1991</v>
      </c>
      <c r="H327" s="223">
        <v>1</v>
      </c>
      <c r="I327" s="223">
        <v>1</v>
      </c>
      <c r="J327" s="223"/>
      <c r="K327" s="228">
        <v>203525.66010000001</v>
      </c>
      <c r="L327" s="241">
        <v>72</v>
      </c>
      <c r="M327" s="229">
        <v>56987.184829999998</v>
      </c>
      <c r="N327" s="230">
        <v>23.59</v>
      </c>
      <c r="O327" s="231">
        <v>56987</v>
      </c>
      <c r="P327" s="315"/>
      <c r="Q327" s="276">
        <f t="shared" si="11"/>
        <v>8627.6200000000008</v>
      </c>
      <c r="R327" s="275">
        <f>(SUMIFS('Dec 31 2018 OFFS'!$AG:$AG,'Dec 31 2018 OFFS'!$AI:$AI,'T1 2019 Pipeline Data Lagasco'!$A327,'Dec 31 2018 OFFS'!$U:$U,'T1 2019 Pipeline Data Lagasco'!$E327,'Dec 31 2018 OFFS'!$AK:$AK,'T1 2019 Pipeline Data Lagasco'!$Q327,'Dec 31 2018 OFFS'!$W:$W,'T1 2019 Pipeline Data Lagasco'!$G327))/(MAX(COUNTIFS('Dec 31 2018 OFFS'!$AI:$AI,'T1 2019 Pipeline Data Lagasco'!$A327,'Dec 31 2018 OFFS'!$U:$U,'T1 2019 Pipeline Data Lagasco'!$E327,'Dec 31 2018 OFFS'!$AK:$AK,'T1 2019 Pipeline Data Lagasco'!$Q327,'Dec 31 2018 OFFS'!$W:$W,'T1 2019 Pipeline Data Lagasco'!$G327),1))</f>
        <v>56987</v>
      </c>
      <c r="S327" s="275">
        <f t="shared" si="12"/>
        <v>0</v>
      </c>
    </row>
    <row r="328" spans="1:19" s="217" customFormat="1" ht="14.1" customHeight="1">
      <c r="A328" s="224" t="s">
        <v>1494</v>
      </c>
      <c r="B328" s="218" t="s">
        <v>1495</v>
      </c>
      <c r="C328" s="223">
        <v>1</v>
      </c>
      <c r="D328" s="218" t="s">
        <v>1488</v>
      </c>
      <c r="E328" s="240">
        <v>3</v>
      </c>
      <c r="F328" s="226">
        <v>7311.2530690000003</v>
      </c>
      <c r="G328" s="223">
        <v>1982</v>
      </c>
      <c r="H328" s="223">
        <v>1</v>
      </c>
      <c r="I328" s="223">
        <v>1</v>
      </c>
      <c r="J328" s="223"/>
      <c r="K328" s="228">
        <v>172472.45989999999</v>
      </c>
      <c r="L328" s="241">
        <v>80</v>
      </c>
      <c r="M328" s="229">
        <v>34494.491979999999</v>
      </c>
      <c r="N328" s="230">
        <v>23.59</v>
      </c>
      <c r="O328" s="231">
        <v>34494</v>
      </c>
      <c r="P328" s="315"/>
      <c r="Q328" s="276">
        <f t="shared" si="11"/>
        <v>7311.25</v>
      </c>
      <c r="R328" s="275">
        <f>(SUMIFS('Dec 31 2018 OFFS'!$AG:$AG,'Dec 31 2018 OFFS'!$AI:$AI,'T1 2019 Pipeline Data Lagasco'!$A328,'Dec 31 2018 OFFS'!$U:$U,'T1 2019 Pipeline Data Lagasco'!$E328,'Dec 31 2018 OFFS'!$AK:$AK,'T1 2019 Pipeline Data Lagasco'!$Q328,'Dec 31 2018 OFFS'!$W:$W,'T1 2019 Pipeline Data Lagasco'!$G328))/(MAX(COUNTIFS('Dec 31 2018 OFFS'!$AI:$AI,'T1 2019 Pipeline Data Lagasco'!$A328,'Dec 31 2018 OFFS'!$U:$U,'T1 2019 Pipeline Data Lagasco'!$E328,'Dec 31 2018 OFFS'!$AK:$AK,'T1 2019 Pipeline Data Lagasco'!$Q328,'Dec 31 2018 OFFS'!$W:$W,'T1 2019 Pipeline Data Lagasco'!$G328),1))</f>
        <v>34494</v>
      </c>
      <c r="S328" s="275">
        <f t="shared" si="12"/>
        <v>0</v>
      </c>
    </row>
    <row r="329" spans="1:19" s="217" customFormat="1" ht="14.1" customHeight="1">
      <c r="A329" s="224" t="s">
        <v>1494</v>
      </c>
      <c r="B329" s="218" t="s">
        <v>1495</v>
      </c>
      <c r="C329" s="223">
        <v>1</v>
      </c>
      <c r="D329" s="218" t="s">
        <v>1488</v>
      </c>
      <c r="E329" s="240">
        <v>3</v>
      </c>
      <c r="F329" s="236">
        <v>5386.9749099999999</v>
      </c>
      <c r="G329" s="223">
        <v>1982</v>
      </c>
      <c r="H329" s="230">
        <v>0.75</v>
      </c>
      <c r="I329" s="223">
        <v>1</v>
      </c>
      <c r="J329" s="223"/>
      <c r="K329" s="228">
        <v>127078.7381</v>
      </c>
      <c r="L329" s="241">
        <v>80</v>
      </c>
      <c r="M329" s="229">
        <v>25415.747619999998</v>
      </c>
      <c r="N329" s="230">
        <v>23.59</v>
      </c>
      <c r="O329" s="231">
        <v>19061</v>
      </c>
      <c r="P329" s="315"/>
      <c r="Q329" s="276">
        <f t="shared" si="11"/>
        <v>5386.97</v>
      </c>
      <c r="R329" s="275">
        <f>(SUMIFS('Dec 31 2018 OFFS'!$AG:$AG,'Dec 31 2018 OFFS'!$AI:$AI,'T1 2019 Pipeline Data Lagasco'!$A329,'Dec 31 2018 OFFS'!$U:$U,'T1 2019 Pipeline Data Lagasco'!$E329,'Dec 31 2018 OFFS'!$AK:$AK,'T1 2019 Pipeline Data Lagasco'!$Q329,'Dec 31 2018 OFFS'!$W:$W,'T1 2019 Pipeline Data Lagasco'!$G329))/(MAX(COUNTIFS('Dec 31 2018 OFFS'!$AI:$AI,'T1 2019 Pipeline Data Lagasco'!$A329,'Dec 31 2018 OFFS'!$U:$U,'T1 2019 Pipeline Data Lagasco'!$E329,'Dec 31 2018 OFFS'!$AK:$AK,'T1 2019 Pipeline Data Lagasco'!$Q329,'Dec 31 2018 OFFS'!$W:$W,'T1 2019 Pipeline Data Lagasco'!$G329),1))</f>
        <v>19061</v>
      </c>
      <c r="S329" s="275">
        <f t="shared" si="12"/>
        <v>0</v>
      </c>
    </row>
    <row r="330" spans="1:19" s="217" customFormat="1" ht="14.1" customHeight="1">
      <c r="A330" s="224" t="s">
        <v>1494</v>
      </c>
      <c r="B330" s="218" t="s">
        <v>1495</v>
      </c>
      <c r="C330" s="223">
        <v>1</v>
      </c>
      <c r="D330" s="218" t="s">
        <v>1488</v>
      </c>
      <c r="E330" s="240">
        <v>3</v>
      </c>
      <c r="F330" s="235">
        <v>14927.8539</v>
      </c>
      <c r="G330" s="223">
        <v>1982</v>
      </c>
      <c r="H330" s="223">
        <v>1</v>
      </c>
      <c r="I330" s="223">
        <v>1</v>
      </c>
      <c r="J330" s="223"/>
      <c r="K330" s="228">
        <v>352148.0735</v>
      </c>
      <c r="L330" s="241">
        <v>80</v>
      </c>
      <c r="M330" s="229">
        <v>70429.614690000002</v>
      </c>
      <c r="N330" s="230">
        <v>23.59</v>
      </c>
      <c r="O330" s="231">
        <v>70429</v>
      </c>
      <c r="P330" s="315"/>
      <c r="Q330" s="276">
        <f t="shared" si="11"/>
        <v>14927.85</v>
      </c>
      <c r="R330" s="275">
        <f>(SUMIFS('Dec 31 2018 OFFS'!$AG:$AG,'Dec 31 2018 OFFS'!$AI:$AI,'T1 2019 Pipeline Data Lagasco'!$A330,'Dec 31 2018 OFFS'!$U:$U,'T1 2019 Pipeline Data Lagasco'!$E330,'Dec 31 2018 OFFS'!$AK:$AK,'T1 2019 Pipeline Data Lagasco'!$Q330,'Dec 31 2018 OFFS'!$W:$W,'T1 2019 Pipeline Data Lagasco'!$G330))/(MAX(COUNTIFS('Dec 31 2018 OFFS'!$AI:$AI,'T1 2019 Pipeline Data Lagasco'!$A330,'Dec 31 2018 OFFS'!$U:$U,'T1 2019 Pipeline Data Lagasco'!$E330,'Dec 31 2018 OFFS'!$AK:$AK,'T1 2019 Pipeline Data Lagasco'!$Q330,'Dec 31 2018 OFFS'!$W:$W,'T1 2019 Pipeline Data Lagasco'!$G330),1))</f>
        <v>70429</v>
      </c>
      <c r="S330" s="275">
        <f t="shared" si="12"/>
        <v>0</v>
      </c>
    </row>
    <row r="331" spans="1:19" s="217" customFormat="1" ht="14.1" customHeight="1">
      <c r="A331" s="224" t="s">
        <v>1494</v>
      </c>
      <c r="B331" s="218" t="s">
        <v>1495</v>
      </c>
      <c r="C331" s="223">
        <v>1</v>
      </c>
      <c r="D331" s="218" t="s">
        <v>1488</v>
      </c>
      <c r="E331" s="240">
        <v>3</v>
      </c>
      <c r="F331" s="226">
        <v>5368.3725480000003</v>
      </c>
      <c r="G331" s="223">
        <v>1984</v>
      </c>
      <c r="H331" s="223">
        <v>1</v>
      </c>
      <c r="I331" s="223">
        <v>1</v>
      </c>
      <c r="J331" s="223"/>
      <c r="K331" s="228">
        <v>126639.9084</v>
      </c>
      <c r="L331" s="241">
        <v>80</v>
      </c>
      <c r="M331" s="229">
        <v>25327.981680000001</v>
      </c>
      <c r="N331" s="230">
        <v>23.59</v>
      </c>
      <c r="O331" s="231">
        <v>25327</v>
      </c>
      <c r="P331" s="315"/>
      <c r="Q331" s="276">
        <f t="shared" si="11"/>
        <v>5368.37</v>
      </c>
      <c r="R331" s="275">
        <f>(SUMIFS('Dec 31 2018 OFFS'!$AG:$AG,'Dec 31 2018 OFFS'!$AI:$AI,'T1 2019 Pipeline Data Lagasco'!$A331,'Dec 31 2018 OFFS'!$U:$U,'T1 2019 Pipeline Data Lagasco'!$E331,'Dec 31 2018 OFFS'!$AK:$AK,'T1 2019 Pipeline Data Lagasco'!$Q331,'Dec 31 2018 OFFS'!$W:$W,'T1 2019 Pipeline Data Lagasco'!$G331))/(MAX(COUNTIFS('Dec 31 2018 OFFS'!$AI:$AI,'T1 2019 Pipeline Data Lagasco'!$A331,'Dec 31 2018 OFFS'!$U:$U,'T1 2019 Pipeline Data Lagasco'!$E331,'Dec 31 2018 OFFS'!$AK:$AK,'T1 2019 Pipeline Data Lagasco'!$Q331,'Dec 31 2018 OFFS'!$W:$W,'T1 2019 Pipeline Data Lagasco'!$G331),1))</f>
        <v>25327</v>
      </c>
      <c r="S331" s="275">
        <f t="shared" si="12"/>
        <v>0</v>
      </c>
    </row>
    <row r="332" spans="1:19" s="217" customFormat="1" ht="14.1" customHeight="1">
      <c r="A332" s="224" t="s">
        <v>1494</v>
      </c>
      <c r="B332" s="218" t="s">
        <v>1495</v>
      </c>
      <c r="C332" s="223">
        <v>1</v>
      </c>
      <c r="D332" s="218" t="s">
        <v>1488</v>
      </c>
      <c r="E332" s="240">
        <v>3</v>
      </c>
      <c r="F332" s="226">
        <v>3887.8279710000002</v>
      </c>
      <c r="G332" s="223">
        <v>1984</v>
      </c>
      <c r="H332" s="223">
        <v>1</v>
      </c>
      <c r="I332" s="223">
        <v>1</v>
      </c>
      <c r="J332" s="223"/>
      <c r="K332" s="229">
        <v>91713.861850000001</v>
      </c>
      <c r="L332" s="241">
        <v>80</v>
      </c>
      <c r="M332" s="229">
        <v>18342.772369999999</v>
      </c>
      <c r="N332" s="230">
        <v>23.59</v>
      </c>
      <c r="O332" s="231">
        <v>18342</v>
      </c>
      <c r="P332" s="315"/>
      <c r="Q332" s="276">
        <f t="shared" si="11"/>
        <v>3887.83</v>
      </c>
      <c r="R332" s="275">
        <f>(SUMIFS('Dec 31 2018 OFFS'!$AG:$AG,'Dec 31 2018 OFFS'!$AI:$AI,'T1 2019 Pipeline Data Lagasco'!$A332,'Dec 31 2018 OFFS'!$U:$U,'T1 2019 Pipeline Data Lagasco'!$E332,'Dec 31 2018 OFFS'!$AK:$AK,'T1 2019 Pipeline Data Lagasco'!$Q332,'Dec 31 2018 OFFS'!$W:$W,'T1 2019 Pipeline Data Lagasco'!$G332))/(MAX(COUNTIFS('Dec 31 2018 OFFS'!$AI:$AI,'T1 2019 Pipeline Data Lagasco'!$A332,'Dec 31 2018 OFFS'!$U:$U,'T1 2019 Pipeline Data Lagasco'!$E332,'Dec 31 2018 OFFS'!$AK:$AK,'T1 2019 Pipeline Data Lagasco'!$Q332,'Dec 31 2018 OFFS'!$W:$W,'T1 2019 Pipeline Data Lagasco'!$G332),1))</f>
        <v>18342</v>
      </c>
      <c r="S332" s="275">
        <f t="shared" si="12"/>
        <v>0</v>
      </c>
    </row>
    <row r="333" spans="1:19" s="217" customFormat="1" ht="14.1" customHeight="1">
      <c r="A333" s="224" t="s">
        <v>1494</v>
      </c>
      <c r="B333" s="218" t="s">
        <v>1495</v>
      </c>
      <c r="C333" s="223">
        <v>1</v>
      </c>
      <c r="D333" s="218" t="s">
        <v>1488</v>
      </c>
      <c r="E333" s="240">
        <v>3</v>
      </c>
      <c r="F333" s="226">
        <v>1740.3870890000001</v>
      </c>
      <c r="G333" s="223">
        <v>1984</v>
      </c>
      <c r="H333" s="223">
        <v>1</v>
      </c>
      <c r="I333" s="223">
        <v>1</v>
      </c>
      <c r="J333" s="223"/>
      <c r="K333" s="229">
        <v>41055.731419999996</v>
      </c>
      <c r="L333" s="241">
        <v>80</v>
      </c>
      <c r="M333" s="233">
        <v>8211.1462850000007</v>
      </c>
      <c r="N333" s="230">
        <v>23.59</v>
      </c>
      <c r="O333" s="231">
        <v>8211</v>
      </c>
      <c r="P333" s="315"/>
      <c r="Q333" s="276">
        <f t="shared" si="11"/>
        <v>1740.39</v>
      </c>
      <c r="R333" s="275">
        <f>(SUMIFS('Dec 31 2018 OFFS'!$AG:$AG,'Dec 31 2018 OFFS'!$AI:$AI,'T1 2019 Pipeline Data Lagasco'!$A333,'Dec 31 2018 OFFS'!$U:$U,'T1 2019 Pipeline Data Lagasco'!$E333,'Dec 31 2018 OFFS'!$AK:$AK,'T1 2019 Pipeline Data Lagasco'!$Q333,'Dec 31 2018 OFFS'!$W:$W,'T1 2019 Pipeline Data Lagasco'!$G333))/(MAX(COUNTIFS('Dec 31 2018 OFFS'!$AI:$AI,'T1 2019 Pipeline Data Lagasco'!$A333,'Dec 31 2018 OFFS'!$U:$U,'T1 2019 Pipeline Data Lagasco'!$E333,'Dec 31 2018 OFFS'!$AK:$AK,'T1 2019 Pipeline Data Lagasco'!$Q333,'Dec 31 2018 OFFS'!$W:$W,'T1 2019 Pipeline Data Lagasco'!$G333),1))</f>
        <v>8211</v>
      </c>
      <c r="S333" s="275">
        <f t="shared" si="12"/>
        <v>0</v>
      </c>
    </row>
    <row r="334" spans="1:19" s="217" customFormat="1" ht="14.1" customHeight="1">
      <c r="A334" s="224" t="s">
        <v>1494</v>
      </c>
      <c r="B334" s="218" t="s">
        <v>1495</v>
      </c>
      <c r="C334" s="223">
        <v>1</v>
      </c>
      <c r="D334" s="218" t="s">
        <v>1488</v>
      </c>
      <c r="E334" s="240">
        <v>3</v>
      </c>
      <c r="F334" s="226">
        <v>3482.8739150000001</v>
      </c>
      <c r="G334" s="223">
        <v>1984</v>
      </c>
      <c r="H334" s="223">
        <v>1</v>
      </c>
      <c r="I334" s="223">
        <v>1</v>
      </c>
      <c r="J334" s="223"/>
      <c r="K334" s="229">
        <v>82160.995649999997</v>
      </c>
      <c r="L334" s="241">
        <v>80</v>
      </c>
      <c r="M334" s="229">
        <v>16432.199130000001</v>
      </c>
      <c r="N334" s="230">
        <v>23.59</v>
      </c>
      <c r="O334" s="231">
        <v>16432</v>
      </c>
      <c r="P334" s="315"/>
      <c r="Q334" s="276">
        <f t="shared" si="11"/>
        <v>3482.87</v>
      </c>
      <c r="R334" s="275">
        <f>(SUMIFS('Dec 31 2018 OFFS'!$AG:$AG,'Dec 31 2018 OFFS'!$AI:$AI,'T1 2019 Pipeline Data Lagasco'!$A334,'Dec 31 2018 OFFS'!$U:$U,'T1 2019 Pipeline Data Lagasco'!$E334,'Dec 31 2018 OFFS'!$AK:$AK,'T1 2019 Pipeline Data Lagasco'!$Q334,'Dec 31 2018 OFFS'!$W:$W,'T1 2019 Pipeline Data Lagasco'!$G334))/(MAX(COUNTIFS('Dec 31 2018 OFFS'!$AI:$AI,'T1 2019 Pipeline Data Lagasco'!$A334,'Dec 31 2018 OFFS'!$U:$U,'T1 2019 Pipeline Data Lagasco'!$E334,'Dec 31 2018 OFFS'!$AK:$AK,'T1 2019 Pipeline Data Lagasco'!$Q334,'Dec 31 2018 OFFS'!$W:$W,'T1 2019 Pipeline Data Lagasco'!$G334),1))</f>
        <v>16432</v>
      </c>
      <c r="S334" s="275">
        <f t="shared" si="12"/>
        <v>0</v>
      </c>
    </row>
    <row r="335" spans="1:19" s="217" customFormat="1" ht="14.1" customHeight="1">
      <c r="A335" s="224" t="s">
        <v>1494</v>
      </c>
      <c r="B335" s="218" t="s">
        <v>1495</v>
      </c>
      <c r="C335" s="223">
        <v>1</v>
      </c>
      <c r="D335" s="218" t="s">
        <v>1488</v>
      </c>
      <c r="E335" s="240">
        <v>3</v>
      </c>
      <c r="F335" s="226">
        <v>4446.1612889999997</v>
      </c>
      <c r="G335" s="223">
        <v>1984</v>
      </c>
      <c r="H335" s="223">
        <v>1</v>
      </c>
      <c r="I335" s="223">
        <v>1</v>
      </c>
      <c r="J335" s="223"/>
      <c r="K335" s="228">
        <v>104884.9448</v>
      </c>
      <c r="L335" s="241">
        <v>80</v>
      </c>
      <c r="M335" s="229">
        <v>20976.988959999999</v>
      </c>
      <c r="N335" s="230">
        <v>23.59</v>
      </c>
      <c r="O335" s="231">
        <v>20976</v>
      </c>
      <c r="P335" s="315"/>
      <c r="Q335" s="276">
        <f t="shared" si="11"/>
        <v>4446.16</v>
      </c>
      <c r="R335" s="275">
        <f>(SUMIFS('Dec 31 2018 OFFS'!$AG:$AG,'Dec 31 2018 OFFS'!$AI:$AI,'T1 2019 Pipeline Data Lagasco'!$A335,'Dec 31 2018 OFFS'!$U:$U,'T1 2019 Pipeline Data Lagasco'!$E335,'Dec 31 2018 OFFS'!$AK:$AK,'T1 2019 Pipeline Data Lagasco'!$Q335,'Dec 31 2018 OFFS'!$W:$W,'T1 2019 Pipeline Data Lagasco'!$G335))/(MAX(COUNTIFS('Dec 31 2018 OFFS'!$AI:$AI,'T1 2019 Pipeline Data Lagasco'!$A335,'Dec 31 2018 OFFS'!$U:$U,'T1 2019 Pipeline Data Lagasco'!$E335,'Dec 31 2018 OFFS'!$AK:$AK,'T1 2019 Pipeline Data Lagasco'!$Q335,'Dec 31 2018 OFFS'!$W:$W,'T1 2019 Pipeline Data Lagasco'!$G335),1))</f>
        <v>20976</v>
      </c>
      <c r="S335" s="275">
        <f t="shared" si="12"/>
        <v>0</v>
      </c>
    </row>
    <row r="336" spans="1:19" s="217" customFormat="1" ht="14.1" customHeight="1">
      <c r="A336" s="224" t="s">
        <v>1494</v>
      </c>
      <c r="B336" s="218" t="s">
        <v>1495</v>
      </c>
      <c r="C336" s="223">
        <v>1</v>
      </c>
      <c r="D336" s="218" t="s">
        <v>1488</v>
      </c>
      <c r="E336" s="240">
        <v>3</v>
      </c>
      <c r="F336" s="226">
        <v>3775.8857170000001</v>
      </c>
      <c r="G336" s="223">
        <v>1984</v>
      </c>
      <c r="H336" s="223">
        <v>1</v>
      </c>
      <c r="I336" s="223">
        <v>1</v>
      </c>
      <c r="J336" s="223"/>
      <c r="K336" s="229">
        <v>89073.144069999995</v>
      </c>
      <c r="L336" s="241">
        <v>80</v>
      </c>
      <c r="M336" s="229">
        <v>17814.628809999998</v>
      </c>
      <c r="N336" s="230">
        <v>23.59</v>
      </c>
      <c r="O336" s="231">
        <v>17814</v>
      </c>
      <c r="P336" s="315"/>
      <c r="Q336" s="276">
        <f t="shared" si="11"/>
        <v>3775.89</v>
      </c>
      <c r="R336" s="275">
        <f>(SUMIFS('Dec 31 2018 OFFS'!$AG:$AG,'Dec 31 2018 OFFS'!$AI:$AI,'T1 2019 Pipeline Data Lagasco'!$A336,'Dec 31 2018 OFFS'!$U:$U,'T1 2019 Pipeline Data Lagasco'!$E336,'Dec 31 2018 OFFS'!$AK:$AK,'T1 2019 Pipeline Data Lagasco'!$Q336,'Dec 31 2018 OFFS'!$W:$W,'T1 2019 Pipeline Data Lagasco'!$G336))/(MAX(COUNTIFS('Dec 31 2018 OFFS'!$AI:$AI,'T1 2019 Pipeline Data Lagasco'!$A336,'Dec 31 2018 OFFS'!$U:$U,'T1 2019 Pipeline Data Lagasco'!$E336,'Dec 31 2018 OFFS'!$AK:$AK,'T1 2019 Pipeline Data Lagasco'!$Q336,'Dec 31 2018 OFFS'!$W:$W,'T1 2019 Pipeline Data Lagasco'!$G336),1))</f>
        <v>17814</v>
      </c>
      <c r="S336" s="275">
        <f t="shared" si="12"/>
        <v>0</v>
      </c>
    </row>
    <row r="337" spans="1:19" s="217" customFormat="1" ht="14.1" customHeight="1">
      <c r="A337" s="224" t="s">
        <v>1494</v>
      </c>
      <c r="B337" s="218" t="s">
        <v>1495</v>
      </c>
      <c r="C337" s="223">
        <v>1</v>
      </c>
      <c r="D337" s="218" t="s">
        <v>1488</v>
      </c>
      <c r="E337" s="240">
        <v>3</v>
      </c>
      <c r="F337" s="232">
        <v>669.48816959999999</v>
      </c>
      <c r="G337" s="223">
        <v>1984</v>
      </c>
      <c r="H337" s="223">
        <v>1</v>
      </c>
      <c r="I337" s="223">
        <v>1</v>
      </c>
      <c r="J337" s="223"/>
      <c r="K337" s="229">
        <v>15793.225920000001</v>
      </c>
      <c r="L337" s="241">
        <v>80</v>
      </c>
      <c r="M337" s="233">
        <v>3158.645184</v>
      </c>
      <c r="N337" s="230">
        <v>23.59</v>
      </c>
      <c r="O337" s="231">
        <v>3158</v>
      </c>
      <c r="P337" s="315"/>
      <c r="Q337" s="276">
        <f t="shared" si="11"/>
        <v>669.49</v>
      </c>
      <c r="R337" s="275">
        <f>(SUMIFS('Dec 31 2018 OFFS'!$AG:$AG,'Dec 31 2018 OFFS'!$AI:$AI,'T1 2019 Pipeline Data Lagasco'!$A337,'Dec 31 2018 OFFS'!$U:$U,'T1 2019 Pipeline Data Lagasco'!$E337,'Dec 31 2018 OFFS'!$AK:$AK,'T1 2019 Pipeline Data Lagasco'!$Q337,'Dec 31 2018 OFFS'!$W:$W,'T1 2019 Pipeline Data Lagasco'!$G337))/(MAX(COUNTIFS('Dec 31 2018 OFFS'!$AI:$AI,'T1 2019 Pipeline Data Lagasco'!$A337,'Dec 31 2018 OFFS'!$U:$U,'T1 2019 Pipeline Data Lagasco'!$E337,'Dec 31 2018 OFFS'!$AK:$AK,'T1 2019 Pipeline Data Lagasco'!$Q337,'Dec 31 2018 OFFS'!$W:$W,'T1 2019 Pipeline Data Lagasco'!$G337),1))</f>
        <v>3158</v>
      </c>
      <c r="S337" s="275">
        <f t="shared" si="12"/>
        <v>0</v>
      </c>
    </row>
    <row r="338" spans="1:19" s="217" customFormat="1" ht="14.1" customHeight="1">
      <c r="A338" s="224" t="s">
        <v>1494</v>
      </c>
      <c r="B338" s="218" t="s">
        <v>1495</v>
      </c>
      <c r="C338" s="223">
        <v>1</v>
      </c>
      <c r="D338" s="218" t="s">
        <v>1488</v>
      </c>
      <c r="E338" s="240">
        <v>3</v>
      </c>
      <c r="F338" s="226">
        <v>5002.5261019999998</v>
      </c>
      <c r="G338" s="223">
        <v>1984</v>
      </c>
      <c r="H338" s="223">
        <v>1</v>
      </c>
      <c r="I338" s="223">
        <v>1</v>
      </c>
      <c r="J338" s="223"/>
      <c r="K338" s="228">
        <v>118009.5907</v>
      </c>
      <c r="L338" s="241">
        <v>80</v>
      </c>
      <c r="M338" s="229">
        <v>23601.918150000001</v>
      </c>
      <c r="N338" s="230">
        <v>23.59</v>
      </c>
      <c r="O338" s="231">
        <v>23601</v>
      </c>
      <c r="P338" s="315"/>
      <c r="Q338" s="276">
        <f t="shared" si="11"/>
        <v>5002.53</v>
      </c>
      <c r="R338" s="275">
        <f>(SUMIFS('Dec 31 2018 OFFS'!$AG:$AG,'Dec 31 2018 OFFS'!$AI:$AI,'T1 2019 Pipeline Data Lagasco'!$A338,'Dec 31 2018 OFFS'!$U:$U,'T1 2019 Pipeline Data Lagasco'!$E338,'Dec 31 2018 OFFS'!$AK:$AK,'T1 2019 Pipeline Data Lagasco'!$Q338,'Dec 31 2018 OFFS'!$W:$W,'T1 2019 Pipeline Data Lagasco'!$G338))/(MAX(COUNTIFS('Dec 31 2018 OFFS'!$AI:$AI,'T1 2019 Pipeline Data Lagasco'!$A338,'Dec 31 2018 OFFS'!$U:$U,'T1 2019 Pipeline Data Lagasco'!$E338,'Dec 31 2018 OFFS'!$AK:$AK,'T1 2019 Pipeline Data Lagasco'!$Q338,'Dec 31 2018 OFFS'!$W:$W,'T1 2019 Pipeline Data Lagasco'!$G338),1))</f>
        <v>23601</v>
      </c>
      <c r="S338" s="275">
        <f t="shared" si="12"/>
        <v>0</v>
      </c>
    </row>
    <row r="339" spans="1:19" s="217" customFormat="1" ht="14.1" customHeight="1">
      <c r="A339" s="224" t="s">
        <v>1494</v>
      </c>
      <c r="B339" s="218" t="s">
        <v>1495</v>
      </c>
      <c r="C339" s="223">
        <v>1</v>
      </c>
      <c r="D339" s="218" t="s">
        <v>1488</v>
      </c>
      <c r="E339" s="240">
        <v>3</v>
      </c>
      <c r="F339" s="226">
        <v>5592.486715</v>
      </c>
      <c r="G339" s="223">
        <v>1982</v>
      </c>
      <c r="H339" s="223">
        <v>1</v>
      </c>
      <c r="I339" s="223">
        <v>0</v>
      </c>
      <c r="J339" s="223"/>
      <c r="K339" s="228">
        <v>131926.7616</v>
      </c>
      <c r="L339" s="241">
        <v>80</v>
      </c>
      <c r="M339" s="229">
        <v>26385.352320000002</v>
      </c>
      <c r="N339" s="230">
        <v>23.59</v>
      </c>
      <c r="O339" s="231">
        <v>0</v>
      </c>
      <c r="P339" s="315"/>
      <c r="Q339" s="276">
        <f t="shared" si="11"/>
        <v>5592.49</v>
      </c>
      <c r="R339" s="275">
        <f>(SUMIFS('Dec 31 2018 OFFS'!$AG:$AG,'Dec 31 2018 OFFS'!$AI:$AI,'T1 2019 Pipeline Data Lagasco'!$A339,'Dec 31 2018 OFFS'!$U:$U,'T1 2019 Pipeline Data Lagasco'!$E339,'Dec 31 2018 OFFS'!$AK:$AK,'T1 2019 Pipeline Data Lagasco'!$Q339,'Dec 31 2018 OFFS'!$W:$W,'T1 2019 Pipeline Data Lagasco'!$G339))/(MAX(COUNTIFS('Dec 31 2018 OFFS'!$AI:$AI,'T1 2019 Pipeline Data Lagasco'!$A339,'Dec 31 2018 OFFS'!$U:$U,'T1 2019 Pipeline Data Lagasco'!$E339,'Dec 31 2018 OFFS'!$AK:$AK,'T1 2019 Pipeline Data Lagasco'!$Q339,'Dec 31 2018 OFFS'!$W:$W,'T1 2019 Pipeline Data Lagasco'!$G339),1))</f>
        <v>0</v>
      </c>
      <c r="S339" s="275">
        <f t="shared" si="12"/>
        <v>0</v>
      </c>
    </row>
    <row r="340" spans="1:19" s="217" customFormat="1" ht="14.1" customHeight="1">
      <c r="A340" s="224" t="s">
        <v>1494</v>
      </c>
      <c r="B340" s="218" t="s">
        <v>1495</v>
      </c>
      <c r="C340" s="223">
        <v>1</v>
      </c>
      <c r="D340" s="218" t="s">
        <v>1488</v>
      </c>
      <c r="E340" s="240">
        <v>3</v>
      </c>
      <c r="F340" s="223">
        <v>4387</v>
      </c>
      <c r="G340" s="223">
        <v>2006</v>
      </c>
      <c r="H340" s="223">
        <v>1</v>
      </c>
      <c r="I340" s="223">
        <v>1</v>
      </c>
      <c r="J340" s="223"/>
      <c r="K340" s="238">
        <v>103489.33</v>
      </c>
      <c r="L340" s="241">
        <v>52</v>
      </c>
      <c r="M340" s="228">
        <v>49674.878400000001</v>
      </c>
      <c r="N340" s="230">
        <v>23.59</v>
      </c>
      <c r="O340" s="231">
        <v>49674</v>
      </c>
      <c r="P340" s="315"/>
      <c r="Q340" s="276">
        <f t="shared" si="11"/>
        <v>4387</v>
      </c>
      <c r="R340" s="275">
        <f>(SUMIFS('Dec 31 2018 OFFS'!$AG:$AG,'Dec 31 2018 OFFS'!$AI:$AI,'T1 2019 Pipeline Data Lagasco'!$A340,'Dec 31 2018 OFFS'!$U:$U,'T1 2019 Pipeline Data Lagasco'!$E340,'Dec 31 2018 OFFS'!$AK:$AK,'T1 2019 Pipeline Data Lagasco'!$Q340,'Dec 31 2018 OFFS'!$W:$W,'T1 2019 Pipeline Data Lagasco'!$G340))/(MAX(COUNTIFS('Dec 31 2018 OFFS'!$AI:$AI,'T1 2019 Pipeline Data Lagasco'!$A340,'Dec 31 2018 OFFS'!$U:$U,'T1 2019 Pipeline Data Lagasco'!$E340,'Dec 31 2018 OFFS'!$AK:$AK,'T1 2019 Pipeline Data Lagasco'!$Q340,'Dec 31 2018 OFFS'!$W:$W,'T1 2019 Pipeline Data Lagasco'!$G340),1))</f>
        <v>49674</v>
      </c>
      <c r="S340" s="275">
        <f t="shared" si="12"/>
        <v>0</v>
      </c>
    </row>
    <row r="341" spans="1:19" s="217" customFormat="1" ht="14.1" customHeight="1">
      <c r="A341" s="224" t="s">
        <v>1494</v>
      </c>
      <c r="B341" s="218" t="s">
        <v>1495</v>
      </c>
      <c r="C341" s="223">
        <v>1</v>
      </c>
      <c r="D341" s="218" t="s">
        <v>1488</v>
      </c>
      <c r="E341" s="240">
        <v>4</v>
      </c>
      <c r="F341" s="226">
        <v>5536.1546950000002</v>
      </c>
      <c r="G341" s="223">
        <v>1983</v>
      </c>
      <c r="H341" s="223">
        <v>1</v>
      </c>
      <c r="I341" s="223">
        <v>1</v>
      </c>
      <c r="J341" s="223"/>
      <c r="K341" s="228">
        <v>146431.2917</v>
      </c>
      <c r="L341" s="241">
        <v>80</v>
      </c>
      <c r="M341" s="229">
        <v>29286.25834</v>
      </c>
      <c r="N341" s="230">
        <v>26.45</v>
      </c>
      <c r="O341" s="231">
        <v>29286</v>
      </c>
      <c r="P341" s="315"/>
      <c r="Q341" s="276">
        <f t="shared" si="11"/>
        <v>5536.15</v>
      </c>
      <c r="R341" s="275">
        <f>(SUMIFS('Dec 31 2018 OFFS'!$AG:$AG,'Dec 31 2018 OFFS'!$AI:$AI,'T1 2019 Pipeline Data Lagasco'!$A341,'Dec 31 2018 OFFS'!$U:$U,'T1 2019 Pipeline Data Lagasco'!$E341,'Dec 31 2018 OFFS'!$AK:$AK,'T1 2019 Pipeline Data Lagasco'!$Q341,'Dec 31 2018 OFFS'!$W:$W,'T1 2019 Pipeline Data Lagasco'!$G341))/(MAX(COUNTIFS('Dec 31 2018 OFFS'!$AI:$AI,'T1 2019 Pipeline Data Lagasco'!$A341,'Dec 31 2018 OFFS'!$U:$U,'T1 2019 Pipeline Data Lagasco'!$E341,'Dec 31 2018 OFFS'!$AK:$AK,'T1 2019 Pipeline Data Lagasco'!$Q341,'Dec 31 2018 OFFS'!$W:$W,'T1 2019 Pipeline Data Lagasco'!$G341),1))</f>
        <v>29286</v>
      </c>
      <c r="S341" s="275">
        <f t="shared" si="12"/>
        <v>0</v>
      </c>
    </row>
    <row r="342" spans="1:19" s="217" customFormat="1" ht="15" customHeight="1">
      <c r="A342" s="224" t="s">
        <v>1494</v>
      </c>
      <c r="B342" s="218" t="s">
        <v>1495</v>
      </c>
      <c r="C342" s="223">
        <v>1</v>
      </c>
      <c r="D342" s="218" t="s">
        <v>1488</v>
      </c>
      <c r="E342" s="240">
        <v>4</v>
      </c>
      <c r="F342" s="226">
        <v>5600.9184729999997</v>
      </c>
      <c r="G342" s="223">
        <v>1983</v>
      </c>
      <c r="H342" s="223">
        <v>1</v>
      </c>
      <c r="I342" s="223">
        <v>1</v>
      </c>
      <c r="J342" s="223"/>
      <c r="K342" s="228">
        <v>148144.2936</v>
      </c>
      <c r="L342" s="241">
        <v>80</v>
      </c>
      <c r="M342" s="229">
        <v>29628.85872</v>
      </c>
      <c r="N342" s="230">
        <v>26.45</v>
      </c>
      <c r="O342" s="231">
        <v>29628</v>
      </c>
      <c r="P342" s="315"/>
      <c r="Q342" s="276">
        <f t="shared" si="11"/>
        <v>5600.92</v>
      </c>
      <c r="R342" s="275">
        <f>(SUMIFS('Dec 31 2018 OFFS'!$AG:$AG,'Dec 31 2018 OFFS'!$AI:$AI,'T1 2019 Pipeline Data Lagasco'!$A342,'Dec 31 2018 OFFS'!$U:$U,'T1 2019 Pipeline Data Lagasco'!$E342,'Dec 31 2018 OFFS'!$AK:$AK,'T1 2019 Pipeline Data Lagasco'!$Q342,'Dec 31 2018 OFFS'!$W:$W,'T1 2019 Pipeline Data Lagasco'!$G342))/(MAX(COUNTIFS('Dec 31 2018 OFFS'!$AI:$AI,'T1 2019 Pipeline Data Lagasco'!$A342,'Dec 31 2018 OFFS'!$U:$U,'T1 2019 Pipeline Data Lagasco'!$E342,'Dec 31 2018 OFFS'!$AK:$AK,'T1 2019 Pipeline Data Lagasco'!$Q342,'Dec 31 2018 OFFS'!$W:$W,'T1 2019 Pipeline Data Lagasco'!$G342),1))</f>
        <v>29628</v>
      </c>
      <c r="S342" s="275">
        <f t="shared" si="12"/>
        <v>0</v>
      </c>
    </row>
    <row r="343" spans="1:19" s="217" customFormat="1" ht="15" customHeight="1">
      <c r="A343" s="224" t="s">
        <v>1494</v>
      </c>
      <c r="B343" s="218" t="s">
        <v>1495</v>
      </c>
      <c r="C343" s="223">
        <v>1</v>
      </c>
      <c r="D343" s="218" t="s">
        <v>1488</v>
      </c>
      <c r="E343" s="240">
        <v>4</v>
      </c>
      <c r="F343" s="226">
        <v>9798.2280630000005</v>
      </c>
      <c r="G343" s="223">
        <v>1980</v>
      </c>
      <c r="H343" s="223">
        <v>1</v>
      </c>
      <c r="I343" s="223">
        <v>1</v>
      </c>
      <c r="J343" s="223"/>
      <c r="K343" s="228">
        <v>259163.1323</v>
      </c>
      <c r="L343" s="241">
        <v>80</v>
      </c>
      <c r="M343" s="229">
        <v>51832.626450000003</v>
      </c>
      <c r="N343" s="230">
        <v>26.45</v>
      </c>
      <c r="O343" s="231">
        <v>51832</v>
      </c>
      <c r="P343" s="314"/>
      <c r="Q343" s="276">
        <f t="shared" si="11"/>
        <v>9798.23</v>
      </c>
      <c r="R343" s="275">
        <f>(SUMIFS('Dec 31 2018 OFFS'!$AG:$AG,'Dec 31 2018 OFFS'!$AI:$AI,'T1 2019 Pipeline Data Lagasco'!$A343,'Dec 31 2018 OFFS'!$U:$U,'T1 2019 Pipeline Data Lagasco'!$E343,'Dec 31 2018 OFFS'!$AK:$AK,'T1 2019 Pipeline Data Lagasco'!$Q343,'Dec 31 2018 OFFS'!$W:$W,'T1 2019 Pipeline Data Lagasco'!$G343))/(MAX(COUNTIFS('Dec 31 2018 OFFS'!$AI:$AI,'T1 2019 Pipeline Data Lagasco'!$A343,'Dec 31 2018 OFFS'!$U:$U,'T1 2019 Pipeline Data Lagasco'!$E343,'Dec 31 2018 OFFS'!$AK:$AK,'T1 2019 Pipeline Data Lagasco'!$Q343,'Dec 31 2018 OFFS'!$W:$W,'T1 2019 Pipeline Data Lagasco'!$G343),1))</f>
        <v>51832</v>
      </c>
      <c r="S343" s="275">
        <f t="shared" si="12"/>
        <v>0</v>
      </c>
    </row>
    <row r="344" spans="1:19" s="217" customFormat="1" ht="14.1" customHeight="1">
      <c r="A344" s="224" t="s">
        <v>1494</v>
      </c>
      <c r="B344" s="218" t="s">
        <v>1495</v>
      </c>
      <c r="C344" s="223">
        <v>1</v>
      </c>
      <c r="D344" s="218" t="s">
        <v>1488</v>
      </c>
      <c r="E344" s="240">
        <v>6</v>
      </c>
      <c r="F344" s="230">
        <v>8959.58</v>
      </c>
      <c r="G344" s="223">
        <v>1977</v>
      </c>
      <c r="H344" s="223">
        <v>1</v>
      </c>
      <c r="I344" s="223">
        <v>1</v>
      </c>
      <c r="J344" s="223"/>
      <c r="K344" s="228">
        <v>310270.25540000002</v>
      </c>
      <c r="L344" s="241">
        <v>80</v>
      </c>
      <c r="M344" s="229">
        <v>62054.051079999997</v>
      </c>
      <c r="N344" s="230">
        <v>34.630000000000003</v>
      </c>
      <c r="O344" s="231">
        <v>62054</v>
      </c>
      <c r="P344" s="314"/>
      <c r="Q344" s="276">
        <f t="shared" si="11"/>
        <v>8959.58</v>
      </c>
      <c r="R344" s="275">
        <f>(SUMIFS('Dec 31 2018 OFFS'!$AG:$AG,'Dec 31 2018 OFFS'!$AI:$AI,'T1 2019 Pipeline Data Lagasco'!$A344,'Dec 31 2018 OFFS'!$U:$U,'T1 2019 Pipeline Data Lagasco'!$E344,'Dec 31 2018 OFFS'!$AK:$AK,'T1 2019 Pipeline Data Lagasco'!$Q344,'Dec 31 2018 OFFS'!$W:$W,'T1 2019 Pipeline Data Lagasco'!$G344))/(MAX(COUNTIFS('Dec 31 2018 OFFS'!$AI:$AI,'T1 2019 Pipeline Data Lagasco'!$A344,'Dec 31 2018 OFFS'!$U:$U,'T1 2019 Pipeline Data Lagasco'!$E344,'Dec 31 2018 OFFS'!$AK:$AK,'T1 2019 Pipeline Data Lagasco'!$Q344,'Dec 31 2018 OFFS'!$W:$W,'T1 2019 Pipeline Data Lagasco'!$G344),1))</f>
        <v>62054</v>
      </c>
      <c r="S344" s="275">
        <f t="shared" si="12"/>
        <v>0</v>
      </c>
    </row>
    <row r="345" spans="1:19" s="217" customFormat="1" ht="14.1" customHeight="1">
      <c r="A345" s="224" t="s">
        <v>1494</v>
      </c>
      <c r="B345" s="218" t="s">
        <v>1495</v>
      </c>
      <c r="C345" s="223">
        <v>1</v>
      </c>
      <c r="D345" s="218" t="s">
        <v>1488</v>
      </c>
      <c r="E345" s="240">
        <v>6</v>
      </c>
      <c r="F345" s="226">
        <v>8729.2320309999996</v>
      </c>
      <c r="G345" s="223">
        <v>1977</v>
      </c>
      <c r="H345" s="223">
        <v>1</v>
      </c>
      <c r="I345" s="223">
        <v>1</v>
      </c>
      <c r="J345" s="223"/>
      <c r="K345" s="228">
        <v>302293.3052</v>
      </c>
      <c r="L345" s="241">
        <v>80</v>
      </c>
      <c r="M345" s="229">
        <v>60458.661039999999</v>
      </c>
      <c r="N345" s="230">
        <v>34.630000000000003</v>
      </c>
      <c r="O345" s="231">
        <v>60458</v>
      </c>
      <c r="P345" s="314"/>
      <c r="Q345" s="276">
        <f t="shared" si="11"/>
        <v>8729.23</v>
      </c>
      <c r="R345" s="275">
        <f>(SUMIFS('Dec 31 2018 OFFS'!$AG:$AG,'Dec 31 2018 OFFS'!$AI:$AI,'T1 2019 Pipeline Data Lagasco'!$A345,'Dec 31 2018 OFFS'!$U:$U,'T1 2019 Pipeline Data Lagasco'!$E345,'Dec 31 2018 OFFS'!$AK:$AK,'T1 2019 Pipeline Data Lagasco'!$Q345,'Dec 31 2018 OFFS'!$W:$W,'T1 2019 Pipeline Data Lagasco'!$G345))/(MAX(COUNTIFS('Dec 31 2018 OFFS'!$AI:$AI,'T1 2019 Pipeline Data Lagasco'!$A345,'Dec 31 2018 OFFS'!$U:$U,'T1 2019 Pipeline Data Lagasco'!$E345,'Dec 31 2018 OFFS'!$AK:$AK,'T1 2019 Pipeline Data Lagasco'!$Q345,'Dec 31 2018 OFFS'!$W:$W,'T1 2019 Pipeline Data Lagasco'!$G345),1))</f>
        <v>60458</v>
      </c>
      <c r="S345" s="275">
        <f t="shared" si="12"/>
        <v>0</v>
      </c>
    </row>
    <row r="346" spans="1:19" s="217" customFormat="1" ht="14.1" customHeight="1">
      <c r="A346" s="224" t="s">
        <v>1494</v>
      </c>
      <c r="B346" s="218" t="s">
        <v>1495</v>
      </c>
      <c r="C346" s="223">
        <v>1</v>
      </c>
      <c r="D346" s="218" t="s">
        <v>1488</v>
      </c>
      <c r="E346" s="240">
        <v>6</v>
      </c>
      <c r="F346" s="236">
        <v>9691.1742599999998</v>
      </c>
      <c r="G346" s="223">
        <v>1977</v>
      </c>
      <c r="H346" s="223">
        <v>1</v>
      </c>
      <c r="I346" s="223">
        <v>1</v>
      </c>
      <c r="J346" s="223"/>
      <c r="K346" s="228">
        <v>335605.36459999997</v>
      </c>
      <c r="L346" s="241">
        <v>80</v>
      </c>
      <c r="M346" s="229">
        <v>67121.072920000006</v>
      </c>
      <c r="N346" s="230">
        <v>34.630000000000003</v>
      </c>
      <c r="O346" s="231">
        <v>67121</v>
      </c>
      <c r="P346" s="314"/>
      <c r="Q346" s="276">
        <f t="shared" si="11"/>
        <v>9691.17</v>
      </c>
      <c r="R346" s="275">
        <f>(SUMIFS('Dec 31 2018 OFFS'!$AG:$AG,'Dec 31 2018 OFFS'!$AI:$AI,'T1 2019 Pipeline Data Lagasco'!$A346,'Dec 31 2018 OFFS'!$U:$U,'T1 2019 Pipeline Data Lagasco'!$E346,'Dec 31 2018 OFFS'!$AK:$AK,'T1 2019 Pipeline Data Lagasco'!$Q346,'Dec 31 2018 OFFS'!$W:$W,'T1 2019 Pipeline Data Lagasco'!$G346))/(MAX(COUNTIFS('Dec 31 2018 OFFS'!$AI:$AI,'T1 2019 Pipeline Data Lagasco'!$A346,'Dec 31 2018 OFFS'!$U:$U,'T1 2019 Pipeline Data Lagasco'!$E346,'Dec 31 2018 OFFS'!$AK:$AK,'T1 2019 Pipeline Data Lagasco'!$Q346,'Dec 31 2018 OFFS'!$W:$W,'T1 2019 Pipeline Data Lagasco'!$G346),1))</f>
        <v>67121</v>
      </c>
      <c r="S346" s="275">
        <f t="shared" si="12"/>
        <v>0</v>
      </c>
    </row>
    <row r="347" spans="1:19" s="217" customFormat="1" ht="14.1" customHeight="1">
      <c r="A347" s="224" t="s">
        <v>1494</v>
      </c>
      <c r="B347" s="218" t="s">
        <v>1495</v>
      </c>
      <c r="C347" s="223">
        <v>1</v>
      </c>
      <c r="D347" s="218" t="s">
        <v>1488</v>
      </c>
      <c r="E347" s="240">
        <v>6</v>
      </c>
      <c r="F347" s="226">
        <v>5084.7767560000002</v>
      </c>
      <c r="G347" s="223">
        <v>1984</v>
      </c>
      <c r="H347" s="223">
        <v>1</v>
      </c>
      <c r="I347" s="223">
        <v>1</v>
      </c>
      <c r="J347" s="223"/>
      <c r="K347" s="239">
        <v>176085.81899999999</v>
      </c>
      <c r="L347" s="241">
        <v>80</v>
      </c>
      <c r="M347" s="229">
        <v>35217.163809999998</v>
      </c>
      <c r="N347" s="230">
        <v>34.630000000000003</v>
      </c>
      <c r="O347" s="231">
        <v>35217</v>
      </c>
      <c r="P347" s="314"/>
      <c r="Q347" s="276">
        <f t="shared" si="11"/>
        <v>5084.78</v>
      </c>
      <c r="R347" s="275">
        <f>(SUMIFS('Dec 31 2018 OFFS'!$AG:$AG,'Dec 31 2018 OFFS'!$AI:$AI,'T1 2019 Pipeline Data Lagasco'!$A347,'Dec 31 2018 OFFS'!$U:$U,'T1 2019 Pipeline Data Lagasco'!$E347,'Dec 31 2018 OFFS'!$AK:$AK,'T1 2019 Pipeline Data Lagasco'!$Q347,'Dec 31 2018 OFFS'!$W:$W,'T1 2019 Pipeline Data Lagasco'!$G347))/(MAX(COUNTIFS('Dec 31 2018 OFFS'!$AI:$AI,'T1 2019 Pipeline Data Lagasco'!$A347,'Dec 31 2018 OFFS'!$U:$U,'T1 2019 Pipeline Data Lagasco'!$E347,'Dec 31 2018 OFFS'!$AK:$AK,'T1 2019 Pipeline Data Lagasco'!$Q347,'Dec 31 2018 OFFS'!$W:$W,'T1 2019 Pipeline Data Lagasco'!$G347),1))</f>
        <v>35217</v>
      </c>
      <c r="S347" s="275">
        <f t="shared" si="12"/>
        <v>0</v>
      </c>
    </row>
    <row r="348" spans="1:19" s="217" customFormat="1" ht="14.1" customHeight="1">
      <c r="A348" s="224" t="s">
        <v>1494</v>
      </c>
      <c r="B348" s="218" t="s">
        <v>1495</v>
      </c>
      <c r="C348" s="223">
        <v>1</v>
      </c>
      <c r="D348" s="218" t="s">
        <v>1488</v>
      </c>
      <c r="E348" s="240">
        <v>6</v>
      </c>
      <c r="F348" s="236">
        <v>4043.7006700000002</v>
      </c>
      <c r="G348" s="223">
        <v>1984</v>
      </c>
      <c r="H348" s="223">
        <v>1</v>
      </c>
      <c r="I348" s="223">
        <v>1</v>
      </c>
      <c r="J348" s="223"/>
      <c r="K348" s="228">
        <v>140033.3542</v>
      </c>
      <c r="L348" s="241">
        <v>80</v>
      </c>
      <c r="M348" s="229">
        <v>28006.670839999999</v>
      </c>
      <c r="N348" s="230">
        <v>34.630000000000003</v>
      </c>
      <c r="O348" s="231">
        <v>28006</v>
      </c>
      <c r="P348" s="314"/>
      <c r="Q348" s="276">
        <f t="shared" si="11"/>
        <v>4043.70</v>
      </c>
      <c r="R348" s="275">
        <f>(SUMIFS('Dec 31 2018 OFFS'!$AG:$AG,'Dec 31 2018 OFFS'!$AI:$AI,'T1 2019 Pipeline Data Lagasco'!$A348,'Dec 31 2018 OFFS'!$U:$U,'T1 2019 Pipeline Data Lagasco'!$E348,'Dec 31 2018 OFFS'!$AK:$AK,'T1 2019 Pipeline Data Lagasco'!$Q348,'Dec 31 2018 OFFS'!$W:$W,'T1 2019 Pipeline Data Lagasco'!$G348))/(MAX(COUNTIFS('Dec 31 2018 OFFS'!$AI:$AI,'T1 2019 Pipeline Data Lagasco'!$A348,'Dec 31 2018 OFFS'!$U:$U,'T1 2019 Pipeline Data Lagasco'!$E348,'Dec 31 2018 OFFS'!$AK:$AK,'T1 2019 Pipeline Data Lagasco'!$Q348,'Dec 31 2018 OFFS'!$W:$W,'T1 2019 Pipeline Data Lagasco'!$G348),1))</f>
        <v>28006</v>
      </c>
      <c r="S348" s="275">
        <f t="shared" si="12"/>
        <v>0</v>
      </c>
    </row>
    <row r="349" spans="1:19" s="217" customFormat="1" ht="14.1" customHeight="1">
      <c r="A349" s="224" t="s">
        <v>1494</v>
      </c>
      <c r="B349" s="218" t="s">
        <v>1495</v>
      </c>
      <c r="C349" s="223">
        <v>1</v>
      </c>
      <c r="D349" s="218" t="s">
        <v>1488</v>
      </c>
      <c r="E349" s="240">
        <v>8</v>
      </c>
      <c r="F349" s="236">
        <v>25845.20923</v>
      </c>
      <c r="G349" s="223">
        <v>1977</v>
      </c>
      <c r="H349" s="223">
        <v>1</v>
      </c>
      <c r="I349" s="223">
        <v>1</v>
      </c>
      <c r="J349" s="223"/>
      <c r="K349" s="239">
        <v>1274168.8149999999</v>
      </c>
      <c r="L349" s="241">
        <v>80</v>
      </c>
      <c r="M349" s="239">
        <v>254833.76300000001</v>
      </c>
      <c r="N349" s="242">
        <v>49.30</v>
      </c>
      <c r="O349" s="231">
        <v>254833</v>
      </c>
      <c r="P349" s="314"/>
      <c r="Q349" s="276">
        <f t="shared" si="11"/>
        <v>25845.21</v>
      </c>
      <c r="R349" s="275">
        <f>(SUMIFS('Dec 31 2018 OFFS'!$AG:$AG,'Dec 31 2018 OFFS'!$AI:$AI,'T1 2019 Pipeline Data Lagasco'!$A349,'Dec 31 2018 OFFS'!$U:$U,'T1 2019 Pipeline Data Lagasco'!$E349,'Dec 31 2018 OFFS'!$AK:$AK,'T1 2019 Pipeline Data Lagasco'!$Q349,'Dec 31 2018 OFFS'!$W:$W,'T1 2019 Pipeline Data Lagasco'!$G349))/(MAX(COUNTIFS('Dec 31 2018 OFFS'!$AI:$AI,'T1 2019 Pipeline Data Lagasco'!$A349,'Dec 31 2018 OFFS'!$U:$U,'T1 2019 Pipeline Data Lagasco'!$E349,'Dec 31 2018 OFFS'!$AK:$AK,'T1 2019 Pipeline Data Lagasco'!$Q349,'Dec 31 2018 OFFS'!$W:$W,'T1 2019 Pipeline Data Lagasco'!$G349),1))</f>
        <v>254833</v>
      </c>
      <c r="S349" s="275">
        <f t="shared" si="12"/>
        <v>0</v>
      </c>
    </row>
    <row r="350" spans="1:19" s="217" customFormat="1" ht="14.1" customHeight="1">
      <c r="A350" s="224" t="s">
        <v>1494</v>
      </c>
      <c r="B350" s="218" t="s">
        <v>1495</v>
      </c>
      <c r="C350" s="223">
        <v>1</v>
      </c>
      <c r="D350" s="218" t="s">
        <v>1488</v>
      </c>
      <c r="E350" s="240">
        <v>8</v>
      </c>
      <c r="F350" s="235">
        <v>19125.983700000001</v>
      </c>
      <c r="G350" s="223">
        <v>1979</v>
      </c>
      <c r="H350" s="223">
        <v>1</v>
      </c>
      <c r="I350" s="223">
        <v>1</v>
      </c>
      <c r="J350" s="223"/>
      <c r="K350" s="228">
        <v>942910.9963</v>
      </c>
      <c r="L350" s="241">
        <v>80</v>
      </c>
      <c r="M350" s="228">
        <v>188582.19930000001</v>
      </c>
      <c r="N350" s="242">
        <v>49.30</v>
      </c>
      <c r="O350" s="231">
        <v>188582</v>
      </c>
      <c r="P350" s="314"/>
      <c r="Q350" s="276">
        <f t="shared" si="11"/>
        <v>19125.98</v>
      </c>
      <c r="R350" s="275">
        <f>(SUMIFS('Dec 31 2018 OFFS'!$AG:$AG,'Dec 31 2018 OFFS'!$AI:$AI,'T1 2019 Pipeline Data Lagasco'!$A350,'Dec 31 2018 OFFS'!$U:$U,'T1 2019 Pipeline Data Lagasco'!$E350,'Dec 31 2018 OFFS'!$AK:$AK,'T1 2019 Pipeline Data Lagasco'!$Q350,'Dec 31 2018 OFFS'!$W:$W,'T1 2019 Pipeline Data Lagasco'!$G350))/(MAX(COUNTIFS('Dec 31 2018 OFFS'!$AI:$AI,'T1 2019 Pipeline Data Lagasco'!$A350,'Dec 31 2018 OFFS'!$U:$U,'T1 2019 Pipeline Data Lagasco'!$E350,'Dec 31 2018 OFFS'!$AK:$AK,'T1 2019 Pipeline Data Lagasco'!$Q350,'Dec 31 2018 OFFS'!$W:$W,'T1 2019 Pipeline Data Lagasco'!$G350),1))</f>
        <v>188582</v>
      </c>
      <c r="S350" s="275">
        <f t="shared" si="12"/>
        <v>0</v>
      </c>
    </row>
    <row r="351" spans="1:19" s="217" customFormat="1" ht="14.1" customHeight="1">
      <c r="A351" s="224" t="s">
        <v>1494</v>
      </c>
      <c r="B351" s="218" t="s">
        <v>1495</v>
      </c>
      <c r="C351" s="223">
        <v>1</v>
      </c>
      <c r="D351" s="218" t="s">
        <v>1488</v>
      </c>
      <c r="E351" s="240">
        <v>8</v>
      </c>
      <c r="F351" s="226">
        <v>7657.6769439999998</v>
      </c>
      <c r="G351" s="223">
        <v>1979</v>
      </c>
      <c r="H351" s="223">
        <v>1</v>
      </c>
      <c r="I351" s="223">
        <v>1</v>
      </c>
      <c r="J351" s="223"/>
      <c r="K351" s="228">
        <v>377523.47330000001</v>
      </c>
      <c r="L351" s="241">
        <v>80</v>
      </c>
      <c r="M351" s="229">
        <v>75504.694659999994</v>
      </c>
      <c r="N351" s="242">
        <v>49.30</v>
      </c>
      <c r="O351" s="231">
        <v>75504</v>
      </c>
      <c r="P351" s="314"/>
      <c r="Q351" s="276">
        <f t="shared" si="11"/>
        <v>7657.68</v>
      </c>
      <c r="R351" s="275">
        <f>(SUMIFS('Dec 31 2018 OFFS'!$AG:$AG,'Dec 31 2018 OFFS'!$AI:$AI,'T1 2019 Pipeline Data Lagasco'!$A351,'Dec 31 2018 OFFS'!$U:$U,'T1 2019 Pipeline Data Lagasco'!$E351,'Dec 31 2018 OFFS'!$AK:$AK,'T1 2019 Pipeline Data Lagasco'!$Q351,'Dec 31 2018 OFFS'!$W:$W,'T1 2019 Pipeline Data Lagasco'!$G351))/(MAX(COUNTIFS('Dec 31 2018 OFFS'!$AI:$AI,'T1 2019 Pipeline Data Lagasco'!$A351,'Dec 31 2018 OFFS'!$U:$U,'T1 2019 Pipeline Data Lagasco'!$E351,'Dec 31 2018 OFFS'!$AK:$AK,'T1 2019 Pipeline Data Lagasco'!$Q351,'Dec 31 2018 OFFS'!$W:$W,'T1 2019 Pipeline Data Lagasco'!$G351),1))</f>
        <v>75504</v>
      </c>
      <c r="S351" s="275">
        <f t="shared" si="12"/>
        <v>0</v>
      </c>
    </row>
    <row r="352" spans="1:19" s="217" customFormat="1" ht="14.1" customHeight="1">
      <c r="A352" s="224" t="s">
        <v>1494</v>
      </c>
      <c r="B352" s="218" t="s">
        <v>1495</v>
      </c>
      <c r="C352" s="223">
        <v>1</v>
      </c>
      <c r="D352" s="218" t="s">
        <v>1488</v>
      </c>
      <c r="E352" s="240">
        <v>8</v>
      </c>
      <c r="F352" s="226">
        <v>8344.1598630000008</v>
      </c>
      <c r="G352" s="223">
        <v>1979</v>
      </c>
      <c r="H352" s="223">
        <v>1</v>
      </c>
      <c r="I352" s="223">
        <v>1</v>
      </c>
      <c r="J352" s="223"/>
      <c r="K352" s="228">
        <v>411367.08130000002</v>
      </c>
      <c r="L352" s="241">
        <v>80</v>
      </c>
      <c r="M352" s="229">
        <v>82273.416249999995</v>
      </c>
      <c r="N352" s="242">
        <v>49.30</v>
      </c>
      <c r="O352" s="231">
        <v>82273</v>
      </c>
      <c r="P352" s="314"/>
      <c r="Q352" s="276">
        <f t="shared" si="11"/>
        <v>8344.16</v>
      </c>
      <c r="R352" s="275">
        <f>(SUMIFS('Dec 31 2018 OFFS'!$AG:$AG,'Dec 31 2018 OFFS'!$AI:$AI,'T1 2019 Pipeline Data Lagasco'!$A352,'Dec 31 2018 OFFS'!$U:$U,'T1 2019 Pipeline Data Lagasco'!$E352,'Dec 31 2018 OFFS'!$AK:$AK,'T1 2019 Pipeline Data Lagasco'!$Q352,'Dec 31 2018 OFFS'!$W:$W,'T1 2019 Pipeline Data Lagasco'!$G352))/(MAX(COUNTIFS('Dec 31 2018 OFFS'!$AI:$AI,'T1 2019 Pipeline Data Lagasco'!$A352,'Dec 31 2018 OFFS'!$U:$U,'T1 2019 Pipeline Data Lagasco'!$E352,'Dec 31 2018 OFFS'!$AK:$AK,'T1 2019 Pipeline Data Lagasco'!$Q352,'Dec 31 2018 OFFS'!$W:$W,'T1 2019 Pipeline Data Lagasco'!$G352),1))</f>
        <v>82273</v>
      </c>
      <c r="S352" s="275">
        <f t="shared" si="12"/>
        <v>0</v>
      </c>
    </row>
    <row r="353" spans="1:19" s="217" customFormat="1" ht="14.1" customHeight="1">
      <c r="A353" s="224" t="s">
        <v>1494</v>
      </c>
      <c r="B353" s="218" t="s">
        <v>1495</v>
      </c>
      <c r="C353" s="223">
        <v>1</v>
      </c>
      <c r="D353" s="218" t="s">
        <v>1488</v>
      </c>
      <c r="E353" s="240">
        <v>8</v>
      </c>
      <c r="F353" s="226">
        <v>2594.3896890000001</v>
      </c>
      <c r="G353" s="223">
        <v>1979</v>
      </c>
      <c r="H353" s="223">
        <v>1</v>
      </c>
      <c r="I353" s="223">
        <v>1</v>
      </c>
      <c r="J353" s="223"/>
      <c r="K353" s="228">
        <v>127903.4117</v>
      </c>
      <c r="L353" s="241">
        <v>80</v>
      </c>
      <c r="M353" s="229">
        <v>25580.68233</v>
      </c>
      <c r="N353" s="242">
        <v>49.30</v>
      </c>
      <c r="O353" s="231">
        <v>25580</v>
      </c>
      <c r="P353" s="314"/>
      <c r="Q353" s="276">
        <f t="shared" si="11"/>
        <v>2594.39</v>
      </c>
      <c r="R353" s="275">
        <f>(SUMIFS('Dec 31 2018 OFFS'!$AG:$AG,'Dec 31 2018 OFFS'!$AI:$AI,'T1 2019 Pipeline Data Lagasco'!$A353,'Dec 31 2018 OFFS'!$U:$U,'T1 2019 Pipeline Data Lagasco'!$E353,'Dec 31 2018 OFFS'!$AK:$AK,'T1 2019 Pipeline Data Lagasco'!$Q353,'Dec 31 2018 OFFS'!$W:$W,'T1 2019 Pipeline Data Lagasco'!$G353))/(MAX(COUNTIFS('Dec 31 2018 OFFS'!$AI:$AI,'T1 2019 Pipeline Data Lagasco'!$A353,'Dec 31 2018 OFFS'!$U:$U,'T1 2019 Pipeline Data Lagasco'!$E353,'Dec 31 2018 OFFS'!$AK:$AK,'T1 2019 Pipeline Data Lagasco'!$Q353,'Dec 31 2018 OFFS'!$W:$W,'T1 2019 Pipeline Data Lagasco'!$G353),1))</f>
        <v>25580</v>
      </c>
      <c r="S353" s="275">
        <f t="shared" si="12"/>
        <v>0</v>
      </c>
    </row>
    <row r="354" spans="1:19" s="217" customFormat="1" ht="14.1" customHeight="1">
      <c r="A354" s="224" t="s">
        <v>1496</v>
      </c>
      <c r="B354" s="218" t="s">
        <v>1497</v>
      </c>
      <c r="C354" s="223">
        <v>1</v>
      </c>
      <c r="D354" s="218" t="s">
        <v>1488</v>
      </c>
      <c r="E354" s="240">
        <v>2</v>
      </c>
      <c r="F354" s="226">
        <v>4380.2164089999997</v>
      </c>
      <c r="G354" s="223">
        <v>1964</v>
      </c>
      <c r="H354" s="223">
        <v>1</v>
      </c>
      <c r="I354" s="223">
        <v>1</v>
      </c>
      <c r="J354" s="223"/>
      <c r="K354" s="229">
        <v>71134.714479999995</v>
      </c>
      <c r="L354" s="241">
        <v>80</v>
      </c>
      <c r="M354" s="228">
        <v>14226.9429</v>
      </c>
      <c r="N354" s="230">
        <v>16.239999999999998</v>
      </c>
      <c r="O354" s="231">
        <v>14226</v>
      </c>
      <c r="P354" s="314"/>
      <c r="Q354" s="276">
        <f t="shared" si="11"/>
        <v>4380.22</v>
      </c>
      <c r="R354" s="275">
        <f>(SUMIFS('Dec 31 2018 OFFS'!$AG:$AG,'Dec 31 2018 OFFS'!$AI:$AI,'T1 2019 Pipeline Data Lagasco'!$A354,'Dec 31 2018 OFFS'!$U:$U,'T1 2019 Pipeline Data Lagasco'!$E354,'Dec 31 2018 OFFS'!$AK:$AK,'T1 2019 Pipeline Data Lagasco'!$Q354,'Dec 31 2018 OFFS'!$W:$W,'T1 2019 Pipeline Data Lagasco'!$G354))/(MAX(COUNTIFS('Dec 31 2018 OFFS'!$AI:$AI,'T1 2019 Pipeline Data Lagasco'!$A354,'Dec 31 2018 OFFS'!$U:$U,'T1 2019 Pipeline Data Lagasco'!$E354,'Dec 31 2018 OFFS'!$AK:$AK,'T1 2019 Pipeline Data Lagasco'!$Q354,'Dec 31 2018 OFFS'!$W:$W,'T1 2019 Pipeline Data Lagasco'!$G354),1))</f>
        <v>14226</v>
      </c>
      <c r="S354" s="275">
        <f t="shared" si="12"/>
        <v>0</v>
      </c>
    </row>
    <row r="355" spans="1:19" s="217" customFormat="1" ht="14.1" customHeight="1">
      <c r="A355" s="224" t="s">
        <v>1496</v>
      </c>
      <c r="B355" s="218" t="s">
        <v>1497</v>
      </c>
      <c r="C355" s="223">
        <v>1</v>
      </c>
      <c r="D355" s="218" t="s">
        <v>1488</v>
      </c>
      <c r="E355" s="240">
        <v>2</v>
      </c>
      <c r="F355" s="226">
        <v>3278.9697209999999</v>
      </c>
      <c r="G355" s="223">
        <v>1964</v>
      </c>
      <c r="H355" s="223">
        <v>1</v>
      </c>
      <c r="I355" s="223">
        <v>0</v>
      </c>
      <c r="J355" s="223"/>
      <c r="K355" s="229">
        <v>53250.468269999998</v>
      </c>
      <c r="L355" s="241">
        <v>80</v>
      </c>
      <c r="M355" s="229">
        <v>10650.093650000001</v>
      </c>
      <c r="N355" s="230">
        <v>16.239999999999998</v>
      </c>
      <c r="O355" s="231">
        <v>0</v>
      </c>
      <c r="P355" s="314"/>
      <c r="Q355" s="276">
        <f t="shared" si="11"/>
        <v>3278.97</v>
      </c>
      <c r="R355" s="275">
        <f>(SUMIFS('Dec 31 2018 OFFS'!$AG:$AG,'Dec 31 2018 OFFS'!$AI:$AI,'T1 2019 Pipeline Data Lagasco'!$A355,'Dec 31 2018 OFFS'!$U:$U,'T1 2019 Pipeline Data Lagasco'!$E355,'Dec 31 2018 OFFS'!$AK:$AK,'T1 2019 Pipeline Data Lagasco'!$Q355,'Dec 31 2018 OFFS'!$W:$W,'T1 2019 Pipeline Data Lagasco'!$G355))/(MAX(COUNTIFS('Dec 31 2018 OFFS'!$AI:$AI,'T1 2019 Pipeline Data Lagasco'!$A355,'Dec 31 2018 OFFS'!$U:$U,'T1 2019 Pipeline Data Lagasco'!$E355,'Dec 31 2018 OFFS'!$AK:$AK,'T1 2019 Pipeline Data Lagasco'!$Q355,'Dec 31 2018 OFFS'!$W:$W,'T1 2019 Pipeline Data Lagasco'!$G355),1))</f>
        <v>0</v>
      </c>
      <c r="S355" s="275">
        <f t="shared" si="12"/>
        <v>0</v>
      </c>
    </row>
    <row r="356" spans="1:19" s="217" customFormat="1" ht="14.1" customHeight="1">
      <c r="A356" s="224" t="s">
        <v>1496</v>
      </c>
      <c r="B356" s="218" t="s">
        <v>1497</v>
      </c>
      <c r="C356" s="223">
        <v>1</v>
      </c>
      <c r="D356" s="218" t="s">
        <v>1488</v>
      </c>
      <c r="E356" s="240">
        <v>2</v>
      </c>
      <c r="F356" s="226">
        <v>4146.325339</v>
      </c>
      <c r="G356" s="223">
        <v>1965</v>
      </c>
      <c r="H356" s="223">
        <v>1</v>
      </c>
      <c r="I356" s="223">
        <v>0</v>
      </c>
      <c r="J356" s="223"/>
      <c r="K356" s="229">
        <v>67336.323510000002</v>
      </c>
      <c r="L356" s="241">
        <v>80</v>
      </c>
      <c r="M356" s="228">
        <v>13467.2647</v>
      </c>
      <c r="N356" s="230">
        <v>16.239999999999998</v>
      </c>
      <c r="O356" s="231">
        <v>0</v>
      </c>
      <c r="P356" s="314"/>
      <c r="Q356" s="276">
        <f t="shared" si="11"/>
        <v>4146.33</v>
      </c>
      <c r="R356" s="275">
        <f>(SUMIFS('Dec 31 2018 OFFS'!$AG:$AG,'Dec 31 2018 OFFS'!$AI:$AI,'T1 2019 Pipeline Data Lagasco'!$A356,'Dec 31 2018 OFFS'!$U:$U,'T1 2019 Pipeline Data Lagasco'!$E356,'Dec 31 2018 OFFS'!$AK:$AK,'T1 2019 Pipeline Data Lagasco'!$Q356,'Dec 31 2018 OFFS'!$W:$W,'T1 2019 Pipeline Data Lagasco'!$G356))/(MAX(COUNTIFS('Dec 31 2018 OFFS'!$AI:$AI,'T1 2019 Pipeline Data Lagasco'!$A356,'Dec 31 2018 OFFS'!$U:$U,'T1 2019 Pipeline Data Lagasco'!$E356,'Dec 31 2018 OFFS'!$AK:$AK,'T1 2019 Pipeline Data Lagasco'!$Q356,'Dec 31 2018 OFFS'!$W:$W,'T1 2019 Pipeline Data Lagasco'!$G356),1))</f>
        <v>0</v>
      </c>
      <c r="S356" s="275">
        <f t="shared" si="12"/>
        <v>0</v>
      </c>
    </row>
    <row r="357" spans="1:19" s="217" customFormat="1" ht="14.1" customHeight="1">
      <c r="A357" s="224" t="s">
        <v>1496</v>
      </c>
      <c r="B357" s="218" t="s">
        <v>1497</v>
      </c>
      <c r="C357" s="223">
        <v>1</v>
      </c>
      <c r="D357" s="218" t="s">
        <v>1488</v>
      </c>
      <c r="E357" s="240">
        <v>2</v>
      </c>
      <c r="F357" s="226">
        <v>6076.2465430000002</v>
      </c>
      <c r="G357" s="223">
        <v>1964</v>
      </c>
      <c r="H357" s="223">
        <v>1</v>
      </c>
      <c r="I357" s="223">
        <v>1</v>
      </c>
      <c r="J357" s="223"/>
      <c r="K357" s="229">
        <v>98678.243860000002</v>
      </c>
      <c r="L357" s="241">
        <v>80</v>
      </c>
      <c r="M357" s="229">
        <v>19735.64877</v>
      </c>
      <c r="N357" s="230">
        <v>16.239999999999998</v>
      </c>
      <c r="O357" s="231">
        <v>19735</v>
      </c>
      <c r="P357" s="314"/>
      <c r="Q357" s="276">
        <f t="shared" si="11"/>
        <v>6076.25</v>
      </c>
      <c r="R357" s="275">
        <f>(SUMIFS('Dec 31 2018 OFFS'!$AG:$AG,'Dec 31 2018 OFFS'!$AI:$AI,'T1 2019 Pipeline Data Lagasco'!$A357,'Dec 31 2018 OFFS'!$U:$U,'T1 2019 Pipeline Data Lagasco'!$E357,'Dec 31 2018 OFFS'!$AK:$AK,'T1 2019 Pipeline Data Lagasco'!$Q357,'Dec 31 2018 OFFS'!$W:$W,'T1 2019 Pipeline Data Lagasco'!$G357))/(MAX(COUNTIFS('Dec 31 2018 OFFS'!$AI:$AI,'T1 2019 Pipeline Data Lagasco'!$A357,'Dec 31 2018 OFFS'!$U:$U,'T1 2019 Pipeline Data Lagasco'!$E357,'Dec 31 2018 OFFS'!$AK:$AK,'T1 2019 Pipeline Data Lagasco'!$Q357,'Dec 31 2018 OFFS'!$W:$W,'T1 2019 Pipeline Data Lagasco'!$G357),1))</f>
        <v>19735</v>
      </c>
      <c r="S357" s="275">
        <f t="shared" si="12"/>
        <v>0</v>
      </c>
    </row>
    <row r="358" spans="1:19" s="217" customFormat="1" ht="14.1" customHeight="1">
      <c r="A358" s="224" t="s">
        <v>1496</v>
      </c>
      <c r="B358" s="218" t="s">
        <v>1497</v>
      </c>
      <c r="C358" s="223">
        <v>1</v>
      </c>
      <c r="D358" s="218" t="s">
        <v>1488</v>
      </c>
      <c r="E358" s="240">
        <v>2</v>
      </c>
      <c r="F358" s="230">
        <v>3572.41</v>
      </c>
      <c r="G358" s="223">
        <v>1964</v>
      </c>
      <c r="H358" s="223">
        <v>1</v>
      </c>
      <c r="I358" s="223">
        <v>0</v>
      </c>
      <c r="J358" s="223"/>
      <c r="K358" s="228">
        <v>58015.938399999999</v>
      </c>
      <c r="L358" s="241">
        <v>80</v>
      </c>
      <c r="M358" s="229">
        <v>11603.187679999999</v>
      </c>
      <c r="N358" s="230">
        <v>16.239999999999998</v>
      </c>
      <c r="O358" s="231">
        <v>0</v>
      </c>
      <c r="P358" s="314"/>
      <c r="Q358" s="276">
        <f t="shared" si="11"/>
        <v>3572.41</v>
      </c>
      <c r="R358" s="275">
        <f>(SUMIFS('Dec 31 2018 OFFS'!$AG:$AG,'Dec 31 2018 OFFS'!$AI:$AI,'T1 2019 Pipeline Data Lagasco'!$A358,'Dec 31 2018 OFFS'!$U:$U,'T1 2019 Pipeline Data Lagasco'!$E358,'Dec 31 2018 OFFS'!$AK:$AK,'T1 2019 Pipeline Data Lagasco'!$Q358,'Dec 31 2018 OFFS'!$W:$W,'T1 2019 Pipeline Data Lagasco'!$G358))/(MAX(COUNTIFS('Dec 31 2018 OFFS'!$AI:$AI,'T1 2019 Pipeline Data Lagasco'!$A358,'Dec 31 2018 OFFS'!$U:$U,'T1 2019 Pipeline Data Lagasco'!$E358,'Dec 31 2018 OFFS'!$AK:$AK,'T1 2019 Pipeline Data Lagasco'!$Q358,'Dec 31 2018 OFFS'!$W:$W,'T1 2019 Pipeline Data Lagasco'!$G358),1))</f>
        <v>0</v>
      </c>
      <c r="S358" s="275">
        <f t="shared" si="12"/>
        <v>0</v>
      </c>
    </row>
    <row r="359" spans="1:19" s="217" customFormat="1" ht="14.1" customHeight="1">
      <c r="A359" s="224" t="s">
        <v>1496</v>
      </c>
      <c r="B359" s="218" t="s">
        <v>1497</v>
      </c>
      <c r="C359" s="223">
        <v>1</v>
      </c>
      <c r="D359" s="218" t="s">
        <v>1488</v>
      </c>
      <c r="E359" s="240">
        <v>2</v>
      </c>
      <c r="F359" s="226">
        <v>5886.4827690000002</v>
      </c>
      <c r="G359" s="223">
        <v>1964</v>
      </c>
      <c r="H359" s="223">
        <v>1</v>
      </c>
      <c r="I359" s="223">
        <v>1</v>
      </c>
      <c r="J359" s="223"/>
      <c r="K359" s="229">
        <v>95596.480169999995</v>
      </c>
      <c r="L359" s="241">
        <v>80</v>
      </c>
      <c r="M359" s="229">
        <v>19119.296030000001</v>
      </c>
      <c r="N359" s="230">
        <v>16.239999999999998</v>
      </c>
      <c r="O359" s="231">
        <v>19119</v>
      </c>
      <c r="P359" s="314"/>
      <c r="Q359" s="276">
        <f t="shared" si="11"/>
        <v>5886.48</v>
      </c>
      <c r="R359" s="275">
        <f>(SUMIFS('Dec 31 2018 OFFS'!$AG:$AG,'Dec 31 2018 OFFS'!$AI:$AI,'T1 2019 Pipeline Data Lagasco'!$A359,'Dec 31 2018 OFFS'!$U:$U,'T1 2019 Pipeline Data Lagasco'!$E359,'Dec 31 2018 OFFS'!$AK:$AK,'T1 2019 Pipeline Data Lagasco'!$Q359,'Dec 31 2018 OFFS'!$W:$W,'T1 2019 Pipeline Data Lagasco'!$G359))/(MAX(COUNTIFS('Dec 31 2018 OFFS'!$AI:$AI,'T1 2019 Pipeline Data Lagasco'!$A359,'Dec 31 2018 OFFS'!$U:$U,'T1 2019 Pipeline Data Lagasco'!$E359,'Dec 31 2018 OFFS'!$AK:$AK,'T1 2019 Pipeline Data Lagasco'!$Q359,'Dec 31 2018 OFFS'!$W:$W,'T1 2019 Pipeline Data Lagasco'!$G359),1))</f>
        <v>19119</v>
      </c>
      <c r="S359" s="275">
        <f t="shared" si="12"/>
        <v>0</v>
      </c>
    </row>
    <row r="360" spans="1:19" s="217" customFormat="1" ht="14.1" customHeight="1">
      <c r="A360" s="224" t="s">
        <v>1496</v>
      </c>
      <c r="B360" s="218" t="s">
        <v>1497</v>
      </c>
      <c r="C360" s="223">
        <v>1</v>
      </c>
      <c r="D360" s="218" t="s">
        <v>1488</v>
      </c>
      <c r="E360" s="240">
        <v>2</v>
      </c>
      <c r="F360" s="226">
        <v>3530.8397930000001</v>
      </c>
      <c r="G360" s="223">
        <v>1964</v>
      </c>
      <c r="H360" s="223">
        <v>1</v>
      </c>
      <c r="I360" s="223">
        <v>1</v>
      </c>
      <c r="J360" s="223"/>
      <c r="K360" s="229">
        <v>57340.838230000001</v>
      </c>
      <c r="L360" s="241">
        <v>80</v>
      </c>
      <c r="M360" s="229">
        <v>11468.167649999999</v>
      </c>
      <c r="N360" s="230">
        <v>16.239999999999998</v>
      </c>
      <c r="O360" s="231">
        <v>11468</v>
      </c>
      <c r="P360" s="314"/>
      <c r="Q360" s="276">
        <f t="shared" si="11"/>
        <v>3530.84</v>
      </c>
      <c r="R360" s="275">
        <f>(SUMIFS('Dec 31 2018 OFFS'!$AG:$AG,'Dec 31 2018 OFFS'!$AI:$AI,'T1 2019 Pipeline Data Lagasco'!$A360,'Dec 31 2018 OFFS'!$U:$U,'T1 2019 Pipeline Data Lagasco'!$E360,'Dec 31 2018 OFFS'!$AK:$AK,'T1 2019 Pipeline Data Lagasco'!$Q360,'Dec 31 2018 OFFS'!$W:$W,'T1 2019 Pipeline Data Lagasco'!$G360))/(MAX(COUNTIFS('Dec 31 2018 OFFS'!$AI:$AI,'T1 2019 Pipeline Data Lagasco'!$A360,'Dec 31 2018 OFFS'!$U:$U,'T1 2019 Pipeline Data Lagasco'!$E360,'Dec 31 2018 OFFS'!$AK:$AK,'T1 2019 Pipeline Data Lagasco'!$Q360,'Dec 31 2018 OFFS'!$W:$W,'T1 2019 Pipeline Data Lagasco'!$G360),1))</f>
        <v>11468</v>
      </c>
      <c r="S360" s="275">
        <f t="shared" si="12"/>
        <v>0</v>
      </c>
    </row>
    <row r="361" spans="1:19" s="217" customFormat="1" ht="14.1" customHeight="1">
      <c r="A361" s="224" t="s">
        <v>1496</v>
      </c>
      <c r="B361" s="218" t="s">
        <v>1497</v>
      </c>
      <c r="C361" s="223">
        <v>1</v>
      </c>
      <c r="D361" s="218" t="s">
        <v>1488</v>
      </c>
      <c r="E361" s="240">
        <v>2</v>
      </c>
      <c r="F361" s="230">
        <v>4547.67</v>
      </c>
      <c r="G361" s="223">
        <v>1995</v>
      </c>
      <c r="H361" s="223">
        <v>1</v>
      </c>
      <c r="I361" s="223">
        <v>0</v>
      </c>
      <c r="J361" s="223"/>
      <c r="K361" s="228">
        <v>73854.160799999998</v>
      </c>
      <c r="L361" s="241">
        <v>67</v>
      </c>
      <c r="M361" s="229">
        <v>24371.873060000002</v>
      </c>
      <c r="N361" s="230">
        <v>16.239999999999998</v>
      </c>
      <c r="O361" s="231">
        <v>0</v>
      </c>
      <c r="P361" s="314"/>
      <c r="Q361" s="276">
        <f t="shared" si="11"/>
        <v>4547.67</v>
      </c>
      <c r="R361" s="275">
        <f>(SUMIFS('Dec 31 2018 OFFS'!$AG:$AG,'Dec 31 2018 OFFS'!$AI:$AI,'T1 2019 Pipeline Data Lagasco'!$A361,'Dec 31 2018 OFFS'!$U:$U,'T1 2019 Pipeline Data Lagasco'!$E361,'Dec 31 2018 OFFS'!$AK:$AK,'T1 2019 Pipeline Data Lagasco'!$Q361,'Dec 31 2018 OFFS'!$W:$W,'T1 2019 Pipeline Data Lagasco'!$G361))/(MAX(COUNTIFS('Dec 31 2018 OFFS'!$AI:$AI,'T1 2019 Pipeline Data Lagasco'!$A361,'Dec 31 2018 OFFS'!$U:$U,'T1 2019 Pipeline Data Lagasco'!$E361,'Dec 31 2018 OFFS'!$AK:$AK,'T1 2019 Pipeline Data Lagasco'!$Q361,'Dec 31 2018 OFFS'!$W:$W,'T1 2019 Pipeline Data Lagasco'!$G361),1))</f>
        <v>0</v>
      </c>
      <c r="S361" s="275">
        <f t="shared" si="12"/>
        <v>0</v>
      </c>
    </row>
    <row r="362" spans="1:19" s="217" customFormat="1" ht="14.1" customHeight="1">
      <c r="A362" s="224" t="s">
        <v>1496</v>
      </c>
      <c r="B362" s="218" t="s">
        <v>1497</v>
      </c>
      <c r="C362" s="223">
        <v>1</v>
      </c>
      <c r="D362" s="218" t="s">
        <v>1488</v>
      </c>
      <c r="E362" s="240">
        <v>2</v>
      </c>
      <c r="F362" s="226">
        <v>5239.9932870000002</v>
      </c>
      <c r="G362" s="223">
        <v>1995</v>
      </c>
      <c r="H362" s="223">
        <v>1</v>
      </c>
      <c r="I362" s="223">
        <v>1</v>
      </c>
      <c r="J362" s="223"/>
      <c r="K362" s="229">
        <v>85097.490969999999</v>
      </c>
      <c r="L362" s="241">
        <v>67</v>
      </c>
      <c r="M362" s="229">
        <v>28082.172020000002</v>
      </c>
      <c r="N362" s="230">
        <v>16.239999999999998</v>
      </c>
      <c r="O362" s="231">
        <v>28082</v>
      </c>
      <c r="P362" s="314"/>
      <c r="Q362" s="276">
        <f t="shared" si="11"/>
        <v>5239.99</v>
      </c>
      <c r="R362" s="275">
        <f>(SUMIFS('Dec 31 2018 OFFS'!$AG:$AG,'Dec 31 2018 OFFS'!$AI:$AI,'T1 2019 Pipeline Data Lagasco'!$A362,'Dec 31 2018 OFFS'!$U:$U,'T1 2019 Pipeline Data Lagasco'!$E362,'Dec 31 2018 OFFS'!$AK:$AK,'T1 2019 Pipeline Data Lagasco'!$Q362,'Dec 31 2018 OFFS'!$W:$W,'T1 2019 Pipeline Data Lagasco'!$G362))/(MAX(COUNTIFS('Dec 31 2018 OFFS'!$AI:$AI,'T1 2019 Pipeline Data Lagasco'!$A362,'Dec 31 2018 OFFS'!$U:$U,'T1 2019 Pipeline Data Lagasco'!$E362,'Dec 31 2018 OFFS'!$AK:$AK,'T1 2019 Pipeline Data Lagasco'!$Q362,'Dec 31 2018 OFFS'!$W:$W,'T1 2019 Pipeline Data Lagasco'!$G362),1))</f>
        <v>28082</v>
      </c>
      <c r="S362" s="275">
        <f t="shared" si="12"/>
        <v>0</v>
      </c>
    </row>
    <row r="363" spans="1:19" s="217" customFormat="1" ht="14.1" customHeight="1">
      <c r="A363" s="224" t="s">
        <v>1496</v>
      </c>
      <c r="B363" s="218" t="s">
        <v>1497</v>
      </c>
      <c r="C363" s="223">
        <v>1</v>
      </c>
      <c r="D363" s="218" t="s">
        <v>1488</v>
      </c>
      <c r="E363" s="240">
        <v>2</v>
      </c>
      <c r="F363" s="230">
        <v>5011.6499999999996</v>
      </c>
      <c r="G363" s="223">
        <v>1964</v>
      </c>
      <c r="H363" s="223">
        <v>1</v>
      </c>
      <c r="I363" s="223">
        <v>0</v>
      </c>
      <c r="J363" s="223"/>
      <c r="K363" s="239">
        <v>81389.195999999996</v>
      </c>
      <c r="L363" s="241">
        <v>80</v>
      </c>
      <c r="M363" s="228">
        <v>16277.8392</v>
      </c>
      <c r="N363" s="230">
        <v>16.239999999999998</v>
      </c>
      <c r="O363" s="231">
        <v>0</v>
      </c>
      <c r="P363" s="314"/>
      <c r="Q363" s="276">
        <f t="shared" si="11"/>
        <v>5011.6499999999996</v>
      </c>
      <c r="R363" s="275">
        <f>(SUMIFS('Dec 31 2018 OFFS'!$AG:$AG,'Dec 31 2018 OFFS'!$AI:$AI,'T1 2019 Pipeline Data Lagasco'!$A363,'Dec 31 2018 OFFS'!$U:$U,'T1 2019 Pipeline Data Lagasco'!$E363,'Dec 31 2018 OFFS'!$AK:$AK,'T1 2019 Pipeline Data Lagasco'!$Q363,'Dec 31 2018 OFFS'!$W:$W,'T1 2019 Pipeline Data Lagasco'!$G363))/(MAX(COUNTIFS('Dec 31 2018 OFFS'!$AI:$AI,'T1 2019 Pipeline Data Lagasco'!$A363,'Dec 31 2018 OFFS'!$U:$U,'T1 2019 Pipeline Data Lagasco'!$E363,'Dec 31 2018 OFFS'!$AK:$AK,'T1 2019 Pipeline Data Lagasco'!$Q363,'Dec 31 2018 OFFS'!$W:$W,'T1 2019 Pipeline Data Lagasco'!$G363),1))</f>
        <v>0</v>
      </c>
      <c r="S363" s="275">
        <f t="shared" si="12"/>
        <v>0</v>
      </c>
    </row>
    <row r="364" spans="1:19" s="217" customFormat="1" ht="14.1" customHeight="1">
      <c r="A364" s="224" t="s">
        <v>1496</v>
      </c>
      <c r="B364" s="218" t="s">
        <v>1497</v>
      </c>
      <c r="C364" s="223">
        <v>1</v>
      </c>
      <c r="D364" s="218" t="s">
        <v>1488</v>
      </c>
      <c r="E364" s="240">
        <v>2</v>
      </c>
      <c r="F364" s="230">
        <v>5898.26</v>
      </c>
      <c r="G364" s="223">
        <v>1964</v>
      </c>
      <c r="H364" s="223">
        <v>1</v>
      </c>
      <c r="I364" s="223">
        <v>0</v>
      </c>
      <c r="J364" s="223"/>
      <c r="K364" s="228">
        <v>95787.742400000003</v>
      </c>
      <c r="L364" s="241">
        <v>80</v>
      </c>
      <c r="M364" s="229">
        <v>19157.548480000001</v>
      </c>
      <c r="N364" s="230">
        <v>16.239999999999998</v>
      </c>
      <c r="O364" s="231">
        <v>0</v>
      </c>
      <c r="P364" s="314"/>
      <c r="Q364" s="276">
        <f t="shared" si="11"/>
        <v>5898.26</v>
      </c>
      <c r="R364" s="275">
        <f>(SUMIFS('Dec 31 2018 OFFS'!$AG:$AG,'Dec 31 2018 OFFS'!$AI:$AI,'T1 2019 Pipeline Data Lagasco'!$A364,'Dec 31 2018 OFFS'!$U:$U,'T1 2019 Pipeline Data Lagasco'!$E364,'Dec 31 2018 OFFS'!$AK:$AK,'T1 2019 Pipeline Data Lagasco'!$Q364,'Dec 31 2018 OFFS'!$W:$W,'T1 2019 Pipeline Data Lagasco'!$G364))/(MAX(COUNTIFS('Dec 31 2018 OFFS'!$AI:$AI,'T1 2019 Pipeline Data Lagasco'!$A364,'Dec 31 2018 OFFS'!$U:$U,'T1 2019 Pipeline Data Lagasco'!$E364,'Dec 31 2018 OFFS'!$AK:$AK,'T1 2019 Pipeline Data Lagasco'!$Q364,'Dec 31 2018 OFFS'!$W:$W,'T1 2019 Pipeline Data Lagasco'!$G364),1))</f>
        <v>0</v>
      </c>
      <c r="S364" s="275">
        <f t="shared" si="12"/>
        <v>0</v>
      </c>
    </row>
    <row r="365" spans="1:19" s="217" customFormat="1" ht="14.1" customHeight="1">
      <c r="A365" s="224" t="s">
        <v>1496</v>
      </c>
      <c r="B365" s="218" t="s">
        <v>1497</v>
      </c>
      <c r="C365" s="223">
        <v>1</v>
      </c>
      <c r="D365" s="218" t="s">
        <v>1488</v>
      </c>
      <c r="E365" s="240">
        <v>2</v>
      </c>
      <c r="F365" s="226">
        <v>3759.9736440000001</v>
      </c>
      <c r="G365" s="223">
        <v>1964</v>
      </c>
      <c r="H365" s="223">
        <v>1</v>
      </c>
      <c r="I365" s="223">
        <v>0</v>
      </c>
      <c r="J365" s="223"/>
      <c r="K365" s="229">
        <v>61061.971980000002</v>
      </c>
      <c r="L365" s="241">
        <v>80</v>
      </c>
      <c r="M365" s="228">
        <v>12212.394399999999</v>
      </c>
      <c r="N365" s="230">
        <v>16.239999999999998</v>
      </c>
      <c r="O365" s="231">
        <v>0</v>
      </c>
      <c r="P365" s="314"/>
      <c r="Q365" s="276">
        <f t="shared" si="11"/>
        <v>3759.97</v>
      </c>
      <c r="R365" s="275">
        <f>(SUMIFS('Dec 31 2018 OFFS'!$AG:$AG,'Dec 31 2018 OFFS'!$AI:$AI,'T1 2019 Pipeline Data Lagasco'!$A365,'Dec 31 2018 OFFS'!$U:$U,'T1 2019 Pipeline Data Lagasco'!$E365,'Dec 31 2018 OFFS'!$AK:$AK,'T1 2019 Pipeline Data Lagasco'!$Q365,'Dec 31 2018 OFFS'!$W:$W,'T1 2019 Pipeline Data Lagasco'!$G365))/(MAX(COUNTIFS('Dec 31 2018 OFFS'!$AI:$AI,'T1 2019 Pipeline Data Lagasco'!$A365,'Dec 31 2018 OFFS'!$U:$U,'T1 2019 Pipeline Data Lagasco'!$E365,'Dec 31 2018 OFFS'!$AK:$AK,'T1 2019 Pipeline Data Lagasco'!$Q365,'Dec 31 2018 OFFS'!$W:$W,'T1 2019 Pipeline Data Lagasco'!$G365),1))</f>
        <v>0</v>
      </c>
      <c r="S365" s="275">
        <f t="shared" si="12"/>
        <v>0</v>
      </c>
    </row>
    <row r="366" spans="1:19" s="217" customFormat="1" ht="14.1" customHeight="1">
      <c r="A366" s="224" t="s">
        <v>1496</v>
      </c>
      <c r="B366" s="218" t="s">
        <v>1497</v>
      </c>
      <c r="C366" s="223">
        <v>1</v>
      </c>
      <c r="D366" s="218" t="s">
        <v>1488</v>
      </c>
      <c r="E366" s="240">
        <v>2</v>
      </c>
      <c r="F366" s="226">
        <v>5498.6218879999997</v>
      </c>
      <c r="G366" s="223">
        <v>1964</v>
      </c>
      <c r="H366" s="223">
        <v>1</v>
      </c>
      <c r="I366" s="223">
        <v>0</v>
      </c>
      <c r="J366" s="223"/>
      <c r="K366" s="229">
        <v>89297.619460000002</v>
      </c>
      <c r="L366" s="241">
        <v>80</v>
      </c>
      <c r="M366" s="229">
        <v>17859.52389</v>
      </c>
      <c r="N366" s="230">
        <v>16.239999999999998</v>
      </c>
      <c r="O366" s="231">
        <v>0</v>
      </c>
      <c r="P366" s="314"/>
      <c r="Q366" s="276">
        <f t="shared" si="11"/>
        <v>5498.62</v>
      </c>
      <c r="R366" s="275">
        <f>(SUMIFS('Dec 31 2018 OFFS'!$AG:$AG,'Dec 31 2018 OFFS'!$AI:$AI,'T1 2019 Pipeline Data Lagasco'!$A366,'Dec 31 2018 OFFS'!$U:$U,'T1 2019 Pipeline Data Lagasco'!$E366,'Dec 31 2018 OFFS'!$AK:$AK,'T1 2019 Pipeline Data Lagasco'!$Q366,'Dec 31 2018 OFFS'!$W:$W,'T1 2019 Pipeline Data Lagasco'!$G366))/(MAX(COUNTIFS('Dec 31 2018 OFFS'!$AI:$AI,'T1 2019 Pipeline Data Lagasco'!$A366,'Dec 31 2018 OFFS'!$U:$U,'T1 2019 Pipeline Data Lagasco'!$E366,'Dec 31 2018 OFFS'!$AK:$AK,'T1 2019 Pipeline Data Lagasco'!$Q366,'Dec 31 2018 OFFS'!$W:$W,'T1 2019 Pipeline Data Lagasco'!$G366),1))</f>
        <v>0</v>
      </c>
      <c r="S366" s="275">
        <f t="shared" si="12"/>
        <v>0</v>
      </c>
    </row>
    <row r="367" spans="1:19" s="217" customFormat="1" ht="14.1" customHeight="1">
      <c r="A367" s="224" t="s">
        <v>1496</v>
      </c>
      <c r="B367" s="218" t="s">
        <v>1497</v>
      </c>
      <c r="C367" s="223">
        <v>1</v>
      </c>
      <c r="D367" s="218" t="s">
        <v>1488</v>
      </c>
      <c r="E367" s="240">
        <v>2</v>
      </c>
      <c r="F367" s="226">
        <v>5479.1993160000002</v>
      </c>
      <c r="G367" s="223">
        <v>1964</v>
      </c>
      <c r="H367" s="223">
        <v>1</v>
      </c>
      <c r="I367" s="223">
        <v>1</v>
      </c>
      <c r="J367" s="223"/>
      <c r="K367" s="228">
        <v>88982.196899999995</v>
      </c>
      <c r="L367" s="241">
        <v>80</v>
      </c>
      <c r="M367" s="229">
        <v>17796.43938</v>
      </c>
      <c r="N367" s="230">
        <v>16.239999999999998</v>
      </c>
      <c r="O367" s="231">
        <v>17796</v>
      </c>
      <c r="P367" s="314"/>
      <c r="Q367" s="276">
        <f t="shared" si="11"/>
        <v>5479.20</v>
      </c>
      <c r="R367" s="275">
        <f>(SUMIFS('Dec 31 2018 OFFS'!$AG:$AG,'Dec 31 2018 OFFS'!$AI:$AI,'T1 2019 Pipeline Data Lagasco'!$A367,'Dec 31 2018 OFFS'!$U:$U,'T1 2019 Pipeline Data Lagasco'!$E367,'Dec 31 2018 OFFS'!$AK:$AK,'T1 2019 Pipeline Data Lagasco'!$Q367,'Dec 31 2018 OFFS'!$W:$W,'T1 2019 Pipeline Data Lagasco'!$G367))/(MAX(COUNTIFS('Dec 31 2018 OFFS'!$AI:$AI,'T1 2019 Pipeline Data Lagasco'!$A367,'Dec 31 2018 OFFS'!$U:$U,'T1 2019 Pipeline Data Lagasco'!$E367,'Dec 31 2018 OFFS'!$AK:$AK,'T1 2019 Pipeline Data Lagasco'!$Q367,'Dec 31 2018 OFFS'!$W:$W,'T1 2019 Pipeline Data Lagasco'!$G367),1))</f>
        <v>17796</v>
      </c>
      <c r="S367" s="275">
        <f t="shared" si="12"/>
        <v>0</v>
      </c>
    </row>
    <row r="368" spans="1:19" s="217" customFormat="1" ht="14.1" customHeight="1">
      <c r="A368" s="224" t="s">
        <v>1496</v>
      </c>
      <c r="B368" s="218" t="s">
        <v>1497</v>
      </c>
      <c r="C368" s="223">
        <v>1</v>
      </c>
      <c r="D368" s="218" t="s">
        <v>1488</v>
      </c>
      <c r="E368" s="240">
        <v>2</v>
      </c>
      <c r="F368" s="226">
        <v>8161.5155119999999</v>
      </c>
      <c r="G368" s="223">
        <v>1964</v>
      </c>
      <c r="H368" s="223">
        <v>1</v>
      </c>
      <c r="I368" s="223">
        <v>0</v>
      </c>
      <c r="J368" s="223"/>
      <c r="K368" s="228">
        <v>132543.01190000001</v>
      </c>
      <c r="L368" s="241">
        <v>80</v>
      </c>
      <c r="M368" s="229">
        <v>26508.60238</v>
      </c>
      <c r="N368" s="230">
        <v>16.239999999999998</v>
      </c>
      <c r="O368" s="231">
        <v>0</v>
      </c>
      <c r="P368" s="314"/>
      <c r="Q368" s="276">
        <f t="shared" si="11"/>
        <v>8161.52</v>
      </c>
      <c r="R368" s="275">
        <f>(SUMIFS('Dec 31 2018 OFFS'!$AG:$AG,'Dec 31 2018 OFFS'!$AI:$AI,'T1 2019 Pipeline Data Lagasco'!$A368,'Dec 31 2018 OFFS'!$U:$U,'T1 2019 Pipeline Data Lagasco'!$E368,'Dec 31 2018 OFFS'!$AK:$AK,'T1 2019 Pipeline Data Lagasco'!$Q368,'Dec 31 2018 OFFS'!$W:$W,'T1 2019 Pipeline Data Lagasco'!$G368))/(MAX(COUNTIFS('Dec 31 2018 OFFS'!$AI:$AI,'T1 2019 Pipeline Data Lagasco'!$A368,'Dec 31 2018 OFFS'!$U:$U,'T1 2019 Pipeline Data Lagasco'!$E368,'Dec 31 2018 OFFS'!$AK:$AK,'T1 2019 Pipeline Data Lagasco'!$Q368,'Dec 31 2018 OFFS'!$W:$W,'T1 2019 Pipeline Data Lagasco'!$G368),1))</f>
        <v>0</v>
      </c>
      <c r="S368" s="275">
        <f t="shared" si="12"/>
        <v>0</v>
      </c>
    </row>
    <row r="369" spans="1:19" s="217" customFormat="1" ht="14.1" customHeight="1">
      <c r="A369" s="224" t="s">
        <v>1496</v>
      </c>
      <c r="B369" s="218" t="s">
        <v>1497</v>
      </c>
      <c r="C369" s="223">
        <v>1</v>
      </c>
      <c r="D369" s="218" t="s">
        <v>1488</v>
      </c>
      <c r="E369" s="240">
        <v>2</v>
      </c>
      <c r="F369" s="230">
        <v>3584.12</v>
      </c>
      <c r="G369" s="223">
        <v>1964</v>
      </c>
      <c r="H369" s="223">
        <v>1</v>
      </c>
      <c r="I369" s="223">
        <v>0</v>
      </c>
      <c r="J369" s="223"/>
      <c r="K369" s="228">
        <v>58206.108800000002</v>
      </c>
      <c r="L369" s="241">
        <v>80</v>
      </c>
      <c r="M369" s="229">
        <v>11641.22176</v>
      </c>
      <c r="N369" s="230">
        <v>16.239999999999998</v>
      </c>
      <c r="O369" s="231">
        <v>0</v>
      </c>
      <c r="P369" s="314"/>
      <c r="Q369" s="276">
        <f t="shared" si="11"/>
        <v>3584.12</v>
      </c>
      <c r="R369" s="275">
        <f>(SUMIFS('Dec 31 2018 OFFS'!$AG:$AG,'Dec 31 2018 OFFS'!$AI:$AI,'T1 2019 Pipeline Data Lagasco'!$A369,'Dec 31 2018 OFFS'!$U:$U,'T1 2019 Pipeline Data Lagasco'!$E369,'Dec 31 2018 OFFS'!$AK:$AK,'T1 2019 Pipeline Data Lagasco'!$Q369,'Dec 31 2018 OFFS'!$W:$W,'T1 2019 Pipeline Data Lagasco'!$G369))/(MAX(COUNTIFS('Dec 31 2018 OFFS'!$AI:$AI,'T1 2019 Pipeline Data Lagasco'!$A369,'Dec 31 2018 OFFS'!$U:$U,'T1 2019 Pipeline Data Lagasco'!$E369,'Dec 31 2018 OFFS'!$AK:$AK,'T1 2019 Pipeline Data Lagasco'!$Q369,'Dec 31 2018 OFFS'!$W:$W,'T1 2019 Pipeline Data Lagasco'!$G369),1))</f>
        <v>0</v>
      </c>
      <c r="S369" s="275">
        <f t="shared" si="12"/>
        <v>0</v>
      </c>
    </row>
    <row r="370" spans="1:19" s="217" customFormat="1" ht="14.1" customHeight="1">
      <c r="A370" s="224" t="s">
        <v>1496</v>
      </c>
      <c r="B370" s="218" t="s">
        <v>1497</v>
      </c>
      <c r="C370" s="223">
        <v>1</v>
      </c>
      <c r="D370" s="218" t="s">
        <v>1488</v>
      </c>
      <c r="E370" s="240">
        <v>2</v>
      </c>
      <c r="F370" s="226">
        <v>8271.9157709999999</v>
      </c>
      <c r="G370" s="223">
        <v>1964</v>
      </c>
      <c r="H370" s="223">
        <v>1</v>
      </c>
      <c r="I370" s="223">
        <v>1</v>
      </c>
      <c r="J370" s="223"/>
      <c r="K370" s="228">
        <v>134335.91209999999</v>
      </c>
      <c r="L370" s="241">
        <v>80</v>
      </c>
      <c r="M370" s="229">
        <v>26867.182420000001</v>
      </c>
      <c r="N370" s="230">
        <v>16.239999999999998</v>
      </c>
      <c r="O370" s="231">
        <v>26867</v>
      </c>
      <c r="P370" s="314"/>
      <c r="Q370" s="276">
        <f t="shared" si="11"/>
        <v>8271.92</v>
      </c>
      <c r="R370" s="275">
        <f>(SUMIFS('Dec 31 2018 OFFS'!$AG:$AG,'Dec 31 2018 OFFS'!$AI:$AI,'T1 2019 Pipeline Data Lagasco'!$A370,'Dec 31 2018 OFFS'!$U:$U,'T1 2019 Pipeline Data Lagasco'!$E370,'Dec 31 2018 OFFS'!$AK:$AK,'T1 2019 Pipeline Data Lagasco'!$Q370,'Dec 31 2018 OFFS'!$W:$W,'T1 2019 Pipeline Data Lagasco'!$G370))/(MAX(COUNTIFS('Dec 31 2018 OFFS'!$AI:$AI,'T1 2019 Pipeline Data Lagasco'!$A370,'Dec 31 2018 OFFS'!$U:$U,'T1 2019 Pipeline Data Lagasco'!$E370,'Dec 31 2018 OFFS'!$AK:$AK,'T1 2019 Pipeline Data Lagasco'!$Q370,'Dec 31 2018 OFFS'!$W:$W,'T1 2019 Pipeline Data Lagasco'!$G370),1))</f>
        <v>26867</v>
      </c>
      <c r="S370" s="275">
        <f t="shared" si="12"/>
        <v>0</v>
      </c>
    </row>
    <row r="371" spans="1:19" s="217" customFormat="1" ht="14.1" customHeight="1">
      <c r="A371" s="224" t="s">
        <v>1496</v>
      </c>
      <c r="B371" s="218" t="s">
        <v>1497</v>
      </c>
      <c r="C371" s="223">
        <v>1</v>
      </c>
      <c r="D371" s="218" t="s">
        <v>1488</v>
      </c>
      <c r="E371" s="240">
        <v>3</v>
      </c>
      <c r="F371" s="223">
        <v>4246</v>
      </c>
      <c r="G371" s="223">
        <v>1982</v>
      </c>
      <c r="H371" s="223">
        <v>1</v>
      </c>
      <c r="I371" s="223">
        <v>0</v>
      </c>
      <c r="J371" s="223"/>
      <c r="K371" s="238">
        <v>100163.14</v>
      </c>
      <c r="L371" s="241">
        <v>80</v>
      </c>
      <c r="M371" s="239">
        <v>20032.628000000001</v>
      </c>
      <c r="N371" s="230">
        <v>23.59</v>
      </c>
      <c r="O371" s="231">
        <v>0</v>
      </c>
      <c r="P371" s="314"/>
      <c r="Q371" s="276">
        <f t="shared" si="11"/>
        <v>4246</v>
      </c>
      <c r="R371" s="275">
        <f>(SUMIFS('Dec 31 2018 OFFS'!$AG:$AG,'Dec 31 2018 OFFS'!$AI:$AI,'T1 2019 Pipeline Data Lagasco'!$A371,'Dec 31 2018 OFFS'!$U:$U,'T1 2019 Pipeline Data Lagasco'!$E371,'Dec 31 2018 OFFS'!$AK:$AK,'T1 2019 Pipeline Data Lagasco'!$Q371,'Dec 31 2018 OFFS'!$W:$W,'T1 2019 Pipeline Data Lagasco'!$G371))/(MAX(COUNTIFS('Dec 31 2018 OFFS'!$AI:$AI,'T1 2019 Pipeline Data Lagasco'!$A371,'Dec 31 2018 OFFS'!$U:$U,'T1 2019 Pipeline Data Lagasco'!$E371,'Dec 31 2018 OFFS'!$AK:$AK,'T1 2019 Pipeline Data Lagasco'!$Q371,'Dec 31 2018 OFFS'!$W:$W,'T1 2019 Pipeline Data Lagasco'!$G371),1))</f>
        <v>0</v>
      </c>
      <c r="S371" s="275">
        <f t="shared" si="12"/>
        <v>0</v>
      </c>
    </row>
    <row r="372" spans="1:19" s="217" customFormat="1" ht="14.1" customHeight="1">
      <c r="A372" s="224" t="s">
        <v>1496</v>
      </c>
      <c r="B372" s="218" t="s">
        <v>1497</v>
      </c>
      <c r="C372" s="223">
        <v>1</v>
      </c>
      <c r="D372" s="218" t="s">
        <v>1488</v>
      </c>
      <c r="E372" s="240">
        <v>3</v>
      </c>
      <c r="F372" s="226">
        <v>5444.2911809999996</v>
      </c>
      <c r="G372" s="223">
        <v>1982</v>
      </c>
      <c r="H372" s="223">
        <v>1</v>
      </c>
      <c r="I372" s="223">
        <v>1</v>
      </c>
      <c r="J372" s="223"/>
      <c r="K372" s="239">
        <v>128430.829</v>
      </c>
      <c r="L372" s="241">
        <v>80</v>
      </c>
      <c r="M372" s="229">
        <v>25686.165789999999</v>
      </c>
      <c r="N372" s="230">
        <v>23.59</v>
      </c>
      <c r="O372" s="231">
        <v>25686</v>
      </c>
      <c r="P372" s="314"/>
      <c r="Q372" s="276">
        <f t="shared" si="11"/>
        <v>5444.29</v>
      </c>
      <c r="R372" s="275">
        <f>(SUMIFS('Dec 31 2018 OFFS'!$AG:$AG,'Dec 31 2018 OFFS'!$AI:$AI,'T1 2019 Pipeline Data Lagasco'!$A372,'Dec 31 2018 OFFS'!$U:$U,'T1 2019 Pipeline Data Lagasco'!$E372,'Dec 31 2018 OFFS'!$AK:$AK,'T1 2019 Pipeline Data Lagasco'!$Q372,'Dec 31 2018 OFFS'!$W:$W,'T1 2019 Pipeline Data Lagasco'!$G372))/(MAX(COUNTIFS('Dec 31 2018 OFFS'!$AI:$AI,'T1 2019 Pipeline Data Lagasco'!$A372,'Dec 31 2018 OFFS'!$U:$U,'T1 2019 Pipeline Data Lagasco'!$E372,'Dec 31 2018 OFFS'!$AK:$AK,'T1 2019 Pipeline Data Lagasco'!$Q372,'Dec 31 2018 OFFS'!$W:$W,'T1 2019 Pipeline Data Lagasco'!$G372),1))</f>
        <v>25686</v>
      </c>
      <c r="S372" s="275">
        <f t="shared" si="12"/>
        <v>0</v>
      </c>
    </row>
    <row r="373" spans="1:19" s="217" customFormat="1" ht="14.1" customHeight="1">
      <c r="A373" s="224" t="s">
        <v>1496</v>
      </c>
      <c r="B373" s="218" t="s">
        <v>1497</v>
      </c>
      <c r="C373" s="223">
        <v>1</v>
      </c>
      <c r="D373" s="218" t="s">
        <v>1488</v>
      </c>
      <c r="E373" s="240">
        <v>3</v>
      </c>
      <c r="F373" s="230">
        <v>4620.83</v>
      </c>
      <c r="G373" s="223">
        <v>1966</v>
      </c>
      <c r="H373" s="223">
        <v>1</v>
      </c>
      <c r="I373" s="223">
        <v>0</v>
      </c>
      <c r="J373" s="223"/>
      <c r="K373" s="228">
        <v>109005.3797</v>
      </c>
      <c r="L373" s="241">
        <v>80</v>
      </c>
      <c r="M373" s="229">
        <v>21801.075939999999</v>
      </c>
      <c r="N373" s="230">
        <v>23.59</v>
      </c>
      <c r="O373" s="231">
        <v>0</v>
      </c>
      <c r="P373" s="314"/>
      <c r="Q373" s="276">
        <f t="shared" si="11"/>
        <v>4620.83</v>
      </c>
      <c r="R373" s="275">
        <f>(SUMIFS('Dec 31 2018 OFFS'!$AG:$AG,'Dec 31 2018 OFFS'!$AI:$AI,'T1 2019 Pipeline Data Lagasco'!$A373,'Dec 31 2018 OFFS'!$U:$U,'T1 2019 Pipeline Data Lagasco'!$E373,'Dec 31 2018 OFFS'!$AK:$AK,'T1 2019 Pipeline Data Lagasco'!$Q373,'Dec 31 2018 OFFS'!$W:$W,'T1 2019 Pipeline Data Lagasco'!$G373))/(MAX(COUNTIFS('Dec 31 2018 OFFS'!$AI:$AI,'T1 2019 Pipeline Data Lagasco'!$A373,'Dec 31 2018 OFFS'!$U:$U,'T1 2019 Pipeline Data Lagasco'!$E373,'Dec 31 2018 OFFS'!$AK:$AK,'T1 2019 Pipeline Data Lagasco'!$Q373,'Dec 31 2018 OFFS'!$W:$W,'T1 2019 Pipeline Data Lagasco'!$G373),1))</f>
        <v>0</v>
      </c>
      <c r="S373" s="275">
        <f t="shared" si="12"/>
        <v>0</v>
      </c>
    </row>
    <row r="374" spans="1:19" s="217" customFormat="1" ht="14.1" customHeight="1">
      <c r="A374" s="224" t="s">
        <v>1496</v>
      </c>
      <c r="B374" s="218" t="s">
        <v>1497</v>
      </c>
      <c r="C374" s="223">
        <v>1</v>
      </c>
      <c r="D374" s="218" t="s">
        <v>1488</v>
      </c>
      <c r="E374" s="240">
        <v>3</v>
      </c>
      <c r="F374" s="230">
        <v>788.19</v>
      </c>
      <c r="G374" s="223">
        <v>1966</v>
      </c>
      <c r="H374" s="223">
        <v>1</v>
      </c>
      <c r="I374" s="223">
        <v>0</v>
      </c>
      <c r="J374" s="223"/>
      <c r="K374" s="228">
        <v>18593.402099999999</v>
      </c>
      <c r="L374" s="241">
        <v>80</v>
      </c>
      <c r="M374" s="229">
        <v>3718.6804200000001</v>
      </c>
      <c r="N374" s="230">
        <v>23.59</v>
      </c>
      <c r="O374" s="231">
        <v>0</v>
      </c>
      <c r="P374" s="314"/>
      <c r="Q374" s="276">
        <f t="shared" si="11"/>
        <v>788.19</v>
      </c>
      <c r="R374" s="275">
        <f>(SUMIFS('Dec 31 2018 OFFS'!$AG:$AG,'Dec 31 2018 OFFS'!$AI:$AI,'T1 2019 Pipeline Data Lagasco'!$A374,'Dec 31 2018 OFFS'!$U:$U,'T1 2019 Pipeline Data Lagasco'!$E374,'Dec 31 2018 OFFS'!$AK:$AK,'T1 2019 Pipeline Data Lagasco'!$Q374,'Dec 31 2018 OFFS'!$W:$W,'T1 2019 Pipeline Data Lagasco'!$G374))/(MAX(COUNTIFS('Dec 31 2018 OFFS'!$AI:$AI,'T1 2019 Pipeline Data Lagasco'!$A374,'Dec 31 2018 OFFS'!$U:$U,'T1 2019 Pipeline Data Lagasco'!$E374,'Dec 31 2018 OFFS'!$AK:$AK,'T1 2019 Pipeline Data Lagasco'!$Q374,'Dec 31 2018 OFFS'!$W:$W,'T1 2019 Pipeline Data Lagasco'!$G374),1))</f>
        <v>0</v>
      </c>
      <c r="S374" s="275">
        <f t="shared" si="12"/>
        <v>0</v>
      </c>
    </row>
    <row r="375" spans="1:19" s="217" customFormat="1" ht="14.1" customHeight="1">
      <c r="A375" s="224" t="s">
        <v>1496</v>
      </c>
      <c r="B375" s="218" t="s">
        <v>1497</v>
      </c>
      <c r="C375" s="223">
        <v>1</v>
      </c>
      <c r="D375" s="218" t="s">
        <v>1488</v>
      </c>
      <c r="E375" s="240">
        <v>3</v>
      </c>
      <c r="F375" s="226">
        <v>5178.3134980000004</v>
      </c>
      <c r="G375" s="223">
        <v>1966</v>
      </c>
      <c r="H375" s="223">
        <v>1</v>
      </c>
      <c r="I375" s="223">
        <v>1</v>
      </c>
      <c r="J375" s="223"/>
      <c r="K375" s="228">
        <v>122156.4154</v>
      </c>
      <c r="L375" s="241">
        <v>80</v>
      </c>
      <c r="M375" s="229">
        <v>24431.283090000001</v>
      </c>
      <c r="N375" s="230">
        <v>23.59</v>
      </c>
      <c r="O375" s="231">
        <v>24431</v>
      </c>
      <c r="P375" s="314"/>
      <c r="Q375" s="276">
        <f t="shared" si="11"/>
        <v>5178.3100000000004</v>
      </c>
      <c r="R375" s="275">
        <f>(SUMIFS('Dec 31 2018 OFFS'!$AG:$AG,'Dec 31 2018 OFFS'!$AI:$AI,'T1 2019 Pipeline Data Lagasco'!$A375,'Dec 31 2018 OFFS'!$U:$U,'T1 2019 Pipeline Data Lagasco'!$E375,'Dec 31 2018 OFFS'!$AK:$AK,'T1 2019 Pipeline Data Lagasco'!$Q375,'Dec 31 2018 OFFS'!$W:$W,'T1 2019 Pipeline Data Lagasco'!$G375))/(MAX(COUNTIFS('Dec 31 2018 OFFS'!$AI:$AI,'T1 2019 Pipeline Data Lagasco'!$A375,'Dec 31 2018 OFFS'!$U:$U,'T1 2019 Pipeline Data Lagasco'!$E375,'Dec 31 2018 OFFS'!$AK:$AK,'T1 2019 Pipeline Data Lagasco'!$Q375,'Dec 31 2018 OFFS'!$W:$W,'T1 2019 Pipeline Data Lagasco'!$G375),1))</f>
        <v>24431</v>
      </c>
      <c r="S375" s="275">
        <f t="shared" si="12"/>
        <v>0</v>
      </c>
    </row>
    <row r="376" spans="1:19" s="217" customFormat="1" ht="14.1" customHeight="1">
      <c r="A376" s="224" t="s">
        <v>1496</v>
      </c>
      <c r="B376" s="218" t="s">
        <v>1497</v>
      </c>
      <c r="C376" s="223">
        <v>1</v>
      </c>
      <c r="D376" s="218" t="s">
        <v>1488</v>
      </c>
      <c r="E376" s="240">
        <v>3</v>
      </c>
      <c r="F376" s="230">
        <v>1079.6600000000001</v>
      </c>
      <c r="G376" s="223">
        <v>1966</v>
      </c>
      <c r="H376" s="223">
        <v>1</v>
      </c>
      <c r="I376" s="223">
        <v>0</v>
      </c>
      <c r="J376" s="223"/>
      <c r="K376" s="228">
        <v>25469.179400000001</v>
      </c>
      <c r="L376" s="241">
        <v>80</v>
      </c>
      <c r="M376" s="229">
        <v>5093.8358799999996</v>
      </c>
      <c r="N376" s="230">
        <v>23.59</v>
      </c>
      <c r="O376" s="231">
        <v>0</v>
      </c>
      <c r="P376" s="314"/>
      <c r="Q376" s="276">
        <f t="shared" si="11"/>
        <v>1079.6600000000001</v>
      </c>
      <c r="R376" s="275">
        <f>(SUMIFS('Dec 31 2018 OFFS'!$AG:$AG,'Dec 31 2018 OFFS'!$AI:$AI,'T1 2019 Pipeline Data Lagasco'!$A376,'Dec 31 2018 OFFS'!$U:$U,'T1 2019 Pipeline Data Lagasco'!$E376,'Dec 31 2018 OFFS'!$AK:$AK,'T1 2019 Pipeline Data Lagasco'!$Q376,'Dec 31 2018 OFFS'!$W:$W,'T1 2019 Pipeline Data Lagasco'!$G376))/(MAX(COUNTIFS('Dec 31 2018 OFFS'!$AI:$AI,'T1 2019 Pipeline Data Lagasco'!$A376,'Dec 31 2018 OFFS'!$U:$U,'T1 2019 Pipeline Data Lagasco'!$E376,'Dec 31 2018 OFFS'!$AK:$AK,'T1 2019 Pipeline Data Lagasco'!$Q376,'Dec 31 2018 OFFS'!$W:$W,'T1 2019 Pipeline Data Lagasco'!$G376),1))</f>
        <v>0</v>
      </c>
      <c r="S376" s="275">
        <f t="shared" si="12"/>
        <v>0</v>
      </c>
    </row>
    <row r="377" spans="1:19" s="217" customFormat="1" ht="14.1" customHeight="1">
      <c r="A377" s="224" t="s">
        <v>1496</v>
      </c>
      <c r="B377" s="218" t="s">
        <v>1497</v>
      </c>
      <c r="C377" s="223">
        <v>1</v>
      </c>
      <c r="D377" s="218" t="s">
        <v>1488</v>
      </c>
      <c r="E377" s="240">
        <v>3</v>
      </c>
      <c r="F377" s="230">
        <v>2683.63</v>
      </c>
      <c r="G377" s="223">
        <v>1966</v>
      </c>
      <c r="H377" s="223">
        <v>1</v>
      </c>
      <c r="I377" s="223">
        <v>0</v>
      </c>
      <c r="J377" s="223"/>
      <c r="K377" s="228">
        <v>63306.831700000002</v>
      </c>
      <c r="L377" s="241">
        <v>80</v>
      </c>
      <c r="M377" s="229">
        <v>12661.36634</v>
      </c>
      <c r="N377" s="230">
        <v>23.59</v>
      </c>
      <c r="O377" s="231">
        <v>0</v>
      </c>
      <c r="P377" s="314"/>
      <c r="Q377" s="276">
        <f t="shared" si="13" ref="Q377:Q440">ROUND(F377,2)</f>
        <v>2683.63</v>
      </c>
      <c r="R377" s="275">
        <f>(SUMIFS('Dec 31 2018 OFFS'!$AG:$AG,'Dec 31 2018 OFFS'!$AI:$AI,'T1 2019 Pipeline Data Lagasco'!$A377,'Dec 31 2018 OFFS'!$U:$U,'T1 2019 Pipeline Data Lagasco'!$E377,'Dec 31 2018 OFFS'!$AK:$AK,'T1 2019 Pipeline Data Lagasco'!$Q377,'Dec 31 2018 OFFS'!$W:$W,'T1 2019 Pipeline Data Lagasco'!$G377))/(MAX(COUNTIFS('Dec 31 2018 OFFS'!$AI:$AI,'T1 2019 Pipeline Data Lagasco'!$A377,'Dec 31 2018 OFFS'!$U:$U,'T1 2019 Pipeline Data Lagasco'!$E377,'Dec 31 2018 OFFS'!$AK:$AK,'T1 2019 Pipeline Data Lagasco'!$Q377,'Dec 31 2018 OFFS'!$W:$W,'T1 2019 Pipeline Data Lagasco'!$G377),1))</f>
        <v>0</v>
      </c>
      <c r="S377" s="275">
        <f t="shared" si="14" ref="S377:S440">O377-R377</f>
        <v>0</v>
      </c>
    </row>
    <row r="378" spans="1:19" s="217" customFormat="1" ht="14.1" customHeight="1">
      <c r="A378" s="224" t="s">
        <v>1496</v>
      </c>
      <c r="B378" s="218" t="s">
        <v>1497</v>
      </c>
      <c r="C378" s="223">
        <v>1</v>
      </c>
      <c r="D378" s="218" t="s">
        <v>1488</v>
      </c>
      <c r="E378" s="240">
        <v>3</v>
      </c>
      <c r="F378" s="230">
        <v>2899.93</v>
      </c>
      <c r="G378" s="223">
        <v>1966</v>
      </c>
      <c r="H378" s="223">
        <v>1</v>
      </c>
      <c r="I378" s="223">
        <v>0</v>
      </c>
      <c r="J378" s="223"/>
      <c r="K378" s="228">
        <v>68409.348700000002</v>
      </c>
      <c r="L378" s="241">
        <v>80</v>
      </c>
      <c r="M378" s="229">
        <v>13681.86974</v>
      </c>
      <c r="N378" s="230">
        <v>23.59</v>
      </c>
      <c r="O378" s="231">
        <v>0</v>
      </c>
      <c r="P378" s="314"/>
      <c r="Q378" s="276">
        <f t="shared" si="13"/>
        <v>2899.93</v>
      </c>
      <c r="R378" s="275">
        <f>(SUMIFS('Dec 31 2018 OFFS'!$AG:$AG,'Dec 31 2018 OFFS'!$AI:$AI,'T1 2019 Pipeline Data Lagasco'!$A378,'Dec 31 2018 OFFS'!$U:$U,'T1 2019 Pipeline Data Lagasco'!$E378,'Dec 31 2018 OFFS'!$AK:$AK,'T1 2019 Pipeline Data Lagasco'!$Q378,'Dec 31 2018 OFFS'!$W:$W,'T1 2019 Pipeline Data Lagasco'!$G378))/(MAX(COUNTIFS('Dec 31 2018 OFFS'!$AI:$AI,'T1 2019 Pipeline Data Lagasco'!$A378,'Dec 31 2018 OFFS'!$U:$U,'T1 2019 Pipeline Data Lagasco'!$E378,'Dec 31 2018 OFFS'!$AK:$AK,'T1 2019 Pipeline Data Lagasco'!$Q378,'Dec 31 2018 OFFS'!$W:$W,'T1 2019 Pipeline Data Lagasco'!$G378),1))</f>
        <v>0</v>
      </c>
      <c r="S378" s="275">
        <f t="shared" si="14"/>
        <v>0</v>
      </c>
    </row>
    <row r="379" spans="1:19" s="217" customFormat="1" ht="14.1" customHeight="1">
      <c r="A379" s="224" t="s">
        <v>1496</v>
      </c>
      <c r="B379" s="218" t="s">
        <v>1497</v>
      </c>
      <c r="C379" s="223">
        <v>1</v>
      </c>
      <c r="D379" s="218" t="s">
        <v>1488</v>
      </c>
      <c r="E379" s="240">
        <v>3</v>
      </c>
      <c r="F379" s="226">
        <v>5893.1756820000001</v>
      </c>
      <c r="G379" s="223">
        <v>1966</v>
      </c>
      <c r="H379" s="223">
        <v>1</v>
      </c>
      <c r="I379" s="223">
        <v>0</v>
      </c>
      <c r="J379" s="223"/>
      <c r="K379" s="228">
        <v>139020.01430000001</v>
      </c>
      <c r="L379" s="241">
        <v>80</v>
      </c>
      <c r="M379" s="229">
        <v>27804.00287</v>
      </c>
      <c r="N379" s="230">
        <v>23.59</v>
      </c>
      <c r="O379" s="231">
        <v>0</v>
      </c>
      <c r="P379" s="314"/>
      <c r="Q379" s="276">
        <f t="shared" si="13"/>
        <v>5893.18</v>
      </c>
      <c r="R379" s="275">
        <f>(SUMIFS('Dec 31 2018 OFFS'!$AG:$AG,'Dec 31 2018 OFFS'!$AI:$AI,'T1 2019 Pipeline Data Lagasco'!$A379,'Dec 31 2018 OFFS'!$U:$U,'T1 2019 Pipeline Data Lagasco'!$E379,'Dec 31 2018 OFFS'!$AK:$AK,'T1 2019 Pipeline Data Lagasco'!$Q379,'Dec 31 2018 OFFS'!$W:$W,'T1 2019 Pipeline Data Lagasco'!$G379))/(MAX(COUNTIFS('Dec 31 2018 OFFS'!$AI:$AI,'T1 2019 Pipeline Data Lagasco'!$A379,'Dec 31 2018 OFFS'!$U:$U,'T1 2019 Pipeline Data Lagasco'!$E379,'Dec 31 2018 OFFS'!$AK:$AK,'T1 2019 Pipeline Data Lagasco'!$Q379,'Dec 31 2018 OFFS'!$W:$W,'T1 2019 Pipeline Data Lagasco'!$G379),1))</f>
        <v>0</v>
      </c>
      <c r="S379" s="275">
        <f t="shared" si="14"/>
        <v>0</v>
      </c>
    </row>
    <row r="380" spans="1:19" s="217" customFormat="1" ht="14.1" customHeight="1">
      <c r="A380" s="224" t="s">
        <v>1496</v>
      </c>
      <c r="B380" s="218" t="s">
        <v>1497</v>
      </c>
      <c r="C380" s="223">
        <v>1</v>
      </c>
      <c r="D380" s="218" t="s">
        <v>1488</v>
      </c>
      <c r="E380" s="240">
        <v>3</v>
      </c>
      <c r="F380" s="226">
        <v>7555.052275</v>
      </c>
      <c r="G380" s="223">
        <v>1980</v>
      </c>
      <c r="H380" s="223">
        <v>1</v>
      </c>
      <c r="I380" s="223">
        <v>1</v>
      </c>
      <c r="J380" s="223"/>
      <c r="K380" s="228">
        <v>178223.6832</v>
      </c>
      <c r="L380" s="241">
        <v>80</v>
      </c>
      <c r="M380" s="229">
        <v>35644.736629999999</v>
      </c>
      <c r="N380" s="230">
        <v>23.59</v>
      </c>
      <c r="O380" s="231">
        <v>35644</v>
      </c>
      <c r="P380" s="314"/>
      <c r="Q380" s="276">
        <f t="shared" si="13"/>
        <v>7555.05</v>
      </c>
      <c r="R380" s="275">
        <f>(SUMIFS('Dec 31 2018 OFFS'!$AG:$AG,'Dec 31 2018 OFFS'!$AI:$AI,'T1 2019 Pipeline Data Lagasco'!$A380,'Dec 31 2018 OFFS'!$U:$U,'T1 2019 Pipeline Data Lagasco'!$E380,'Dec 31 2018 OFFS'!$AK:$AK,'T1 2019 Pipeline Data Lagasco'!$Q380,'Dec 31 2018 OFFS'!$W:$W,'T1 2019 Pipeline Data Lagasco'!$G380))/(MAX(COUNTIFS('Dec 31 2018 OFFS'!$AI:$AI,'T1 2019 Pipeline Data Lagasco'!$A380,'Dec 31 2018 OFFS'!$U:$U,'T1 2019 Pipeline Data Lagasco'!$E380,'Dec 31 2018 OFFS'!$AK:$AK,'T1 2019 Pipeline Data Lagasco'!$Q380,'Dec 31 2018 OFFS'!$W:$W,'T1 2019 Pipeline Data Lagasco'!$G380),1))</f>
        <v>35644</v>
      </c>
      <c r="S380" s="275">
        <f t="shared" si="14"/>
        <v>0</v>
      </c>
    </row>
    <row r="381" spans="1:19" s="217" customFormat="1" ht="14.1" customHeight="1">
      <c r="A381" s="224" t="s">
        <v>1496</v>
      </c>
      <c r="B381" s="218" t="s">
        <v>1497</v>
      </c>
      <c r="C381" s="223">
        <v>1</v>
      </c>
      <c r="D381" s="218" t="s">
        <v>1488</v>
      </c>
      <c r="E381" s="240">
        <v>3</v>
      </c>
      <c r="F381" s="226">
        <v>4271.4893780000002</v>
      </c>
      <c r="G381" s="223">
        <v>1966</v>
      </c>
      <c r="H381" s="223">
        <v>1</v>
      </c>
      <c r="I381" s="223">
        <v>1</v>
      </c>
      <c r="J381" s="223"/>
      <c r="K381" s="228">
        <v>100764.4344</v>
      </c>
      <c r="L381" s="241">
        <v>80</v>
      </c>
      <c r="M381" s="229">
        <v>20152.886879999998</v>
      </c>
      <c r="N381" s="230">
        <v>23.59</v>
      </c>
      <c r="O381" s="231">
        <v>20152</v>
      </c>
      <c r="P381" s="314"/>
      <c r="Q381" s="276">
        <f t="shared" si="13"/>
        <v>4271.49</v>
      </c>
      <c r="R381" s="275">
        <f>(SUMIFS('Dec 31 2018 OFFS'!$AG:$AG,'Dec 31 2018 OFFS'!$AI:$AI,'T1 2019 Pipeline Data Lagasco'!$A381,'Dec 31 2018 OFFS'!$U:$U,'T1 2019 Pipeline Data Lagasco'!$E381,'Dec 31 2018 OFFS'!$AK:$AK,'T1 2019 Pipeline Data Lagasco'!$Q381,'Dec 31 2018 OFFS'!$W:$W,'T1 2019 Pipeline Data Lagasco'!$G381))/(MAX(COUNTIFS('Dec 31 2018 OFFS'!$AI:$AI,'T1 2019 Pipeline Data Lagasco'!$A381,'Dec 31 2018 OFFS'!$U:$U,'T1 2019 Pipeline Data Lagasco'!$E381,'Dec 31 2018 OFFS'!$AK:$AK,'T1 2019 Pipeline Data Lagasco'!$Q381,'Dec 31 2018 OFFS'!$W:$W,'T1 2019 Pipeline Data Lagasco'!$G381),1))</f>
        <v>20152</v>
      </c>
      <c r="S381" s="275">
        <f t="shared" si="14"/>
        <v>0</v>
      </c>
    </row>
    <row r="382" spans="1:19" s="217" customFormat="1" ht="14.1" customHeight="1">
      <c r="A382" s="224" t="s">
        <v>1496</v>
      </c>
      <c r="B382" s="218" t="s">
        <v>1497</v>
      </c>
      <c r="C382" s="223">
        <v>1</v>
      </c>
      <c r="D382" s="218" t="s">
        <v>1488</v>
      </c>
      <c r="E382" s="240">
        <v>3</v>
      </c>
      <c r="F382" s="226">
        <v>5568.5693929999998</v>
      </c>
      <c r="G382" s="223">
        <v>1965</v>
      </c>
      <c r="H382" s="223">
        <v>1</v>
      </c>
      <c r="I382" s="223">
        <v>1</v>
      </c>
      <c r="J382" s="223"/>
      <c r="K382" s="239">
        <v>131362.552</v>
      </c>
      <c r="L382" s="241">
        <v>80</v>
      </c>
      <c r="M382" s="229">
        <v>26272.510389999999</v>
      </c>
      <c r="N382" s="230">
        <v>23.59</v>
      </c>
      <c r="O382" s="231">
        <v>26272</v>
      </c>
      <c r="P382" s="314"/>
      <c r="Q382" s="276">
        <f t="shared" si="13"/>
        <v>5568.57</v>
      </c>
      <c r="R382" s="275">
        <f>(SUMIFS('Dec 31 2018 OFFS'!$AG:$AG,'Dec 31 2018 OFFS'!$AI:$AI,'T1 2019 Pipeline Data Lagasco'!$A382,'Dec 31 2018 OFFS'!$U:$U,'T1 2019 Pipeline Data Lagasco'!$E382,'Dec 31 2018 OFFS'!$AK:$AK,'T1 2019 Pipeline Data Lagasco'!$Q382,'Dec 31 2018 OFFS'!$W:$W,'T1 2019 Pipeline Data Lagasco'!$G382))/(MAX(COUNTIFS('Dec 31 2018 OFFS'!$AI:$AI,'T1 2019 Pipeline Data Lagasco'!$A382,'Dec 31 2018 OFFS'!$U:$U,'T1 2019 Pipeline Data Lagasco'!$E382,'Dec 31 2018 OFFS'!$AK:$AK,'T1 2019 Pipeline Data Lagasco'!$Q382,'Dec 31 2018 OFFS'!$W:$W,'T1 2019 Pipeline Data Lagasco'!$G382),1))</f>
        <v>26272</v>
      </c>
      <c r="S382" s="275">
        <f t="shared" si="14"/>
        <v>0</v>
      </c>
    </row>
    <row r="383" spans="1:19" s="217" customFormat="1" ht="14.1" customHeight="1">
      <c r="A383" s="224" t="s">
        <v>1496</v>
      </c>
      <c r="B383" s="218" t="s">
        <v>1497</v>
      </c>
      <c r="C383" s="223">
        <v>1</v>
      </c>
      <c r="D383" s="218" t="s">
        <v>1488</v>
      </c>
      <c r="E383" s="240">
        <v>3</v>
      </c>
      <c r="F383" s="230">
        <v>2749.18</v>
      </c>
      <c r="G383" s="223">
        <v>1962</v>
      </c>
      <c r="H383" s="223">
        <v>1</v>
      </c>
      <c r="I383" s="223">
        <v>0</v>
      </c>
      <c r="J383" s="223"/>
      <c r="K383" s="228">
        <v>64853.156199999998</v>
      </c>
      <c r="L383" s="241">
        <v>80</v>
      </c>
      <c r="M383" s="229">
        <v>12970.631240000001</v>
      </c>
      <c r="N383" s="230">
        <v>23.59</v>
      </c>
      <c r="O383" s="231">
        <v>0</v>
      </c>
      <c r="P383" s="314"/>
      <c r="Q383" s="276">
        <f t="shared" si="13"/>
        <v>2749.18</v>
      </c>
      <c r="R383" s="275">
        <f>(SUMIFS('Dec 31 2018 OFFS'!$AG:$AG,'Dec 31 2018 OFFS'!$AI:$AI,'T1 2019 Pipeline Data Lagasco'!$A383,'Dec 31 2018 OFFS'!$U:$U,'T1 2019 Pipeline Data Lagasco'!$E383,'Dec 31 2018 OFFS'!$AK:$AK,'T1 2019 Pipeline Data Lagasco'!$Q383,'Dec 31 2018 OFFS'!$W:$W,'T1 2019 Pipeline Data Lagasco'!$G383))/(MAX(COUNTIFS('Dec 31 2018 OFFS'!$AI:$AI,'T1 2019 Pipeline Data Lagasco'!$A383,'Dec 31 2018 OFFS'!$U:$U,'T1 2019 Pipeline Data Lagasco'!$E383,'Dec 31 2018 OFFS'!$AK:$AK,'T1 2019 Pipeline Data Lagasco'!$Q383,'Dec 31 2018 OFFS'!$W:$W,'T1 2019 Pipeline Data Lagasco'!$G383),1))</f>
        <v>0</v>
      </c>
      <c r="S383" s="275">
        <f t="shared" si="14"/>
        <v>0</v>
      </c>
    </row>
    <row r="384" spans="1:19" s="217" customFormat="1" ht="14.1" customHeight="1">
      <c r="A384" s="224" t="s">
        <v>1496</v>
      </c>
      <c r="B384" s="218" t="s">
        <v>1497</v>
      </c>
      <c r="C384" s="223">
        <v>1</v>
      </c>
      <c r="D384" s="218" t="s">
        <v>1488</v>
      </c>
      <c r="E384" s="240">
        <v>3</v>
      </c>
      <c r="F384" s="226">
        <v>1370.9973359999999</v>
      </c>
      <c r="G384" s="223">
        <v>1979</v>
      </c>
      <c r="H384" s="223">
        <v>1</v>
      </c>
      <c r="I384" s="223">
        <v>1</v>
      </c>
      <c r="J384" s="223"/>
      <c r="K384" s="229">
        <v>32341.827150000001</v>
      </c>
      <c r="L384" s="241">
        <v>80</v>
      </c>
      <c r="M384" s="233">
        <v>6468.3654290000004</v>
      </c>
      <c r="N384" s="230">
        <v>23.59</v>
      </c>
      <c r="O384" s="231">
        <v>6468</v>
      </c>
      <c r="P384" s="314"/>
      <c r="Q384" s="276">
        <f t="shared" si="13"/>
        <v>1371</v>
      </c>
      <c r="R384" s="275">
        <f>(SUMIFS('Dec 31 2018 OFFS'!$AG:$AG,'Dec 31 2018 OFFS'!$AI:$AI,'T1 2019 Pipeline Data Lagasco'!$A384,'Dec 31 2018 OFFS'!$U:$U,'T1 2019 Pipeline Data Lagasco'!$E384,'Dec 31 2018 OFFS'!$AK:$AK,'T1 2019 Pipeline Data Lagasco'!$Q384,'Dec 31 2018 OFFS'!$W:$W,'T1 2019 Pipeline Data Lagasco'!$G384))/(MAX(COUNTIFS('Dec 31 2018 OFFS'!$AI:$AI,'T1 2019 Pipeline Data Lagasco'!$A384,'Dec 31 2018 OFFS'!$U:$U,'T1 2019 Pipeline Data Lagasco'!$E384,'Dec 31 2018 OFFS'!$AK:$AK,'T1 2019 Pipeline Data Lagasco'!$Q384,'Dec 31 2018 OFFS'!$W:$W,'T1 2019 Pipeline Data Lagasco'!$G384),1))</f>
        <v>6468</v>
      </c>
      <c r="S384" s="275">
        <f t="shared" si="14"/>
        <v>0</v>
      </c>
    </row>
    <row r="385" spans="1:19" s="217" customFormat="1" ht="15" customHeight="1">
      <c r="A385" s="224" t="s">
        <v>1496</v>
      </c>
      <c r="B385" s="218" t="s">
        <v>1497</v>
      </c>
      <c r="C385" s="223">
        <v>1</v>
      </c>
      <c r="D385" s="218" t="s">
        <v>1488</v>
      </c>
      <c r="E385" s="240">
        <v>3</v>
      </c>
      <c r="F385" s="226">
        <v>8270.3737760000004</v>
      </c>
      <c r="G385" s="223">
        <v>1979</v>
      </c>
      <c r="H385" s="223">
        <v>1</v>
      </c>
      <c r="I385" s="223">
        <v>1</v>
      </c>
      <c r="J385" s="223"/>
      <c r="K385" s="228">
        <v>195098.11739999999</v>
      </c>
      <c r="L385" s="241">
        <v>80</v>
      </c>
      <c r="M385" s="229">
        <v>39019.623480000002</v>
      </c>
      <c r="N385" s="230">
        <v>23.59</v>
      </c>
      <c r="O385" s="231">
        <v>39019</v>
      </c>
      <c r="P385" s="314"/>
      <c r="Q385" s="276">
        <f t="shared" si="13"/>
        <v>8270.3700000000008</v>
      </c>
      <c r="R385" s="275">
        <f>(SUMIFS('Dec 31 2018 OFFS'!$AG:$AG,'Dec 31 2018 OFFS'!$AI:$AI,'T1 2019 Pipeline Data Lagasco'!$A385,'Dec 31 2018 OFFS'!$U:$U,'T1 2019 Pipeline Data Lagasco'!$E385,'Dec 31 2018 OFFS'!$AK:$AK,'T1 2019 Pipeline Data Lagasco'!$Q385,'Dec 31 2018 OFFS'!$W:$W,'T1 2019 Pipeline Data Lagasco'!$G385))/(MAX(COUNTIFS('Dec 31 2018 OFFS'!$AI:$AI,'T1 2019 Pipeline Data Lagasco'!$A385,'Dec 31 2018 OFFS'!$U:$U,'T1 2019 Pipeline Data Lagasco'!$E385,'Dec 31 2018 OFFS'!$AK:$AK,'T1 2019 Pipeline Data Lagasco'!$Q385,'Dec 31 2018 OFFS'!$W:$W,'T1 2019 Pipeline Data Lagasco'!$G385),1))</f>
        <v>39019</v>
      </c>
      <c r="S385" s="275">
        <f t="shared" si="14"/>
        <v>0</v>
      </c>
    </row>
    <row r="386" spans="1:19" s="217" customFormat="1" ht="15" customHeight="1">
      <c r="A386" s="224" t="s">
        <v>1496</v>
      </c>
      <c r="B386" s="218" t="s">
        <v>1497</v>
      </c>
      <c r="C386" s="223">
        <v>1</v>
      </c>
      <c r="D386" s="218" t="s">
        <v>1488</v>
      </c>
      <c r="E386" s="240">
        <v>3</v>
      </c>
      <c r="F386" s="230">
        <v>2987.99</v>
      </c>
      <c r="G386" s="223">
        <v>1979</v>
      </c>
      <c r="H386" s="223">
        <v>1</v>
      </c>
      <c r="I386" s="223">
        <v>0</v>
      </c>
      <c r="J386" s="223"/>
      <c r="K386" s="228">
        <v>70486.684099999999</v>
      </c>
      <c r="L386" s="241">
        <v>80</v>
      </c>
      <c r="M386" s="229">
        <v>14097.33682</v>
      </c>
      <c r="N386" s="230">
        <v>23.59</v>
      </c>
      <c r="O386" s="231">
        <v>0</v>
      </c>
      <c r="P386" s="315"/>
      <c r="Q386" s="276">
        <f t="shared" si="13"/>
        <v>2987.99</v>
      </c>
      <c r="R386" s="275">
        <f>(SUMIFS('Dec 31 2018 OFFS'!$AG:$AG,'Dec 31 2018 OFFS'!$AI:$AI,'T1 2019 Pipeline Data Lagasco'!$A386,'Dec 31 2018 OFFS'!$U:$U,'T1 2019 Pipeline Data Lagasco'!$E386,'Dec 31 2018 OFFS'!$AK:$AK,'T1 2019 Pipeline Data Lagasco'!$Q386,'Dec 31 2018 OFFS'!$W:$W,'T1 2019 Pipeline Data Lagasco'!$G386))/(MAX(COUNTIFS('Dec 31 2018 OFFS'!$AI:$AI,'T1 2019 Pipeline Data Lagasco'!$A386,'Dec 31 2018 OFFS'!$U:$U,'T1 2019 Pipeline Data Lagasco'!$E386,'Dec 31 2018 OFFS'!$AK:$AK,'T1 2019 Pipeline Data Lagasco'!$Q386,'Dec 31 2018 OFFS'!$W:$W,'T1 2019 Pipeline Data Lagasco'!$G386),1))</f>
        <v>0</v>
      </c>
      <c r="S386" s="275">
        <f t="shared" si="14"/>
        <v>0</v>
      </c>
    </row>
    <row r="387" spans="1:19" s="217" customFormat="1" ht="14.1" customHeight="1">
      <c r="A387" s="224" t="s">
        <v>1496</v>
      </c>
      <c r="B387" s="218" t="s">
        <v>1497</v>
      </c>
      <c r="C387" s="223">
        <v>1</v>
      </c>
      <c r="D387" s="218" t="s">
        <v>1488</v>
      </c>
      <c r="E387" s="240">
        <v>3</v>
      </c>
      <c r="F387" s="235">
        <v>11961.1217</v>
      </c>
      <c r="G387" s="223">
        <v>1980</v>
      </c>
      <c r="H387" s="223">
        <v>1</v>
      </c>
      <c r="I387" s="223">
        <v>1</v>
      </c>
      <c r="J387" s="223"/>
      <c r="K387" s="228">
        <v>282162.86090000003</v>
      </c>
      <c r="L387" s="241">
        <v>80</v>
      </c>
      <c r="M387" s="229">
        <v>56432.572180000003</v>
      </c>
      <c r="N387" s="230">
        <v>23.59</v>
      </c>
      <c r="O387" s="231">
        <v>56432</v>
      </c>
      <c r="P387" s="315"/>
      <c r="Q387" s="276">
        <f t="shared" si="13"/>
        <v>11961.12</v>
      </c>
      <c r="R387" s="275">
        <f>(SUMIFS('Dec 31 2018 OFFS'!$AG:$AG,'Dec 31 2018 OFFS'!$AI:$AI,'T1 2019 Pipeline Data Lagasco'!$A387,'Dec 31 2018 OFFS'!$U:$U,'T1 2019 Pipeline Data Lagasco'!$E387,'Dec 31 2018 OFFS'!$AK:$AK,'T1 2019 Pipeline Data Lagasco'!$Q387,'Dec 31 2018 OFFS'!$W:$W,'T1 2019 Pipeline Data Lagasco'!$G387))/(MAX(COUNTIFS('Dec 31 2018 OFFS'!$AI:$AI,'T1 2019 Pipeline Data Lagasco'!$A387,'Dec 31 2018 OFFS'!$U:$U,'T1 2019 Pipeline Data Lagasco'!$E387,'Dec 31 2018 OFFS'!$AK:$AK,'T1 2019 Pipeline Data Lagasco'!$Q387,'Dec 31 2018 OFFS'!$W:$W,'T1 2019 Pipeline Data Lagasco'!$G387),1))</f>
        <v>56432</v>
      </c>
      <c r="S387" s="275">
        <f t="shared" si="14"/>
        <v>0</v>
      </c>
    </row>
    <row r="388" spans="1:19" s="217" customFormat="1" ht="14.1" customHeight="1">
      <c r="A388" s="224" t="s">
        <v>1496</v>
      </c>
      <c r="B388" s="218" t="s">
        <v>1497</v>
      </c>
      <c r="C388" s="223">
        <v>1</v>
      </c>
      <c r="D388" s="218" t="s">
        <v>1488</v>
      </c>
      <c r="E388" s="240">
        <v>3</v>
      </c>
      <c r="F388" s="226">
        <v>2408.5957309999999</v>
      </c>
      <c r="G388" s="223">
        <v>1979</v>
      </c>
      <c r="H388" s="223">
        <v>1</v>
      </c>
      <c r="I388" s="223">
        <v>0</v>
      </c>
      <c r="J388" s="223"/>
      <c r="K388" s="229">
        <v>56818.773289999997</v>
      </c>
      <c r="L388" s="241">
        <v>80</v>
      </c>
      <c r="M388" s="229">
        <v>11363.754660000001</v>
      </c>
      <c r="N388" s="230">
        <v>23.59</v>
      </c>
      <c r="O388" s="231">
        <v>0</v>
      </c>
      <c r="P388" s="315"/>
      <c r="Q388" s="276">
        <f t="shared" si="13"/>
        <v>2408.60</v>
      </c>
      <c r="R388" s="275">
        <f>(SUMIFS('Dec 31 2018 OFFS'!$AG:$AG,'Dec 31 2018 OFFS'!$AI:$AI,'T1 2019 Pipeline Data Lagasco'!$A388,'Dec 31 2018 OFFS'!$U:$U,'T1 2019 Pipeline Data Lagasco'!$E388,'Dec 31 2018 OFFS'!$AK:$AK,'T1 2019 Pipeline Data Lagasco'!$Q388,'Dec 31 2018 OFFS'!$W:$W,'T1 2019 Pipeline Data Lagasco'!$G388))/(MAX(COUNTIFS('Dec 31 2018 OFFS'!$AI:$AI,'T1 2019 Pipeline Data Lagasco'!$A388,'Dec 31 2018 OFFS'!$U:$U,'T1 2019 Pipeline Data Lagasco'!$E388,'Dec 31 2018 OFFS'!$AK:$AK,'T1 2019 Pipeline Data Lagasco'!$Q388,'Dec 31 2018 OFFS'!$W:$W,'T1 2019 Pipeline Data Lagasco'!$G388),1))</f>
        <v>0</v>
      </c>
      <c r="S388" s="275">
        <f t="shared" si="14"/>
        <v>0</v>
      </c>
    </row>
    <row r="389" spans="1:19" s="217" customFormat="1" ht="14.1" customHeight="1">
      <c r="A389" s="224" t="s">
        <v>1496</v>
      </c>
      <c r="B389" s="218" t="s">
        <v>1497</v>
      </c>
      <c r="C389" s="223">
        <v>1</v>
      </c>
      <c r="D389" s="218" t="s">
        <v>1488</v>
      </c>
      <c r="E389" s="240">
        <v>3</v>
      </c>
      <c r="F389" s="226">
        <v>5169.3239970000004</v>
      </c>
      <c r="G389" s="223">
        <v>1962</v>
      </c>
      <c r="H389" s="223">
        <v>1</v>
      </c>
      <c r="I389" s="223">
        <v>0</v>
      </c>
      <c r="J389" s="223"/>
      <c r="K389" s="228">
        <v>121944.35309999999</v>
      </c>
      <c r="L389" s="241">
        <v>80</v>
      </c>
      <c r="M389" s="229">
        <v>24388.870620000002</v>
      </c>
      <c r="N389" s="230">
        <v>23.59</v>
      </c>
      <c r="O389" s="231">
        <v>0</v>
      </c>
      <c r="P389" s="315"/>
      <c r="Q389" s="276">
        <f t="shared" si="13"/>
        <v>5169.32</v>
      </c>
      <c r="R389" s="275">
        <f>(SUMIFS('Dec 31 2018 OFFS'!$AG:$AG,'Dec 31 2018 OFFS'!$AI:$AI,'T1 2019 Pipeline Data Lagasco'!$A389,'Dec 31 2018 OFFS'!$U:$U,'T1 2019 Pipeline Data Lagasco'!$E389,'Dec 31 2018 OFFS'!$AK:$AK,'T1 2019 Pipeline Data Lagasco'!$Q389,'Dec 31 2018 OFFS'!$W:$W,'T1 2019 Pipeline Data Lagasco'!$G389))/(MAX(COUNTIFS('Dec 31 2018 OFFS'!$AI:$AI,'T1 2019 Pipeline Data Lagasco'!$A389,'Dec 31 2018 OFFS'!$U:$U,'T1 2019 Pipeline Data Lagasco'!$E389,'Dec 31 2018 OFFS'!$AK:$AK,'T1 2019 Pipeline Data Lagasco'!$Q389,'Dec 31 2018 OFFS'!$W:$W,'T1 2019 Pipeline Data Lagasco'!$G389),1))</f>
        <v>0</v>
      </c>
      <c r="S389" s="275">
        <f t="shared" si="14"/>
        <v>0</v>
      </c>
    </row>
    <row r="390" spans="1:19" s="217" customFormat="1" ht="14.1" customHeight="1">
      <c r="A390" s="224" t="s">
        <v>1496</v>
      </c>
      <c r="B390" s="218" t="s">
        <v>1497</v>
      </c>
      <c r="C390" s="223">
        <v>1</v>
      </c>
      <c r="D390" s="218" t="s">
        <v>1488</v>
      </c>
      <c r="E390" s="240">
        <v>3</v>
      </c>
      <c r="F390" s="226">
        <v>3163.3201180000001</v>
      </c>
      <c r="G390" s="223">
        <v>1979</v>
      </c>
      <c r="H390" s="223">
        <v>1</v>
      </c>
      <c r="I390" s="223">
        <v>0</v>
      </c>
      <c r="J390" s="223"/>
      <c r="K390" s="229">
        <v>74622.721590000001</v>
      </c>
      <c r="L390" s="241">
        <v>80</v>
      </c>
      <c r="M390" s="229">
        <v>14924.544320000001</v>
      </c>
      <c r="N390" s="230">
        <v>23.59</v>
      </c>
      <c r="O390" s="231">
        <v>0</v>
      </c>
      <c r="P390" s="315"/>
      <c r="Q390" s="276">
        <f t="shared" si="13"/>
        <v>3163.32</v>
      </c>
      <c r="R390" s="275">
        <f>(SUMIFS('Dec 31 2018 OFFS'!$AG:$AG,'Dec 31 2018 OFFS'!$AI:$AI,'T1 2019 Pipeline Data Lagasco'!$A390,'Dec 31 2018 OFFS'!$U:$U,'T1 2019 Pipeline Data Lagasco'!$E390,'Dec 31 2018 OFFS'!$AK:$AK,'T1 2019 Pipeline Data Lagasco'!$Q390,'Dec 31 2018 OFFS'!$W:$W,'T1 2019 Pipeline Data Lagasco'!$G390))/(MAX(COUNTIFS('Dec 31 2018 OFFS'!$AI:$AI,'T1 2019 Pipeline Data Lagasco'!$A390,'Dec 31 2018 OFFS'!$U:$U,'T1 2019 Pipeline Data Lagasco'!$E390,'Dec 31 2018 OFFS'!$AK:$AK,'T1 2019 Pipeline Data Lagasco'!$Q390,'Dec 31 2018 OFFS'!$W:$W,'T1 2019 Pipeline Data Lagasco'!$G390),1))</f>
        <v>0</v>
      </c>
      <c r="S390" s="275">
        <f t="shared" si="14"/>
        <v>0</v>
      </c>
    </row>
    <row r="391" spans="1:19" s="217" customFormat="1" ht="14.1" customHeight="1">
      <c r="A391" s="224" t="s">
        <v>1496</v>
      </c>
      <c r="B391" s="218" t="s">
        <v>1497</v>
      </c>
      <c r="C391" s="223">
        <v>1</v>
      </c>
      <c r="D391" s="218" t="s">
        <v>1488</v>
      </c>
      <c r="E391" s="240">
        <v>3</v>
      </c>
      <c r="F391" s="226">
        <v>4987.2373879999996</v>
      </c>
      <c r="G391" s="223">
        <v>1962</v>
      </c>
      <c r="H391" s="223">
        <v>1</v>
      </c>
      <c r="I391" s="223">
        <v>0</v>
      </c>
      <c r="J391" s="223"/>
      <c r="K391" s="238">
        <v>117648.93</v>
      </c>
      <c r="L391" s="241">
        <v>80</v>
      </c>
      <c r="M391" s="239">
        <v>23529.786</v>
      </c>
      <c r="N391" s="230">
        <v>23.59</v>
      </c>
      <c r="O391" s="231">
        <v>0</v>
      </c>
      <c r="P391" s="315"/>
      <c r="Q391" s="276">
        <f t="shared" si="13"/>
        <v>4987.24</v>
      </c>
      <c r="R391" s="275">
        <f>(SUMIFS('Dec 31 2018 OFFS'!$AG:$AG,'Dec 31 2018 OFFS'!$AI:$AI,'T1 2019 Pipeline Data Lagasco'!$A391,'Dec 31 2018 OFFS'!$U:$U,'T1 2019 Pipeline Data Lagasco'!$E391,'Dec 31 2018 OFFS'!$AK:$AK,'T1 2019 Pipeline Data Lagasco'!$Q391,'Dec 31 2018 OFFS'!$W:$W,'T1 2019 Pipeline Data Lagasco'!$G391))/(MAX(COUNTIFS('Dec 31 2018 OFFS'!$AI:$AI,'T1 2019 Pipeline Data Lagasco'!$A391,'Dec 31 2018 OFFS'!$U:$U,'T1 2019 Pipeline Data Lagasco'!$E391,'Dec 31 2018 OFFS'!$AK:$AK,'T1 2019 Pipeline Data Lagasco'!$Q391,'Dec 31 2018 OFFS'!$W:$W,'T1 2019 Pipeline Data Lagasco'!$G391),1))</f>
        <v>0</v>
      </c>
      <c r="S391" s="275">
        <f t="shared" si="14"/>
        <v>0</v>
      </c>
    </row>
    <row r="392" spans="1:19" s="217" customFormat="1" ht="14.1" customHeight="1">
      <c r="A392" s="224" t="s">
        <v>1496</v>
      </c>
      <c r="B392" s="218" t="s">
        <v>1497</v>
      </c>
      <c r="C392" s="223">
        <v>1</v>
      </c>
      <c r="D392" s="218" t="s">
        <v>1488</v>
      </c>
      <c r="E392" s="240">
        <v>3</v>
      </c>
      <c r="F392" s="230">
        <v>2375.39</v>
      </c>
      <c r="G392" s="223">
        <v>1962</v>
      </c>
      <c r="H392" s="223">
        <v>1</v>
      </c>
      <c r="I392" s="223">
        <v>0</v>
      </c>
      <c r="J392" s="223"/>
      <c r="K392" s="228">
        <v>56035.450100000002</v>
      </c>
      <c r="L392" s="241">
        <v>80</v>
      </c>
      <c r="M392" s="229">
        <v>11207.09002</v>
      </c>
      <c r="N392" s="230">
        <v>23.59</v>
      </c>
      <c r="O392" s="231">
        <v>0</v>
      </c>
      <c r="P392" s="315"/>
      <c r="Q392" s="276">
        <f t="shared" si="13"/>
        <v>2375.39</v>
      </c>
      <c r="R392" s="275">
        <f>(SUMIFS('Dec 31 2018 OFFS'!$AG:$AG,'Dec 31 2018 OFFS'!$AI:$AI,'T1 2019 Pipeline Data Lagasco'!$A392,'Dec 31 2018 OFFS'!$U:$U,'T1 2019 Pipeline Data Lagasco'!$E392,'Dec 31 2018 OFFS'!$AK:$AK,'T1 2019 Pipeline Data Lagasco'!$Q392,'Dec 31 2018 OFFS'!$W:$W,'T1 2019 Pipeline Data Lagasco'!$G392))/(MAX(COUNTIFS('Dec 31 2018 OFFS'!$AI:$AI,'T1 2019 Pipeline Data Lagasco'!$A392,'Dec 31 2018 OFFS'!$U:$U,'T1 2019 Pipeline Data Lagasco'!$E392,'Dec 31 2018 OFFS'!$AK:$AK,'T1 2019 Pipeline Data Lagasco'!$Q392,'Dec 31 2018 OFFS'!$W:$W,'T1 2019 Pipeline Data Lagasco'!$G392),1))</f>
        <v>0</v>
      </c>
      <c r="S392" s="275">
        <f t="shared" si="14"/>
        <v>0</v>
      </c>
    </row>
    <row r="393" spans="1:19" s="217" customFormat="1" ht="14.1" customHeight="1">
      <c r="A393" s="224" t="s">
        <v>1496</v>
      </c>
      <c r="B393" s="218" t="s">
        <v>1497</v>
      </c>
      <c r="C393" s="223">
        <v>1</v>
      </c>
      <c r="D393" s="218" t="s">
        <v>1488</v>
      </c>
      <c r="E393" s="240">
        <v>3</v>
      </c>
      <c r="F393" s="226">
        <v>5041.4040530000002</v>
      </c>
      <c r="G393" s="223">
        <v>1962</v>
      </c>
      <c r="H393" s="223">
        <v>1</v>
      </c>
      <c r="I393" s="223">
        <v>0</v>
      </c>
      <c r="J393" s="223"/>
      <c r="K393" s="228">
        <v>118926.7216</v>
      </c>
      <c r="L393" s="241">
        <v>80</v>
      </c>
      <c r="M393" s="229">
        <v>23785.34432</v>
      </c>
      <c r="N393" s="230">
        <v>23.59</v>
      </c>
      <c r="O393" s="231">
        <v>0</v>
      </c>
      <c r="P393" s="315"/>
      <c r="Q393" s="276">
        <f t="shared" si="13"/>
        <v>5041.3999999999996</v>
      </c>
      <c r="R393" s="275">
        <f>(SUMIFS('Dec 31 2018 OFFS'!$AG:$AG,'Dec 31 2018 OFFS'!$AI:$AI,'T1 2019 Pipeline Data Lagasco'!$A393,'Dec 31 2018 OFFS'!$U:$U,'T1 2019 Pipeline Data Lagasco'!$E393,'Dec 31 2018 OFFS'!$AK:$AK,'T1 2019 Pipeline Data Lagasco'!$Q393,'Dec 31 2018 OFFS'!$W:$W,'T1 2019 Pipeline Data Lagasco'!$G393))/(MAX(COUNTIFS('Dec 31 2018 OFFS'!$AI:$AI,'T1 2019 Pipeline Data Lagasco'!$A393,'Dec 31 2018 OFFS'!$U:$U,'T1 2019 Pipeline Data Lagasco'!$E393,'Dec 31 2018 OFFS'!$AK:$AK,'T1 2019 Pipeline Data Lagasco'!$Q393,'Dec 31 2018 OFFS'!$W:$W,'T1 2019 Pipeline Data Lagasco'!$G393),1))</f>
        <v>0</v>
      </c>
      <c r="S393" s="275">
        <f t="shared" si="14"/>
        <v>0</v>
      </c>
    </row>
    <row r="394" spans="1:19" s="217" customFormat="1" ht="14.1" customHeight="1">
      <c r="A394" s="224" t="s">
        <v>1496</v>
      </c>
      <c r="B394" s="218" t="s">
        <v>1497</v>
      </c>
      <c r="C394" s="223">
        <v>1</v>
      </c>
      <c r="D394" s="218" t="s">
        <v>1488</v>
      </c>
      <c r="E394" s="240">
        <v>3</v>
      </c>
      <c r="F394" s="226">
        <v>5054.5602209999997</v>
      </c>
      <c r="G394" s="223">
        <v>1984</v>
      </c>
      <c r="H394" s="223">
        <v>1</v>
      </c>
      <c r="I394" s="223">
        <v>1</v>
      </c>
      <c r="J394" s="223"/>
      <c r="K394" s="228">
        <v>119237.0756</v>
      </c>
      <c r="L394" s="241">
        <v>80</v>
      </c>
      <c r="M394" s="229">
        <v>23847.415120000001</v>
      </c>
      <c r="N394" s="230">
        <v>23.59</v>
      </c>
      <c r="O394" s="231">
        <v>23847</v>
      </c>
      <c r="P394" s="315"/>
      <c r="Q394" s="276">
        <f t="shared" si="13"/>
        <v>5054.5600000000004</v>
      </c>
      <c r="R394" s="275">
        <f>(SUMIFS('Dec 31 2018 OFFS'!$AG:$AG,'Dec 31 2018 OFFS'!$AI:$AI,'T1 2019 Pipeline Data Lagasco'!$A394,'Dec 31 2018 OFFS'!$U:$U,'T1 2019 Pipeline Data Lagasco'!$E394,'Dec 31 2018 OFFS'!$AK:$AK,'T1 2019 Pipeline Data Lagasco'!$Q394,'Dec 31 2018 OFFS'!$W:$W,'T1 2019 Pipeline Data Lagasco'!$G394))/(MAX(COUNTIFS('Dec 31 2018 OFFS'!$AI:$AI,'T1 2019 Pipeline Data Lagasco'!$A394,'Dec 31 2018 OFFS'!$U:$U,'T1 2019 Pipeline Data Lagasco'!$E394,'Dec 31 2018 OFFS'!$AK:$AK,'T1 2019 Pipeline Data Lagasco'!$Q394,'Dec 31 2018 OFFS'!$W:$W,'T1 2019 Pipeline Data Lagasco'!$G394),1))</f>
        <v>23847</v>
      </c>
      <c r="S394" s="275">
        <f t="shared" si="14"/>
        <v>0</v>
      </c>
    </row>
    <row r="395" spans="1:19" s="217" customFormat="1" ht="14.1" customHeight="1">
      <c r="A395" s="224" t="s">
        <v>1496</v>
      </c>
      <c r="B395" s="218" t="s">
        <v>1497</v>
      </c>
      <c r="C395" s="223">
        <v>1</v>
      </c>
      <c r="D395" s="218" t="s">
        <v>1488</v>
      </c>
      <c r="E395" s="240">
        <v>3</v>
      </c>
      <c r="F395" s="226">
        <v>9637.8606130000007</v>
      </c>
      <c r="G395" s="223">
        <v>1984</v>
      </c>
      <c r="H395" s="223">
        <v>1</v>
      </c>
      <c r="I395" s="223">
        <v>1</v>
      </c>
      <c r="J395" s="223"/>
      <c r="K395" s="228">
        <v>227357.13190000001</v>
      </c>
      <c r="L395" s="241">
        <v>80</v>
      </c>
      <c r="M395" s="229">
        <v>45471.426370000001</v>
      </c>
      <c r="N395" s="230">
        <v>23.59</v>
      </c>
      <c r="O395" s="231">
        <v>45471</v>
      </c>
      <c r="P395" s="315"/>
      <c r="Q395" s="276">
        <f t="shared" si="13"/>
        <v>9637.86</v>
      </c>
      <c r="R395" s="275">
        <f>(SUMIFS('Dec 31 2018 OFFS'!$AG:$AG,'Dec 31 2018 OFFS'!$AI:$AI,'T1 2019 Pipeline Data Lagasco'!$A395,'Dec 31 2018 OFFS'!$U:$U,'T1 2019 Pipeline Data Lagasco'!$E395,'Dec 31 2018 OFFS'!$AK:$AK,'T1 2019 Pipeline Data Lagasco'!$Q395,'Dec 31 2018 OFFS'!$W:$W,'T1 2019 Pipeline Data Lagasco'!$G395))/(MAX(COUNTIFS('Dec 31 2018 OFFS'!$AI:$AI,'T1 2019 Pipeline Data Lagasco'!$A395,'Dec 31 2018 OFFS'!$U:$U,'T1 2019 Pipeline Data Lagasco'!$E395,'Dec 31 2018 OFFS'!$AK:$AK,'T1 2019 Pipeline Data Lagasco'!$Q395,'Dec 31 2018 OFFS'!$W:$W,'T1 2019 Pipeline Data Lagasco'!$G395),1))</f>
        <v>45471</v>
      </c>
      <c r="S395" s="275">
        <f t="shared" si="14"/>
        <v>0</v>
      </c>
    </row>
    <row r="396" spans="1:19" s="217" customFormat="1" ht="14.1" customHeight="1">
      <c r="A396" s="224" t="s">
        <v>1496</v>
      </c>
      <c r="B396" s="218" t="s">
        <v>1497</v>
      </c>
      <c r="C396" s="223">
        <v>1</v>
      </c>
      <c r="D396" s="218" t="s">
        <v>1488</v>
      </c>
      <c r="E396" s="240">
        <v>3</v>
      </c>
      <c r="F396" s="226">
        <v>9872.6703180000004</v>
      </c>
      <c r="G396" s="223">
        <v>1978</v>
      </c>
      <c r="H396" s="223">
        <v>1</v>
      </c>
      <c r="I396" s="223">
        <v>1</v>
      </c>
      <c r="J396" s="223"/>
      <c r="K396" s="228">
        <v>232896.2928</v>
      </c>
      <c r="L396" s="241">
        <v>80</v>
      </c>
      <c r="M396" s="229">
        <v>46579.258560000002</v>
      </c>
      <c r="N396" s="230">
        <v>23.59</v>
      </c>
      <c r="O396" s="231">
        <v>46579</v>
      </c>
      <c r="P396" s="315"/>
      <c r="Q396" s="276">
        <f t="shared" si="13"/>
        <v>9872.67</v>
      </c>
      <c r="R396" s="275">
        <f>(SUMIFS('Dec 31 2018 OFFS'!$AG:$AG,'Dec 31 2018 OFFS'!$AI:$AI,'T1 2019 Pipeline Data Lagasco'!$A396,'Dec 31 2018 OFFS'!$U:$U,'T1 2019 Pipeline Data Lagasco'!$E396,'Dec 31 2018 OFFS'!$AK:$AK,'T1 2019 Pipeline Data Lagasco'!$Q396,'Dec 31 2018 OFFS'!$W:$W,'T1 2019 Pipeline Data Lagasco'!$G396))/(MAX(COUNTIFS('Dec 31 2018 OFFS'!$AI:$AI,'T1 2019 Pipeline Data Lagasco'!$A396,'Dec 31 2018 OFFS'!$U:$U,'T1 2019 Pipeline Data Lagasco'!$E396,'Dec 31 2018 OFFS'!$AK:$AK,'T1 2019 Pipeline Data Lagasco'!$Q396,'Dec 31 2018 OFFS'!$W:$W,'T1 2019 Pipeline Data Lagasco'!$G396),1))</f>
        <v>46579</v>
      </c>
      <c r="S396" s="275">
        <f t="shared" si="14"/>
        <v>0</v>
      </c>
    </row>
    <row r="397" spans="1:19" s="217" customFormat="1" ht="14.1" customHeight="1">
      <c r="A397" s="224" t="s">
        <v>1496</v>
      </c>
      <c r="B397" s="218" t="s">
        <v>1497</v>
      </c>
      <c r="C397" s="223">
        <v>1</v>
      </c>
      <c r="D397" s="218" t="s">
        <v>1488</v>
      </c>
      <c r="E397" s="240">
        <v>3</v>
      </c>
      <c r="F397" s="223">
        <v>9624</v>
      </c>
      <c r="G397" s="223">
        <v>1978</v>
      </c>
      <c r="H397" s="223">
        <v>1</v>
      </c>
      <c r="I397" s="223">
        <v>1</v>
      </c>
      <c r="J397" s="223"/>
      <c r="K397" s="238">
        <v>227030.16</v>
      </c>
      <c r="L397" s="241">
        <v>80</v>
      </c>
      <c r="M397" s="239">
        <v>45406.031999999999</v>
      </c>
      <c r="N397" s="230">
        <v>23.59</v>
      </c>
      <c r="O397" s="231">
        <v>45406</v>
      </c>
      <c r="P397" s="315"/>
      <c r="Q397" s="276">
        <f t="shared" si="13"/>
        <v>9624</v>
      </c>
      <c r="R397" s="275">
        <f>(SUMIFS('Dec 31 2018 OFFS'!$AG:$AG,'Dec 31 2018 OFFS'!$AI:$AI,'T1 2019 Pipeline Data Lagasco'!$A397,'Dec 31 2018 OFFS'!$U:$U,'T1 2019 Pipeline Data Lagasco'!$E397,'Dec 31 2018 OFFS'!$AK:$AK,'T1 2019 Pipeline Data Lagasco'!$Q397,'Dec 31 2018 OFFS'!$W:$W,'T1 2019 Pipeline Data Lagasco'!$G397))/(MAX(COUNTIFS('Dec 31 2018 OFFS'!$AI:$AI,'T1 2019 Pipeline Data Lagasco'!$A397,'Dec 31 2018 OFFS'!$U:$U,'T1 2019 Pipeline Data Lagasco'!$E397,'Dec 31 2018 OFFS'!$AK:$AK,'T1 2019 Pipeline Data Lagasco'!$Q397,'Dec 31 2018 OFFS'!$W:$W,'T1 2019 Pipeline Data Lagasco'!$G397),1))</f>
        <v>45406</v>
      </c>
      <c r="S397" s="275">
        <f t="shared" si="14"/>
        <v>0</v>
      </c>
    </row>
    <row r="398" spans="1:19" s="217" customFormat="1" ht="14.1" customHeight="1">
      <c r="A398" s="224" t="s">
        <v>1496</v>
      </c>
      <c r="B398" s="218" t="s">
        <v>1497</v>
      </c>
      <c r="C398" s="223">
        <v>1</v>
      </c>
      <c r="D398" s="218" t="s">
        <v>1488</v>
      </c>
      <c r="E398" s="240">
        <v>3</v>
      </c>
      <c r="F398" s="226">
        <v>9567.7818750000006</v>
      </c>
      <c r="G398" s="223">
        <v>1964</v>
      </c>
      <c r="H398" s="223">
        <v>1</v>
      </c>
      <c r="I398" s="223">
        <v>1</v>
      </c>
      <c r="J398" s="223"/>
      <c r="K398" s="228">
        <v>225703.97440000001</v>
      </c>
      <c r="L398" s="241">
        <v>80</v>
      </c>
      <c r="M398" s="229">
        <v>45140.794889999997</v>
      </c>
      <c r="N398" s="230">
        <v>23.59</v>
      </c>
      <c r="O398" s="231">
        <v>45140</v>
      </c>
      <c r="P398" s="315"/>
      <c r="Q398" s="276">
        <f t="shared" si="13"/>
        <v>9567.7800000000007</v>
      </c>
      <c r="R398" s="275">
        <f>(SUMIFS('Dec 31 2018 OFFS'!$AG:$AG,'Dec 31 2018 OFFS'!$AI:$AI,'T1 2019 Pipeline Data Lagasco'!$A398,'Dec 31 2018 OFFS'!$U:$U,'T1 2019 Pipeline Data Lagasco'!$E398,'Dec 31 2018 OFFS'!$AK:$AK,'T1 2019 Pipeline Data Lagasco'!$Q398,'Dec 31 2018 OFFS'!$W:$W,'T1 2019 Pipeline Data Lagasco'!$G398))/(MAX(COUNTIFS('Dec 31 2018 OFFS'!$AI:$AI,'T1 2019 Pipeline Data Lagasco'!$A398,'Dec 31 2018 OFFS'!$U:$U,'T1 2019 Pipeline Data Lagasco'!$E398,'Dec 31 2018 OFFS'!$AK:$AK,'T1 2019 Pipeline Data Lagasco'!$Q398,'Dec 31 2018 OFFS'!$W:$W,'T1 2019 Pipeline Data Lagasco'!$G398),1))</f>
        <v>45140</v>
      </c>
      <c r="S398" s="275">
        <f t="shared" si="14"/>
        <v>0</v>
      </c>
    </row>
    <row r="399" spans="1:19" s="217" customFormat="1" ht="14.1" customHeight="1">
      <c r="A399" s="224" t="s">
        <v>1496</v>
      </c>
      <c r="B399" s="218" t="s">
        <v>1497</v>
      </c>
      <c r="C399" s="223">
        <v>1</v>
      </c>
      <c r="D399" s="218" t="s">
        <v>1488</v>
      </c>
      <c r="E399" s="240">
        <v>3</v>
      </c>
      <c r="F399" s="226">
        <v>5364.7636240000002</v>
      </c>
      <c r="G399" s="223">
        <v>1964</v>
      </c>
      <c r="H399" s="223">
        <v>1</v>
      </c>
      <c r="I399" s="223">
        <v>0</v>
      </c>
      <c r="J399" s="223"/>
      <c r="K399" s="228">
        <v>126554.7739</v>
      </c>
      <c r="L399" s="241">
        <v>80</v>
      </c>
      <c r="M399" s="229">
        <v>25310.95478</v>
      </c>
      <c r="N399" s="230">
        <v>23.59</v>
      </c>
      <c r="O399" s="231">
        <v>0</v>
      </c>
      <c r="P399" s="315"/>
      <c r="Q399" s="276">
        <f t="shared" si="13"/>
        <v>5364.76</v>
      </c>
      <c r="R399" s="275">
        <f>(SUMIFS('Dec 31 2018 OFFS'!$AG:$AG,'Dec 31 2018 OFFS'!$AI:$AI,'T1 2019 Pipeline Data Lagasco'!$A399,'Dec 31 2018 OFFS'!$U:$U,'T1 2019 Pipeline Data Lagasco'!$E399,'Dec 31 2018 OFFS'!$AK:$AK,'T1 2019 Pipeline Data Lagasco'!$Q399,'Dec 31 2018 OFFS'!$W:$W,'T1 2019 Pipeline Data Lagasco'!$G399))/(MAX(COUNTIFS('Dec 31 2018 OFFS'!$AI:$AI,'T1 2019 Pipeline Data Lagasco'!$A399,'Dec 31 2018 OFFS'!$U:$U,'T1 2019 Pipeline Data Lagasco'!$E399,'Dec 31 2018 OFFS'!$AK:$AK,'T1 2019 Pipeline Data Lagasco'!$Q399,'Dec 31 2018 OFFS'!$W:$W,'T1 2019 Pipeline Data Lagasco'!$G399),1))</f>
        <v>0</v>
      </c>
      <c r="S399" s="275">
        <f t="shared" si="14"/>
        <v>0</v>
      </c>
    </row>
    <row r="400" spans="1:19" s="217" customFormat="1" ht="14.1" customHeight="1">
      <c r="A400" s="224" t="s">
        <v>1496</v>
      </c>
      <c r="B400" s="218" t="s">
        <v>1497</v>
      </c>
      <c r="C400" s="223">
        <v>1</v>
      </c>
      <c r="D400" s="218" t="s">
        <v>1488</v>
      </c>
      <c r="E400" s="240">
        <v>3</v>
      </c>
      <c r="F400" s="226">
        <v>5348.6547010000004</v>
      </c>
      <c r="G400" s="223">
        <v>1978</v>
      </c>
      <c r="H400" s="223">
        <v>1</v>
      </c>
      <c r="I400" s="223">
        <v>1</v>
      </c>
      <c r="J400" s="223"/>
      <c r="K400" s="228">
        <v>126174.7644</v>
      </c>
      <c r="L400" s="241">
        <v>80</v>
      </c>
      <c r="M400" s="229">
        <v>25234.952880000001</v>
      </c>
      <c r="N400" s="230">
        <v>23.59</v>
      </c>
      <c r="O400" s="231">
        <v>25234</v>
      </c>
      <c r="P400" s="315"/>
      <c r="Q400" s="276">
        <f t="shared" si="13"/>
        <v>5348.65</v>
      </c>
      <c r="R400" s="275">
        <f>(SUMIFS('Dec 31 2018 OFFS'!$AG:$AG,'Dec 31 2018 OFFS'!$AI:$AI,'T1 2019 Pipeline Data Lagasco'!$A400,'Dec 31 2018 OFFS'!$U:$U,'T1 2019 Pipeline Data Lagasco'!$E400,'Dec 31 2018 OFFS'!$AK:$AK,'T1 2019 Pipeline Data Lagasco'!$Q400,'Dec 31 2018 OFFS'!$W:$W,'T1 2019 Pipeline Data Lagasco'!$G400))/(MAX(COUNTIFS('Dec 31 2018 OFFS'!$AI:$AI,'T1 2019 Pipeline Data Lagasco'!$A400,'Dec 31 2018 OFFS'!$U:$U,'T1 2019 Pipeline Data Lagasco'!$E400,'Dec 31 2018 OFFS'!$AK:$AK,'T1 2019 Pipeline Data Lagasco'!$Q400,'Dec 31 2018 OFFS'!$W:$W,'T1 2019 Pipeline Data Lagasco'!$G400),1))</f>
        <v>25234</v>
      </c>
      <c r="S400" s="275">
        <f t="shared" si="14"/>
        <v>0</v>
      </c>
    </row>
    <row r="401" spans="1:19" s="217" customFormat="1" ht="14.1" customHeight="1">
      <c r="A401" s="224" t="s">
        <v>1496</v>
      </c>
      <c r="B401" s="218" t="s">
        <v>1497</v>
      </c>
      <c r="C401" s="223">
        <v>1</v>
      </c>
      <c r="D401" s="218" t="s">
        <v>1488</v>
      </c>
      <c r="E401" s="240">
        <v>3</v>
      </c>
      <c r="F401" s="226">
        <v>4338.7465940000002</v>
      </c>
      <c r="G401" s="223">
        <v>1985</v>
      </c>
      <c r="H401" s="223">
        <v>1</v>
      </c>
      <c r="I401" s="223">
        <v>1</v>
      </c>
      <c r="J401" s="223"/>
      <c r="K401" s="228">
        <v>102351.0321</v>
      </c>
      <c r="L401" s="241">
        <v>80</v>
      </c>
      <c r="M401" s="229">
        <v>20470.206429999998</v>
      </c>
      <c r="N401" s="230">
        <v>23.59</v>
      </c>
      <c r="O401" s="231">
        <v>20470</v>
      </c>
      <c r="P401" s="315"/>
      <c r="Q401" s="276">
        <f t="shared" si="13"/>
        <v>4338.75</v>
      </c>
      <c r="R401" s="275">
        <f>(SUMIFS('Dec 31 2018 OFFS'!$AG:$AG,'Dec 31 2018 OFFS'!$AI:$AI,'T1 2019 Pipeline Data Lagasco'!$A401,'Dec 31 2018 OFFS'!$U:$U,'T1 2019 Pipeline Data Lagasco'!$E401,'Dec 31 2018 OFFS'!$AK:$AK,'T1 2019 Pipeline Data Lagasco'!$Q401,'Dec 31 2018 OFFS'!$W:$W,'T1 2019 Pipeline Data Lagasco'!$G401))/(MAX(COUNTIFS('Dec 31 2018 OFFS'!$AI:$AI,'T1 2019 Pipeline Data Lagasco'!$A401,'Dec 31 2018 OFFS'!$U:$U,'T1 2019 Pipeline Data Lagasco'!$E401,'Dec 31 2018 OFFS'!$AK:$AK,'T1 2019 Pipeline Data Lagasco'!$Q401,'Dec 31 2018 OFFS'!$W:$W,'T1 2019 Pipeline Data Lagasco'!$G401),1))</f>
        <v>20470</v>
      </c>
      <c r="S401" s="275">
        <f t="shared" si="14"/>
        <v>0</v>
      </c>
    </row>
    <row r="402" spans="1:19" s="217" customFormat="1" ht="14.1" customHeight="1">
      <c r="A402" s="224" t="s">
        <v>1496</v>
      </c>
      <c r="B402" s="218" t="s">
        <v>1497</v>
      </c>
      <c r="C402" s="223">
        <v>1</v>
      </c>
      <c r="D402" s="218" t="s">
        <v>1488</v>
      </c>
      <c r="E402" s="240">
        <v>3</v>
      </c>
      <c r="F402" s="226">
        <v>2601.4763029999999</v>
      </c>
      <c r="G402" s="223">
        <v>1985</v>
      </c>
      <c r="H402" s="223">
        <v>1</v>
      </c>
      <c r="I402" s="223">
        <v>1</v>
      </c>
      <c r="J402" s="223"/>
      <c r="K402" s="229">
        <v>61368.825980000001</v>
      </c>
      <c r="L402" s="241">
        <v>80</v>
      </c>
      <c r="M402" s="228">
        <v>12273.7652</v>
      </c>
      <c r="N402" s="230">
        <v>23.59</v>
      </c>
      <c r="O402" s="231">
        <v>12273</v>
      </c>
      <c r="P402" s="315"/>
      <c r="Q402" s="276">
        <f t="shared" si="13"/>
        <v>2601.48</v>
      </c>
      <c r="R402" s="275">
        <f>(SUMIFS('Dec 31 2018 OFFS'!$AG:$AG,'Dec 31 2018 OFFS'!$AI:$AI,'T1 2019 Pipeline Data Lagasco'!$A402,'Dec 31 2018 OFFS'!$U:$U,'T1 2019 Pipeline Data Lagasco'!$E402,'Dec 31 2018 OFFS'!$AK:$AK,'T1 2019 Pipeline Data Lagasco'!$Q402,'Dec 31 2018 OFFS'!$W:$W,'T1 2019 Pipeline Data Lagasco'!$G402))/(MAX(COUNTIFS('Dec 31 2018 OFFS'!$AI:$AI,'T1 2019 Pipeline Data Lagasco'!$A402,'Dec 31 2018 OFFS'!$U:$U,'T1 2019 Pipeline Data Lagasco'!$E402,'Dec 31 2018 OFFS'!$AK:$AK,'T1 2019 Pipeline Data Lagasco'!$Q402,'Dec 31 2018 OFFS'!$W:$W,'T1 2019 Pipeline Data Lagasco'!$G402),1))</f>
        <v>12273</v>
      </c>
      <c r="S402" s="275">
        <f t="shared" si="14"/>
        <v>0</v>
      </c>
    </row>
    <row r="403" spans="1:19" s="217" customFormat="1" ht="14.1" customHeight="1">
      <c r="A403" s="224" t="s">
        <v>1496</v>
      </c>
      <c r="B403" s="218" t="s">
        <v>1497</v>
      </c>
      <c r="C403" s="223">
        <v>1</v>
      </c>
      <c r="D403" s="218" t="s">
        <v>1488</v>
      </c>
      <c r="E403" s="240">
        <v>3</v>
      </c>
      <c r="F403" s="226">
        <v>2943.7991270000002</v>
      </c>
      <c r="G403" s="223">
        <v>1964</v>
      </c>
      <c r="H403" s="223">
        <v>1</v>
      </c>
      <c r="I403" s="223">
        <v>1</v>
      </c>
      <c r="J403" s="223"/>
      <c r="K403" s="229">
        <v>69444.221409999998</v>
      </c>
      <c r="L403" s="241">
        <v>80</v>
      </c>
      <c r="M403" s="229">
        <v>13888.844279999999</v>
      </c>
      <c r="N403" s="230">
        <v>23.59</v>
      </c>
      <c r="O403" s="231">
        <v>13888</v>
      </c>
      <c r="P403" s="315"/>
      <c r="Q403" s="276">
        <f t="shared" si="13"/>
        <v>2943.80</v>
      </c>
      <c r="R403" s="275">
        <f>(SUMIFS('Dec 31 2018 OFFS'!$AG:$AG,'Dec 31 2018 OFFS'!$AI:$AI,'T1 2019 Pipeline Data Lagasco'!$A403,'Dec 31 2018 OFFS'!$U:$U,'T1 2019 Pipeline Data Lagasco'!$E403,'Dec 31 2018 OFFS'!$AK:$AK,'T1 2019 Pipeline Data Lagasco'!$Q403,'Dec 31 2018 OFFS'!$W:$W,'T1 2019 Pipeline Data Lagasco'!$G403))/(MAX(COUNTIFS('Dec 31 2018 OFFS'!$AI:$AI,'T1 2019 Pipeline Data Lagasco'!$A403,'Dec 31 2018 OFFS'!$U:$U,'T1 2019 Pipeline Data Lagasco'!$E403,'Dec 31 2018 OFFS'!$AK:$AK,'T1 2019 Pipeline Data Lagasco'!$Q403,'Dec 31 2018 OFFS'!$W:$W,'T1 2019 Pipeline Data Lagasco'!$G403),1))</f>
        <v>13888</v>
      </c>
      <c r="S403" s="275">
        <f t="shared" si="14"/>
        <v>0</v>
      </c>
    </row>
    <row r="404" spans="1:19" s="217" customFormat="1" ht="14.1" customHeight="1">
      <c r="A404" s="224" t="s">
        <v>1496</v>
      </c>
      <c r="B404" s="218" t="s">
        <v>1497</v>
      </c>
      <c r="C404" s="223">
        <v>1</v>
      </c>
      <c r="D404" s="218" t="s">
        <v>1488</v>
      </c>
      <c r="E404" s="240">
        <v>3</v>
      </c>
      <c r="F404" s="223">
        <v>3761</v>
      </c>
      <c r="G404" s="223">
        <v>1982</v>
      </c>
      <c r="H404" s="223">
        <v>1</v>
      </c>
      <c r="I404" s="223">
        <v>1</v>
      </c>
      <c r="J404" s="223"/>
      <c r="K404" s="238">
        <v>88721.99</v>
      </c>
      <c r="L404" s="241">
        <v>80</v>
      </c>
      <c r="M404" s="239">
        <v>17744.398000000001</v>
      </c>
      <c r="N404" s="230">
        <v>23.59</v>
      </c>
      <c r="O404" s="231">
        <v>17744</v>
      </c>
      <c r="P404" s="315"/>
      <c r="Q404" s="276">
        <f t="shared" si="13"/>
        <v>3761</v>
      </c>
      <c r="R404" s="275">
        <f>(SUMIFS('Dec 31 2018 OFFS'!$AG:$AG,'Dec 31 2018 OFFS'!$AI:$AI,'T1 2019 Pipeline Data Lagasco'!$A404,'Dec 31 2018 OFFS'!$U:$U,'T1 2019 Pipeline Data Lagasco'!$E404,'Dec 31 2018 OFFS'!$AK:$AK,'T1 2019 Pipeline Data Lagasco'!$Q404,'Dec 31 2018 OFFS'!$W:$W,'T1 2019 Pipeline Data Lagasco'!$G404))/(MAX(COUNTIFS('Dec 31 2018 OFFS'!$AI:$AI,'T1 2019 Pipeline Data Lagasco'!$A404,'Dec 31 2018 OFFS'!$U:$U,'T1 2019 Pipeline Data Lagasco'!$E404,'Dec 31 2018 OFFS'!$AK:$AK,'T1 2019 Pipeline Data Lagasco'!$Q404,'Dec 31 2018 OFFS'!$W:$W,'T1 2019 Pipeline Data Lagasco'!$G404),1))</f>
        <v>17744</v>
      </c>
      <c r="S404" s="275">
        <f t="shared" si="14"/>
        <v>0</v>
      </c>
    </row>
    <row r="405" spans="1:19" s="217" customFormat="1" ht="14.1" customHeight="1">
      <c r="A405" s="224" t="s">
        <v>1496</v>
      </c>
      <c r="B405" s="218" t="s">
        <v>1497</v>
      </c>
      <c r="C405" s="223">
        <v>1</v>
      </c>
      <c r="D405" s="218" t="s">
        <v>1488</v>
      </c>
      <c r="E405" s="240">
        <v>3</v>
      </c>
      <c r="F405" s="242">
        <v>3831.40</v>
      </c>
      <c r="G405" s="223">
        <v>1982</v>
      </c>
      <c r="H405" s="223">
        <v>1</v>
      </c>
      <c r="I405" s="223">
        <v>0</v>
      </c>
      <c r="J405" s="223"/>
      <c r="K405" s="239">
        <v>90382.725999999995</v>
      </c>
      <c r="L405" s="241">
        <v>80</v>
      </c>
      <c r="M405" s="228">
        <v>18076.5452</v>
      </c>
      <c r="N405" s="230">
        <v>23.59</v>
      </c>
      <c r="O405" s="231">
        <v>0</v>
      </c>
      <c r="P405" s="315"/>
      <c r="Q405" s="276">
        <f t="shared" si="13"/>
        <v>3831.40</v>
      </c>
      <c r="R405" s="275">
        <f>(SUMIFS('Dec 31 2018 OFFS'!$AG:$AG,'Dec 31 2018 OFFS'!$AI:$AI,'T1 2019 Pipeline Data Lagasco'!$A405,'Dec 31 2018 OFFS'!$U:$U,'T1 2019 Pipeline Data Lagasco'!$E405,'Dec 31 2018 OFFS'!$AK:$AK,'T1 2019 Pipeline Data Lagasco'!$Q405,'Dec 31 2018 OFFS'!$W:$W,'T1 2019 Pipeline Data Lagasco'!$G405))/(MAX(COUNTIFS('Dec 31 2018 OFFS'!$AI:$AI,'T1 2019 Pipeline Data Lagasco'!$A405,'Dec 31 2018 OFFS'!$U:$U,'T1 2019 Pipeline Data Lagasco'!$E405,'Dec 31 2018 OFFS'!$AK:$AK,'T1 2019 Pipeline Data Lagasco'!$Q405,'Dec 31 2018 OFFS'!$W:$W,'T1 2019 Pipeline Data Lagasco'!$G405),1))</f>
        <v>0</v>
      </c>
      <c r="S405" s="275">
        <f t="shared" si="14"/>
        <v>0</v>
      </c>
    </row>
    <row r="406" spans="1:19" s="217" customFormat="1" ht="14.1" customHeight="1">
      <c r="A406" s="224" t="s">
        <v>1496</v>
      </c>
      <c r="B406" s="218" t="s">
        <v>1497</v>
      </c>
      <c r="C406" s="223">
        <v>1</v>
      </c>
      <c r="D406" s="218" t="s">
        <v>1488</v>
      </c>
      <c r="E406" s="240">
        <v>3</v>
      </c>
      <c r="F406" s="223">
        <v>5227</v>
      </c>
      <c r="G406" s="223">
        <v>2003</v>
      </c>
      <c r="H406" s="223">
        <v>1</v>
      </c>
      <c r="I406" s="223">
        <v>1</v>
      </c>
      <c r="J406" s="223"/>
      <c r="K406" s="238">
        <v>123304.93</v>
      </c>
      <c r="L406" s="241">
        <v>57</v>
      </c>
      <c r="M406" s="228">
        <v>53021.119899999998</v>
      </c>
      <c r="N406" s="230">
        <v>23.59</v>
      </c>
      <c r="O406" s="231">
        <v>53021</v>
      </c>
      <c r="P406" s="315"/>
      <c r="Q406" s="276">
        <f t="shared" si="13"/>
        <v>5227</v>
      </c>
      <c r="R406" s="275">
        <f>(SUMIFS('Dec 31 2018 OFFS'!$AG:$AG,'Dec 31 2018 OFFS'!$AI:$AI,'T1 2019 Pipeline Data Lagasco'!$A406,'Dec 31 2018 OFFS'!$U:$U,'T1 2019 Pipeline Data Lagasco'!$E406,'Dec 31 2018 OFFS'!$AK:$AK,'T1 2019 Pipeline Data Lagasco'!$Q406,'Dec 31 2018 OFFS'!$W:$W,'T1 2019 Pipeline Data Lagasco'!$G406))/(MAX(COUNTIFS('Dec 31 2018 OFFS'!$AI:$AI,'T1 2019 Pipeline Data Lagasco'!$A406,'Dec 31 2018 OFFS'!$U:$U,'T1 2019 Pipeline Data Lagasco'!$E406,'Dec 31 2018 OFFS'!$AK:$AK,'T1 2019 Pipeline Data Lagasco'!$Q406,'Dec 31 2018 OFFS'!$W:$W,'T1 2019 Pipeline Data Lagasco'!$G406),1))</f>
        <v>53021</v>
      </c>
      <c r="S406" s="275">
        <f t="shared" si="14"/>
        <v>0</v>
      </c>
    </row>
    <row r="407" spans="1:19" s="217" customFormat="1" ht="14.1" customHeight="1">
      <c r="A407" s="224" t="s">
        <v>1496</v>
      </c>
      <c r="B407" s="218" t="s">
        <v>1497</v>
      </c>
      <c r="C407" s="223">
        <v>1</v>
      </c>
      <c r="D407" s="218" t="s">
        <v>1488</v>
      </c>
      <c r="E407" s="240">
        <v>3</v>
      </c>
      <c r="F407" s="223">
        <v>4246</v>
      </c>
      <c r="G407" s="223">
        <v>1982</v>
      </c>
      <c r="H407" s="223">
        <v>1</v>
      </c>
      <c r="I407" s="223">
        <v>0</v>
      </c>
      <c r="J407" s="223"/>
      <c r="K407" s="238">
        <v>100163.14</v>
      </c>
      <c r="L407" s="241">
        <v>80</v>
      </c>
      <c r="M407" s="239">
        <v>20032.628000000001</v>
      </c>
      <c r="N407" s="230">
        <v>23.59</v>
      </c>
      <c r="O407" s="231">
        <v>0</v>
      </c>
      <c r="P407" s="315"/>
      <c r="Q407" s="276">
        <f t="shared" si="13"/>
        <v>4246</v>
      </c>
      <c r="R407" s="275">
        <f>(SUMIFS('Dec 31 2018 OFFS'!$AG:$AG,'Dec 31 2018 OFFS'!$AI:$AI,'T1 2019 Pipeline Data Lagasco'!$A407,'Dec 31 2018 OFFS'!$U:$U,'T1 2019 Pipeline Data Lagasco'!$E407,'Dec 31 2018 OFFS'!$AK:$AK,'T1 2019 Pipeline Data Lagasco'!$Q407,'Dec 31 2018 OFFS'!$W:$W,'T1 2019 Pipeline Data Lagasco'!$G407))/(MAX(COUNTIFS('Dec 31 2018 OFFS'!$AI:$AI,'T1 2019 Pipeline Data Lagasco'!$A407,'Dec 31 2018 OFFS'!$U:$U,'T1 2019 Pipeline Data Lagasco'!$E407,'Dec 31 2018 OFFS'!$AK:$AK,'T1 2019 Pipeline Data Lagasco'!$Q407,'Dec 31 2018 OFFS'!$W:$W,'T1 2019 Pipeline Data Lagasco'!$G407),1))</f>
        <v>0</v>
      </c>
      <c r="S407" s="275">
        <f t="shared" si="14"/>
        <v>0</v>
      </c>
    </row>
    <row r="408" spans="1:19" s="217" customFormat="1" ht="14.1" customHeight="1">
      <c r="A408" s="224" t="s">
        <v>1496</v>
      </c>
      <c r="B408" s="218" t="s">
        <v>1497</v>
      </c>
      <c r="C408" s="223">
        <v>1</v>
      </c>
      <c r="D408" s="218" t="s">
        <v>1488</v>
      </c>
      <c r="E408" s="240">
        <v>3</v>
      </c>
      <c r="F408" s="223">
        <v>4188</v>
      </c>
      <c r="G408" s="223">
        <v>2010</v>
      </c>
      <c r="H408" s="223">
        <v>1</v>
      </c>
      <c r="I408" s="223">
        <v>1</v>
      </c>
      <c r="J408" s="223"/>
      <c r="K408" s="238">
        <v>98794.92</v>
      </c>
      <c r="L408" s="241">
        <v>39</v>
      </c>
      <c r="M408" s="228">
        <v>60264.9012</v>
      </c>
      <c r="N408" s="230">
        <v>23.59</v>
      </c>
      <c r="O408" s="231">
        <v>60264</v>
      </c>
      <c r="P408" s="315"/>
      <c r="Q408" s="276">
        <f t="shared" si="13"/>
        <v>4188</v>
      </c>
      <c r="R408" s="275">
        <f>(SUMIFS('Dec 31 2018 OFFS'!$AG:$AG,'Dec 31 2018 OFFS'!$AI:$AI,'T1 2019 Pipeline Data Lagasco'!$A408,'Dec 31 2018 OFFS'!$U:$U,'T1 2019 Pipeline Data Lagasco'!$E408,'Dec 31 2018 OFFS'!$AK:$AK,'T1 2019 Pipeline Data Lagasco'!$Q408,'Dec 31 2018 OFFS'!$W:$W,'T1 2019 Pipeline Data Lagasco'!$G408))/(MAX(COUNTIFS('Dec 31 2018 OFFS'!$AI:$AI,'T1 2019 Pipeline Data Lagasco'!$A408,'Dec 31 2018 OFFS'!$U:$U,'T1 2019 Pipeline Data Lagasco'!$E408,'Dec 31 2018 OFFS'!$AK:$AK,'T1 2019 Pipeline Data Lagasco'!$Q408,'Dec 31 2018 OFFS'!$W:$W,'T1 2019 Pipeline Data Lagasco'!$G408),1))</f>
        <v>60264</v>
      </c>
      <c r="S408" s="275">
        <f t="shared" si="14"/>
        <v>0</v>
      </c>
    </row>
    <row r="409" spans="1:19" s="217" customFormat="1" ht="14.1" customHeight="1">
      <c r="A409" s="224" t="s">
        <v>1496</v>
      </c>
      <c r="B409" s="218" t="s">
        <v>1497</v>
      </c>
      <c r="C409" s="223">
        <v>1</v>
      </c>
      <c r="D409" s="218" t="s">
        <v>1488</v>
      </c>
      <c r="E409" s="240">
        <v>3</v>
      </c>
      <c r="F409" s="244">
        <v>6.23359562</v>
      </c>
      <c r="G409" s="223">
        <v>1983</v>
      </c>
      <c r="H409" s="223">
        <v>1</v>
      </c>
      <c r="I409" s="223">
        <v>1</v>
      </c>
      <c r="J409" s="223"/>
      <c r="K409" s="234">
        <v>147.05052069999999</v>
      </c>
      <c r="L409" s="241">
        <v>80</v>
      </c>
      <c r="M409" s="245">
        <v>29.410104140000001</v>
      </c>
      <c r="N409" s="230">
        <v>23.59</v>
      </c>
      <c r="O409" s="231">
        <v>29</v>
      </c>
      <c r="P409" s="315"/>
      <c r="Q409" s="276">
        <f t="shared" si="13"/>
        <v>6.23</v>
      </c>
      <c r="R409" s="275">
        <f>(SUMIFS('Dec 31 2018 OFFS'!$AG:$AG,'Dec 31 2018 OFFS'!$AI:$AI,'T1 2019 Pipeline Data Lagasco'!$A409,'Dec 31 2018 OFFS'!$U:$U,'T1 2019 Pipeline Data Lagasco'!$E409,'Dec 31 2018 OFFS'!$AK:$AK,'T1 2019 Pipeline Data Lagasco'!$Q409,'Dec 31 2018 OFFS'!$W:$W,'T1 2019 Pipeline Data Lagasco'!$G409))/(MAX(COUNTIFS('Dec 31 2018 OFFS'!$AI:$AI,'T1 2019 Pipeline Data Lagasco'!$A409,'Dec 31 2018 OFFS'!$U:$U,'T1 2019 Pipeline Data Lagasco'!$E409,'Dec 31 2018 OFFS'!$AK:$AK,'T1 2019 Pipeline Data Lagasco'!$Q409,'Dec 31 2018 OFFS'!$W:$W,'T1 2019 Pipeline Data Lagasco'!$G409),1))</f>
        <v>29</v>
      </c>
      <c r="S409" s="275">
        <f t="shared" si="14"/>
        <v>0</v>
      </c>
    </row>
    <row r="410" spans="1:19" s="217" customFormat="1" ht="14.1" customHeight="1">
      <c r="A410" s="224" t="s">
        <v>1496</v>
      </c>
      <c r="B410" s="218" t="s">
        <v>1497</v>
      </c>
      <c r="C410" s="223">
        <v>1</v>
      </c>
      <c r="D410" s="218" t="s">
        <v>1488</v>
      </c>
      <c r="E410" s="240">
        <v>3</v>
      </c>
      <c r="F410" s="230">
        <v>4766.7299999999996</v>
      </c>
      <c r="G410" s="223">
        <v>1982</v>
      </c>
      <c r="H410" s="223">
        <v>1</v>
      </c>
      <c r="I410" s="223">
        <v>0</v>
      </c>
      <c r="J410" s="223"/>
      <c r="K410" s="228">
        <v>112447.16069999999</v>
      </c>
      <c r="L410" s="241">
        <v>80</v>
      </c>
      <c r="M410" s="229">
        <v>22489.432140000001</v>
      </c>
      <c r="N410" s="230">
        <v>23.59</v>
      </c>
      <c r="O410" s="231">
        <v>0</v>
      </c>
      <c r="P410" s="315"/>
      <c r="Q410" s="276">
        <f t="shared" si="13"/>
        <v>4766.7299999999996</v>
      </c>
      <c r="R410" s="275">
        <f>(SUMIFS('Dec 31 2018 OFFS'!$AG:$AG,'Dec 31 2018 OFFS'!$AI:$AI,'T1 2019 Pipeline Data Lagasco'!$A410,'Dec 31 2018 OFFS'!$U:$U,'T1 2019 Pipeline Data Lagasco'!$E410,'Dec 31 2018 OFFS'!$AK:$AK,'T1 2019 Pipeline Data Lagasco'!$Q410,'Dec 31 2018 OFFS'!$W:$W,'T1 2019 Pipeline Data Lagasco'!$G410))/(MAX(COUNTIFS('Dec 31 2018 OFFS'!$AI:$AI,'T1 2019 Pipeline Data Lagasco'!$A410,'Dec 31 2018 OFFS'!$U:$U,'T1 2019 Pipeline Data Lagasco'!$E410,'Dec 31 2018 OFFS'!$AK:$AK,'T1 2019 Pipeline Data Lagasco'!$Q410,'Dec 31 2018 OFFS'!$W:$W,'T1 2019 Pipeline Data Lagasco'!$G410),1))</f>
        <v>0</v>
      </c>
      <c r="S410" s="275">
        <f t="shared" si="14"/>
        <v>0</v>
      </c>
    </row>
    <row r="411" spans="1:19" s="217" customFormat="1" ht="14.1" customHeight="1">
      <c r="A411" s="224" t="s">
        <v>1496</v>
      </c>
      <c r="B411" s="218" t="s">
        <v>1497</v>
      </c>
      <c r="C411" s="223">
        <v>1</v>
      </c>
      <c r="D411" s="218" t="s">
        <v>1488</v>
      </c>
      <c r="E411" s="240">
        <v>3</v>
      </c>
      <c r="F411" s="226">
        <v>4532.0536750000001</v>
      </c>
      <c r="G411" s="223">
        <v>1983</v>
      </c>
      <c r="H411" s="223">
        <v>1</v>
      </c>
      <c r="I411" s="223">
        <v>0</v>
      </c>
      <c r="J411" s="223"/>
      <c r="K411" s="228">
        <v>106911.1462</v>
      </c>
      <c r="L411" s="241">
        <v>80</v>
      </c>
      <c r="M411" s="229">
        <v>21382.229240000001</v>
      </c>
      <c r="N411" s="230">
        <v>23.59</v>
      </c>
      <c r="O411" s="231">
        <v>0</v>
      </c>
      <c r="P411" s="315"/>
      <c r="Q411" s="276">
        <f t="shared" si="13"/>
        <v>4532.05</v>
      </c>
      <c r="R411" s="275">
        <f>(SUMIFS('Dec 31 2018 OFFS'!$AG:$AG,'Dec 31 2018 OFFS'!$AI:$AI,'T1 2019 Pipeline Data Lagasco'!$A411,'Dec 31 2018 OFFS'!$U:$U,'T1 2019 Pipeline Data Lagasco'!$E411,'Dec 31 2018 OFFS'!$AK:$AK,'T1 2019 Pipeline Data Lagasco'!$Q411,'Dec 31 2018 OFFS'!$W:$W,'T1 2019 Pipeline Data Lagasco'!$G411))/(MAX(COUNTIFS('Dec 31 2018 OFFS'!$AI:$AI,'T1 2019 Pipeline Data Lagasco'!$A411,'Dec 31 2018 OFFS'!$U:$U,'T1 2019 Pipeline Data Lagasco'!$E411,'Dec 31 2018 OFFS'!$AK:$AK,'T1 2019 Pipeline Data Lagasco'!$Q411,'Dec 31 2018 OFFS'!$W:$W,'T1 2019 Pipeline Data Lagasco'!$G411),1))</f>
        <v>0</v>
      </c>
      <c r="S411" s="275">
        <f t="shared" si="14"/>
        <v>0</v>
      </c>
    </row>
    <row r="412" spans="1:19" s="217" customFormat="1" ht="14.1" customHeight="1">
      <c r="A412" s="224" t="s">
        <v>1496</v>
      </c>
      <c r="B412" s="218" t="s">
        <v>1497</v>
      </c>
      <c r="C412" s="223">
        <v>1</v>
      </c>
      <c r="D412" s="218" t="s">
        <v>1488</v>
      </c>
      <c r="E412" s="240">
        <v>3</v>
      </c>
      <c r="F412" s="236">
        <v>10980.347449999999</v>
      </c>
      <c r="G412" s="223">
        <v>1982</v>
      </c>
      <c r="H412" s="223">
        <v>1</v>
      </c>
      <c r="I412" s="223">
        <v>1</v>
      </c>
      <c r="J412" s="223"/>
      <c r="K412" s="228">
        <v>259026.3964</v>
      </c>
      <c r="L412" s="241">
        <v>80</v>
      </c>
      <c r="M412" s="229">
        <v>51805.279269999999</v>
      </c>
      <c r="N412" s="230">
        <v>23.59</v>
      </c>
      <c r="O412" s="231">
        <v>51805</v>
      </c>
      <c r="P412" s="315"/>
      <c r="Q412" s="276">
        <f t="shared" si="13"/>
        <v>10980.35</v>
      </c>
      <c r="R412" s="275">
        <f>(SUMIFS('Dec 31 2018 OFFS'!$AG:$AG,'Dec 31 2018 OFFS'!$AI:$AI,'T1 2019 Pipeline Data Lagasco'!$A412,'Dec 31 2018 OFFS'!$U:$U,'T1 2019 Pipeline Data Lagasco'!$E412,'Dec 31 2018 OFFS'!$AK:$AK,'T1 2019 Pipeline Data Lagasco'!$Q412,'Dec 31 2018 OFFS'!$W:$W,'T1 2019 Pipeline Data Lagasco'!$G412))/(MAX(COUNTIFS('Dec 31 2018 OFFS'!$AI:$AI,'T1 2019 Pipeline Data Lagasco'!$A412,'Dec 31 2018 OFFS'!$U:$U,'T1 2019 Pipeline Data Lagasco'!$E412,'Dec 31 2018 OFFS'!$AK:$AK,'T1 2019 Pipeline Data Lagasco'!$Q412,'Dec 31 2018 OFFS'!$W:$W,'T1 2019 Pipeline Data Lagasco'!$G412),1))</f>
        <v>51805</v>
      </c>
      <c r="S412" s="275">
        <f t="shared" si="14"/>
        <v>0</v>
      </c>
    </row>
    <row r="413" spans="1:19" s="217" customFormat="1" ht="14.1" customHeight="1">
      <c r="A413" s="224" t="s">
        <v>1496</v>
      </c>
      <c r="B413" s="218" t="s">
        <v>1497</v>
      </c>
      <c r="C413" s="223">
        <v>1</v>
      </c>
      <c r="D413" s="218" t="s">
        <v>1488</v>
      </c>
      <c r="E413" s="240">
        <v>3</v>
      </c>
      <c r="F413" s="236">
        <v>10270.86584</v>
      </c>
      <c r="G413" s="223">
        <v>1982</v>
      </c>
      <c r="H413" s="223">
        <v>1</v>
      </c>
      <c r="I413" s="223">
        <v>0</v>
      </c>
      <c r="J413" s="223"/>
      <c r="K413" s="228">
        <v>242289.72529999999</v>
      </c>
      <c r="L413" s="241">
        <v>80</v>
      </c>
      <c r="M413" s="229">
        <v>48457.945050000002</v>
      </c>
      <c r="N413" s="230">
        <v>23.59</v>
      </c>
      <c r="O413" s="231">
        <v>0</v>
      </c>
      <c r="P413" s="315"/>
      <c r="Q413" s="276">
        <f t="shared" si="13"/>
        <v>10270.870000000001</v>
      </c>
      <c r="R413" s="275">
        <f>(SUMIFS('Dec 31 2018 OFFS'!$AG:$AG,'Dec 31 2018 OFFS'!$AI:$AI,'T1 2019 Pipeline Data Lagasco'!$A413,'Dec 31 2018 OFFS'!$U:$U,'T1 2019 Pipeline Data Lagasco'!$E413,'Dec 31 2018 OFFS'!$AK:$AK,'T1 2019 Pipeline Data Lagasco'!$Q413,'Dec 31 2018 OFFS'!$W:$W,'T1 2019 Pipeline Data Lagasco'!$G413))/(MAX(COUNTIFS('Dec 31 2018 OFFS'!$AI:$AI,'T1 2019 Pipeline Data Lagasco'!$A413,'Dec 31 2018 OFFS'!$U:$U,'T1 2019 Pipeline Data Lagasco'!$E413,'Dec 31 2018 OFFS'!$AK:$AK,'T1 2019 Pipeline Data Lagasco'!$Q413,'Dec 31 2018 OFFS'!$W:$W,'T1 2019 Pipeline Data Lagasco'!$G413),1))</f>
        <v>0</v>
      </c>
      <c r="S413" s="275">
        <f t="shared" si="14"/>
        <v>0</v>
      </c>
    </row>
    <row r="414" spans="1:19" s="217" customFormat="1" ht="14.1" customHeight="1">
      <c r="A414" s="224" t="s">
        <v>1496</v>
      </c>
      <c r="B414" s="218" t="s">
        <v>1497</v>
      </c>
      <c r="C414" s="223">
        <v>1</v>
      </c>
      <c r="D414" s="218" t="s">
        <v>1488</v>
      </c>
      <c r="E414" s="240">
        <v>3</v>
      </c>
      <c r="F414" s="230">
        <v>7400.56</v>
      </c>
      <c r="G414" s="223">
        <v>1982</v>
      </c>
      <c r="H414" s="223">
        <v>1</v>
      </c>
      <c r="I414" s="223">
        <v>0</v>
      </c>
      <c r="J414" s="223"/>
      <c r="K414" s="228">
        <v>174579.21040000001</v>
      </c>
      <c r="L414" s="241">
        <v>80</v>
      </c>
      <c r="M414" s="229">
        <v>34915.842080000002</v>
      </c>
      <c r="N414" s="230">
        <v>23.59</v>
      </c>
      <c r="O414" s="231">
        <v>0</v>
      </c>
      <c r="P414" s="315"/>
      <c r="Q414" s="276">
        <f t="shared" si="13"/>
        <v>7400.56</v>
      </c>
      <c r="R414" s="275">
        <f>(SUMIFS('Dec 31 2018 OFFS'!$AG:$AG,'Dec 31 2018 OFFS'!$AI:$AI,'T1 2019 Pipeline Data Lagasco'!$A414,'Dec 31 2018 OFFS'!$U:$U,'T1 2019 Pipeline Data Lagasco'!$E414,'Dec 31 2018 OFFS'!$AK:$AK,'T1 2019 Pipeline Data Lagasco'!$Q414,'Dec 31 2018 OFFS'!$W:$W,'T1 2019 Pipeline Data Lagasco'!$G414))/(MAX(COUNTIFS('Dec 31 2018 OFFS'!$AI:$AI,'T1 2019 Pipeline Data Lagasco'!$A414,'Dec 31 2018 OFFS'!$U:$U,'T1 2019 Pipeline Data Lagasco'!$E414,'Dec 31 2018 OFFS'!$AK:$AK,'T1 2019 Pipeline Data Lagasco'!$Q414,'Dec 31 2018 OFFS'!$W:$W,'T1 2019 Pipeline Data Lagasco'!$G414),1))</f>
        <v>0</v>
      </c>
      <c r="S414" s="275">
        <f t="shared" si="14"/>
        <v>0</v>
      </c>
    </row>
    <row r="415" spans="1:19" s="217" customFormat="1" ht="14.1" customHeight="1">
      <c r="A415" s="224" t="s">
        <v>1496</v>
      </c>
      <c r="B415" s="218" t="s">
        <v>1497</v>
      </c>
      <c r="C415" s="223">
        <v>1</v>
      </c>
      <c r="D415" s="218" t="s">
        <v>1488</v>
      </c>
      <c r="E415" s="240">
        <v>3</v>
      </c>
      <c r="F415" s="223">
        <v>3936</v>
      </c>
      <c r="G415" s="223">
        <v>1982</v>
      </c>
      <c r="H415" s="223">
        <v>1</v>
      </c>
      <c r="I415" s="223">
        <v>1</v>
      </c>
      <c r="J415" s="223"/>
      <c r="K415" s="238">
        <v>92850.24</v>
      </c>
      <c r="L415" s="241">
        <v>80</v>
      </c>
      <c r="M415" s="239">
        <v>18570.047999999999</v>
      </c>
      <c r="N415" s="230">
        <v>23.59</v>
      </c>
      <c r="O415" s="231">
        <v>18570</v>
      </c>
      <c r="P415" s="315"/>
      <c r="Q415" s="276">
        <f t="shared" si="13"/>
        <v>3936</v>
      </c>
      <c r="R415" s="275">
        <f>(SUMIFS('Dec 31 2018 OFFS'!$AG:$AG,'Dec 31 2018 OFFS'!$AI:$AI,'T1 2019 Pipeline Data Lagasco'!$A415,'Dec 31 2018 OFFS'!$U:$U,'T1 2019 Pipeline Data Lagasco'!$E415,'Dec 31 2018 OFFS'!$AK:$AK,'T1 2019 Pipeline Data Lagasco'!$Q415,'Dec 31 2018 OFFS'!$W:$W,'T1 2019 Pipeline Data Lagasco'!$G415))/(MAX(COUNTIFS('Dec 31 2018 OFFS'!$AI:$AI,'T1 2019 Pipeline Data Lagasco'!$A415,'Dec 31 2018 OFFS'!$U:$U,'T1 2019 Pipeline Data Lagasco'!$E415,'Dec 31 2018 OFFS'!$AK:$AK,'T1 2019 Pipeline Data Lagasco'!$Q415,'Dec 31 2018 OFFS'!$W:$W,'T1 2019 Pipeline Data Lagasco'!$G415),1))</f>
        <v>18570</v>
      </c>
      <c r="S415" s="275">
        <f t="shared" si="14"/>
        <v>0</v>
      </c>
    </row>
    <row r="416" spans="1:19" s="217" customFormat="1" ht="14.1" customHeight="1">
      <c r="A416" s="224" t="s">
        <v>1496</v>
      </c>
      <c r="B416" s="218" t="s">
        <v>1497</v>
      </c>
      <c r="C416" s="223">
        <v>1</v>
      </c>
      <c r="D416" s="218" t="s">
        <v>1488</v>
      </c>
      <c r="E416" s="240">
        <v>3</v>
      </c>
      <c r="F416" s="230">
        <v>8445.83</v>
      </c>
      <c r="G416" s="223">
        <v>1982</v>
      </c>
      <c r="H416" s="223">
        <v>1</v>
      </c>
      <c r="I416" s="223">
        <v>0</v>
      </c>
      <c r="J416" s="223"/>
      <c r="K416" s="228">
        <v>199237.12969999999</v>
      </c>
      <c r="L416" s="241">
        <v>80</v>
      </c>
      <c r="M416" s="229">
        <v>39847.425940000001</v>
      </c>
      <c r="N416" s="230">
        <v>23.59</v>
      </c>
      <c r="O416" s="231">
        <v>0</v>
      </c>
      <c r="P416" s="315"/>
      <c r="Q416" s="276">
        <f t="shared" si="13"/>
        <v>8445.83</v>
      </c>
      <c r="R416" s="275">
        <f>(SUMIFS('Dec 31 2018 OFFS'!$AG:$AG,'Dec 31 2018 OFFS'!$AI:$AI,'T1 2019 Pipeline Data Lagasco'!$A416,'Dec 31 2018 OFFS'!$U:$U,'T1 2019 Pipeline Data Lagasco'!$E416,'Dec 31 2018 OFFS'!$AK:$AK,'T1 2019 Pipeline Data Lagasco'!$Q416,'Dec 31 2018 OFFS'!$W:$W,'T1 2019 Pipeline Data Lagasco'!$G416))/(MAX(COUNTIFS('Dec 31 2018 OFFS'!$AI:$AI,'T1 2019 Pipeline Data Lagasco'!$A416,'Dec 31 2018 OFFS'!$U:$U,'T1 2019 Pipeline Data Lagasco'!$E416,'Dec 31 2018 OFFS'!$AK:$AK,'T1 2019 Pipeline Data Lagasco'!$Q416,'Dec 31 2018 OFFS'!$W:$W,'T1 2019 Pipeline Data Lagasco'!$G416),1))</f>
        <v>0</v>
      </c>
      <c r="S416" s="275">
        <f t="shared" si="14"/>
        <v>0</v>
      </c>
    </row>
    <row r="417" spans="1:19" s="217" customFormat="1" ht="14.1" customHeight="1">
      <c r="A417" s="224" t="s">
        <v>1496</v>
      </c>
      <c r="B417" s="218" t="s">
        <v>1497</v>
      </c>
      <c r="C417" s="223">
        <v>1</v>
      </c>
      <c r="D417" s="218" t="s">
        <v>1488</v>
      </c>
      <c r="E417" s="240">
        <v>3</v>
      </c>
      <c r="F417" s="223">
        <v>3476</v>
      </c>
      <c r="G417" s="223">
        <v>1965</v>
      </c>
      <c r="H417" s="223">
        <v>1</v>
      </c>
      <c r="I417" s="223">
        <v>0</v>
      </c>
      <c r="J417" s="223"/>
      <c r="K417" s="238">
        <v>81998.84</v>
      </c>
      <c r="L417" s="241">
        <v>80</v>
      </c>
      <c r="M417" s="239">
        <v>16399.768</v>
      </c>
      <c r="N417" s="230">
        <v>23.59</v>
      </c>
      <c r="O417" s="231">
        <v>0</v>
      </c>
      <c r="P417" s="315"/>
      <c r="Q417" s="276">
        <f t="shared" si="13"/>
        <v>3476</v>
      </c>
      <c r="R417" s="275">
        <f>(SUMIFS('Dec 31 2018 OFFS'!$AG:$AG,'Dec 31 2018 OFFS'!$AI:$AI,'T1 2019 Pipeline Data Lagasco'!$A417,'Dec 31 2018 OFFS'!$U:$U,'T1 2019 Pipeline Data Lagasco'!$E417,'Dec 31 2018 OFFS'!$AK:$AK,'T1 2019 Pipeline Data Lagasco'!$Q417,'Dec 31 2018 OFFS'!$W:$W,'T1 2019 Pipeline Data Lagasco'!$G417))/(MAX(COUNTIFS('Dec 31 2018 OFFS'!$AI:$AI,'T1 2019 Pipeline Data Lagasco'!$A417,'Dec 31 2018 OFFS'!$U:$U,'T1 2019 Pipeline Data Lagasco'!$E417,'Dec 31 2018 OFFS'!$AK:$AK,'T1 2019 Pipeline Data Lagasco'!$Q417,'Dec 31 2018 OFFS'!$W:$W,'T1 2019 Pipeline Data Lagasco'!$G417),1))</f>
        <v>0</v>
      </c>
      <c r="S417" s="275">
        <f t="shared" si="14"/>
        <v>0</v>
      </c>
    </row>
    <row r="418" spans="1:19" s="217" customFormat="1" ht="14.1" customHeight="1">
      <c r="A418" s="224" t="s">
        <v>1496</v>
      </c>
      <c r="B418" s="218" t="s">
        <v>1497</v>
      </c>
      <c r="C418" s="223">
        <v>1</v>
      </c>
      <c r="D418" s="218" t="s">
        <v>1488</v>
      </c>
      <c r="E418" s="240">
        <v>3</v>
      </c>
      <c r="F418" s="223">
        <v>2289</v>
      </c>
      <c r="G418" s="223">
        <v>1965</v>
      </c>
      <c r="H418" s="223">
        <v>1</v>
      </c>
      <c r="I418" s="223">
        <v>0</v>
      </c>
      <c r="J418" s="223"/>
      <c r="K418" s="238">
        <v>53997.51</v>
      </c>
      <c r="L418" s="241">
        <v>80</v>
      </c>
      <c r="M418" s="239">
        <v>10799.502</v>
      </c>
      <c r="N418" s="230">
        <v>23.59</v>
      </c>
      <c r="O418" s="231">
        <v>0</v>
      </c>
      <c r="P418" s="315"/>
      <c r="Q418" s="276">
        <f t="shared" si="13"/>
        <v>2289</v>
      </c>
      <c r="R418" s="275">
        <f>(SUMIFS('Dec 31 2018 OFFS'!$AG:$AG,'Dec 31 2018 OFFS'!$AI:$AI,'T1 2019 Pipeline Data Lagasco'!$A418,'Dec 31 2018 OFFS'!$U:$U,'T1 2019 Pipeline Data Lagasco'!$E418,'Dec 31 2018 OFFS'!$AK:$AK,'T1 2019 Pipeline Data Lagasco'!$Q418,'Dec 31 2018 OFFS'!$W:$W,'T1 2019 Pipeline Data Lagasco'!$G418))/(MAX(COUNTIFS('Dec 31 2018 OFFS'!$AI:$AI,'T1 2019 Pipeline Data Lagasco'!$A418,'Dec 31 2018 OFFS'!$U:$U,'T1 2019 Pipeline Data Lagasco'!$E418,'Dec 31 2018 OFFS'!$AK:$AK,'T1 2019 Pipeline Data Lagasco'!$Q418,'Dec 31 2018 OFFS'!$W:$W,'T1 2019 Pipeline Data Lagasco'!$G418),1))</f>
        <v>0</v>
      </c>
      <c r="S418" s="275">
        <f t="shared" si="14"/>
        <v>0</v>
      </c>
    </row>
    <row r="419" spans="1:19" s="217" customFormat="1" ht="14.1" customHeight="1">
      <c r="A419" s="224" t="s">
        <v>1496</v>
      </c>
      <c r="B419" s="218" t="s">
        <v>1497</v>
      </c>
      <c r="C419" s="223">
        <v>1</v>
      </c>
      <c r="D419" s="218" t="s">
        <v>1488</v>
      </c>
      <c r="E419" s="240">
        <v>3</v>
      </c>
      <c r="F419" s="223">
        <v>11367</v>
      </c>
      <c r="G419" s="223">
        <v>1965</v>
      </c>
      <c r="H419" s="223">
        <v>1</v>
      </c>
      <c r="I419" s="223">
        <v>0</v>
      </c>
      <c r="J419" s="223"/>
      <c r="K419" s="238">
        <v>268147.53000000003</v>
      </c>
      <c r="L419" s="241">
        <v>80</v>
      </c>
      <c r="M419" s="239">
        <v>53629.506000000001</v>
      </c>
      <c r="N419" s="230">
        <v>23.59</v>
      </c>
      <c r="O419" s="231">
        <v>0</v>
      </c>
      <c r="P419" s="315"/>
      <c r="Q419" s="276">
        <f t="shared" si="13"/>
        <v>11367</v>
      </c>
      <c r="R419" s="275">
        <f>(SUMIFS('Dec 31 2018 OFFS'!$AG:$AG,'Dec 31 2018 OFFS'!$AI:$AI,'T1 2019 Pipeline Data Lagasco'!$A419,'Dec 31 2018 OFFS'!$U:$U,'T1 2019 Pipeline Data Lagasco'!$E419,'Dec 31 2018 OFFS'!$AK:$AK,'T1 2019 Pipeline Data Lagasco'!$Q419,'Dec 31 2018 OFFS'!$W:$W,'T1 2019 Pipeline Data Lagasco'!$G419))/(MAX(COUNTIFS('Dec 31 2018 OFFS'!$AI:$AI,'T1 2019 Pipeline Data Lagasco'!$A419,'Dec 31 2018 OFFS'!$U:$U,'T1 2019 Pipeline Data Lagasco'!$E419,'Dec 31 2018 OFFS'!$AK:$AK,'T1 2019 Pipeline Data Lagasco'!$Q419,'Dec 31 2018 OFFS'!$W:$W,'T1 2019 Pipeline Data Lagasco'!$G419),1))</f>
        <v>0</v>
      </c>
      <c r="S419" s="275">
        <f t="shared" si="14"/>
        <v>0</v>
      </c>
    </row>
    <row r="420" spans="1:19" s="217" customFormat="1" ht="14.1" customHeight="1">
      <c r="A420" s="224" t="s">
        <v>1496</v>
      </c>
      <c r="B420" s="218" t="s">
        <v>1497</v>
      </c>
      <c r="C420" s="223">
        <v>1</v>
      </c>
      <c r="D420" s="218" t="s">
        <v>1488</v>
      </c>
      <c r="E420" s="240">
        <v>3</v>
      </c>
      <c r="F420" s="230">
        <v>2659.61</v>
      </c>
      <c r="G420" s="223">
        <v>1991</v>
      </c>
      <c r="H420" s="223">
        <v>1</v>
      </c>
      <c r="I420" s="223">
        <v>0</v>
      </c>
      <c r="J420" s="223"/>
      <c r="K420" s="228">
        <v>62740.1999</v>
      </c>
      <c r="L420" s="241">
        <v>72</v>
      </c>
      <c r="M420" s="229">
        <v>17567.255969999998</v>
      </c>
      <c r="N420" s="230">
        <v>23.59</v>
      </c>
      <c r="O420" s="231">
        <v>0</v>
      </c>
      <c r="P420" s="315"/>
      <c r="Q420" s="276">
        <f t="shared" si="13"/>
        <v>2659.61</v>
      </c>
      <c r="R420" s="275">
        <f>(SUMIFS('Dec 31 2018 OFFS'!$AG:$AG,'Dec 31 2018 OFFS'!$AI:$AI,'T1 2019 Pipeline Data Lagasco'!$A420,'Dec 31 2018 OFFS'!$U:$U,'T1 2019 Pipeline Data Lagasco'!$E420,'Dec 31 2018 OFFS'!$AK:$AK,'T1 2019 Pipeline Data Lagasco'!$Q420,'Dec 31 2018 OFFS'!$W:$W,'T1 2019 Pipeline Data Lagasco'!$G420))/(MAX(COUNTIFS('Dec 31 2018 OFFS'!$AI:$AI,'T1 2019 Pipeline Data Lagasco'!$A420,'Dec 31 2018 OFFS'!$U:$U,'T1 2019 Pipeline Data Lagasco'!$E420,'Dec 31 2018 OFFS'!$AK:$AK,'T1 2019 Pipeline Data Lagasco'!$Q420,'Dec 31 2018 OFFS'!$W:$W,'T1 2019 Pipeline Data Lagasco'!$G420),1))</f>
        <v>0</v>
      </c>
      <c r="S420" s="275">
        <f t="shared" si="14"/>
        <v>0</v>
      </c>
    </row>
    <row r="421" spans="1:19" s="217" customFormat="1" ht="14.1" customHeight="1">
      <c r="A421" s="224" t="s">
        <v>1496</v>
      </c>
      <c r="B421" s="218" t="s">
        <v>1497</v>
      </c>
      <c r="C421" s="223">
        <v>1</v>
      </c>
      <c r="D421" s="218" t="s">
        <v>1488</v>
      </c>
      <c r="E421" s="240">
        <v>3</v>
      </c>
      <c r="F421" s="236">
        <v>3254.42904</v>
      </c>
      <c r="G421" s="223">
        <v>1979</v>
      </c>
      <c r="H421" s="223">
        <v>1</v>
      </c>
      <c r="I421" s="223">
        <v>1</v>
      </c>
      <c r="J421" s="223"/>
      <c r="K421" s="229">
        <v>76771.981039999999</v>
      </c>
      <c r="L421" s="241">
        <v>80</v>
      </c>
      <c r="M421" s="229">
        <v>15354.396210000001</v>
      </c>
      <c r="N421" s="230">
        <v>23.59</v>
      </c>
      <c r="O421" s="231">
        <v>15354</v>
      </c>
      <c r="P421" s="315"/>
      <c r="Q421" s="276">
        <f t="shared" si="13"/>
        <v>3254.43</v>
      </c>
      <c r="R421" s="275">
        <f>(SUMIFS('Dec 31 2018 OFFS'!$AG:$AG,'Dec 31 2018 OFFS'!$AI:$AI,'T1 2019 Pipeline Data Lagasco'!$A421,'Dec 31 2018 OFFS'!$U:$U,'T1 2019 Pipeline Data Lagasco'!$E421,'Dec 31 2018 OFFS'!$AK:$AK,'T1 2019 Pipeline Data Lagasco'!$Q421,'Dec 31 2018 OFFS'!$W:$W,'T1 2019 Pipeline Data Lagasco'!$G421))/(MAX(COUNTIFS('Dec 31 2018 OFFS'!$AI:$AI,'T1 2019 Pipeline Data Lagasco'!$A421,'Dec 31 2018 OFFS'!$U:$U,'T1 2019 Pipeline Data Lagasco'!$E421,'Dec 31 2018 OFFS'!$AK:$AK,'T1 2019 Pipeline Data Lagasco'!$Q421,'Dec 31 2018 OFFS'!$W:$W,'T1 2019 Pipeline Data Lagasco'!$G421),1))</f>
        <v>15354</v>
      </c>
      <c r="S421" s="275">
        <f t="shared" si="14"/>
        <v>0</v>
      </c>
    </row>
    <row r="422" spans="1:19" s="217" customFormat="1" ht="14.1" customHeight="1">
      <c r="A422" s="224" t="s">
        <v>1496</v>
      </c>
      <c r="B422" s="218" t="s">
        <v>1497</v>
      </c>
      <c r="C422" s="223">
        <v>1</v>
      </c>
      <c r="D422" s="218" t="s">
        <v>1488</v>
      </c>
      <c r="E422" s="240">
        <v>3</v>
      </c>
      <c r="F422" s="226">
        <v>6848.4249989999998</v>
      </c>
      <c r="G422" s="223">
        <v>1980</v>
      </c>
      <c r="H422" s="223">
        <v>1</v>
      </c>
      <c r="I422" s="223">
        <v>1</v>
      </c>
      <c r="J422" s="223"/>
      <c r="K422" s="228">
        <v>161554.34570000001</v>
      </c>
      <c r="L422" s="241">
        <v>80</v>
      </c>
      <c r="M422" s="229">
        <v>32310.869139999999</v>
      </c>
      <c r="N422" s="230">
        <v>23.59</v>
      </c>
      <c r="O422" s="231">
        <v>32310</v>
      </c>
      <c r="P422" s="315"/>
      <c r="Q422" s="276">
        <f t="shared" si="13"/>
        <v>6848.42</v>
      </c>
      <c r="R422" s="275">
        <f>(SUMIFS('Dec 31 2018 OFFS'!$AG:$AG,'Dec 31 2018 OFFS'!$AI:$AI,'T1 2019 Pipeline Data Lagasco'!$A422,'Dec 31 2018 OFFS'!$U:$U,'T1 2019 Pipeline Data Lagasco'!$E422,'Dec 31 2018 OFFS'!$AK:$AK,'T1 2019 Pipeline Data Lagasco'!$Q422,'Dec 31 2018 OFFS'!$W:$W,'T1 2019 Pipeline Data Lagasco'!$G422))/(MAX(COUNTIFS('Dec 31 2018 OFFS'!$AI:$AI,'T1 2019 Pipeline Data Lagasco'!$A422,'Dec 31 2018 OFFS'!$U:$U,'T1 2019 Pipeline Data Lagasco'!$E422,'Dec 31 2018 OFFS'!$AK:$AK,'T1 2019 Pipeline Data Lagasco'!$Q422,'Dec 31 2018 OFFS'!$W:$W,'T1 2019 Pipeline Data Lagasco'!$G422),1))</f>
        <v>32310</v>
      </c>
      <c r="S422" s="275">
        <f t="shared" si="14"/>
        <v>0</v>
      </c>
    </row>
    <row r="423" spans="1:19" s="217" customFormat="1" ht="14.1" customHeight="1">
      <c r="A423" s="224" t="s">
        <v>1496</v>
      </c>
      <c r="B423" s="218" t="s">
        <v>1497</v>
      </c>
      <c r="C423" s="223">
        <v>1</v>
      </c>
      <c r="D423" s="218" t="s">
        <v>1488</v>
      </c>
      <c r="E423" s="240">
        <v>3</v>
      </c>
      <c r="F423" s="226">
        <v>9079.1007869999994</v>
      </c>
      <c r="G423" s="223">
        <v>1979</v>
      </c>
      <c r="H423" s="223">
        <v>1</v>
      </c>
      <c r="I423" s="223">
        <v>1</v>
      </c>
      <c r="J423" s="223"/>
      <c r="K423" s="228">
        <v>214175.98759999999</v>
      </c>
      <c r="L423" s="241">
        <v>80</v>
      </c>
      <c r="M423" s="229">
        <v>42835.197509999998</v>
      </c>
      <c r="N423" s="230">
        <v>23.59</v>
      </c>
      <c r="O423" s="231">
        <v>42835</v>
      </c>
      <c r="P423" s="315"/>
      <c r="Q423" s="276">
        <f t="shared" si="13"/>
        <v>9079.10</v>
      </c>
      <c r="R423" s="275">
        <f>(SUMIFS('Dec 31 2018 OFFS'!$AG:$AG,'Dec 31 2018 OFFS'!$AI:$AI,'T1 2019 Pipeline Data Lagasco'!$A423,'Dec 31 2018 OFFS'!$U:$U,'T1 2019 Pipeline Data Lagasco'!$E423,'Dec 31 2018 OFFS'!$AK:$AK,'T1 2019 Pipeline Data Lagasco'!$Q423,'Dec 31 2018 OFFS'!$W:$W,'T1 2019 Pipeline Data Lagasco'!$G423))/(MAX(COUNTIFS('Dec 31 2018 OFFS'!$AI:$AI,'T1 2019 Pipeline Data Lagasco'!$A423,'Dec 31 2018 OFFS'!$U:$U,'T1 2019 Pipeline Data Lagasco'!$E423,'Dec 31 2018 OFFS'!$AK:$AK,'T1 2019 Pipeline Data Lagasco'!$Q423,'Dec 31 2018 OFFS'!$W:$W,'T1 2019 Pipeline Data Lagasco'!$G423),1))</f>
        <v>42835</v>
      </c>
      <c r="S423" s="275">
        <f t="shared" si="14"/>
        <v>0</v>
      </c>
    </row>
    <row r="424" spans="1:19" s="217" customFormat="1" ht="14.1" customHeight="1">
      <c r="A424" s="224" t="s">
        <v>1496</v>
      </c>
      <c r="B424" s="218" t="s">
        <v>1497</v>
      </c>
      <c r="C424" s="223">
        <v>1</v>
      </c>
      <c r="D424" s="218" t="s">
        <v>1488</v>
      </c>
      <c r="E424" s="240">
        <v>3</v>
      </c>
      <c r="F424" s="232">
        <v>441.2729531</v>
      </c>
      <c r="G424" s="223">
        <v>1979</v>
      </c>
      <c r="H424" s="223">
        <v>1</v>
      </c>
      <c r="I424" s="223">
        <v>1</v>
      </c>
      <c r="J424" s="223"/>
      <c r="K424" s="229">
        <v>10409.62896</v>
      </c>
      <c r="L424" s="241">
        <v>80</v>
      </c>
      <c r="M424" s="233">
        <v>2081.9257929999999</v>
      </c>
      <c r="N424" s="230">
        <v>23.59</v>
      </c>
      <c r="O424" s="231">
        <v>2081</v>
      </c>
      <c r="P424" s="315"/>
      <c r="Q424" s="276">
        <f t="shared" si="13"/>
        <v>441.27</v>
      </c>
      <c r="R424" s="275">
        <f>(SUMIFS('Dec 31 2018 OFFS'!$AG:$AG,'Dec 31 2018 OFFS'!$AI:$AI,'T1 2019 Pipeline Data Lagasco'!$A424,'Dec 31 2018 OFFS'!$U:$U,'T1 2019 Pipeline Data Lagasco'!$E424,'Dec 31 2018 OFFS'!$AK:$AK,'T1 2019 Pipeline Data Lagasco'!$Q424,'Dec 31 2018 OFFS'!$W:$W,'T1 2019 Pipeline Data Lagasco'!$G424))/(MAX(COUNTIFS('Dec 31 2018 OFFS'!$AI:$AI,'T1 2019 Pipeline Data Lagasco'!$A424,'Dec 31 2018 OFFS'!$U:$U,'T1 2019 Pipeline Data Lagasco'!$E424,'Dec 31 2018 OFFS'!$AK:$AK,'T1 2019 Pipeline Data Lagasco'!$Q424,'Dec 31 2018 OFFS'!$W:$W,'T1 2019 Pipeline Data Lagasco'!$G424),1))</f>
        <v>2081</v>
      </c>
      <c r="S424" s="275">
        <f t="shared" si="14"/>
        <v>0</v>
      </c>
    </row>
    <row r="425" spans="1:19" s="217" customFormat="1" ht="14.1" customHeight="1">
      <c r="A425" s="224" t="s">
        <v>1496</v>
      </c>
      <c r="B425" s="218" t="s">
        <v>1497</v>
      </c>
      <c r="C425" s="223">
        <v>1</v>
      </c>
      <c r="D425" s="218" t="s">
        <v>1488</v>
      </c>
      <c r="E425" s="240">
        <v>3</v>
      </c>
      <c r="F425" s="236">
        <v>20360.399669999999</v>
      </c>
      <c r="G425" s="223">
        <v>1979</v>
      </c>
      <c r="H425" s="223">
        <v>1</v>
      </c>
      <c r="I425" s="223">
        <v>1</v>
      </c>
      <c r="J425" s="223"/>
      <c r="K425" s="228">
        <v>480301.82829999999</v>
      </c>
      <c r="L425" s="241">
        <v>80</v>
      </c>
      <c r="M425" s="229">
        <v>96060.365659999996</v>
      </c>
      <c r="N425" s="230">
        <v>23.59</v>
      </c>
      <c r="O425" s="231">
        <v>96060</v>
      </c>
      <c r="P425" s="315"/>
      <c r="Q425" s="276">
        <f t="shared" si="13"/>
        <v>20360.40</v>
      </c>
      <c r="R425" s="275">
        <f>(SUMIFS('Dec 31 2018 OFFS'!$AG:$AG,'Dec 31 2018 OFFS'!$AI:$AI,'T1 2019 Pipeline Data Lagasco'!$A425,'Dec 31 2018 OFFS'!$U:$U,'T1 2019 Pipeline Data Lagasco'!$E425,'Dec 31 2018 OFFS'!$AK:$AK,'T1 2019 Pipeline Data Lagasco'!$Q425,'Dec 31 2018 OFFS'!$W:$W,'T1 2019 Pipeline Data Lagasco'!$G425))/(MAX(COUNTIFS('Dec 31 2018 OFFS'!$AI:$AI,'T1 2019 Pipeline Data Lagasco'!$A425,'Dec 31 2018 OFFS'!$U:$U,'T1 2019 Pipeline Data Lagasco'!$E425,'Dec 31 2018 OFFS'!$AK:$AK,'T1 2019 Pipeline Data Lagasco'!$Q425,'Dec 31 2018 OFFS'!$W:$W,'T1 2019 Pipeline Data Lagasco'!$G425),1))</f>
        <v>96060</v>
      </c>
      <c r="S425" s="275">
        <f t="shared" si="14"/>
        <v>0</v>
      </c>
    </row>
    <row r="426" spans="1:19" s="217" customFormat="1" ht="14.1" customHeight="1">
      <c r="A426" s="224" t="s">
        <v>1496</v>
      </c>
      <c r="B426" s="218" t="s">
        <v>1497</v>
      </c>
      <c r="C426" s="223">
        <v>1</v>
      </c>
      <c r="D426" s="218" t="s">
        <v>1488</v>
      </c>
      <c r="E426" s="240">
        <v>3</v>
      </c>
      <c r="F426" s="226">
        <v>5073.6875170000003</v>
      </c>
      <c r="G426" s="223">
        <v>1980</v>
      </c>
      <c r="H426" s="223">
        <v>1</v>
      </c>
      <c r="I426" s="223">
        <v>1</v>
      </c>
      <c r="J426" s="223"/>
      <c r="K426" s="228">
        <v>119688.2885</v>
      </c>
      <c r="L426" s="241">
        <v>80</v>
      </c>
      <c r="M426" s="229">
        <v>23937.657709999999</v>
      </c>
      <c r="N426" s="230">
        <v>23.59</v>
      </c>
      <c r="O426" s="231">
        <v>23937</v>
      </c>
      <c r="P426" s="315"/>
      <c r="Q426" s="276">
        <f t="shared" si="13"/>
        <v>5073.6899999999996</v>
      </c>
      <c r="R426" s="275">
        <f>(SUMIFS('Dec 31 2018 OFFS'!$AG:$AG,'Dec 31 2018 OFFS'!$AI:$AI,'T1 2019 Pipeline Data Lagasco'!$A426,'Dec 31 2018 OFFS'!$U:$U,'T1 2019 Pipeline Data Lagasco'!$E426,'Dec 31 2018 OFFS'!$AK:$AK,'T1 2019 Pipeline Data Lagasco'!$Q426,'Dec 31 2018 OFFS'!$W:$W,'T1 2019 Pipeline Data Lagasco'!$G426))/(MAX(COUNTIFS('Dec 31 2018 OFFS'!$AI:$AI,'T1 2019 Pipeline Data Lagasco'!$A426,'Dec 31 2018 OFFS'!$U:$U,'T1 2019 Pipeline Data Lagasco'!$E426,'Dec 31 2018 OFFS'!$AK:$AK,'T1 2019 Pipeline Data Lagasco'!$Q426,'Dec 31 2018 OFFS'!$W:$W,'T1 2019 Pipeline Data Lagasco'!$G426),1))</f>
        <v>23937</v>
      </c>
      <c r="S426" s="275">
        <f t="shared" si="14"/>
        <v>0</v>
      </c>
    </row>
    <row r="427" spans="1:19" s="217" customFormat="1" ht="14.1" customHeight="1">
      <c r="A427" s="224" t="s">
        <v>1496</v>
      </c>
      <c r="B427" s="218" t="s">
        <v>1497</v>
      </c>
      <c r="C427" s="223">
        <v>1</v>
      </c>
      <c r="D427" s="218" t="s">
        <v>1488</v>
      </c>
      <c r="E427" s="240">
        <v>3</v>
      </c>
      <c r="F427" s="223">
        <v>10254</v>
      </c>
      <c r="G427" s="223">
        <v>2008</v>
      </c>
      <c r="H427" s="230">
        <v>0.75</v>
      </c>
      <c r="I427" s="223">
        <v>1</v>
      </c>
      <c r="J427" s="223"/>
      <c r="K427" s="238">
        <v>241891.86</v>
      </c>
      <c r="L427" s="241">
        <v>49</v>
      </c>
      <c r="M427" s="228">
        <v>123364.8486</v>
      </c>
      <c r="N427" s="230">
        <v>23.59</v>
      </c>
      <c r="O427" s="231">
        <v>92523</v>
      </c>
      <c r="P427" s="315"/>
      <c r="Q427" s="276">
        <f t="shared" si="13"/>
        <v>10254</v>
      </c>
      <c r="R427" s="275">
        <f>(SUMIFS('Dec 31 2018 OFFS'!$AG:$AG,'Dec 31 2018 OFFS'!$AI:$AI,'T1 2019 Pipeline Data Lagasco'!$A427,'Dec 31 2018 OFFS'!$U:$U,'T1 2019 Pipeline Data Lagasco'!$E427,'Dec 31 2018 OFFS'!$AK:$AK,'T1 2019 Pipeline Data Lagasco'!$Q427,'Dec 31 2018 OFFS'!$W:$W,'T1 2019 Pipeline Data Lagasco'!$G427))/(MAX(COUNTIFS('Dec 31 2018 OFFS'!$AI:$AI,'T1 2019 Pipeline Data Lagasco'!$A427,'Dec 31 2018 OFFS'!$U:$U,'T1 2019 Pipeline Data Lagasco'!$E427,'Dec 31 2018 OFFS'!$AK:$AK,'T1 2019 Pipeline Data Lagasco'!$Q427,'Dec 31 2018 OFFS'!$W:$W,'T1 2019 Pipeline Data Lagasco'!$G427),1))</f>
        <v>92523</v>
      </c>
      <c r="S427" s="275">
        <f t="shared" si="14"/>
        <v>0</v>
      </c>
    </row>
    <row r="428" spans="1:19" s="217" customFormat="1" ht="15" customHeight="1">
      <c r="A428" s="224" t="s">
        <v>1496</v>
      </c>
      <c r="B428" s="218" t="s">
        <v>1497</v>
      </c>
      <c r="C428" s="223">
        <v>1</v>
      </c>
      <c r="D428" s="218" t="s">
        <v>1488</v>
      </c>
      <c r="E428" s="240">
        <v>3</v>
      </c>
      <c r="F428" s="226">
        <v>9065.6165349999992</v>
      </c>
      <c r="G428" s="223">
        <v>1980</v>
      </c>
      <c r="H428" s="223">
        <v>1</v>
      </c>
      <c r="I428" s="223">
        <v>1</v>
      </c>
      <c r="J428" s="223"/>
      <c r="K428" s="228">
        <v>213857.8941</v>
      </c>
      <c r="L428" s="241">
        <v>80</v>
      </c>
      <c r="M428" s="229">
        <v>42771.578809999999</v>
      </c>
      <c r="N428" s="230">
        <v>23.59</v>
      </c>
      <c r="O428" s="231">
        <v>42771</v>
      </c>
      <c r="P428" s="315"/>
      <c r="Q428" s="276">
        <f t="shared" si="13"/>
        <v>9065.6200000000008</v>
      </c>
      <c r="R428" s="275">
        <f>(SUMIFS('Dec 31 2018 OFFS'!$AG:$AG,'Dec 31 2018 OFFS'!$AI:$AI,'T1 2019 Pipeline Data Lagasco'!$A428,'Dec 31 2018 OFFS'!$U:$U,'T1 2019 Pipeline Data Lagasco'!$E428,'Dec 31 2018 OFFS'!$AK:$AK,'T1 2019 Pipeline Data Lagasco'!$Q428,'Dec 31 2018 OFFS'!$W:$W,'T1 2019 Pipeline Data Lagasco'!$G428))/(MAX(COUNTIFS('Dec 31 2018 OFFS'!$AI:$AI,'T1 2019 Pipeline Data Lagasco'!$A428,'Dec 31 2018 OFFS'!$U:$U,'T1 2019 Pipeline Data Lagasco'!$E428,'Dec 31 2018 OFFS'!$AK:$AK,'T1 2019 Pipeline Data Lagasco'!$Q428,'Dec 31 2018 OFFS'!$W:$W,'T1 2019 Pipeline Data Lagasco'!$G428),1))</f>
        <v>42771</v>
      </c>
      <c r="S428" s="275">
        <f t="shared" si="14"/>
        <v>0</v>
      </c>
    </row>
    <row r="429" spans="1:19" s="217" customFormat="1" ht="15" customHeight="1">
      <c r="A429" s="224" t="s">
        <v>1496</v>
      </c>
      <c r="B429" s="218" t="s">
        <v>1497</v>
      </c>
      <c r="C429" s="223">
        <v>1</v>
      </c>
      <c r="D429" s="218" t="s">
        <v>1488</v>
      </c>
      <c r="E429" s="240">
        <v>3</v>
      </c>
      <c r="F429" s="230">
        <v>8089.27</v>
      </c>
      <c r="G429" s="223">
        <v>1979</v>
      </c>
      <c r="H429" s="223">
        <v>1</v>
      </c>
      <c r="I429" s="223">
        <v>1</v>
      </c>
      <c r="J429" s="223"/>
      <c r="K429" s="228">
        <v>190825.8793</v>
      </c>
      <c r="L429" s="241">
        <v>80</v>
      </c>
      <c r="M429" s="229">
        <v>38165.175860000003</v>
      </c>
      <c r="N429" s="230">
        <v>23.59</v>
      </c>
      <c r="O429" s="231">
        <v>38165</v>
      </c>
      <c r="P429" s="314"/>
      <c r="Q429" s="276">
        <f t="shared" si="13"/>
        <v>8089.27</v>
      </c>
      <c r="R429" s="275">
        <f>(SUMIFS('Dec 31 2018 OFFS'!$AG:$AG,'Dec 31 2018 OFFS'!$AI:$AI,'T1 2019 Pipeline Data Lagasco'!$A429,'Dec 31 2018 OFFS'!$U:$U,'T1 2019 Pipeline Data Lagasco'!$E429,'Dec 31 2018 OFFS'!$AK:$AK,'T1 2019 Pipeline Data Lagasco'!$Q429,'Dec 31 2018 OFFS'!$W:$W,'T1 2019 Pipeline Data Lagasco'!$G429))/(MAX(COUNTIFS('Dec 31 2018 OFFS'!$AI:$AI,'T1 2019 Pipeline Data Lagasco'!$A429,'Dec 31 2018 OFFS'!$U:$U,'T1 2019 Pipeline Data Lagasco'!$E429,'Dec 31 2018 OFFS'!$AK:$AK,'T1 2019 Pipeline Data Lagasco'!$Q429,'Dec 31 2018 OFFS'!$W:$W,'T1 2019 Pipeline Data Lagasco'!$G429),1))</f>
        <v>38165</v>
      </c>
      <c r="S429" s="275">
        <f t="shared" si="14"/>
        <v>0</v>
      </c>
    </row>
    <row r="430" spans="1:19" s="217" customFormat="1" ht="14.1" customHeight="1">
      <c r="A430" s="224" t="s">
        <v>1496</v>
      </c>
      <c r="B430" s="218" t="s">
        <v>1497</v>
      </c>
      <c r="C430" s="223">
        <v>1</v>
      </c>
      <c r="D430" s="218" t="s">
        <v>1488</v>
      </c>
      <c r="E430" s="240">
        <v>3</v>
      </c>
      <c r="F430" s="226">
        <v>8435.1375509999998</v>
      </c>
      <c r="G430" s="223">
        <v>1979</v>
      </c>
      <c r="H430" s="223">
        <v>1</v>
      </c>
      <c r="I430" s="223">
        <v>1</v>
      </c>
      <c r="J430" s="223"/>
      <c r="K430" s="228">
        <v>198984.89480000001</v>
      </c>
      <c r="L430" s="241">
        <v>80</v>
      </c>
      <c r="M430" s="229">
        <v>39796.978969999996</v>
      </c>
      <c r="N430" s="230">
        <v>23.59</v>
      </c>
      <c r="O430" s="231">
        <v>39796</v>
      </c>
      <c r="P430" s="314"/>
      <c r="Q430" s="276">
        <f t="shared" si="13"/>
        <v>8435.14</v>
      </c>
      <c r="R430" s="275">
        <f>(SUMIFS('Dec 31 2018 OFFS'!$AG:$AG,'Dec 31 2018 OFFS'!$AI:$AI,'T1 2019 Pipeline Data Lagasco'!$A430,'Dec 31 2018 OFFS'!$U:$U,'T1 2019 Pipeline Data Lagasco'!$E430,'Dec 31 2018 OFFS'!$AK:$AK,'T1 2019 Pipeline Data Lagasco'!$Q430,'Dec 31 2018 OFFS'!$W:$W,'T1 2019 Pipeline Data Lagasco'!$G430))/(MAX(COUNTIFS('Dec 31 2018 OFFS'!$AI:$AI,'T1 2019 Pipeline Data Lagasco'!$A430,'Dec 31 2018 OFFS'!$U:$U,'T1 2019 Pipeline Data Lagasco'!$E430,'Dec 31 2018 OFFS'!$AK:$AK,'T1 2019 Pipeline Data Lagasco'!$Q430,'Dec 31 2018 OFFS'!$W:$W,'T1 2019 Pipeline Data Lagasco'!$G430),1))</f>
        <v>39796</v>
      </c>
      <c r="S430" s="275">
        <f t="shared" si="14"/>
        <v>0</v>
      </c>
    </row>
    <row r="431" spans="1:19" s="217" customFormat="1" ht="14.1" customHeight="1">
      <c r="A431" s="224" t="s">
        <v>1496</v>
      </c>
      <c r="B431" s="218" t="s">
        <v>1497</v>
      </c>
      <c r="C431" s="223">
        <v>1</v>
      </c>
      <c r="D431" s="218" t="s">
        <v>1488</v>
      </c>
      <c r="E431" s="240">
        <v>3</v>
      </c>
      <c r="F431" s="226">
        <v>4551.0825450000002</v>
      </c>
      <c r="G431" s="223">
        <v>1983</v>
      </c>
      <c r="H431" s="223">
        <v>1</v>
      </c>
      <c r="I431" s="223">
        <v>1</v>
      </c>
      <c r="J431" s="223"/>
      <c r="K431" s="228">
        <v>107360.03720000001</v>
      </c>
      <c r="L431" s="241">
        <v>80</v>
      </c>
      <c r="M431" s="229">
        <v>21472.007450000001</v>
      </c>
      <c r="N431" s="230">
        <v>23.59</v>
      </c>
      <c r="O431" s="231">
        <v>21472</v>
      </c>
      <c r="P431" s="314"/>
      <c r="Q431" s="276">
        <f t="shared" si="13"/>
        <v>4551.08</v>
      </c>
      <c r="R431" s="275">
        <f>(SUMIFS('Dec 31 2018 OFFS'!$AG:$AG,'Dec 31 2018 OFFS'!$AI:$AI,'T1 2019 Pipeline Data Lagasco'!$A431,'Dec 31 2018 OFFS'!$U:$U,'T1 2019 Pipeline Data Lagasco'!$E431,'Dec 31 2018 OFFS'!$AK:$AK,'T1 2019 Pipeline Data Lagasco'!$Q431,'Dec 31 2018 OFFS'!$W:$W,'T1 2019 Pipeline Data Lagasco'!$G431))/(MAX(COUNTIFS('Dec 31 2018 OFFS'!$AI:$AI,'T1 2019 Pipeline Data Lagasco'!$A431,'Dec 31 2018 OFFS'!$U:$U,'T1 2019 Pipeline Data Lagasco'!$E431,'Dec 31 2018 OFFS'!$AK:$AK,'T1 2019 Pipeline Data Lagasco'!$Q431,'Dec 31 2018 OFFS'!$W:$W,'T1 2019 Pipeline Data Lagasco'!$G431),1))</f>
        <v>21472</v>
      </c>
      <c r="S431" s="275">
        <f t="shared" si="14"/>
        <v>0</v>
      </c>
    </row>
    <row r="432" spans="1:19" s="217" customFormat="1" ht="14.1" customHeight="1">
      <c r="A432" s="224" t="s">
        <v>1496</v>
      </c>
      <c r="B432" s="218" t="s">
        <v>1497</v>
      </c>
      <c r="C432" s="223">
        <v>1</v>
      </c>
      <c r="D432" s="218" t="s">
        <v>1488</v>
      </c>
      <c r="E432" s="240">
        <v>3</v>
      </c>
      <c r="F432" s="236">
        <v>3518.6022600000001</v>
      </c>
      <c r="G432" s="223">
        <v>1982</v>
      </c>
      <c r="H432" s="223">
        <v>1</v>
      </c>
      <c r="I432" s="223">
        <v>1</v>
      </c>
      <c r="J432" s="223"/>
      <c r="K432" s="229">
        <v>83003.827319999997</v>
      </c>
      <c r="L432" s="241">
        <v>80</v>
      </c>
      <c r="M432" s="229">
        <v>16600.765459999999</v>
      </c>
      <c r="N432" s="230">
        <v>23.59</v>
      </c>
      <c r="O432" s="231">
        <v>16600</v>
      </c>
      <c r="P432" s="314"/>
      <c r="Q432" s="276">
        <f t="shared" si="13"/>
        <v>3518.60</v>
      </c>
      <c r="R432" s="275">
        <f>(SUMIFS('Dec 31 2018 OFFS'!$AG:$AG,'Dec 31 2018 OFFS'!$AI:$AI,'T1 2019 Pipeline Data Lagasco'!$A432,'Dec 31 2018 OFFS'!$U:$U,'T1 2019 Pipeline Data Lagasco'!$E432,'Dec 31 2018 OFFS'!$AK:$AK,'T1 2019 Pipeline Data Lagasco'!$Q432,'Dec 31 2018 OFFS'!$W:$W,'T1 2019 Pipeline Data Lagasco'!$G432))/(MAX(COUNTIFS('Dec 31 2018 OFFS'!$AI:$AI,'T1 2019 Pipeline Data Lagasco'!$A432,'Dec 31 2018 OFFS'!$U:$U,'T1 2019 Pipeline Data Lagasco'!$E432,'Dec 31 2018 OFFS'!$AK:$AK,'T1 2019 Pipeline Data Lagasco'!$Q432,'Dec 31 2018 OFFS'!$W:$W,'T1 2019 Pipeline Data Lagasco'!$G432),1))</f>
        <v>16600</v>
      </c>
      <c r="S432" s="275">
        <f t="shared" si="14"/>
        <v>0</v>
      </c>
    </row>
    <row r="433" spans="1:20" ht="14.1" customHeight="1">
      <c r="A433" s="224" t="s">
        <v>1496</v>
      </c>
      <c r="B433" s="218" t="s">
        <v>1497</v>
      </c>
      <c r="C433" s="223">
        <v>1</v>
      </c>
      <c r="D433" s="218" t="s">
        <v>1488</v>
      </c>
      <c r="E433" s="240">
        <v>3</v>
      </c>
      <c r="F433" s="226">
        <v>7069.4551760000004</v>
      </c>
      <c r="G433" s="223">
        <v>1980</v>
      </c>
      <c r="H433" s="223">
        <v>1</v>
      </c>
      <c r="I433" s="223">
        <v>1</v>
      </c>
      <c r="J433" s="223"/>
      <c r="K433" s="228">
        <v>166768.44760000001</v>
      </c>
      <c r="L433" s="241">
        <v>80</v>
      </c>
      <c r="M433" s="229">
        <v>33353.68952</v>
      </c>
      <c r="N433" s="230">
        <v>23.59</v>
      </c>
      <c r="O433" s="231">
        <v>33353</v>
      </c>
      <c r="P433" s="314"/>
      <c r="Q433" s="276">
        <f t="shared" si="13"/>
        <v>7069.46</v>
      </c>
      <c r="R433" s="275">
        <f>(SUMIFS('Dec 31 2018 OFFS'!$AG:$AG,'Dec 31 2018 OFFS'!$AI:$AI,'T1 2019 Pipeline Data Lagasco'!$A433,'Dec 31 2018 OFFS'!$U:$U,'T1 2019 Pipeline Data Lagasco'!$E433,'Dec 31 2018 OFFS'!$AK:$AK,'T1 2019 Pipeline Data Lagasco'!$Q433,'Dec 31 2018 OFFS'!$W:$W,'T1 2019 Pipeline Data Lagasco'!$G433))/(MAX(COUNTIFS('Dec 31 2018 OFFS'!$AI:$AI,'T1 2019 Pipeline Data Lagasco'!$A433,'Dec 31 2018 OFFS'!$U:$U,'T1 2019 Pipeline Data Lagasco'!$E433,'Dec 31 2018 OFFS'!$AK:$AK,'T1 2019 Pipeline Data Lagasco'!$Q433,'Dec 31 2018 OFFS'!$W:$W,'T1 2019 Pipeline Data Lagasco'!$G433),1))</f>
        <v>33353</v>
      </c>
      <c r="S433" s="275">
        <f t="shared" si="14"/>
        <v>0</v>
      </c>
      <c r="T433" s="217"/>
    </row>
    <row r="434" spans="1:20" ht="14.1" customHeight="1">
      <c r="A434" s="224" t="s">
        <v>1496</v>
      </c>
      <c r="B434" s="218" t="s">
        <v>1497</v>
      </c>
      <c r="C434" s="223">
        <v>1</v>
      </c>
      <c r="D434" s="218" t="s">
        <v>1488</v>
      </c>
      <c r="E434" s="240">
        <v>3</v>
      </c>
      <c r="F434" s="226">
        <v>4011.023506</v>
      </c>
      <c r="G434" s="223">
        <v>1980</v>
      </c>
      <c r="H434" s="223">
        <v>1</v>
      </c>
      <c r="I434" s="223">
        <v>1</v>
      </c>
      <c r="J434" s="223"/>
      <c r="K434" s="228">
        <v>94620.044500000004</v>
      </c>
      <c r="L434" s="241">
        <v>80</v>
      </c>
      <c r="M434" s="228">
        <v>18924.008900000001</v>
      </c>
      <c r="N434" s="230">
        <v>23.59</v>
      </c>
      <c r="O434" s="231">
        <v>18924</v>
      </c>
      <c r="P434" s="314"/>
      <c r="Q434" s="276">
        <f t="shared" si="13"/>
        <v>4011.02</v>
      </c>
      <c r="R434" s="275">
        <f>(SUMIFS('Dec 31 2018 OFFS'!$AG:$AG,'Dec 31 2018 OFFS'!$AI:$AI,'T1 2019 Pipeline Data Lagasco'!$A434,'Dec 31 2018 OFFS'!$U:$U,'T1 2019 Pipeline Data Lagasco'!$E434,'Dec 31 2018 OFFS'!$AK:$AK,'T1 2019 Pipeline Data Lagasco'!$Q434,'Dec 31 2018 OFFS'!$W:$W,'T1 2019 Pipeline Data Lagasco'!$G434))/(MAX(COUNTIFS('Dec 31 2018 OFFS'!$AI:$AI,'T1 2019 Pipeline Data Lagasco'!$A434,'Dec 31 2018 OFFS'!$U:$U,'T1 2019 Pipeline Data Lagasco'!$E434,'Dec 31 2018 OFFS'!$AK:$AK,'T1 2019 Pipeline Data Lagasco'!$Q434,'Dec 31 2018 OFFS'!$W:$W,'T1 2019 Pipeline Data Lagasco'!$G434),1))</f>
        <v>18924</v>
      </c>
      <c r="S434" s="275">
        <f t="shared" si="14"/>
        <v>0</v>
      </c>
      <c r="T434" s="217"/>
    </row>
    <row r="435" spans="1:20" ht="14.1" customHeight="1">
      <c r="A435" s="224" t="s">
        <v>1496</v>
      </c>
      <c r="B435" s="218" t="s">
        <v>1497</v>
      </c>
      <c r="C435" s="223">
        <v>1</v>
      </c>
      <c r="D435" s="218" t="s">
        <v>1488</v>
      </c>
      <c r="E435" s="240">
        <v>3</v>
      </c>
      <c r="F435" s="226">
        <v>6380.6100509999997</v>
      </c>
      <c r="G435" s="223">
        <v>1985</v>
      </c>
      <c r="H435" s="223">
        <v>1</v>
      </c>
      <c r="I435" s="223">
        <v>1</v>
      </c>
      <c r="J435" s="223"/>
      <c r="K435" s="228">
        <v>150518.59109999999</v>
      </c>
      <c r="L435" s="241">
        <v>80</v>
      </c>
      <c r="M435" s="229">
        <v>30103.718219999999</v>
      </c>
      <c r="N435" s="230">
        <v>23.59</v>
      </c>
      <c r="O435" s="231">
        <v>30103</v>
      </c>
      <c r="P435" s="314"/>
      <c r="Q435" s="276">
        <f t="shared" si="13"/>
        <v>6380.61</v>
      </c>
      <c r="R435" s="275">
        <f>(SUMIFS('Dec 31 2018 OFFS'!$AG:$AG,'Dec 31 2018 OFFS'!$AI:$AI,'T1 2019 Pipeline Data Lagasco'!$A435,'Dec 31 2018 OFFS'!$U:$U,'T1 2019 Pipeline Data Lagasco'!$E435,'Dec 31 2018 OFFS'!$AK:$AK,'T1 2019 Pipeline Data Lagasco'!$Q435,'Dec 31 2018 OFFS'!$W:$W,'T1 2019 Pipeline Data Lagasco'!$G435))/(MAX(COUNTIFS('Dec 31 2018 OFFS'!$AI:$AI,'T1 2019 Pipeline Data Lagasco'!$A435,'Dec 31 2018 OFFS'!$U:$U,'T1 2019 Pipeline Data Lagasco'!$E435,'Dec 31 2018 OFFS'!$AK:$AK,'T1 2019 Pipeline Data Lagasco'!$Q435,'Dec 31 2018 OFFS'!$W:$W,'T1 2019 Pipeline Data Lagasco'!$G435),1))</f>
        <v>30103</v>
      </c>
      <c r="S435" s="275">
        <f t="shared" si="14"/>
        <v>0</v>
      </c>
      <c r="T435" s="217"/>
    </row>
    <row r="436" spans="1:20" ht="14.1" customHeight="1">
      <c r="A436" s="224" t="s">
        <v>1496</v>
      </c>
      <c r="B436" s="218" t="s">
        <v>1497</v>
      </c>
      <c r="C436" s="223">
        <v>1</v>
      </c>
      <c r="D436" s="218" t="s">
        <v>1488</v>
      </c>
      <c r="E436" s="240">
        <v>3</v>
      </c>
      <c r="F436" s="226">
        <v>4369.3896370000002</v>
      </c>
      <c r="G436" s="223">
        <v>1981</v>
      </c>
      <c r="H436" s="223">
        <v>1</v>
      </c>
      <c r="I436" s="223">
        <v>1</v>
      </c>
      <c r="J436" s="223"/>
      <c r="K436" s="228">
        <v>103073.90150000001</v>
      </c>
      <c r="L436" s="241">
        <v>80</v>
      </c>
      <c r="M436" s="229">
        <v>20614.780309999998</v>
      </c>
      <c r="N436" s="230">
        <v>23.59</v>
      </c>
      <c r="O436" s="231">
        <v>20614</v>
      </c>
      <c r="P436" s="314"/>
      <c r="Q436" s="276">
        <f t="shared" si="13"/>
        <v>4369.3900000000003</v>
      </c>
      <c r="R436" s="275">
        <f>(SUMIFS('Dec 31 2018 OFFS'!$AG:$AG,'Dec 31 2018 OFFS'!$AI:$AI,'T1 2019 Pipeline Data Lagasco'!$A436,'Dec 31 2018 OFFS'!$U:$U,'T1 2019 Pipeline Data Lagasco'!$E436,'Dec 31 2018 OFFS'!$AK:$AK,'T1 2019 Pipeline Data Lagasco'!$Q436,'Dec 31 2018 OFFS'!$W:$W,'T1 2019 Pipeline Data Lagasco'!$G436))/(MAX(COUNTIFS('Dec 31 2018 OFFS'!$AI:$AI,'T1 2019 Pipeline Data Lagasco'!$A436,'Dec 31 2018 OFFS'!$U:$U,'T1 2019 Pipeline Data Lagasco'!$E436,'Dec 31 2018 OFFS'!$AK:$AK,'T1 2019 Pipeline Data Lagasco'!$Q436,'Dec 31 2018 OFFS'!$W:$W,'T1 2019 Pipeline Data Lagasco'!$G436),1))</f>
        <v>20614</v>
      </c>
      <c r="S436" s="275">
        <f t="shared" si="14"/>
        <v>0</v>
      </c>
      <c r="T436" s="217"/>
    </row>
    <row r="437" spans="1:20" ht="14.1" customHeight="1">
      <c r="A437" s="224" t="s">
        <v>1496</v>
      </c>
      <c r="B437" s="218" t="s">
        <v>1497</v>
      </c>
      <c r="C437" s="223">
        <v>1</v>
      </c>
      <c r="D437" s="218" t="s">
        <v>1488</v>
      </c>
      <c r="E437" s="240">
        <v>3</v>
      </c>
      <c r="F437" s="236">
        <v>11253.280510000001</v>
      </c>
      <c r="G437" s="223">
        <v>1981</v>
      </c>
      <c r="H437" s="223">
        <v>1</v>
      </c>
      <c r="I437" s="223">
        <v>1</v>
      </c>
      <c r="J437" s="223"/>
      <c r="K437" s="228">
        <v>265464.8873</v>
      </c>
      <c r="L437" s="241">
        <v>80</v>
      </c>
      <c r="M437" s="229">
        <v>53092.977469999998</v>
      </c>
      <c r="N437" s="230">
        <v>23.59</v>
      </c>
      <c r="O437" s="231">
        <v>53092</v>
      </c>
      <c r="P437" s="314"/>
      <c r="Q437" s="276">
        <f t="shared" si="13"/>
        <v>11253.28</v>
      </c>
      <c r="R437" s="275">
        <f>(SUMIFS('Dec 31 2018 OFFS'!$AG:$AG,'Dec 31 2018 OFFS'!$AI:$AI,'T1 2019 Pipeline Data Lagasco'!$A437,'Dec 31 2018 OFFS'!$U:$U,'T1 2019 Pipeline Data Lagasco'!$E437,'Dec 31 2018 OFFS'!$AK:$AK,'T1 2019 Pipeline Data Lagasco'!$Q437,'Dec 31 2018 OFFS'!$W:$W,'T1 2019 Pipeline Data Lagasco'!$G437))/(MAX(COUNTIFS('Dec 31 2018 OFFS'!$AI:$AI,'T1 2019 Pipeline Data Lagasco'!$A437,'Dec 31 2018 OFFS'!$U:$U,'T1 2019 Pipeline Data Lagasco'!$E437,'Dec 31 2018 OFFS'!$AK:$AK,'T1 2019 Pipeline Data Lagasco'!$Q437,'Dec 31 2018 OFFS'!$W:$W,'T1 2019 Pipeline Data Lagasco'!$G437),1))</f>
        <v>53092</v>
      </c>
      <c r="S437" s="275">
        <f t="shared" si="14"/>
        <v>0</v>
      </c>
      <c r="T437" s="217"/>
    </row>
    <row r="438" spans="1:20" ht="14.1" customHeight="1">
      <c r="A438" s="224" t="s">
        <v>1496</v>
      </c>
      <c r="B438" s="218" t="s">
        <v>1497</v>
      </c>
      <c r="C438" s="223">
        <v>1</v>
      </c>
      <c r="D438" s="218" t="s">
        <v>1488</v>
      </c>
      <c r="E438" s="240">
        <v>3</v>
      </c>
      <c r="F438" s="226">
        <v>6002.919774</v>
      </c>
      <c r="G438" s="223">
        <v>1982</v>
      </c>
      <c r="H438" s="223">
        <v>1</v>
      </c>
      <c r="I438" s="223">
        <v>1</v>
      </c>
      <c r="J438" s="223"/>
      <c r="K438" s="228">
        <v>141608.8775</v>
      </c>
      <c r="L438" s="241">
        <v>80</v>
      </c>
      <c r="M438" s="229">
        <v>28321.77549</v>
      </c>
      <c r="N438" s="230">
        <v>23.59</v>
      </c>
      <c r="O438" s="231">
        <v>28321</v>
      </c>
      <c r="P438" s="314"/>
      <c r="Q438" s="276">
        <f t="shared" si="13"/>
        <v>6002.92</v>
      </c>
      <c r="R438" s="275">
        <f>(SUMIFS('Dec 31 2018 OFFS'!$AG:$AG,'Dec 31 2018 OFFS'!$AI:$AI,'T1 2019 Pipeline Data Lagasco'!$A438,'Dec 31 2018 OFFS'!$U:$U,'T1 2019 Pipeline Data Lagasco'!$E438,'Dec 31 2018 OFFS'!$AK:$AK,'T1 2019 Pipeline Data Lagasco'!$Q438,'Dec 31 2018 OFFS'!$W:$W,'T1 2019 Pipeline Data Lagasco'!$G438))/(MAX(COUNTIFS('Dec 31 2018 OFFS'!$AI:$AI,'T1 2019 Pipeline Data Lagasco'!$A438,'Dec 31 2018 OFFS'!$U:$U,'T1 2019 Pipeline Data Lagasco'!$E438,'Dec 31 2018 OFFS'!$AK:$AK,'T1 2019 Pipeline Data Lagasco'!$Q438,'Dec 31 2018 OFFS'!$W:$W,'T1 2019 Pipeline Data Lagasco'!$G438),1))</f>
        <v>28321</v>
      </c>
      <c r="S438" s="275">
        <f t="shared" si="14"/>
        <v>0</v>
      </c>
      <c r="T438" s="217"/>
    </row>
    <row r="439" spans="1:20" ht="14.1" customHeight="1">
      <c r="A439" s="224" t="s">
        <v>1496</v>
      </c>
      <c r="B439" s="218" t="s">
        <v>1497</v>
      </c>
      <c r="C439" s="223">
        <v>1</v>
      </c>
      <c r="D439" s="218" t="s">
        <v>1488</v>
      </c>
      <c r="E439" s="240">
        <v>3</v>
      </c>
      <c r="F439" s="236">
        <v>4102.8870200000001</v>
      </c>
      <c r="G439" s="223">
        <v>1982</v>
      </c>
      <c r="H439" s="223">
        <v>1</v>
      </c>
      <c r="I439" s="223">
        <v>1</v>
      </c>
      <c r="J439" s="223"/>
      <c r="K439" s="229">
        <v>96787.104810000004</v>
      </c>
      <c r="L439" s="241">
        <v>80</v>
      </c>
      <c r="M439" s="229">
        <v>19357.420959999999</v>
      </c>
      <c r="N439" s="230">
        <v>23.59</v>
      </c>
      <c r="O439" s="231">
        <v>19357</v>
      </c>
      <c r="P439" s="314"/>
      <c r="Q439" s="276">
        <f t="shared" si="13"/>
        <v>4102.8900000000003</v>
      </c>
      <c r="R439" s="275">
        <f>(SUMIFS('Dec 31 2018 OFFS'!$AG:$AG,'Dec 31 2018 OFFS'!$AI:$AI,'T1 2019 Pipeline Data Lagasco'!$A439,'Dec 31 2018 OFFS'!$U:$U,'T1 2019 Pipeline Data Lagasco'!$E439,'Dec 31 2018 OFFS'!$AK:$AK,'T1 2019 Pipeline Data Lagasco'!$Q439,'Dec 31 2018 OFFS'!$W:$W,'T1 2019 Pipeline Data Lagasco'!$G439))/(MAX(COUNTIFS('Dec 31 2018 OFFS'!$AI:$AI,'T1 2019 Pipeline Data Lagasco'!$A439,'Dec 31 2018 OFFS'!$U:$U,'T1 2019 Pipeline Data Lagasco'!$E439,'Dec 31 2018 OFFS'!$AK:$AK,'T1 2019 Pipeline Data Lagasco'!$Q439,'Dec 31 2018 OFFS'!$W:$W,'T1 2019 Pipeline Data Lagasco'!$G439),1))</f>
        <v>19357</v>
      </c>
      <c r="S439" s="275">
        <f t="shared" si="14"/>
        <v>0</v>
      </c>
      <c r="T439" s="217"/>
    </row>
    <row r="440" spans="1:20" ht="14.1" customHeight="1">
      <c r="A440" s="224" t="s">
        <v>1496</v>
      </c>
      <c r="B440" s="218" t="s">
        <v>1497</v>
      </c>
      <c r="C440" s="223">
        <v>1</v>
      </c>
      <c r="D440" s="218" t="s">
        <v>1488</v>
      </c>
      <c r="E440" s="240">
        <v>3</v>
      </c>
      <c r="F440" s="223">
        <v>9475</v>
      </c>
      <c r="G440" s="223">
        <v>2005</v>
      </c>
      <c r="H440" s="223">
        <v>1</v>
      </c>
      <c r="I440" s="223">
        <v>1</v>
      </c>
      <c r="J440" s="223"/>
      <c r="K440" s="238">
        <v>223515.25</v>
      </c>
      <c r="L440" s="241">
        <v>54</v>
      </c>
      <c r="M440" s="239">
        <v>102817.015</v>
      </c>
      <c r="N440" s="230">
        <v>23.59</v>
      </c>
      <c r="O440" s="231">
        <v>102817</v>
      </c>
      <c r="P440" s="314"/>
      <c r="Q440" s="276">
        <f t="shared" si="13"/>
        <v>9475</v>
      </c>
      <c r="R440" s="275">
        <f>(SUMIFS('Dec 31 2018 OFFS'!$AG:$AG,'Dec 31 2018 OFFS'!$AI:$AI,'T1 2019 Pipeline Data Lagasco'!$A440,'Dec 31 2018 OFFS'!$U:$U,'T1 2019 Pipeline Data Lagasco'!$E440,'Dec 31 2018 OFFS'!$AK:$AK,'T1 2019 Pipeline Data Lagasco'!$Q440,'Dec 31 2018 OFFS'!$W:$W,'T1 2019 Pipeline Data Lagasco'!$G440))/(MAX(COUNTIFS('Dec 31 2018 OFFS'!$AI:$AI,'T1 2019 Pipeline Data Lagasco'!$A440,'Dec 31 2018 OFFS'!$U:$U,'T1 2019 Pipeline Data Lagasco'!$E440,'Dec 31 2018 OFFS'!$AK:$AK,'T1 2019 Pipeline Data Lagasco'!$Q440,'Dec 31 2018 OFFS'!$W:$W,'T1 2019 Pipeline Data Lagasco'!$G440),1))</f>
        <v>102817</v>
      </c>
      <c r="S440" s="275">
        <f t="shared" si="14"/>
        <v>0</v>
      </c>
      <c r="T440" s="217"/>
    </row>
    <row r="441" spans="1:20" ht="14.1" customHeight="1">
      <c r="A441" s="224" t="s">
        <v>1496</v>
      </c>
      <c r="B441" s="218" t="s">
        <v>1497</v>
      </c>
      <c r="C441" s="223">
        <v>1</v>
      </c>
      <c r="D441" s="218" t="s">
        <v>1488</v>
      </c>
      <c r="E441" s="240">
        <v>3</v>
      </c>
      <c r="F441" s="223">
        <v>6260</v>
      </c>
      <c r="G441" s="223">
        <v>2005</v>
      </c>
      <c r="H441" s="223">
        <v>1</v>
      </c>
      <c r="I441" s="223">
        <v>1</v>
      </c>
      <c r="J441" s="223"/>
      <c r="K441" s="237">
        <v>147673.40</v>
      </c>
      <c r="L441" s="241">
        <v>54</v>
      </c>
      <c r="M441" s="239">
        <v>67929.763999999996</v>
      </c>
      <c r="N441" s="230">
        <v>23.59</v>
      </c>
      <c r="O441" s="231">
        <v>67929</v>
      </c>
      <c r="P441" s="314"/>
      <c r="Q441" s="276">
        <f t="shared" si="15" ref="Q441:Q461">ROUND(F441,2)</f>
        <v>6260</v>
      </c>
      <c r="R441" s="275">
        <f>(SUMIFS('Dec 31 2018 OFFS'!$AG:$AG,'Dec 31 2018 OFFS'!$AI:$AI,'T1 2019 Pipeline Data Lagasco'!$A441,'Dec 31 2018 OFFS'!$U:$U,'T1 2019 Pipeline Data Lagasco'!$E441,'Dec 31 2018 OFFS'!$AK:$AK,'T1 2019 Pipeline Data Lagasco'!$Q441,'Dec 31 2018 OFFS'!$W:$W,'T1 2019 Pipeline Data Lagasco'!$G441))/(MAX(COUNTIFS('Dec 31 2018 OFFS'!$AI:$AI,'T1 2019 Pipeline Data Lagasco'!$A441,'Dec 31 2018 OFFS'!$U:$U,'T1 2019 Pipeline Data Lagasco'!$E441,'Dec 31 2018 OFFS'!$AK:$AK,'T1 2019 Pipeline Data Lagasco'!$Q441,'Dec 31 2018 OFFS'!$W:$W,'T1 2019 Pipeline Data Lagasco'!$G441),1))</f>
        <v>67929</v>
      </c>
      <c r="S441" s="275">
        <f t="shared" si="16" ref="S441:S461">O441-R441</f>
        <v>0</v>
      </c>
      <c r="T441" s="217"/>
    </row>
    <row r="442" spans="1:20" ht="14.1" customHeight="1">
      <c r="A442" s="224" t="s">
        <v>1496</v>
      </c>
      <c r="B442" s="218" t="s">
        <v>1497</v>
      </c>
      <c r="C442" s="223">
        <v>1</v>
      </c>
      <c r="D442" s="218" t="s">
        <v>1488</v>
      </c>
      <c r="E442" s="240">
        <v>3</v>
      </c>
      <c r="F442" s="223">
        <v>6368</v>
      </c>
      <c r="G442" s="223">
        <v>2006</v>
      </c>
      <c r="H442" s="223">
        <v>1</v>
      </c>
      <c r="I442" s="223">
        <v>1</v>
      </c>
      <c r="J442" s="223"/>
      <c r="K442" s="238">
        <v>150221.12</v>
      </c>
      <c r="L442" s="241">
        <v>52</v>
      </c>
      <c r="M442" s="228">
        <v>72106.137600000002</v>
      </c>
      <c r="N442" s="230">
        <v>23.59</v>
      </c>
      <c r="O442" s="231">
        <v>72106</v>
      </c>
      <c r="P442" s="314"/>
      <c r="Q442" s="276">
        <f t="shared" si="15"/>
        <v>6368</v>
      </c>
      <c r="R442" s="275">
        <f>(SUMIFS('Dec 31 2018 OFFS'!$AG:$AG,'Dec 31 2018 OFFS'!$AI:$AI,'T1 2019 Pipeline Data Lagasco'!$A442,'Dec 31 2018 OFFS'!$U:$U,'T1 2019 Pipeline Data Lagasco'!$E442,'Dec 31 2018 OFFS'!$AK:$AK,'T1 2019 Pipeline Data Lagasco'!$Q442,'Dec 31 2018 OFFS'!$W:$W,'T1 2019 Pipeline Data Lagasco'!$G442))/(MAX(COUNTIFS('Dec 31 2018 OFFS'!$AI:$AI,'T1 2019 Pipeline Data Lagasco'!$A442,'Dec 31 2018 OFFS'!$U:$U,'T1 2019 Pipeline Data Lagasco'!$E442,'Dec 31 2018 OFFS'!$AK:$AK,'T1 2019 Pipeline Data Lagasco'!$Q442,'Dec 31 2018 OFFS'!$W:$W,'T1 2019 Pipeline Data Lagasco'!$G442),1))</f>
        <v>72106</v>
      </c>
      <c r="S442" s="275">
        <f t="shared" si="16"/>
        <v>0</v>
      </c>
      <c r="T442" s="217"/>
    </row>
    <row r="443" spans="1:20" ht="14.1" customHeight="1">
      <c r="A443" s="224" t="s">
        <v>1496</v>
      </c>
      <c r="B443" s="218" t="s">
        <v>1497</v>
      </c>
      <c r="C443" s="223">
        <v>1</v>
      </c>
      <c r="D443" s="218" t="s">
        <v>1488</v>
      </c>
      <c r="E443" s="240">
        <v>3</v>
      </c>
      <c r="F443" s="223">
        <v>5918</v>
      </c>
      <c r="G443" s="223">
        <v>1984</v>
      </c>
      <c r="H443" s="223">
        <v>1</v>
      </c>
      <c r="I443" s="223">
        <v>1</v>
      </c>
      <c r="J443" s="223"/>
      <c r="K443" s="238">
        <v>139605.62</v>
      </c>
      <c r="L443" s="241">
        <v>80</v>
      </c>
      <c r="M443" s="239">
        <v>27921.124</v>
      </c>
      <c r="N443" s="230">
        <v>23.59</v>
      </c>
      <c r="O443" s="231">
        <v>27921</v>
      </c>
      <c r="P443" s="314"/>
      <c r="Q443" s="276">
        <f t="shared" si="15"/>
        <v>5918</v>
      </c>
      <c r="R443" s="275">
        <f>(SUMIFS('Dec 31 2018 OFFS'!$AG:$AG,'Dec 31 2018 OFFS'!$AI:$AI,'T1 2019 Pipeline Data Lagasco'!$A443,'Dec 31 2018 OFFS'!$U:$U,'T1 2019 Pipeline Data Lagasco'!$E443,'Dec 31 2018 OFFS'!$AK:$AK,'T1 2019 Pipeline Data Lagasco'!$Q443,'Dec 31 2018 OFFS'!$W:$W,'T1 2019 Pipeline Data Lagasco'!$G443))/(MAX(COUNTIFS('Dec 31 2018 OFFS'!$AI:$AI,'T1 2019 Pipeline Data Lagasco'!$A443,'Dec 31 2018 OFFS'!$U:$U,'T1 2019 Pipeline Data Lagasco'!$E443,'Dec 31 2018 OFFS'!$AK:$AK,'T1 2019 Pipeline Data Lagasco'!$Q443,'Dec 31 2018 OFFS'!$W:$W,'T1 2019 Pipeline Data Lagasco'!$G443),1))</f>
        <v>27921</v>
      </c>
      <c r="S443" s="275">
        <f t="shared" si="16"/>
        <v>0</v>
      </c>
      <c r="T443" s="217"/>
    </row>
    <row r="444" spans="1:20" ht="14.1" customHeight="1">
      <c r="A444" s="224" t="s">
        <v>1496</v>
      </c>
      <c r="B444" s="218" t="s">
        <v>1497</v>
      </c>
      <c r="C444" s="223">
        <v>1</v>
      </c>
      <c r="D444" s="218" t="s">
        <v>1488</v>
      </c>
      <c r="E444" s="240">
        <v>3</v>
      </c>
      <c r="F444" s="230">
        <v>9021.36</v>
      </c>
      <c r="G444" s="223">
        <v>1982</v>
      </c>
      <c r="H444" s="223">
        <v>1</v>
      </c>
      <c r="I444" s="223">
        <v>1</v>
      </c>
      <c r="J444" s="223"/>
      <c r="K444" s="228">
        <v>212813.8824</v>
      </c>
      <c r="L444" s="241">
        <v>80</v>
      </c>
      <c r="M444" s="229">
        <v>42562.77648</v>
      </c>
      <c r="N444" s="230">
        <v>23.59</v>
      </c>
      <c r="O444" s="231">
        <v>42562</v>
      </c>
      <c r="P444" s="314"/>
      <c r="Q444" s="276">
        <f t="shared" si="15"/>
        <v>9021.36</v>
      </c>
      <c r="R444" s="275">
        <f>(SUMIFS('Dec 31 2018 OFFS'!$AG:$AG,'Dec 31 2018 OFFS'!$AI:$AI,'T1 2019 Pipeline Data Lagasco'!$A444,'Dec 31 2018 OFFS'!$U:$U,'T1 2019 Pipeline Data Lagasco'!$E444,'Dec 31 2018 OFFS'!$AK:$AK,'T1 2019 Pipeline Data Lagasco'!$Q444,'Dec 31 2018 OFFS'!$W:$W,'T1 2019 Pipeline Data Lagasco'!$G444))/(MAX(COUNTIFS('Dec 31 2018 OFFS'!$AI:$AI,'T1 2019 Pipeline Data Lagasco'!$A444,'Dec 31 2018 OFFS'!$U:$U,'T1 2019 Pipeline Data Lagasco'!$E444,'Dec 31 2018 OFFS'!$AK:$AK,'T1 2019 Pipeline Data Lagasco'!$Q444,'Dec 31 2018 OFFS'!$W:$W,'T1 2019 Pipeline Data Lagasco'!$G444),1))</f>
        <v>42562</v>
      </c>
      <c r="S444" s="275">
        <f t="shared" si="16"/>
        <v>0</v>
      </c>
      <c r="T444" s="217"/>
    </row>
    <row r="445" spans="1:20" ht="14.1" customHeight="1">
      <c r="A445" s="224" t="s">
        <v>1496</v>
      </c>
      <c r="B445" s="218" t="s">
        <v>1497</v>
      </c>
      <c r="C445" s="223">
        <v>1</v>
      </c>
      <c r="D445" s="218" t="s">
        <v>1488</v>
      </c>
      <c r="E445" s="240">
        <v>3</v>
      </c>
      <c r="F445" s="226">
        <v>5486.4499720000003</v>
      </c>
      <c r="G445" s="223">
        <v>1985</v>
      </c>
      <c r="H445" s="223">
        <v>1</v>
      </c>
      <c r="I445" s="223">
        <v>1</v>
      </c>
      <c r="J445" s="223"/>
      <c r="K445" s="228">
        <v>129425.3548</v>
      </c>
      <c r="L445" s="241">
        <v>80</v>
      </c>
      <c r="M445" s="229">
        <v>25885.070970000001</v>
      </c>
      <c r="N445" s="230">
        <v>23.59</v>
      </c>
      <c r="O445" s="231">
        <v>25885</v>
      </c>
      <c r="P445" s="314"/>
      <c r="Q445" s="276">
        <f t="shared" si="15"/>
        <v>5486.45</v>
      </c>
      <c r="R445" s="275">
        <f>(SUMIFS('Dec 31 2018 OFFS'!$AG:$AG,'Dec 31 2018 OFFS'!$AI:$AI,'T1 2019 Pipeline Data Lagasco'!$A445,'Dec 31 2018 OFFS'!$U:$U,'T1 2019 Pipeline Data Lagasco'!$E445,'Dec 31 2018 OFFS'!$AK:$AK,'T1 2019 Pipeline Data Lagasco'!$Q445,'Dec 31 2018 OFFS'!$W:$W,'T1 2019 Pipeline Data Lagasco'!$G445))/(MAX(COUNTIFS('Dec 31 2018 OFFS'!$AI:$AI,'T1 2019 Pipeline Data Lagasco'!$A445,'Dec 31 2018 OFFS'!$U:$U,'T1 2019 Pipeline Data Lagasco'!$E445,'Dec 31 2018 OFFS'!$AK:$AK,'T1 2019 Pipeline Data Lagasco'!$Q445,'Dec 31 2018 OFFS'!$W:$W,'T1 2019 Pipeline Data Lagasco'!$G445),1))</f>
        <v>25885</v>
      </c>
      <c r="S445" s="275">
        <f t="shared" si="16"/>
        <v>0</v>
      </c>
      <c r="T445" s="217"/>
    </row>
    <row r="446" spans="1:20" ht="14.1" customHeight="1">
      <c r="A446" s="224" t="s">
        <v>1496</v>
      </c>
      <c r="B446" s="218" t="s">
        <v>1497</v>
      </c>
      <c r="C446" s="223">
        <v>1</v>
      </c>
      <c r="D446" s="218" t="s">
        <v>1488</v>
      </c>
      <c r="E446" s="240">
        <v>3</v>
      </c>
      <c r="F446" s="226">
        <v>2947.375243</v>
      </c>
      <c r="G446" s="223">
        <v>1982</v>
      </c>
      <c r="H446" s="223">
        <v>1</v>
      </c>
      <c r="I446" s="223">
        <v>0</v>
      </c>
      <c r="J446" s="223"/>
      <c r="K446" s="229">
        <v>69528.581980000003</v>
      </c>
      <c r="L446" s="241">
        <v>80</v>
      </c>
      <c r="M446" s="228">
        <v>13905.716399999999</v>
      </c>
      <c r="N446" s="230">
        <v>23.59</v>
      </c>
      <c r="O446" s="231">
        <v>0</v>
      </c>
      <c r="P446" s="314"/>
      <c r="Q446" s="276">
        <f t="shared" si="15"/>
        <v>2947.38</v>
      </c>
      <c r="R446" s="275">
        <f>(SUMIFS('Dec 31 2018 OFFS'!$AG:$AG,'Dec 31 2018 OFFS'!$AI:$AI,'T1 2019 Pipeline Data Lagasco'!$A446,'Dec 31 2018 OFFS'!$U:$U,'T1 2019 Pipeline Data Lagasco'!$E446,'Dec 31 2018 OFFS'!$AK:$AK,'T1 2019 Pipeline Data Lagasco'!$Q446,'Dec 31 2018 OFFS'!$W:$W,'T1 2019 Pipeline Data Lagasco'!$G446))/(MAX(COUNTIFS('Dec 31 2018 OFFS'!$AI:$AI,'T1 2019 Pipeline Data Lagasco'!$A446,'Dec 31 2018 OFFS'!$U:$U,'T1 2019 Pipeline Data Lagasco'!$E446,'Dec 31 2018 OFFS'!$AK:$AK,'T1 2019 Pipeline Data Lagasco'!$Q446,'Dec 31 2018 OFFS'!$W:$W,'T1 2019 Pipeline Data Lagasco'!$G446),1))</f>
        <v>0</v>
      </c>
      <c r="S446" s="275">
        <f t="shared" si="16"/>
        <v>0</v>
      </c>
      <c r="T446" s="217"/>
    </row>
    <row r="447" spans="1:20" ht="14.1" customHeight="1">
      <c r="A447" s="224" t="s">
        <v>1496</v>
      </c>
      <c r="B447" s="218" t="s">
        <v>1497</v>
      </c>
      <c r="C447" s="223">
        <v>1</v>
      </c>
      <c r="D447" s="218" t="s">
        <v>1488</v>
      </c>
      <c r="E447" s="240">
        <v>3</v>
      </c>
      <c r="F447" s="230">
        <v>2972.32</v>
      </c>
      <c r="G447" s="223">
        <v>2008</v>
      </c>
      <c r="H447" s="223">
        <v>1</v>
      </c>
      <c r="I447" s="223">
        <v>1</v>
      </c>
      <c r="J447" s="223"/>
      <c r="K447" s="228">
        <v>70117.0288</v>
      </c>
      <c r="L447" s="241">
        <v>49</v>
      </c>
      <c r="M447" s="229">
        <v>35759.684690000002</v>
      </c>
      <c r="N447" s="230">
        <v>23.59</v>
      </c>
      <c r="O447" s="231">
        <v>35759</v>
      </c>
      <c r="P447" s="314"/>
      <c r="Q447" s="276">
        <f t="shared" si="15"/>
        <v>2972.32</v>
      </c>
      <c r="R447" s="275">
        <f>(SUMIFS('Dec 31 2018 OFFS'!$AG:$AG,'Dec 31 2018 OFFS'!$AI:$AI,'T1 2019 Pipeline Data Lagasco'!$A447,'Dec 31 2018 OFFS'!$U:$U,'T1 2019 Pipeline Data Lagasco'!$E447,'Dec 31 2018 OFFS'!$AK:$AK,'T1 2019 Pipeline Data Lagasco'!$Q447,'Dec 31 2018 OFFS'!$W:$W,'T1 2019 Pipeline Data Lagasco'!$G447))/(MAX(COUNTIFS('Dec 31 2018 OFFS'!$AI:$AI,'T1 2019 Pipeline Data Lagasco'!$A447,'Dec 31 2018 OFFS'!$U:$U,'T1 2019 Pipeline Data Lagasco'!$E447,'Dec 31 2018 OFFS'!$AK:$AK,'T1 2019 Pipeline Data Lagasco'!$Q447,'Dec 31 2018 OFFS'!$W:$W,'T1 2019 Pipeline Data Lagasco'!$G447),1))</f>
        <v>35759</v>
      </c>
      <c r="S447" s="275">
        <f t="shared" si="16"/>
        <v>0</v>
      </c>
      <c r="T447" s="217"/>
    </row>
    <row r="448" spans="1:20" ht="14.1" customHeight="1">
      <c r="A448" s="224" t="s">
        <v>1496</v>
      </c>
      <c r="B448" s="218" t="s">
        <v>1497</v>
      </c>
      <c r="C448" s="223">
        <v>1</v>
      </c>
      <c r="D448" s="218" t="s">
        <v>1488</v>
      </c>
      <c r="E448" s="240">
        <v>3</v>
      </c>
      <c r="F448" s="226">
        <v>1542.9133409999999</v>
      </c>
      <c r="G448" s="223">
        <v>1983</v>
      </c>
      <c r="H448" s="223">
        <v>1</v>
      </c>
      <c r="I448" s="225">
        <v>0</v>
      </c>
      <c r="J448" s="223"/>
      <c r="K448" s="229">
        <v>36397.325720000001</v>
      </c>
      <c r="L448" s="241">
        <v>80</v>
      </c>
      <c r="M448" s="233">
        <v>7279.4651439999998</v>
      </c>
      <c r="N448" s="230">
        <v>23.59</v>
      </c>
      <c r="O448" s="287">
        <v>0</v>
      </c>
      <c r="P448" s="318" t="s">
        <v>1558</v>
      </c>
      <c r="Q448" s="276">
        <f t="shared" si="15"/>
        <v>1542.91</v>
      </c>
      <c r="R448" s="275">
        <f>(SUMIFS('Dec 31 2018 OFFS'!$AG:$AG,'Dec 31 2018 OFFS'!$AI:$AI,'T1 2019 Pipeline Data Lagasco'!$A448,'Dec 31 2018 OFFS'!$U:$U,'T1 2019 Pipeline Data Lagasco'!$E448,'Dec 31 2018 OFFS'!$AK:$AK,'T1 2019 Pipeline Data Lagasco'!$Q448,'Dec 31 2018 OFFS'!$W:$W,'T1 2019 Pipeline Data Lagasco'!$G448))/(MAX(COUNTIFS('Dec 31 2018 OFFS'!$AI:$AI,'T1 2019 Pipeline Data Lagasco'!$A448,'Dec 31 2018 OFFS'!$U:$U,'T1 2019 Pipeline Data Lagasco'!$E448,'Dec 31 2018 OFFS'!$AK:$AK,'T1 2019 Pipeline Data Lagasco'!$Q448,'Dec 31 2018 OFFS'!$W:$W,'T1 2019 Pipeline Data Lagasco'!$G448),1))</f>
        <v>0</v>
      </c>
      <c r="S448" s="275">
        <f t="shared" si="16"/>
        <v>0</v>
      </c>
      <c r="T448" s="278" t="e">
        <f>R448/O448</f>
        <v>#DIV/0!</v>
      </c>
    </row>
    <row r="449" spans="1:19" s="217" customFormat="1" ht="14.1" customHeight="1">
      <c r="A449" s="224" t="s">
        <v>1496</v>
      </c>
      <c r="B449" s="218" t="s">
        <v>1497</v>
      </c>
      <c r="C449" s="223">
        <v>1</v>
      </c>
      <c r="D449" s="218" t="s">
        <v>1488</v>
      </c>
      <c r="E449" s="240">
        <v>4</v>
      </c>
      <c r="F449" s="226">
        <v>5505.577268</v>
      </c>
      <c r="G449" s="223">
        <v>1964</v>
      </c>
      <c r="H449" s="223">
        <v>1</v>
      </c>
      <c r="I449" s="223">
        <v>0</v>
      </c>
      <c r="J449" s="223"/>
      <c r="K449" s="228">
        <v>145622.51869999999</v>
      </c>
      <c r="L449" s="241">
        <v>80</v>
      </c>
      <c r="M449" s="229">
        <v>29124.50375</v>
      </c>
      <c r="N449" s="230">
        <v>26.45</v>
      </c>
      <c r="O449" s="231">
        <v>0</v>
      </c>
      <c r="P449" s="314"/>
      <c r="Q449" s="276">
        <f t="shared" si="15"/>
        <v>5505.58</v>
      </c>
      <c r="R449" s="275">
        <f>(SUMIFS('Dec 31 2018 OFFS'!$AG:$AG,'Dec 31 2018 OFFS'!$AI:$AI,'T1 2019 Pipeline Data Lagasco'!$A449,'Dec 31 2018 OFFS'!$U:$U,'T1 2019 Pipeline Data Lagasco'!$E449,'Dec 31 2018 OFFS'!$AK:$AK,'T1 2019 Pipeline Data Lagasco'!$Q449,'Dec 31 2018 OFFS'!$W:$W,'T1 2019 Pipeline Data Lagasco'!$G449))/(MAX(COUNTIFS('Dec 31 2018 OFFS'!$AI:$AI,'T1 2019 Pipeline Data Lagasco'!$A449,'Dec 31 2018 OFFS'!$U:$U,'T1 2019 Pipeline Data Lagasco'!$E449,'Dec 31 2018 OFFS'!$AK:$AK,'T1 2019 Pipeline Data Lagasco'!$Q449,'Dec 31 2018 OFFS'!$W:$W,'T1 2019 Pipeline Data Lagasco'!$G449),1))</f>
        <v>0</v>
      </c>
      <c r="S449" s="275">
        <f t="shared" si="16"/>
        <v>0</v>
      </c>
    </row>
    <row r="450" spans="1:19" s="217" customFormat="1" ht="14.1" customHeight="1">
      <c r="A450" s="224" t="s">
        <v>1496</v>
      </c>
      <c r="B450" s="218" t="s">
        <v>1497</v>
      </c>
      <c r="C450" s="223">
        <v>1</v>
      </c>
      <c r="D450" s="218" t="s">
        <v>1488</v>
      </c>
      <c r="E450" s="240">
        <v>4</v>
      </c>
      <c r="F450" s="236">
        <v>16125.918170000001</v>
      </c>
      <c r="G450" s="223">
        <v>1990</v>
      </c>
      <c r="H450" s="223">
        <v>1</v>
      </c>
      <c r="I450" s="223">
        <v>0</v>
      </c>
      <c r="J450" s="223"/>
      <c r="K450" s="228">
        <v>426530.5355</v>
      </c>
      <c r="L450" s="241">
        <v>73</v>
      </c>
      <c r="M450" s="228">
        <v>115163.24460000001</v>
      </c>
      <c r="N450" s="230">
        <v>26.45</v>
      </c>
      <c r="O450" s="231">
        <v>0</v>
      </c>
      <c r="P450" s="314"/>
      <c r="Q450" s="276">
        <f t="shared" si="15"/>
        <v>16125.92</v>
      </c>
      <c r="R450" s="275">
        <f>(SUMIFS('Dec 31 2018 OFFS'!$AG:$AG,'Dec 31 2018 OFFS'!$AI:$AI,'T1 2019 Pipeline Data Lagasco'!$A450,'Dec 31 2018 OFFS'!$U:$U,'T1 2019 Pipeline Data Lagasco'!$E450,'Dec 31 2018 OFFS'!$AK:$AK,'T1 2019 Pipeline Data Lagasco'!$Q450,'Dec 31 2018 OFFS'!$W:$W,'T1 2019 Pipeline Data Lagasco'!$G450))/(MAX(COUNTIFS('Dec 31 2018 OFFS'!$AI:$AI,'T1 2019 Pipeline Data Lagasco'!$A450,'Dec 31 2018 OFFS'!$U:$U,'T1 2019 Pipeline Data Lagasco'!$E450,'Dec 31 2018 OFFS'!$AK:$AK,'T1 2019 Pipeline Data Lagasco'!$Q450,'Dec 31 2018 OFFS'!$W:$W,'T1 2019 Pipeline Data Lagasco'!$G450),1))</f>
        <v>0</v>
      </c>
      <c r="S450" s="275">
        <f t="shared" si="16"/>
        <v>0</v>
      </c>
    </row>
    <row r="451" spans="1:19" s="217" customFormat="1" ht="14.1" customHeight="1">
      <c r="A451" s="224" t="s">
        <v>1496</v>
      </c>
      <c r="B451" s="218" t="s">
        <v>1497</v>
      </c>
      <c r="C451" s="223">
        <v>1</v>
      </c>
      <c r="D451" s="218" t="s">
        <v>1488</v>
      </c>
      <c r="E451" s="240">
        <v>6</v>
      </c>
      <c r="F451" s="226">
        <v>7807.5457059999999</v>
      </c>
      <c r="G451" s="223">
        <v>1982</v>
      </c>
      <c r="H451" s="223">
        <v>1</v>
      </c>
      <c r="I451" s="223">
        <v>1</v>
      </c>
      <c r="J451" s="223"/>
      <c r="K451" s="228">
        <v>270375.30780000001</v>
      </c>
      <c r="L451" s="241">
        <v>80</v>
      </c>
      <c r="M451" s="229">
        <v>54075.061560000002</v>
      </c>
      <c r="N451" s="230">
        <v>34.630000000000003</v>
      </c>
      <c r="O451" s="231">
        <v>54075</v>
      </c>
      <c r="P451" s="314"/>
      <c r="Q451" s="276">
        <f t="shared" si="15"/>
        <v>7807.55</v>
      </c>
      <c r="R451" s="275">
        <f>(SUMIFS('Dec 31 2018 OFFS'!$AG:$AG,'Dec 31 2018 OFFS'!$AI:$AI,'T1 2019 Pipeline Data Lagasco'!$A451,'Dec 31 2018 OFFS'!$U:$U,'T1 2019 Pipeline Data Lagasco'!$E451,'Dec 31 2018 OFFS'!$AK:$AK,'T1 2019 Pipeline Data Lagasco'!$Q451,'Dec 31 2018 OFFS'!$W:$W,'T1 2019 Pipeline Data Lagasco'!$G451))/(MAX(COUNTIFS('Dec 31 2018 OFFS'!$AI:$AI,'T1 2019 Pipeline Data Lagasco'!$A451,'Dec 31 2018 OFFS'!$U:$U,'T1 2019 Pipeline Data Lagasco'!$E451,'Dec 31 2018 OFFS'!$AK:$AK,'T1 2019 Pipeline Data Lagasco'!$Q451,'Dec 31 2018 OFFS'!$W:$W,'T1 2019 Pipeline Data Lagasco'!$G451),1))</f>
        <v>54075</v>
      </c>
      <c r="S451" s="275">
        <f t="shared" si="16"/>
        <v>0</v>
      </c>
    </row>
    <row r="452" spans="1:19" s="217" customFormat="1" ht="14.1" customHeight="1">
      <c r="A452" s="224" t="s">
        <v>1496</v>
      </c>
      <c r="B452" s="218" t="s">
        <v>1497</v>
      </c>
      <c r="C452" s="223">
        <v>1</v>
      </c>
      <c r="D452" s="218" t="s">
        <v>1488</v>
      </c>
      <c r="E452" s="240">
        <v>6</v>
      </c>
      <c r="F452" s="236">
        <v>25267.912649999998</v>
      </c>
      <c r="G452" s="223">
        <v>1982</v>
      </c>
      <c r="H452" s="223">
        <v>1</v>
      </c>
      <c r="I452" s="223">
        <v>1</v>
      </c>
      <c r="J452" s="223"/>
      <c r="K452" s="228">
        <v>875027.81519999995</v>
      </c>
      <c r="L452" s="241">
        <v>80</v>
      </c>
      <c r="M452" s="239">
        <v>175005.56299999999</v>
      </c>
      <c r="N452" s="230">
        <v>34.630000000000003</v>
      </c>
      <c r="O452" s="231">
        <v>175005</v>
      </c>
      <c r="P452" s="314"/>
      <c r="Q452" s="276">
        <f t="shared" si="15"/>
        <v>25267.91</v>
      </c>
      <c r="R452" s="275">
        <f>(SUMIFS('Dec 31 2018 OFFS'!$AG:$AG,'Dec 31 2018 OFFS'!$AI:$AI,'T1 2019 Pipeline Data Lagasco'!$A452,'Dec 31 2018 OFFS'!$U:$U,'T1 2019 Pipeline Data Lagasco'!$E452,'Dec 31 2018 OFFS'!$AK:$AK,'T1 2019 Pipeline Data Lagasco'!$Q452,'Dec 31 2018 OFFS'!$W:$W,'T1 2019 Pipeline Data Lagasco'!$G452))/(MAX(COUNTIFS('Dec 31 2018 OFFS'!$AI:$AI,'T1 2019 Pipeline Data Lagasco'!$A452,'Dec 31 2018 OFFS'!$U:$U,'T1 2019 Pipeline Data Lagasco'!$E452,'Dec 31 2018 OFFS'!$AK:$AK,'T1 2019 Pipeline Data Lagasco'!$Q452,'Dec 31 2018 OFFS'!$W:$W,'T1 2019 Pipeline Data Lagasco'!$G452),1))</f>
        <v>175005</v>
      </c>
      <c r="S452" s="275">
        <f t="shared" si="16"/>
        <v>0</v>
      </c>
    </row>
    <row r="453" spans="1:19" s="217" customFormat="1" ht="14.1" customHeight="1">
      <c r="A453" s="224" t="s">
        <v>1496</v>
      </c>
      <c r="B453" s="218" t="s">
        <v>1497</v>
      </c>
      <c r="C453" s="223">
        <v>1</v>
      </c>
      <c r="D453" s="218" t="s">
        <v>1488</v>
      </c>
      <c r="E453" s="240">
        <v>6</v>
      </c>
      <c r="F453" s="230">
        <v>9337.66</v>
      </c>
      <c r="G453" s="223">
        <v>1982</v>
      </c>
      <c r="H453" s="223">
        <v>1</v>
      </c>
      <c r="I453" s="223">
        <v>1</v>
      </c>
      <c r="J453" s="223"/>
      <c r="K453" s="228">
        <v>323363.16580000002</v>
      </c>
      <c r="L453" s="241">
        <v>80</v>
      </c>
      <c r="M453" s="229">
        <v>64672.633159999998</v>
      </c>
      <c r="N453" s="230">
        <v>34.630000000000003</v>
      </c>
      <c r="O453" s="231">
        <v>64672</v>
      </c>
      <c r="P453" s="314"/>
      <c r="Q453" s="276">
        <f t="shared" si="15"/>
        <v>9337.66</v>
      </c>
      <c r="R453" s="275">
        <f>(SUMIFS('Dec 31 2018 OFFS'!$AG:$AG,'Dec 31 2018 OFFS'!$AI:$AI,'T1 2019 Pipeline Data Lagasco'!$A453,'Dec 31 2018 OFFS'!$U:$U,'T1 2019 Pipeline Data Lagasco'!$E453,'Dec 31 2018 OFFS'!$AK:$AK,'T1 2019 Pipeline Data Lagasco'!$Q453,'Dec 31 2018 OFFS'!$W:$W,'T1 2019 Pipeline Data Lagasco'!$G453))/(MAX(COUNTIFS('Dec 31 2018 OFFS'!$AI:$AI,'T1 2019 Pipeline Data Lagasco'!$A453,'Dec 31 2018 OFFS'!$U:$U,'T1 2019 Pipeline Data Lagasco'!$E453,'Dec 31 2018 OFFS'!$AK:$AK,'T1 2019 Pipeline Data Lagasco'!$Q453,'Dec 31 2018 OFFS'!$W:$W,'T1 2019 Pipeline Data Lagasco'!$G453),1))</f>
        <v>64672</v>
      </c>
      <c r="S453" s="275">
        <f t="shared" si="16"/>
        <v>0</v>
      </c>
    </row>
    <row r="454" spans="1:19" s="217" customFormat="1" ht="14.1" customHeight="1">
      <c r="A454" s="224" t="s">
        <v>1496</v>
      </c>
      <c r="B454" s="218" t="s">
        <v>1497</v>
      </c>
      <c r="C454" s="223">
        <v>1</v>
      </c>
      <c r="D454" s="218" t="s">
        <v>1488</v>
      </c>
      <c r="E454" s="240">
        <v>6</v>
      </c>
      <c r="F454" s="223">
        <v>16078</v>
      </c>
      <c r="G454" s="223">
        <v>2010</v>
      </c>
      <c r="H454" s="223">
        <v>1</v>
      </c>
      <c r="I454" s="223">
        <v>1</v>
      </c>
      <c r="J454" s="223"/>
      <c r="K454" s="238">
        <v>556781.14</v>
      </c>
      <c r="L454" s="241">
        <v>39</v>
      </c>
      <c r="M454" s="228">
        <v>339636.49540000001</v>
      </c>
      <c r="N454" s="230">
        <v>34.630000000000003</v>
      </c>
      <c r="O454" s="231">
        <v>339636</v>
      </c>
      <c r="P454" s="314"/>
      <c r="Q454" s="276">
        <f t="shared" si="15"/>
        <v>16078</v>
      </c>
      <c r="R454" s="275">
        <f>(SUMIFS('Dec 31 2018 OFFS'!$AG:$AG,'Dec 31 2018 OFFS'!$AI:$AI,'T1 2019 Pipeline Data Lagasco'!$A454,'Dec 31 2018 OFFS'!$U:$U,'T1 2019 Pipeline Data Lagasco'!$E454,'Dec 31 2018 OFFS'!$AK:$AK,'T1 2019 Pipeline Data Lagasco'!$Q454,'Dec 31 2018 OFFS'!$W:$W,'T1 2019 Pipeline Data Lagasco'!$G454))/(MAX(COUNTIFS('Dec 31 2018 OFFS'!$AI:$AI,'T1 2019 Pipeline Data Lagasco'!$A454,'Dec 31 2018 OFFS'!$U:$U,'T1 2019 Pipeline Data Lagasco'!$E454,'Dec 31 2018 OFFS'!$AK:$AK,'T1 2019 Pipeline Data Lagasco'!$Q454,'Dec 31 2018 OFFS'!$W:$W,'T1 2019 Pipeline Data Lagasco'!$G454),1))</f>
        <v>339636</v>
      </c>
      <c r="S454" s="275">
        <f t="shared" si="16"/>
        <v>0</v>
      </c>
    </row>
    <row r="455" spans="1:19" s="217" customFormat="1" ht="14.1" customHeight="1">
      <c r="A455" s="224" t="s">
        <v>1496</v>
      </c>
      <c r="B455" s="218" t="s">
        <v>1497</v>
      </c>
      <c r="C455" s="223">
        <v>1</v>
      </c>
      <c r="D455" s="218" t="s">
        <v>1488</v>
      </c>
      <c r="E455" s="240">
        <v>6</v>
      </c>
      <c r="F455" s="223">
        <v>14799</v>
      </c>
      <c r="G455" s="223">
        <v>2010</v>
      </c>
      <c r="H455" s="223">
        <v>1</v>
      </c>
      <c r="I455" s="223">
        <v>0</v>
      </c>
      <c r="J455" s="223"/>
      <c r="K455" s="238">
        <v>512489.37</v>
      </c>
      <c r="L455" s="241">
        <v>39</v>
      </c>
      <c r="M455" s="228">
        <v>312618.51569999999</v>
      </c>
      <c r="N455" s="230">
        <v>34.630000000000003</v>
      </c>
      <c r="O455" s="231">
        <v>0</v>
      </c>
      <c r="P455" s="314"/>
      <c r="Q455" s="276">
        <f t="shared" si="15"/>
        <v>14799</v>
      </c>
      <c r="R455" s="275">
        <f>(SUMIFS('Dec 31 2018 OFFS'!$AG:$AG,'Dec 31 2018 OFFS'!$AI:$AI,'T1 2019 Pipeline Data Lagasco'!$A455,'Dec 31 2018 OFFS'!$U:$U,'T1 2019 Pipeline Data Lagasco'!$E455,'Dec 31 2018 OFFS'!$AK:$AK,'T1 2019 Pipeline Data Lagasco'!$Q455,'Dec 31 2018 OFFS'!$W:$W,'T1 2019 Pipeline Data Lagasco'!$G455))/(MAX(COUNTIFS('Dec 31 2018 OFFS'!$AI:$AI,'T1 2019 Pipeline Data Lagasco'!$A455,'Dec 31 2018 OFFS'!$U:$U,'T1 2019 Pipeline Data Lagasco'!$E455,'Dec 31 2018 OFFS'!$AK:$AK,'T1 2019 Pipeline Data Lagasco'!$Q455,'Dec 31 2018 OFFS'!$W:$W,'T1 2019 Pipeline Data Lagasco'!$G455),1))</f>
        <v>0</v>
      </c>
      <c r="S455" s="275">
        <f t="shared" si="16"/>
        <v>0</v>
      </c>
    </row>
    <row r="456" spans="1:19" s="217" customFormat="1" ht="14.1" customHeight="1">
      <c r="A456" s="224" t="s">
        <v>1496</v>
      </c>
      <c r="B456" s="218" t="s">
        <v>1497</v>
      </c>
      <c r="C456" s="223">
        <v>1</v>
      </c>
      <c r="D456" s="218" t="s">
        <v>1488</v>
      </c>
      <c r="E456" s="240">
        <v>6</v>
      </c>
      <c r="F456" s="223">
        <v>12952</v>
      </c>
      <c r="G456" s="223">
        <v>1980</v>
      </c>
      <c r="H456" s="223">
        <v>1</v>
      </c>
      <c r="I456" s="223">
        <v>1</v>
      </c>
      <c r="J456" s="223"/>
      <c r="K456" s="238">
        <v>448527.76</v>
      </c>
      <c r="L456" s="241">
        <v>80</v>
      </c>
      <c r="M456" s="239">
        <v>89705.551999999996</v>
      </c>
      <c r="N456" s="230">
        <v>34.630000000000003</v>
      </c>
      <c r="O456" s="231">
        <v>89705</v>
      </c>
      <c r="P456" s="314"/>
      <c r="Q456" s="276">
        <f t="shared" si="15"/>
        <v>12952</v>
      </c>
      <c r="R456" s="275">
        <f>(SUMIFS('Dec 31 2018 OFFS'!$AG:$AG,'Dec 31 2018 OFFS'!$AI:$AI,'T1 2019 Pipeline Data Lagasco'!$A456,'Dec 31 2018 OFFS'!$U:$U,'T1 2019 Pipeline Data Lagasco'!$E456,'Dec 31 2018 OFFS'!$AK:$AK,'T1 2019 Pipeline Data Lagasco'!$Q456,'Dec 31 2018 OFFS'!$W:$W,'T1 2019 Pipeline Data Lagasco'!$G456))/(MAX(COUNTIFS('Dec 31 2018 OFFS'!$AI:$AI,'T1 2019 Pipeline Data Lagasco'!$A456,'Dec 31 2018 OFFS'!$U:$U,'T1 2019 Pipeline Data Lagasco'!$E456,'Dec 31 2018 OFFS'!$AK:$AK,'T1 2019 Pipeline Data Lagasco'!$Q456,'Dec 31 2018 OFFS'!$W:$W,'T1 2019 Pipeline Data Lagasco'!$G456),1))</f>
        <v>89705</v>
      </c>
      <c r="S456" s="275">
        <f t="shared" si="16"/>
        <v>0</v>
      </c>
    </row>
    <row r="457" spans="1:19" s="217" customFormat="1" ht="14.1" customHeight="1">
      <c r="A457" s="224" t="s">
        <v>1496</v>
      </c>
      <c r="B457" s="218" t="s">
        <v>1497</v>
      </c>
      <c r="C457" s="223">
        <v>1</v>
      </c>
      <c r="D457" s="218" t="s">
        <v>1488</v>
      </c>
      <c r="E457" s="240">
        <v>6</v>
      </c>
      <c r="F457" s="236">
        <v>16557.053329999999</v>
      </c>
      <c r="G457" s="223">
        <v>1982</v>
      </c>
      <c r="H457" s="223">
        <v>1</v>
      </c>
      <c r="I457" s="223">
        <v>0</v>
      </c>
      <c r="J457" s="223"/>
      <c r="K457" s="228">
        <v>573370.75670000003</v>
      </c>
      <c r="L457" s="241">
        <v>80</v>
      </c>
      <c r="M457" s="228">
        <v>114674.1513</v>
      </c>
      <c r="N457" s="230">
        <v>34.630000000000003</v>
      </c>
      <c r="O457" s="231">
        <v>0</v>
      </c>
      <c r="P457" s="314"/>
      <c r="Q457" s="276">
        <f t="shared" si="15"/>
        <v>16557.05</v>
      </c>
      <c r="R457" s="275">
        <f>(SUMIFS('Dec 31 2018 OFFS'!$AG:$AG,'Dec 31 2018 OFFS'!$AI:$AI,'T1 2019 Pipeline Data Lagasco'!$A457,'Dec 31 2018 OFFS'!$U:$U,'T1 2019 Pipeline Data Lagasco'!$E457,'Dec 31 2018 OFFS'!$AK:$AK,'T1 2019 Pipeline Data Lagasco'!$Q457,'Dec 31 2018 OFFS'!$W:$W,'T1 2019 Pipeline Data Lagasco'!$G457))/(MAX(COUNTIFS('Dec 31 2018 OFFS'!$AI:$AI,'T1 2019 Pipeline Data Lagasco'!$A457,'Dec 31 2018 OFFS'!$U:$U,'T1 2019 Pipeline Data Lagasco'!$E457,'Dec 31 2018 OFFS'!$AK:$AK,'T1 2019 Pipeline Data Lagasco'!$Q457,'Dec 31 2018 OFFS'!$W:$W,'T1 2019 Pipeline Data Lagasco'!$G457),1))</f>
        <v>0</v>
      </c>
      <c r="S457" s="275">
        <f t="shared" si="16"/>
        <v>0</v>
      </c>
    </row>
    <row r="458" spans="1:19" s="217" customFormat="1" ht="14.1" customHeight="1">
      <c r="A458" s="224" t="s">
        <v>1496</v>
      </c>
      <c r="B458" s="218" t="s">
        <v>1497</v>
      </c>
      <c r="C458" s="223">
        <v>1</v>
      </c>
      <c r="D458" s="218" t="s">
        <v>1488</v>
      </c>
      <c r="E458" s="240">
        <v>6</v>
      </c>
      <c r="F458" s="236">
        <v>14551.443149999999</v>
      </c>
      <c r="G458" s="223">
        <v>1982</v>
      </c>
      <c r="H458" s="223">
        <v>1</v>
      </c>
      <c r="I458" s="223">
        <v>1</v>
      </c>
      <c r="J458" s="223"/>
      <c r="K458" s="228">
        <v>503916.47619999998</v>
      </c>
      <c r="L458" s="241">
        <v>80</v>
      </c>
      <c r="M458" s="228">
        <v>100783.29519999999</v>
      </c>
      <c r="N458" s="230">
        <v>34.630000000000003</v>
      </c>
      <c r="O458" s="231">
        <v>100783</v>
      </c>
      <c r="P458" s="314"/>
      <c r="Q458" s="276">
        <f t="shared" si="15"/>
        <v>14551.44</v>
      </c>
      <c r="R458" s="275">
        <f>(SUMIFS('Dec 31 2018 OFFS'!$AG:$AG,'Dec 31 2018 OFFS'!$AI:$AI,'T1 2019 Pipeline Data Lagasco'!$A458,'Dec 31 2018 OFFS'!$U:$U,'T1 2019 Pipeline Data Lagasco'!$E458,'Dec 31 2018 OFFS'!$AK:$AK,'T1 2019 Pipeline Data Lagasco'!$Q458,'Dec 31 2018 OFFS'!$W:$W,'T1 2019 Pipeline Data Lagasco'!$G458))/(MAX(COUNTIFS('Dec 31 2018 OFFS'!$AI:$AI,'T1 2019 Pipeline Data Lagasco'!$A458,'Dec 31 2018 OFFS'!$U:$U,'T1 2019 Pipeline Data Lagasco'!$E458,'Dec 31 2018 OFFS'!$AK:$AK,'T1 2019 Pipeline Data Lagasco'!$Q458,'Dec 31 2018 OFFS'!$W:$W,'T1 2019 Pipeline Data Lagasco'!$G458),1))</f>
        <v>100783</v>
      </c>
      <c r="S458" s="275">
        <f t="shared" si="16"/>
        <v>0</v>
      </c>
    </row>
    <row r="459" spans="1:19" s="217" customFormat="1" ht="14.1" customHeight="1">
      <c r="A459" s="224" t="s">
        <v>1496</v>
      </c>
      <c r="B459" s="218" t="s">
        <v>1497</v>
      </c>
      <c r="C459" s="223">
        <v>1</v>
      </c>
      <c r="D459" s="218" t="s">
        <v>1488</v>
      </c>
      <c r="E459" s="240">
        <v>8</v>
      </c>
      <c r="F459" s="236">
        <v>15065.321089999999</v>
      </c>
      <c r="G459" s="223">
        <v>1979</v>
      </c>
      <c r="H459" s="223">
        <v>1</v>
      </c>
      <c r="I459" s="223">
        <v>1</v>
      </c>
      <c r="J459" s="223"/>
      <c r="K459" s="228">
        <v>742720.32949999999</v>
      </c>
      <c r="L459" s="241">
        <v>80</v>
      </c>
      <c r="M459" s="228">
        <v>148544.06589999999</v>
      </c>
      <c r="N459" s="242">
        <v>49.30</v>
      </c>
      <c r="O459" s="231">
        <v>148544</v>
      </c>
      <c r="P459" s="314"/>
      <c r="Q459" s="276">
        <f t="shared" si="15"/>
        <v>15065.32</v>
      </c>
      <c r="R459" s="275">
        <f>(SUMIFS('Dec 31 2018 OFFS'!$AG:$AG,'Dec 31 2018 OFFS'!$AI:$AI,'T1 2019 Pipeline Data Lagasco'!$A459,'Dec 31 2018 OFFS'!$U:$U,'T1 2019 Pipeline Data Lagasco'!$E459,'Dec 31 2018 OFFS'!$AK:$AK,'T1 2019 Pipeline Data Lagasco'!$Q459,'Dec 31 2018 OFFS'!$W:$W,'T1 2019 Pipeline Data Lagasco'!$G459))/(MAX(COUNTIFS('Dec 31 2018 OFFS'!$AI:$AI,'T1 2019 Pipeline Data Lagasco'!$A459,'Dec 31 2018 OFFS'!$U:$U,'T1 2019 Pipeline Data Lagasco'!$E459,'Dec 31 2018 OFFS'!$AK:$AK,'T1 2019 Pipeline Data Lagasco'!$Q459,'Dec 31 2018 OFFS'!$W:$W,'T1 2019 Pipeline Data Lagasco'!$G459),1))</f>
        <v>148544</v>
      </c>
      <c r="S459" s="275">
        <f t="shared" si="16"/>
        <v>0</v>
      </c>
    </row>
    <row r="460" spans="1:19" s="217" customFormat="1" ht="14.1" customHeight="1">
      <c r="A460" s="224" t="s">
        <v>1496</v>
      </c>
      <c r="B460" s="218" t="s">
        <v>1497</v>
      </c>
      <c r="C460" s="223">
        <v>1</v>
      </c>
      <c r="D460" s="218" t="s">
        <v>1488</v>
      </c>
      <c r="E460" s="240">
        <v>8</v>
      </c>
      <c r="F460" s="230">
        <v>8565.06</v>
      </c>
      <c r="G460" s="223">
        <v>1979</v>
      </c>
      <c r="H460" s="223">
        <v>1</v>
      </c>
      <c r="I460" s="223">
        <v>1</v>
      </c>
      <c r="J460" s="223"/>
      <c r="K460" s="239">
        <v>422257.45799999998</v>
      </c>
      <c r="L460" s="241">
        <v>80</v>
      </c>
      <c r="M460" s="228">
        <v>84451.491599999994</v>
      </c>
      <c r="N460" s="242">
        <v>49.30</v>
      </c>
      <c r="O460" s="231">
        <v>84451</v>
      </c>
      <c r="P460" s="314"/>
      <c r="Q460" s="276">
        <f t="shared" si="15"/>
        <v>8565.06</v>
      </c>
      <c r="R460" s="275">
        <f>(SUMIFS('Dec 31 2018 OFFS'!$AG:$AG,'Dec 31 2018 OFFS'!$AI:$AI,'T1 2019 Pipeline Data Lagasco'!$A460,'Dec 31 2018 OFFS'!$U:$U,'T1 2019 Pipeline Data Lagasco'!$E460,'Dec 31 2018 OFFS'!$AK:$AK,'T1 2019 Pipeline Data Lagasco'!$Q460,'Dec 31 2018 OFFS'!$W:$W,'T1 2019 Pipeline Data Lagasco'!$G460))/(MAX(COUNTIFS('Dec 31 2018 OFFS'!$AI:$AI,'T1 2019 Pipeline Data Lagasco'!$A460,'Dec 31 2018 OFFS'!$U:$U,'T1 2019 Pipeline Data Lagasco'!$E460,'Dec 31 2018 OFFS'!$AK:$AK,'T1 2019 Pipeline Data Lagasco'!$Q460,'Dec 31 2018 OFFS'!$W:$W,'T1 2019 Pipeline Data Lagasco'!$G460),1))</f>
        <v>84451</v>
      </c>
      <c r="S460" s="275">
        <f t="shared" si="16"/>
        <v>0</v>
      </c>
    </row>
    <row r="461" spans="1:19" s="217" customFormat="1" ht="14.1" customHeight="1">
      <c r="A461" s="224" t="s">
        <v>1496</v>
      </c>
      <c r="B461" s="218" t="s">
        <v>1497</v>
      </c>
      <c r="C461" s="223">
        <v>1</v>
      </c>
      <c r="D461" s="218" t="s">
        <v>1488</v>
      </c>
      <c r="E461" s="240">
        <v>8</v>
      </c>
      <c r="F461" s="226">
        <v>9953.7726779999994</v>
      </c>
      <c r="G461" s="223">
        <v>1979</v>
      </c>
      <c r="H461" s="223">
        <v>1</v>
      </c>
      <c r="I461" s="223">
        <v>1</v>
      </c>
      <c r="J461" s="223"/>
      <c r="K461" s="239">
        <v>490720.99300000002</v>
      </c>
      <c r="L461" s="241">
        <v>80</v>
      </c>
      <c r="M461" s="228">
        <v>98144.198600000003</v>
      </c>
      <c r="N461" s="242">
        <v>49.30</v>
      </c>
      <c r="O461" s="231">
        <v>98144</v>
      </c>
      <c r="P461" s="314"/>
      <c r="Q461" s="276">
        <f t="shared" si="15"/>
        <v>9953.77</v>
      </c>
      <c r="R461" s="275">
        <f>(SUMIFS('Dec 31 2018 OFFS'!$AG:$AG,'Dec 31 2018 OFFS'!$AI:$AI,'T1 2019 Pipeline Data Lagasco'!$A461,'Dec 31 2018 OFFS'!$U:$U,'T1 2019 Pipeline Data Lagasco'!$E461,'Dec 31 2018 OFFS'!$AK:$AK,'T1 2019 Pipeline Data Lagasco'!$Q461,'Dec 31 2018 OFFS'!$W:$W,'T1 2019 Pipeline Data Lagasco'!$G461))/(MAX(COUNTIFS('Dec 31 2018 OFFS'!$AI:$AI,'T1 2019 Pipeline Data Lagasco'!$A461,'Dec 31 2018 OFFS'!$U:$U,'T1 2019 Pipeline Data Lagasco'!$E461,'Dec 31 2018 OFFS'!$AK:$AK,'T1 2019 Pipeline Data Lagasco'!$Q461,'Dec 31 2018 OFFS'!$W:$W,'T1 2019 Pipeline Data Lagasco'!$G461),1))</f>
        <v>98144</v>
      </c>
      <c r="S461" s="275">
        <f t="shared" si="16"/>
        <v>0</v>
      </c>
    </row>
    <row r="462" spans="1:18" s="217" customFormat="1" ht="14.1" customHeight="1">
      <c r="A462" s="224" t="s">
        <v>1496</v>
      </c>
      <c r="B462" s="218" t="s">
        <v>1497</v>
      </c>
      <c r="C462" s="223">
        <v>3</v>
      </c>
      <c r="D462" s="218" t="s">
        <v>1493</v>
      </c>
      <c r="E462" s="240">
        <v>6</v>
      </c>
      <c r="F462" s="223">
        <v>8047</v>
      </c>
      <c r="G462" s="223">
        <v>1982</v>
      </c>
      <c r="H462" s="223">
        <v>1</v>
      </c>
      <c r="I462" s="223">
        <v>1</v>
      </c>
      <c r="J462" s="223"/>
      <c r="K462" s="238">
        <v>369598.71</v>
      </c>
      <c r="L462" s="241">
        <v>57</v>
      </c>
      <c r="M462" s="228">
        <v>158927.44529999999</v>
      </c>
      <c r="N462" s="230">
        <v>45.93</v>
      </c>
      <c r="O462" s="231">
        <v>158927</v>
      </c>
      <c r="R462" s="223"/>
    </row>
    <row r="463" spans="1:18" s="217" customFormat="1" ht="14.1" customHeight="1">
      <c r="A463" s="224" t="s">
        <v>1496</v>
      </c>
      <c r="B463" s="218" t="s">
        <v>1497</v>
      </c>
      <c r="C463" s="223">
        <v>3</v>
      </c>
      <c r="D463" s="218" t="s">
        <v>1493</v>
      </c>
      <c r="E463" s="240">
        <v>6</v>
      </c>
      <c r="F463" s="223">
        <v>1348</v>
      </c>
      <c r="G463" s="223">
        <v>1982</v>
      </c>
      <c r="H463" s="223">
        <v>1</v>
      </c>
      <c r="I463" s="223">
        <v>1</v>
      </c>
      <c r="J463" s="223"/>
      <c r="K463" s="238">
        <v>61913.64</v>
      </c>
      <c r="L463" s="241">
        <v>57</v>
      </c>
      <c r="M463" s="228">
        <v>26622.8652</v>
      </c>
      <c r="N463" s="230">
        <v>45.93</v>
      </c>
      <c r="O463" s="231">
        <v>26622</v>
      </c>
      <c r="R463" s="223"/>
    </row>
    <row r="464" spans="1:18" s="217" customFormat="1" ht="14.1" customHeight="1">
      <c r="A464" s="224" t="s">
        <v>1496</v>
      </c>
      <c r="B464" s="218" t="s">
        <v>1497</v>
      </c>
      <c r="C464" s="223">
        <v>3</v>
      </c>
      <c r="D464" s="218" t="s">
        <v>1493</v>
      </c>
      <c r="E464" s="240">
        <v>6</v>
      </c>
      <c r="F464" s="223">
        <v>23345</v>
      </c>
      <c r="G464" s="223">
        <v>1982</v>
      </c>
      <c r="H464" s="223">
        <v>1</v>
      </c>
      <c r="I464" s="223">
        <v>1</v>
      </c>
      <c r="J464" s="223"/>
      <c r="K464" s="238">
        <v>1072235.8500000001</v>
      </c>
      <c r="L464" s="241">
        <v>57</v>
      </c>
      <c r="M464" s="228">
        <v>461061.4155</v>
      </c>
      <c r="N464" s="230">
        <v>45.93</v>
      </c>
      <c r="O464" s="231">
        <v>461061</v>
      </c>
      <c r="R464" s="223"/>
    </row>
    <row r="465" spans="1:20" ht="14.1" customHeight="1">
      <c r="A465" s="224" t="s">
        <v>1496</v>
      </c>
      <c r="B465" s="218" t="s">
        <v>1497</v>
      </c>
      <c r="C465" s="223">
        <v>3</v>
      </c>
      <c r="D465" s="218" t="s">
        <v>1493</v>
      </c>
      <c r="E465" s="240">
        <v>6</v>
      </c>
      <c r="F465" s="223">
        <v>8997</v>
      </c>
      <c r="G465" s="223">
        <v>1982</v>
      </c>
      <c r="H465" s="223">
        <v>1</v>
      </c>
      <c r="I465" s="223">
        <v>1</v>
      </c>
      <c r="J465" s="223"/>
      <c r="K465" s="238">
        <v>413232.21</v>
      </c>
      <c r="L465" s="241">
        <v>57</v>
      </c>
      <c r="M465" s="228">
        <v>177689.85029999999</v>
      </c>
      <c r="N465" s="230">
        <v>45.93</v>
      </c>
      <c r="O465" s="231">
        <v>177689</v>
      </c>
      <c r="R465" s="223"/>
      <c r="T465" s="217"/>
    </row>
    <row r="466" spans="1:20" ht="14.1" customHeight="1">
      <c r="A466" s="224" t="s">
        <v>1496</v>
      </c>
      <c r="B466" s="218" t="s">
        <v>1497</v>
      </c>
      <c r="C466" s="223">
        <v>3</v>
      </c>
      <c r="D466" s="218" t="s">
        <v>1493</v>
      </c>
      <c r="E466" s="240">
        <v>6</v>
      </c>
      <c r="F466" s="223">
        <v>2250</v>
      </c>
      <c r="G466" s="223">
        <v>1982</v>
      </c>
      <c r="H466" s="223">
        <v>1</v>
      </c>
      <c r="I466" s="223">
        <v>1</v>
      </c>
      <c r="J466" s="223"/>
      <c r="K466" s="237">
        <v>103342.50</v>
      </c>
      <c r="L466" s="241">
        <v>57</v>
      </c>
      <c r="M466" s="239">
        <v>44437.275000000001</v>
      </c>
      <c r="N466" s="230">
        <v>45.93</v>
      </c>
      <c r="O466" s="231">
        <v>44437</v>
      </c>
      <c r="R466" s="223"/>
      <c r="T466" s="217"/>
    </row>
    <row r="467" spans="1:20" ht="14.1" customHeight="1">
      <c r="A467" s="224" t="s">
        <v>1496</v>
      </c>
      <c r="B467" s="218" t="s">
        <v>1497</v>
      </c>
      <c r="C467" s="223">
        <v>3</v>
      </c>
      <c r="D467" s="218" t="s">
        <v>1493</v>
      </c>
      <c r="E467" s="240">
        <v>6</v>
      </c>
      <c r="F467" s="223">
        <v>4046</v>
      </c>
      <c r="G467" s="223">
        <v>1982</v>
      </c>
      <c r="H467" s="223">
        <v>1</v>
      </c>
      <c r="I467" s="223">
        <v>1</v>
      </c>
      <c r="J467" s="223"/>
      <c r="K467" s="238">
        <v>185832.78</v>
      </c>
      <c r="L467" s="241">
        <v>57</v>
      </c>
      <c r="M467" s="228">
        <v>79908.095400000006</v>
      </c>
      <c r="N467" s="230">
        <v>45.93</v>
      </c>
      <c r="O467" s="231">
        <v>79908</v>
      </c>
      <c r="R467" s="223"/>
      <c r="T467" s="217"/>
    </row>
    <row r="468" spans="1:20" ht="14.1" customHeight="1">
      <c r="A468" s="224" t="s">
        <v>1498</v>
      </c>
      <c r="B468" s="218" t="s">
        <v>1499</v>
      </c>
      <c r="C468" s="223">
        <v>1</v>
      </c>
      <c r="D468" s="218" t="s">
        <v>1488</v>
      </c>
      <c r="E468" s="240">
        <v>2</v>
      </c>
      <c r="F468" s="226">
        <v>1912.828029</v>
      </c>
      <c r="G468" s="223">
        <v>1988</v>
      </c>
      <c r="H468" s="223">
        <v>1</v>
      </c>
      <c r="I468" s="223">
        <v>1</v>
      </c>
      <c r="J468" s="223"/>
      <c r="K468" s="229">
        <v>31064.32718</v>
      </c>
      <c r="L468" s="241">
        <v>76</v>
      </c>
      <c r="M468" s="233">
        <v>7455.4385240000001</v>
      </c>
      <c r="N468" s="230">
        <v>16.239999999999998</v>
      </c>
      <c r="O468" s="231">
        <v>7455</v>
      </c>
      <c r="P468" s="314"/>
      <c r="Q468" s="276">
        <f t="shared" si="17" ref="Q468:Q531">ROUND(F468,2)</f>
        <v>1912.83</v>
      </c>
      <c r="R468" s="275">
        <f>(SUMIFS('Dec 31 2018 OFFS'!$AG:$AG,'Dec 31 2018 OFFS'!$AI:$AI,'T1 2019 Pipeline Data Lagasco'!$A468,'Dec 31 2018 OFFS'!$U:$U,'T1 2019 Pipeline Data Lagasco'!$E468,'Dec 31 2018 OFFS'!$AK:$AK,'T1 2019 Pipeline Data Lagasco'!$Q468,'Dec 31 2018 OFFS'!$W:$W,'T1 2019 Pipeline Data Lagasco'!$G468))/(MAX(COUNTIFS('Dec 31 2018 OFFS'!$AI:$AI,'T1 2019 Pipeline Data Lagasco'!$A468,'Dec 31 2018 OFFS'!$U:$U,'T1 2019 Pipeline Data Lagasco'!$E468,'Dec 31 2018 OFFS'!$AK:$AK,'T1 2019 Pipeline Data Lagasco'!$Q468,'Dec 31 2018 OFFS'!$W:$W,'T1 2019 Pipeline Data Lagasco'!$G468),1))</f>
        <v>7455</v>
      </c>
      <c r="S468" s="275">
        <f t="shared" si="18" ref="S468:S531">O468-R468</f>
        <v>0</v>
      </c>
      <c r="T468" s="217"/>
    </row>
    <row r="469" spans="1:20" ht="14.1" customHeight="1">
      <c r="A469" s="224" t="s">
        <v>1498</v>
      </c>
      <c r="B469" s="218" t="s">
        <v>1499</v>
      </c>
      <c r="C469" s="223">
        <v>1</v>
      </c>
      <c r="D469" s="218" t="s">
        <v>1488</v>
      </c>
      <c r="E469" s="240">
        <v>3</v>
      </c>
      <c r="F469" s="223">
        <v>7296</v>
      </c>
      <c r="G469" s="223">
        <v>1967</v>
      </c>
      <c r="H469" s="223">
        <v>1</v>
      </c>
      <c r="I469" s="223">
        <v>0</v>
      </c>
      <c r="J469" s="223"/>
      <c r="K469" s="238">
        <v>172112.64</v>
      </c>
      <c r="L469" s="241">
        <v>80</v>
      </c>
      <c r="M469" s="239">
        <v>34422.527999999998</v>
      </c>
      <c r="N469" s="230">
        <v>23.59</v>
      </c>
      <c r="O469" s="231">
        <v>0</v>
      </c>
      <c r="P469" s="314"/>
      <c r="Q469" s="276">
        <f t="shared" si="17"/>
        <v>7296</v>
      </c>
      <c r="R469" s="275">
        <f>(SUMIFS('Dec 31 2018 OFFS'!$AG:$AG,'Dec 31 2018 OFFS'!$AI:$AI,'T1 2019 Pipeline Data Lagasco'!$A469,'Dec 31 2018 OFFS'!$U:$U,'T1 2019 Pipeline Data Lagasco'!$E469,'Dec 31 2018 OFFS'!$AK:$AK,'T1 2019 Pipeline Data Lagasco'!$Q469,'Dec 31 2018 OFFS'!$W:$W,'T1 2019 Pipeline Data Lagasco'!$G469))/(MAX(COUNTIFS('Dec 31 2018 OFFS'!$AI:$AI,'T1 2019 Pipeline Data Lagasco'!$A469,'Dec 31 2018 OFFS'!$U:$U,'T1 2019 Pipeline Data Lagasco'!$E469,'Dec 31 2018 OFFS'!$AK:$AK,'T1 2019 Pipeline Data Lagasco'!$Q469,'Dec 31 2018 OFFS'!$W:$W,'T1 2019 Pipeline Data Lagasco'!$G469),1))</f>
        <v>0</v>
      </c>
      <c r="S469" s="275">
        <f t="shared" si="18"/>
        <v>0</v>
      </c>
      <c r="T469" s="217"/>
    </row>
    <row r="470" spans="1:20" ht="14.1" customHeight="1">
      <c r="A470" s="224" t="s">
        <v>1498</v>
      </c>
      <c r="B470" s="218" t="s">
        <v>1499</v>
      </c>
      <c r="C470" s="223">
        <v>1</v>
      </c>
      <c r="D470" s="218" t="s">
        <v>1488</v>
      </c>
      <c r="E470" s="240">
        <v>3</v>
      </c>
      <c r="F470" s="226">
        <v>8021.9157779999996</v>
      </c>
      <c r="G470" s="223">
        <v>1967</v>
      </c>
      <c r="H470" s="223">
        <v>1</v>
      </c>
      <c r="I470" s="223">
        <v>0</v>
      </c>
      <c r="J470" s="223"/>
      <c r="K470" s="228">
        <v>189236.9932</v>
      </c>
      <c r="L470" s="241">
        <v>80</v>
      </c>
      <c r="M470" s="229">
        <v>37847.398639999999</v>
      </c>
      <c r="N470" s="230">
        <v>23.59</v>
      </c>
      <c r="O470" s="231">
        <v>0</v>
      </c>
      <c r="P470" s="314"/>
      <c r="Q470" s="276">
        <f t="shared" si="17"/>
        <v>8021.92</v>
      </c>
      <c r="R470" s="275">
        <f>(SUMIFS('Dec 31 2018 OFFS'!$AG:$AG,'Dec 31 2018 OFFS'!$AI:$AI,'T1 2019 Pipeline Data Lagasco'!$A470,'Dec 31 2018 OFFS'!$U:$U,'T1 2019 Pipeline Data Lagasco'!$E470,'Dec 31 2018 OFFS'!$AK:$AK,'T1 2019 Pipeline Data Lagasco'!$Q470,'Dec 31 2018 OFFS'!$W:$W,'T1 2019 Pipeline Data Lagasco'!$G470))/(MAX(COUNTIFS('Dec 31 2018 OFFS'!$AI:$AI,'T1 2019 Pipeline Data Lagasco'!$A470,'Dec 31 2018 OFFS'!$U:$U,'T1 2019 Pipeline Data Lagasco'!$E470,'Dec 31 2018 OFFS'!$AK:$AK,'T1 2019 Pipeline Data Lagasco'!$Q470,'Dec 31 2018 OFFS'!$W:$W,'T1 2019 Pipeline Data Lagasco'!$G470),1))</f>
        <v>0</v>
      </c>
      <c r="S470" s="275">
        <f t="shared" si="18"/>
        <v>0</v>
      </c>
      <c r="T470" s="217"/>
    </row>
    <row r="471" spans="1:20" ht="15" customHeight="1">
      <c r="A471" s="224" t="s">
        <v>1498</v>
      </c>
      <c r="B471" s="218" t="s">
        <v>1499</v>
      </c>
      <c r="C471" s="223">
        <v>1</v>
      </c>
      <c r="D471" s="218" t="s">
        <v>1488</v>
      </c>
      <c r="E471" s="240">
        <v>3</v>
      </c>
      <c r="F471" s="223">
        <v>10808</v>
      </c>
      <c r="G471" s="223">
        <v>1967</v>
      </c>
      <c r="H471" s="223">
        <v>1</v>
      </c>
      <c r="I471" s="223">
        <v>0</v>
      </c>
      <c r="J471" s="223"/>
      <c r="K471" s="238">
        <v>254960.72</v>
      </c>
      <c r="L471" s="241">
        <v>80</v>
      </c>
      <c r="M471" s="239">
        <v>50992.144</v>
      </c>
      <c r="N471" s="230">
        <v>23.59</v>
      </c>
      <c r="O471" s="231">
        <v>0</v>
      </c>
      <c r="P471" s="314"/>
      <c r="Q471" s="276">
        <f t="shared" si="17"/>
        <v>10808</v>
      </c>
      <c r="R471" s="275">
        <f>(SUMIFS('Dec 31 2018 OFFS'!$AG:$AG,'Dec 31 2018 OFFS'!$AI:$AI,'T1 2019 Pipeline Data Lagasco'!$A471,'Dec 31 2018 OFFS'!$U:$U,'T1 2019 Pipeline Data Lagasco'!$E471,'Dec 31 2018 OFFS'!$AK:$AK,'T1 2019 Pipeline Data Lagasco'!$Q471,'Dec 31 2018 OFFS'!$W:$W,'T1 2019 Pipeline Data Lagasco'!$G471))/(MAX(COUNTIFS('Dec 31 2018 OFFS'!$AI:$AI,'T1 2019 Pipeline Data Lagasco'!$A471,'Dec 31 2018 OFFS'!$U:$U,'T1 2019 Pipeline Data Lagasco'!$E471,'Dec 31 2018 OFFS'!$AK:$AK,'T1 2019 Pipeline Data Lagasco'!$Q471,'Dec 31 2018 OFFS'!$W:$W,'T1 2019 Pipeline Data Lagasco'!$G471),1))</f>
        <v>0</v>
      </c>
      <c r="S471" s="275">
        <f t="shared" si="18"/>
        <v>0</v>
      </c>
      <c r="T471" s="217"/>
    </row>
    <row r="472" spans="1:20" ht="15" customHeight="1">
      <c r="A472" s="224" t="s">
        <v>1498</v>
      </c>
      <c r="B472" s="218" t="s">
        <v>1499</v>
      </c>
      <c r="C472" s="223">
        <v>1</v>
      </c>
      <c r="D472" s="218" t="s">
        <v>1488</v>
      </c>
      <c r="E472" s="240">
        <v>3</v>
      </c>
      <c r="F472" s="226">
        <v>4421.8830740000003</v>
      </c>
      <c r="G472" s="223">
        <v>1967</v>
      </c>
      <c r="H472" s="223">
        <v>1</v>
      </c>
      <c r="I472" s="223">
        <v>1</v>
      </c>
      <c r="J472" s="223"/>
      <c r="K472" s="228">
        <v>104312.22169999999</v>
      </c>
      <c r="L472" s="241">
        <v>80</v>
      </c>
      <c r="M472" s="229">
        <v>20862.444339999998</v>
      </c>
      <c r="N472" s="230">
        <v>23.59</v>
      </c>
      <c r="O472" s="231">
        <v>20862</v>
      </c>
      <c r="P472" s="315"/>
      <c r="Q472" s="276">
        <f t="shared" si="17"/>
        <v>4421.88</v>
      </c>
      <c r="R472" s="275">
        <f>(SUMIFS('Dec 31 2018 OFFS'!$AG:$AG,'Dec 31 2018 OFFS'!$AI:$AI,'T1 2019 Pipeline Data Lagasco'!$A472,'Dec 31 2018 OFFS'!$U:$U,'T1 2019 Pipeline Data Lagasco'!$E472,'Dec 31 2018 OFFS'!$AK:$AK,'T1 2019 Pipeline Data Lagasco'!$Q472,'Dec 31 2018 OFFS'!$W:$W,'T1 2019 Pipeline Data Lagasco'!$G472))/(MAX(COUNTIFS('Dec 31 2018 OFFS'!$AI:$AI,'T1 2019 Pipeline Data Lagasco'!$A472,'Dec 31 2018 OFFS'!$U:$U,'T1 2019 Pipeline Data Lagasco'!$E472,'Dec 31 2018 OFFS'!$AK:$AK,'T1 2019 Pipeline Data Lagasco'!$Q472,'Dec 31 2018 OFFS'!$W:$W,'T1 2019 Pipeline Data Lagasco'!$G472),1))</f>
        <v>20862</v>
      </c>
      <c r="S472" s="275">
        <f t="shared" si="18"/>
        <v>0</v>
      </c>
      <c r="T472" s="217"/>
    </row>
    <row r="473" spans="1:20" ht="14.1" customHeight="1">
      <c r="A473" s="224" t="s">
        <v>1498</v>
      </c>
      <c r="B473" s="218" t="s">
        <v>1499</v>
      </c>
      <c r="C473" s="223">
        <v>1</v>
      </c>
      <c r="D473" s="218" t="s">
        <v>1488</v>
      </c>
      <c r="E473" s="240">
        <v>3</v>
      </c>
      <c r="F473" s="223">
        <v>920</v>
      </c>
      <c r="G473" s="223">
        <v>1967</v>
      </c>
      <c r="H473" s="223">
        <v>1</v>
      </c>
      <c r="I473" s="223">
        <v>0</v>
      </c>
      <c r="J473" s="223"/>
      <c r="K473" s="237">
        <v>21702.80</v>
      </c>
      <c r="L473" s="241">
        <v>80</v>
      </c>
      <c r="M473" s="238">
        <v>4340.5600000000004</v>
      </c>
      <c r="N473" s="230">
        <v>23.59</v>
      </c>
      <c r="O473" s="231">
        <v>0</v>
      </c>
      <c r="P473" s="315"/>
      <c r="Q473" s="276">
        <f t="shared" si="17"/>
        <v>920</v>
      </c>
      <c r="R473" s="275">
        <f>(SUMIFS('Dec 31 2018 OFFS'!$AG:$AG,'Dec 31 2018 OFFS'!$AI:$AI,'T1 2019 Pipeline Data Lagasco'!$A473,'Dec 31 2018 OFFS'!$U:$U,'T1 2019 Pipeline Data Lagasco'!$E473,'Dec 31 2018 OFFS'!$AK:$AK,'T1 2019 Pipeline Data Lagasco'!$Q473,'Dec 31 2018 OFFS'!$W:$W,'T1 2019 Pipeline Data Lagasco'!$G473))/(MAX(COUNTIFS('Dec 31 2018 OFFS'!$AI:$AI,'T1 2019 Pipeline Data Lagasco'!$A473,'Dec 31 2018 OFFS'!$U:$U,'T1 2019 Pipeline Data Lagasco'!$E473,'Dec 31 2018 OFFS'!$AK:$AK,'T1 2019 Pipeline Data Lagasco'!$Q473,'Dec 31 2018 OFFS'!$W:$W,'T1 2019 Pipeline Data Lagasco'!$G473),1))</f>
        <v>0</v>
      </c>
      <c r="S473" s="275">
        <f t="shared" si="18"/>
        <v>0</v>
      </c>
      <c r="T473" s="217"/>
    </row>
    <row r="474" spans="1:20" ht="14.1" customHeight="1">
      <c r="A474" s="224" t="s">
        <v>1498</v>
      </c>
      <c r="B474" s="218" t="s">
        <v>1499</v>
      </c>
      <c r="C474" s="223">
        <v>1</v>
      </c>
      <c r="D474" s="218" t="s">
        <v>1488</v>
      </c>
      <c r="E474" s="240">
        <v>3</v>
      </c>
      <c r="F474" s="223">
        <v>15508</v>
      </c>
      <c r="G474" s="223">
        <v>1967</v>
      </c>
      <c r="H474" s="223">
        <v>1</v>
      </c>
      <c r="I474" s="223">
        <v>1</v>
      </c>
      <c r="J474" s="223"/>
      <c r="K474" s="238">
        <v>365833.72</v>
      </c>
      <c r="L474" s="241">
        <v>80</v>
      </c>
      <c r="M474" s="239">
        <v>73166.744000000006</v>
      </c>
      <c r="N474" s="230">
        <v>23.59</v>
      </c>
      <c r="O474" s="231">
        <v>73166</v>
      </c>
      <c r="P474" s="315"/>
      <c r="Q474" s="276">
        <f t="shared" si="17"/>
        <v>15508</v>
      </c>
      <c r="R474" s="275">
        <f>(SUMIFS('Dec 31 2018 OFFS'!$AG:$AG,'Dec 31 2018 OFFS'!$AI:$AI,'T1 2019 Pipeline Data Lagasco'!$A474,'Dec 31 2018 OFFS'!$U:$U,'T1 2019 Pipeline Data Lagasco'!$E474,'Dec 31 2018 OFFS'!$AK:$AK,'T1 2019 Pipeline Data Lagasco'!$Q474,'Dec 31 2018 OFFS'!$W:$W,'T1 2019 Pipeline Data Lagasco'!$G474))/(MAX(COUNTIFS('Dec 31 2018 OFFS'!$AI:$AI,'T1 2019 Pipeline Data Lagasco'!$A474,'Dec 31 2018 OFFS'!$U:$U,'T1 2019 Pipeline Data Lagasco'!$E474,'Dec 31 2018 OFFS'!$AK:$AK,'T1 2019 Pipeline Data Lagasco'!$Q474,'Dec 31 2018 OFFS'!$W:$W,'T1 2019 Pipeline Data Lagasco'!$G474),1))</f>
        <v>73166</v>
      </c>
      <c r="S474" s="275">
        <f t="shared" si="18"/>
        <v>0</v>
      </c>
      <c r="T474" s="217"/>
    </row>
    <row r="475" spans="1:20" ht="14.1" customHeight="1">
      <c r="A475" s="224" t="s">
        <v>1498</v>
      </c>
      <c r="B475" s="218" t="s">
        <v>1499</v>
      </c>
      <c r="C475" s="223">
        <v>1</v>
      </c>
      <c r="D475" s="218" t="s">
        <v>1488</v>
      </c>
      <c r="E475" s="240">
        <v>3</v>
      </c>
      <c r="F475" s="232">
        <v>511.7782004</v>
      </c>
      <c r="G475" s="223">
        <v>1967</v>
      </c>
      <c r="H475" s="223">
        <v>1</v>
      </c>
      <c r="I475" s="223">
        <v>1</v>
      </c>
      <c r="J475" s="223"/>
      <c r="K475" s="229">
        <v>12072.847750000001</v>
      </c>
      <c r="L475" s="241">
        <v>80</v>
      </c>
      <c r="M475" s="233">
        <v>2414.5695489999998</v>
      </c>
      <c r="N475" s="230">
        <v>23.59</v>
      </c>
      <c r="O475" s="231">
        <v>2414</v>
      </c>
      <c r="P475" s="315"/>
      <c r="Q475" s="276">
        <f t="shared" si="17"/>
        <v>511.78</v>
      </c>
      <c r="R475" s="275">
        <f>(SUMIFS('Dec 31 2018 OFFS'!$AG:$AG,'Dec 31 2018 OFFS'!$AI:$AI,'T1 2019 Pipeline Data Lagasco'!$A475,'Dec 31 2018 OFFS'!$U:$U,'T1 2019 Pipeline Data Lagasco'!$E475,'Dec 31 2018 OFFS'!$AK:$AK,'T1 2019 Pipeline Data Lagasco'!$Q475,'Dec 31 2018 OFFS'!$W:$W,'T1 2019 Pipeline Data Lagasco'!$G475))/(MAX(COUNTIFS('Dec 31 2018 OFFS'!$AI:$AI,'T1 2019 Pipeline Data Lagasco'!$A475,'Dec 31 2018 OFFS'!$U:$U,'T1 2019 Pipeline Data Lagasco'!$E475,'Dec 31 2018 OFFS'!$AK:$AK,'T1 2019 Pipeline Data Lagasco'!$Q475,'Dec 31 2018 OFFS'!$W:$W,'T1 2019 Pipeline Data Lagasco'!$G475),1))</f>
        <v>2414</v>
      </c>
      <c r="S475" s="275">
        <f t="shared" si="18"/>
        <v>0</v>
      </c>
      <c r="T475" s="217"/>
    </row>
    <row r="476" spans="1:20" ht="14.1" customHeight="1">
      <c r="A476" s="224" t="s">
        <v>1500</v>
      </c>
      <c r="B476" s="218" t="s">
        <v>1501</v>
      </c>
      <c r="C476" s="223">
        <v>1</v>
      </c>
      <c r="D476" s="218" t="s">
        <v>1488</v>
      </c>
      <c r="E476" s="240">
        <v>2</v>
      </c>
      <c r="F476" s="230">
        <v>2024.77</v>
      </c>
      <c r="G476" s="223">
        <v>1982</v>
      </c>
      <c r="H476" s="223">
        <v>1</v>
      </c>
      <c r="I476" s="223">
        <v>0</v>
      </c>
      <c r="J476" s="223"/>
      <c r="K476" s="228">
        <v>32882.264799999997</v>
      </c>
      <c r="L476" s="241">
        <v>80</v>
      </c>
      <c r="M476" s="229">
        <v>6576.4529599999996</v>
      </c>
      <c r="N476" s="230">
        <v>16.239999999999998</v>
      </c>
      <c r="O476" s="231">
        <v>0</v>
      </c>
      <c r="P476" s="315"/>
      <c r="Q476" s="276">
        <f t="shared" si="17"/>
        <v>2024.77</v>
      </c>
      <c r="R476" s="275">
        <f>(SUMIFS('Dec 31 2018 OFFS'!$AG:$AG,'Dec 31 2018 OFFS'!$AI:$AI,'T1 2019 Pipeline Data Lagasco'!$A476,'Dec 31 2018 OFFS'!$U:$U,'T1 2019 Pipeline Data Lagasco'!$E476,'Dec 31 2018 OFFS'!$AK:$AK,'T1 2019 Pipeline Data Lagasco'!$Q476,'Dec 31 2018 OFFS'!$W:$W,'T1 2019 Pipeline Data Lagasco'!$G476))/(MAX(COUNTIFS('Dec 31 2018 OFFS'!$AI:$AI,'T1 2019 Pipeline Data Lagasco'!$A476,'Dec 31 2018 OFFS'!$U:$U,'T1 2019 Pipeline Data Lagasco'!$E476,'Dec 31 2018 OFFS'!$AK:$AK,'T1 2019 Pipeline Data Lagasco'!$Q476,'Dec 31 2018 OFFS'!$W:$W,'T1 2019 Pipeline Data Lagasco'!$G476),1))</f>
        <v>0</v>
      </c>
      <c r="S476" s="275">
        <f t="shared" si="18"/>
        <v>0</v>
      </c>
      <c r="T476" s="217"/>
    </row>
    <row r="477" spans="1:20" ht="14.1" customHeight="1">
      <c r="A477" s="224" t="s">
        <v>1500</v>
      </c>
      <c r="B477" s="218" t="s">
        <v>1501</v>
      </c>
      <c r="C477" s="223">
        <v>1</v>
      </c>
      <c r="D477" s="218" t="s">
        <v>1488</v>
      </c>
      <c r="E477" s="240">
        <v>2</v>
      </c>
      <c r="F477" s="223">
        <v>4843</v>
      </c>
      <c r="G477" s="223">
        <v>1975</v>
      </c>
      <c r="H477" s="223">
        <v>1</v>
      </c>
      <c r="I477" s="223">
        <v>1</v>
      </c>
      <c r="J477" s="223"/>
      <c r="K477" s="238">
        <v>78650.320000000007</v>
      </c>
      <c r="L477" s="241">
        <v>80</v>
      </c>
      <c r="M477" s="239">
        <v>15730.064</v>
      </c>
      <c r="N477" s="230">
        <v>16.239999999999998</v>
      </c>
      <c r="O477" s="231">
        <v>15730</v>
      </c>
      <c r="P477" s="315"/>
      <c r="Q477" s="276">
        <f t="shared" si="17"/>
        <v>4843</v>
      </c>
      <c r="R477" s="275">
        <f>(SUMIFS('Dec 31 2018 OFFS'!$AG:$AG,'Dec 31 2018 OFFS'!$AI:$AI,'T1 2019 Pipeline Data Lagasco'!$A477,'Dec 31 2018 OFFS'!$U:$U,'T1 2019 Pipeline Data Lagasco'!$E477,'Dec 31 2018 OFFS'!$AK:$AK,'T1 2019 Pipeline Data Lagasco'!$Q477,'Dec 31 2018 OFFS'!$W:$W,'T1 2019 Pipeline Data Lagasco'!$G477))/(MAX(COUNTIFS('Dec 31 2018 OFFS'!$AI:$AI,'T1 2019 Pipeline Data Lagasco'!$A477,'Dec 31 2018 OFFS'!$U:$U,'T1 2019 Pipeline Data Lagasco'!$E477,'Dec 31 2018 OFFS'!$AK:$AK,'T1 2019 Pipeline Data Lagasco'!$Q477,'Dec 31 2018 OFFS'!$W:$W,'T1 2019 Pipeline Data Lagasco'!$G477),1))</f>
        <v>15730</v>
      </c>
      <c r="S477" s="275">
        <f t="shared" si="18"/>
        <v>0</v>
      </c>
      <c r="T477" s="217"/>
    </row>
    <row r="478" spans="1:20" ht="14.1" customHeight="1">
      <c r="A478" s="224" t="s">
        <v>1500</v>
      </c>
      <c r="B478" s="218" t="s">
        <v>1501</v>
      </c>
      <c r="C478" s="223">
        <v>1</v>
      </c>
      <c r="D478" s="218" t="s">
        <v>1488</v>
      </c>
      <c r="E478" s="240">
        <v>2</v>
      </c>
      <c r="F478" s="226">
        <v>8593.3396460000004</v>
      </c>
      <c r="G478" s="223">
        <v>1982</v>
      </c>
      <c r="H478" s="223">
        <v>1</v>
      </c>
      <c r="I478" s="225">
        <v>0</v>
      </c>
      <c r="J478" s="223"/>
      <c r="K478" s="228">
        <v>139555.83590000001</v>
      </c>
      <c r="L478" s="241">
        <v>80</v>
      </c>
      <c r="M478" s="229">
        <v>27911.167170000001</v>
      </c>
      <c r="N478" s="230">
        <v>16.239999999999998</v>
      </c>
      <c r="O478" s="287">
        <v>0</v>
      </c>
      <c r="P478" s="316" t="s">
        <v>1558</v>
      </c>
      <c r="Q478" s="276">
        <f t="shared" si="17"/>
        <v>8593.34</v>
      </c>
      <c r="R478" s="275">
        <f>(SUMIFS('Dec 31 2018 OFFS'!$AG:$AG,'Dec 31 2018 OFFS'!$AI:$AI,'T1 2019 Pipeline Data Lagasco'!$A478,'Dec 31 2018 OFFS'!$U:$U,'T1 2019 Pipeline Data Lagasco'!$E478,'Dec 31 2018 OFFS'!$AK:$AK,'T1 2019 Pipeline Data Lagasco'!$Q478,'Dec 31 2018 OFFS'!$W:$W,'T1 2019 Pipeline Data Lagasco'!$G478))/(MAX(COUNTIFS('Dec 31 2018 OFFS'!$AI:$AI,'T1 2019 Pipeline Data Lagasco'!$A478,'Dec 31 2018 OFFS'!$U:$U,'T1 2019 Pipeline Data Lagasco'!$E478,'Dec 31 2018 OFFS'!$AK:$AK,'T1 2019 Pipeline Data Lagasco'!$Q478,'Dec 31 2018 OFFS'!$W:$W,'T1 2019 Pipeline Data Lagasco'!$G478),1))</f>
        <v>0</v>
      </c>
      <c r="S478" s="275">
        <f t="shared" si="18"/>
        <v>0</v>
      </c>
      <c r="T478" s="278" t="e">
        <f>R478/O478</f>
        <v>#DIV/0!</v>
      </c>
    </row>
    <row r="479" spans="1:20" ht="14.1" customHeight="1">
      <c r="A479" s="224" t="s">
        <v>1500</v>
      </c>
      <c r="B479" s="218" t="s">
        <v>1501</v>
      </c>
      <c r="C479" s="223">
        <v>1</v>
      </c>
      <c r="D479" s="218" t="s">
        <v>1488</v>
      </c>
      <c r="E479" s="240">
        <v>2</v>
      </c>
      <c r="F479" s="226">
        <v>6178.6743619999997</v>
      </c>
      <c r="G479" s="223">
        <v>1982</v>
      </c>
      <c r="H479" s="223">
        <v>1</v>
      </c>
      <c r="I479" s="223">
        <v>0</v>
      </c>
      <c r="J479" s="223"/>
      <c r="K479" s="228">
        <v>100341.6716</v>
      </c>
      <c r="L479" s="241">
        <v>80</v>
      </c>
      <c r="M479" s="229">
        <v>20068.334330000002</v>
      </c>
      <c r="N479" s="230">
        <v>16.239999999999998</v>
      </c>
      <c r="O479" s="231">
        <v>0</v>
      </c>
      <c r="P479" s="315"/>
      <c r="Q479" s="276">
        <f t="shared" si="17"/>
        <v>6178.67</v>
      </c>
      <c r="R479" s="275">
        <f>(SUMIFS('Dec 31 2018 OFFS'!$AG:$AG,'Dec 31 2018 OFFS'!$AI:$AI,'T1 2019 Pipeline Data Lagasco'!$A479,'Dec 31 2018 OFFS'!$U:$U,'T1 2019 Pipeline Data Lagasco'!$E479,'Dec 31 2018 OFFS'!$AK:$AK,'T1 2019 Pipeline Data Lagasco'!$Q479,'Dec 31 2018 OFFS'!$W:$W,'T1 2019 Pipeline Data Lagasco'!$G479))/(MAX(COUNTIFS('Dec 31 2018 OFFS'!$AI:$AI,'T1 2019 Pipeline Data Lagasco'!$A479,'Dec 31 2018 OFFS'!$U:$U,'T1 2019 Pipeline Data Lagasco'!$E479,'Dec 31 2018 OFFS'!$AK:$AK,'T1 2019 Pipeline Data Lagasco'!$Q479,'Dec 31 2018 OFFS'!$W:$W,'T1 2019 Pipeline Data Lagasco'!$G479),1))</f>
        <v>0</v>
      </c>
      <c r="S479" s="275">
        <f t="shared" si="18"/>
        <v>0</v>
      </c>
      <c r="T479" s="217"/>
    </row>
    <row r="480" spans="1:20" ht="14.1" customHeight="1">
      <c r="A480" s="224" t="s">
        <v>1500</v>
      </c>
      <c r="B480" s="218" t="s">
        <v>1501</v>
      </c>
      <c r="C480" s="223">
        <v>1</v>
      </c>
      <c r="D480" s="218" t="s">
        <v>1488</v>
      </c>
      <c r="E480" s="240">
        <v>2</v>
      </c>
      <c r="F480" s="242">
        <v>5014.80</v>
      </c>
      <c r="G480" s="223">
        <v>1984</v>
      </c>
      <c r="H480" s="223">
        <v>1</v>
      </c>
      <c r="I480" s="223">
        <v>0</v>
      </c>
      <c r="J480" s="223"/>
      <c r="K480" s="239">
        <v>81440.351999999999</v>
      </c>
      <c r="L480" s="241">
        <v>80</v>
      </c>
      <c r="M480" s="228">
        <v>16288.070400000001</v>
      </c>
      <c r="N480" s="230">
        <v>16.239999999999998</v>
      </c>
      <c r="O480" s="231">
        <v>0</v>
      </c>
      <c r="P480" s="315"/>
      <c r="Q480" s="276">
        <f t="shared" si="17"/>
        <v>5014.80</v>
      </c>
      <c r="R480" s="275">
        <f>(SUMIFS('Dec 31 2018 OFFS'!$AG:$AG,'Dec 31 2018 OFFS'!$AI:$AI,'T1 2019 Pipeline Data Lagasco'!$A480,'Dec 31 2018 OFFS'!$U:$U,'T1 2019 Pipeline Data Lagasco'!$E480,'Dec 31 2018 OFFS'!$AK:$AK,'T1 2019 Pipeline Data Lagasco'!$Q480,'Dec 31 2018 OFFS'!$W:$W,'T1 2019 Pipeline Data Lagasco'!$G480))/(MAX(COUNTIFS('Dec 31 2018 OFFS'!$AI:$AI,'T1 2019 Pipeline Data Lagasco'!$A480,'Dec 31 2018 OFFS'!$U:$U,'T1 2019 Pipeline Data Lagasco'!$E480,'Dec 31 2018 OFFS'!$AK:$AK,'T1 2019 Pipeline Data Lagasco'!$Q480,'Dec 31 2018 OFFS'!$W:$W,'T1 2019 Pipeline Data Lagasco'!$G480),1))</f>
        <v>0</v>
      </c>
      <c r="S480" s="275">
        <f t="shared" si="18"/>
        <v>0</v>
      </c>
      <c r="T480" s="217"/>
    </row>
    <row r="481" spans="1:20" ht="14.1" customHeight="1">
      <c r="A481" s="224" t="s">
        <v>1500</v>
      </c>
      <c r="B481" s="218" t="s">
        <v>1501</v>
      </c>
      <c r="C481" s="223">
        <v>1</v>
      </c>
      <c r="D481" s="218" t="s">
        <v>1488</v>
      </c>
      <c r="E481" s="240">
        <v>2</v>
      </c>
      <c r="F481" s="230">
        <v>7834.42</v>
      </c>
      <c r="G481" s="223">
        <v>1982</v>
      </c>
      <c r="H481" s="223">
        <v>1</v>
      </c>
      <c r="I481" s="223">
        <v>0</v>
      </c>
      <c r="J481" s="223"/>
      <c r="K481" s="228">
        <v>127230.9808</v>
      </c>
      <c r="L481" s="241">
        <v>80</v>
      </c>
      <c r="M481" s="229">
        <v>25446.19616</v>
      </c>
      <c r="N481" s="230">
        <v>16.239999999999998</v>
      </c>
      <c r="O481" s="231">
        <v>0</v>
      </c>
      <c r="P481" s="315"/>
      <c r="Q481" s="276">
        <f t="shared" si="17"/>
        <v>7834.42</v>
      </c>
      <c r="R481" s="275">
        <f>(SUMIFS('Dec 31 2018 OFFS'!$AG:$AG,'Dec 31 2018 OFFS'!$AI:$AI,'T1 2019 Pipeline Data Lagasco'!$A481,'Dec 31 2018 OFFS'!$U:$U,'T1 2019 Pipeline Data Lagasco'!$E481,'Dec 31 2018 OFFS'!$AK:$AK,'T1 2019 Pipeline Data Lagasco'!$Q481,'Dec 31 2018 OFFS'!$W:$W,'T1 2019 Pipeline Data Lagasco'!$G481))/(MAX(COUNTIFS('Dec 31 2018 OFFS'!$AI:$AI,'T1 2019 Pipeline Data Lagasco'!$A481,'Dec 31 2018 OFFS'!$U:$U,'T1 2019 Pipeline Data Lagasco'!$E481,'Dec 31 2018 OFFS'!$AK:$AK,'T1 2019 Pipeline Data Lagasco'!$Q481,'Dec 31 2018 OFFS'!$W:$W,'T1 2019 Pipeline Data Lagasco'!$G481),1))</f>
        <v>0</v>
      </c>
      <c r="S481" s="275">
        <f t="shared" si="18"/>
        <v>0</v>
      </c>
      <c r="T481" s="217"/>
    </row>
    <row r="482" spans="1:20" ht="14.1" customHeight="1">
      <c r="A482" s="224" t="s">
        <v>1500</v>
      </c>
      <c r="B482" s="218" t="s">
        <v>1501</v>
      </c>
      <c r="C482" s="223">
        <v>1</v>
      </c>
      <c r="D482" s="218" t="s">
        <v>1488</v>
      </c>
      <c r="E482" s="240">
        <v>2</v>
      </c>
      <c r="F482" s="230">
        <v>2911.29</v>
      </c>
      <c r="G482" s="223">
        <v>1985</v>
      </c>
      <c r="H482" s="223">
        <v>1</v>
      </c>
      <c r="I482" s="223">
        <v>0</v>
      </c>
      <c r="J482" s="223"/>
      <c r="K482" s="228">
        <v>47279.349600000001</v>
      </c>
      <c r="L482" s="241">
        <v>80</v>
      </c>
      <c r="M482" s="229">
        <v>9455.8699199999992</v>
      </c>
      <c r="N482" s="230">
        <v>16.239999999999998</v>
      </c>
      <c r="O482" s="231">
        <v>0</v>
      </c>
      <c r="P482" s="315"/>
      <c r="Q482" s="276">
        <f t="shared" si="17"/>
        <v>2911.29</v>
      </c>
      <c r="R482" s="275">
        <f>(SUMIFS('Dec 31 2018 OFFS'!$AG:$AG,'Dec 31 2018 OFFS'!$AI:$AI,'T1 2019 Pipeline Data Lagasco'!$A482,'Dec 31 2018 OFFS'!$U:$U,'T1 2019 Pipeline Data Lagasco'!$E482,'Dec 31 2018 OFFS'!$AK:$AK,'T1 2019 Pipeline Data Lagasco'!$Q482,'Dec 31 2018 OFFS'!$W:$W,'T1 2019 Pipeline Data Lagasco'!$G482))/(MAX(COUNTIFS('Dec 31 2018 OFFS'!$AI:$AI,'T1 2019 Pipeline Data Lagasco'!$A482,'Dec 31 2018 OFFS'!$U:$U,'T1 2019 Pipeline Data Lagasco'!$E482,'Dec 31 2018 OFFS'!$AK:$AK,'T1 2019 Pipeline Data Lagasco'!$Q482,'Dec 31 2018 OFFS'!$W:$W,'T1 2019 Pipeline Data Lagasco'!$G482),1))</f>
        <v>0</v>
      </c>
      <c r="S482" s="275">
        <f t="shared" si="18"/>
        <v>0</v>
      </c>
      <c r="T482" s="217"/>
    </row>
    <row r="483" spans="1:20" ht="14.1" customHeight="1">
      <c r="A483" s="224" t="s">
        <v>1500</v>
      </c>
      <c r="B483" s="218" t="s">
        <v>1501</v>
      </c>
      <c r="C483" s="223">
        <v>1</v>
      </c>
      <c r="D483" s="218" t="s">
        <v>1488</v>
      </c>
      <c r="E483" s="240">
        <v>2</v>
      </c>
      <c r="F483" s="230">
        <v>5860.47</v>
      </c>
      <c r="G483" s="223">
        <v>1971</v>
      </c>
      <c r="H483" s="223">
        <v>1</v>
      </c>
      <c r="I483" s="223">
        <v>0</v>
      </c>
      <c r="J483" s="223"/>
      <c r="K483" s="228">
        <v>95174.032800000001</v>
      </c>
      <c r="L483" s="241">
        <v>80</v>
      </c>
      <c r="M483" s="229">
        <v>19034.806560000001</v>
      </c>
      <c r="N483" s="230">
        <v>16.239999999999998</v>
      </c>
      <c r="O483" s="231">
        <v>0</v>
      </c>
      <c r="P483" s="315"/>
      <c r="Q483" s="276">
        <f t="shared" si="17"/>
        <v>5860.47</v>
      </c>
      <c r="R483" s="275">
        <f>(SUMIFS('Dec 31 2018 OFFS'!$AG:$AG,'Dec 31 2018 OFFS'!$AI:$AI,'T1 2019 Pipeline Data Lagasco'!$A483,'Dec 31 2018 OFFS'!$U:$U,'T1 2019 Pipeline Data Lagasco'!$E483,'Dec 31 2018 OFFS'!$AK:$AK,'T1 2019 Pipeline Data Lagasco'!$Q483,'Dec 31 2018 OFFS'!$W:$W,'T1 2019 Pipeline Data Lagasco'!$G483))/(MAX(COUNTIFS('Dec 31 2018 OFFS'!$AI:$AI,'T1 2019 Pipeline Data Lagasco'!$A483,'Dec 31 2018 OFFS'!$U:$U,'T1 2019 Pipeline Data Lagasco'!$E483,'Dec 31 2018 OFFS'!$AK:$AK,'T1 2019 Pipeline Data Lagasco'!$Q483,'Dec 31 2018 OFFS'!$W:$W,'T1 2019 Pipeline Data Lagasco'!$G483),1))</f>
        <v>0</v>
      </c>
      <c r="S483" s="275">
        <f t="shared" si="18"/>
        <v>0</v>
      </c>
      <c r="T483" s="217"/>
    </row>
    <row r="484" spans="1:20" ht="14.1" customHeight="1">
      <c r="A484" s="224" t="s">
        <v>1500</v>
      </c>
      <c r="B484" s="218" t="s">
        <v>1501</v>
      </c>
      <c r="C484" s="223">
        <v>1</v>
      </c>
      <c r="D484" s="218" t="s">
        <v>1488</v>
      </c>
      <c r="E484" s="240">
        <v>2</v>
      </c>
      <c r="F484" s="230">
        <v>1488.68</v>
      </c>
      <c r="G484" s="223">
        <v>1968</v>
      </c>
      <c r="H484" s="223">
        <v>1</v>
      </c>
      <c r="I484" s="223">
        <v>0</v>
      </c>
      <c r="J484" s="223"/>
      <c r="K484" s="228">
        <v>24176.163199999999</v>
      </c>
      <c r="L484" s="241">
        <v>80</v>
      </c>
      <c r="M484" s="229">
        <v>4835.2326400000002</v>
      </c>
      <c r="N484" s="230">
        <v>16.239999999999998</v>
      </c>
      <c r="O484" s="231">
        <v>0</v>
      </c>
      <c r="P484" s="315"/>
      <c r="Q484" s="276">
        <f t="shared" si="17"/>
        <v>1488.68</v>
      </c>
      <c r="R484" s="275">
        <f>(SUMIFS('Dec 31 2018 OFFS'!$AG:$AG,'Dec 31 2018 OFFS'!$AI:$AI,'T1 2019 Pipeline Data Lagasco'!$A484,'Dec 31 2018 OFFS'!$U:$U,'T1 2019 Pipeline Data Lagasco'!$E484,'Dec 31 2018 OFFS'!$AK:$AK,'T1 2019 Pipeline Data Lagasco'!$Q484,'Dec 31 2018 OFFS'!$W:$W,'T1 2019 Pipeline Data Lagasco'!$G484))/(MAX(COUNTIFS('Dec 31 2018 OFFS'!$AI:$AI,'T1 2019 Pipeline Data Lagasco'!$A484,'Dec 31 2018 OFFS'!$U:$U,'T1 2019 Pipeline Data Lagasco'!$E484,'Dec 31 2018 OFFS'!$AK:$AK,'T1 2019 Pipeline Data Lagasco'!$Q484,'Dec 31 2018 OFFS'!$W:$W,'T1 2019 Pipeline Data Lagasco'!$G484),1))</f>
        <v>0</v>
      </c>
      <c r="S484" s="275">
        <f t="shared" si="18"/>
        <v>0</v>
      </c>
      <c r="T484" s="217"/>
    </row>
    <row r="485" spans="1:20" ht="14.1" customHeight="1">
      <c r="A485" s="224" t="s">
        <v>1500</v>
      </c>
      <c r="B485" s="218" t="s">
        <v>1501</v>
      </c>
      <c r="C485" s="223">
        <v>1</v>
      </c>
      <c r="D485" s="218" t="s">
        <v>1488</v>
      </c>
      <c r="E485" s="240">
        <v>2</v>
      </c>
      <c r="F485" s="226">
        <v>4453.3135190000003</v>
      </c>
      <c r="G485" s="223">
        <v>1981</v>
      </c>
      <c r="H485" s="223">
        <v>1</v>
      </c>
      <c r="I485" s="223">
        <v>0</v>
      </c>
      <c r="J485" s="223"/>
      <c r="K485" s="229">
        <v>72321.811549999999</v>
      </c>
      <c r="L485" s="241">
        <v>80</v>
      </c>
      <c r="M485" s="229">
        <v>14464.36231</v>
      </c>
      <c r="N485" s="230">
        <v>16.239999999999998</v>
      </c>
      <c r="O485" s="231">
        <v>0</v>
      </c>
      <c r="P485" s="315"/>
      <c r="Q485" s="276">
        <f t="shared" si="17"/>
        <v>4453.3100000000004</v>
      </c>
      <c r="R485" s="275">
        <f>(SUMIFS('Dec 31 2018 OFFS'!$AG:$AG,'Dec 31 2018 OFFS'!$AI:$AI,'T1 2019 Pipeline Data Lagasco'!$A485,'Dec 31 2018 OFFS'!$U:$U,'T1 2019 Pipeline Data Lagasco'!$E485,'Dec 31 2018 OFFS'!$AK:$AK,'T1 2019 Pipeline Data Lagasco'!$Q485,'Dec 31 2018 OFFS'!$W:$W,'T1 2019 Pipeline Data Lagasco'!$G485))/(MAX(COUNTIFS('Dec 31 2018 OFFS'!$AI:$AI,'T1 2019 Pipeline Data Lagasco'!$A485,'Dec 31 2018 OFFS'!$U:$U,'T1 2019 Pipeline Data Lagasco'!$E485,'Dec 31 2018 OFFS'!$AK:$AK,'T1 2019 Pipeline Data Lagasco'!$Q485,'Dec 31 2018 OFFS'!$W:$W,'T1 2019 Pipeline Data Lagasco'!$G485),1))</f>
        <v>0</v>
      </c>
      <c r="S485" s="275">
        <f t="shared" si="18"/>
        <v>0</v>
      </c>
      <c r="T485" s="217"/>
    </row>
    <row r="486" spans="1:20" ht="14.1" customHeight="1">
      <c r="A486" s="224" t="s">
        <v>1500</v>
      </c>
      <c r="B486" s="218" t="s">
        <v>1501</v>
      </c>
      <c r="C486" s="223">
        <v>1</v>
      </c>
      <c r="D486" s="218" t="s">
        <v>1488</v>
      </c>
      <c r="E486" s="240">
        <v>2</v>
      </c>
      <c r="F486" s="230">
        <v>11305.22</v>
      </c>
      <c r="G486" s="223">
        <v>1980</v>
      </c>
      <c r="H486" s="223">
        <v>1</v>
      </c>
      <c r="I486" s="223">
        <v>0</v>
      </c>
      <c r="J486" s="223"/>
      <c r="K486" s="228">
        <v>183596.77280000001</v>
      </c>
      <c r="L486" s="241">
        <v>80</v>
      </c>
      <c r="M486" s="229">
        <v>36719.35456</v>
      </c>
      <c r="N486" s="230">
        <v>16.239999999999998</v>
      </c>
      <c r="O486" s="231">
        <v>0</v>
      </c>
      <c r="P486" s="315"/>
      <c r="Q486" s="276">
        <f t="shared" si="17"/>
        <v>11305.22</v>
      </c>
      <c r="R486" s="275">
        <f>(SUMIFS('Dec 31 2018 OFFS'!$AG:$AG,'Dec 31 2018 OFFS'!$AI:$AI,'T1 2019 Pipeline Data Lagasco'!$A486,'Dec 31 2018 OFFS'!$U:$U,'T1 2019 Pipeline Data Lagasco'!$E486,'Dec 31 2018 OFFS'!$AK:$AK,'T1 2019 Pipeline Data Lagasco'!$Q486,'Dec 31 2018 OFFS'!$W:$W,'T1 2019 Pipeline Data Lagasco'!$G486))/(MAX(COUNTIFS('Dec 31 2018 OFFS'!$AI:$AI,'T1 2019 Pipeline Data Lagasco'!$A486,'Dec 31 2018 OFFS'!$U:$U,'T1 2019 Pipeline Data Lagasco'!$E486,'Dec 31 2018 OFFS'!$AK:$AK,'T1 2019 Pipeline Data Lagasco'!$Q486,'Dec 31 2018 OFFS'!$W:$W,'T1 2019 Pipeline Data Lagasco'!$G486),1))</f>
        <v>0</v>
      </c>
      <c r="S486" s="275">
        <f t="shared" si="18"/>
        <v>0</v>
      </c>
      <c r="T486" s="217"/>
    </row>
    <row r="487" spans="1:20" ht="14.1" customHeight="1">
      <c r="A487" s="224" t="s">
        <v>1500</v>
      </c>
      <c r="B487" s="218" t="s">
        <v>1501</v>
      </c>
      <c r="C487" s="223">
        <v>1</v>
      </c>
      <c r="D487" s="218" t="s">
        <v>1488</v>
      </c>
      <c r="E487" s="240">
        <v>2</v>
      </c>
      <c r="F487" s="230">
        <v>5149.1099999999997</v>
      </c>
      <c r="G487" s="223">
        <v>1980</v>
      </c>
      <c r="H487" s="223">
        <v>1</v>
      </c>
      <c r="I487" s="223">
        <v>0</v>
      </c>
      <c r="J487" s="223"/>
      <c r="K487" s="228">
        <v>83621.546400000007</v>
      </c>
      <c r="L487" s="241">
        <v>80</v>
      </c>
      <c r="M487" s="229">
        <v>16724.309280000001</v>
      </c>
      <c r="N487" s="230">
        <v>16.239999999999998</v>
      </c>
      <c r="O487" s="231">
        <v>0</v>
      </c>
      <c r="P487" s="315"/>
      <c r="Q487" s="276">
        <f t="shared" si="17"/>
        <v>5149.1099999999997</v>
      </c>
      <c r="R487" s="275">
        <f>(SUMIFS('Dec 31 2018 OFFS'!$AG:$AG,'Dec 31 2018 OFFS'!$AI:$AI,'T1 2019 Pipeline Data Lagasco'!$A487,'Dec 31 2018 OFFS'!$U:$U,'T1 2019 Pipeline Data Lagasco'!$E487,'Dec 31 2018 OFFS'!$AK:$AK,'T1 2019 Pipeline Data Lagasco'!$Q487,'Dec 31 2018 OFFS'!$W:$W,'T1 2019 Pipeline Data Lagasco'!$G487))/(MAX(COUNTIFS('Dec 31 2018 OFFS'!$AI:$AI,'T1 2019 Pipeline Data Lagasco'!$A487,'Dec 31 2018 OFFS'!$U:$U,'T1 2019 Pipeline Data Lagasco'!$E487,'Dec 31 2018 OFFS'!$AK:$AK,'T1 2019 Pipeline Data Lagasco'!$Q487,'Dec 31 2018 OFFS'!$W:$W,'T1 2019 Pipeline Data Lagasco'!$G487),1))</f>
        <v>0</v>
      </c>
      <c r="S487" s="275">
        <f t="shared" si="18"/>
        <v>0</v>
      </c>
      <c r="T487" s="217"/>
    </row>
    <row r="488" spans="1:20" ht="14.1" customHeight="1">
      <c r="A488" s="224" t="s">
        <v>1500</v>
      </c>
      <c r="B488" s="218" t="s">
        <v>1501</v>
      </c>
      <c r="C488" s="223">
        <v>1</v>
      </c>
      <c r="D488" s="218" t="s">
        <v>1488</v>
      </c>
      <c r="E488" s="240">
        <v>2</v>
      </c>
      <c r="F488" s="226">
        <v>3275.4592229999998</v>
      </c>
      <c r="G488" s="223">
        <v>1993</v>
      </c>
      <c r="H488" s="223">
        <v>1</v>
      </c>
      <c r="I488" s="223">
        <v>0</v>
      </c>
      <c r="J488" s="223"/>
      <c r="K488" s="229">
        <v>53193.457779999997</v>
      </c>
      <c r="L488" s="241">
        <v>70</v>
      </c>
      <c r="M488" s="229">
        <v>15958.037329999999</v>
      </c>
      <c r="N488" s="230">
        <v>16.239999999999998</v>
      </c>
      <c r="O488" s="231">
        <v>0</v>
      </c>
      <c r="P488" s="315"/>
      <c r="Q488" s="276">
        <f t="shared" si="17"/>
        <v>3275.46</v>
      </c>
      <c r="R488" s="275">
        <f>(SUMIFS('Dec 31 2018 OFFS'!$AG:$AG,'Dec 31 2018 OFFS'!$AI:$AI,'T1 2019 Pipeline Data Lagasco'!$A488,'Dec 31 2018 OFFS'!$U:$U,'T1 2019 Pipeline Data Lagasco'!$E488,'Dec 31 2018 OFFS'!$AK:$AK,'T1 2019 Pipeline Data Lagasco'!$Q488,'Dec 31 2018 OFFS'!$W:$W,'T1 2019 Pipeline Data Lagasco'!$G488))/(MAX(COUNTIFS('Dec 31 2018 OFFS'!$AI:$AI,'T1 2019 Pipeline Data Lagasco'!$A488,'Dec 31 2018 OFFS'!$U:$U,'T1 2019 Pipeline Data Lagasco'!$E488,'Dec 31 2018 OFFS'!$AK:$AK,'T1 2019 Pipeline Data Lagasco'!$Q488,'Dec 31 2018 OFFS'!$W:$W,'T1 2019 Pipeline Data Lagasco'!$G488),1))</f>
        <v>0</v>
      </c>
      <c r="S488" s="275">
        <f t="shared" si="18"/>
        <v>0</v>
      </c>
      <c r="T488" s="217"/>
    </row>
    <row r="489" spans="1:20" ht="14.1" customHeight="1">
      <c r="A489" s="224" t="s">
        <v>1500</v>
      </c>
      <c r="B489" s="218" t="s">
        <v>1501</v>
      </c>
      <c r="C489" s="223">
        <v>1</v>
      </c>
      <c r="D489" s="218" t="s">
        <v>1488</v>
      </c>
      <c r="E489" s="240">
        <v>2</v>
      </c>
      <c r="F489" s="226">
        <v>3079.2978109999999</v>
      </c>
      <c r="G489" s="223">
        <v>1981</v>
      </c>
      <c r="H489" s="223">
        <v>1</v>
      </c>
      <c r="I489" s="223">
        <v>0</v>
      </c>
      <c r="J489" s="223"/>
      <c r="K489" s="229">
        <v>50007.796450000002</v>
      </c>
      <c r="L489" s="241">
        <v>80</v>
      </c>
      <c r="M489" s="229">
        <v>10001.559289999999</v>
      </c>
      <c r="N489" s="230">
        <v>16.239999999999998</v>
      </c>
      <c r="O489" s="231">
        <v>0</v>
      </c>
      <c r="P489" s="315"/>
      <c r="Q489" s="276">
        <f t="shared" si="17"/>
        <v>3079.30</v>
      </c>
      <c r="R489" s="275">
        <f>(SUMIFS('Dec 31 2018 OFFS'!$AG:$AG,'Dec 31 2018 OFFS'!$AI:$AI,'T1 2019 Pipeline Data Lagasco'!$A489,'Dec 31 2018 OFFS'!$U:$U,'T1 2019 Pipeline Data Lagasco'!$E489,'Dec 31 2018 OFFS'!$AK:$AK,'T1 2019 Pipeline Data Lagasco'!$Q489,'Dec 31 2018 OFFS'!$W:$W,'T1 2019 Pipeline Data Lagasco'!$G489))/(MAX(COUNTIFS('Dec 31 2018 OFFS'!$AI:$AI,'T1 2019 Pipeline Data Lagasco'!$A489,'Dec 31 2018 OFFS'!$U:$U,'T1 2019 Pipeline Data Lagasco'!$E489,'Dec 31 2018 OFFS'!$AK:$AK,'T1 2019 Pipeline Data Lagasco'!$Q489,'Dec 31 2018 OFFS'!$W:$W,'T1 2019 Pipeline Data Lagasco'!$G489),1))</f>
        <v>0</v>
      </c>
      <c r="S489" s="275">
        <f t="shared" si="18"/>
        <v>0</v>
      </c>
      <c r="T489" s="217"/>
    </row>
    <row r="490" spans="1:20" ht="14.1" customHeight="1">
      <c r="A490" s="224" t="s">
        <v>1500</v>
      </c>
      <c r="B490" s="218" t="s">
        <v>1501</v>
      </c>
      <c r="C490" s="223">
        <v>1</v>
      </c>
      <c r="D490" s="218" t="s">
        <v>1488</v>
      </c>
      <c r="E490" s="240">
        <v>2</v>
      </c>
      <c r="F490" s="230">
        <v>3957.35</v>
      </c>
      <c r="G490" s="223">
        <v>1981</v>
      </c>
      <c r="H490" s="223">
        <v>1</v>
      </c>
      <c r="I490" s="223">
        <v>0</v>
      </c>
      <c r="J490" s="223"/>
      <c r="K490" s="239">
        <v>64267.364000000001</v>
      </c>
      <c r="L490" s="241">
        <v>80</v>
      </c>
      <c r="M490" s="228">
        <v>12853.4728</v>
      </c>
      <c r="N490" s="230">
        <v>16.239999999999998</v>
      </c>
      <c r="O490" s="231">
        <v>0</v>
      </c>
      <c r="P490" s="315"/>
      <c r="Q490" s="276">
        <f t="shared" si="17"/>
        <v>3957.35</v>
      </c>
      <c r="R490" s="275">
        <f>(SUMIFS('Dec 31 2018 OFFS'!$AG:$AG,'Dec 31 2018 OFFS'!$AI:$AI,'T1 2019 Pipeline Data Lagasco'!$A490,'Dec 31 2018 OFFS'!$U:$U,'T1 2019 Pipeline Data Lagasco'!$E490,'Dec 31 2018 OFFS'!$AK:$AK,'T1 2019 Pipeline Data Lagasco'!$Q490,'Dec 31 2018 OFFS'!$W:$W,'T1 2019 Pipeline Data Lagasco'!$G490))/(MAX(COUNTIFS('Dec 31 2018 OFFS'!$AI:$AI,'T1 2019 Pipeline Data Lagasco'!$A490,'Dec 31 2018 OFFS'!$U:$U,'T1 2019 Pipeline Data Lagasco'!$E490,'Dec 31 2018 OFFS'!$AK:$AK,'T1 2019 Pipeline Data Lagasco'!$Q490,'Dec 31 2018 OFFS'!$W:$W,'T1 2019 Pipeline Data Lagasco'!$G490),1))</f>
        <v>0</v>
      </c>
      <c r="S490" s="275">
        <f t="shared" si="18"/>
        <v>0</v>
      </c>
      <c r="T490" s="217"/>
    </row>
    <row r="491" spans="1:20" ht="14.1" customHeight="1">
      <c r="A491" s="224" t="s">
        <v>1500</v>
      </c>
      <c r="B491" s="218" t="s">
        <v>1501</v>
      </c>
      <c r="C491" s="223">
        <v>1</v>
      </c>
      <c r="D491" s="218" t="s">
        <v>1488</v>
      </c>
      <c r="E491" s="240">
        <v>2</v>
      </c>
      <c r="F491" s="226">
        <v>2804.5930950000002</v>
      </c>
      <c r="G491" s="223">
        <v>1990</v>
      </c>
      <c r="H491" s="223">
        <v>1</v>
      </c>
      <c r="I491" s="223">
        <v>0</v>
      </c>
      <c r="J491" s="223"/>
      <c r="K491" s="229">
        <v>45546.59186</v>
      </c>
      <c r="L491" s="241">
        <v>73</v>
      </c>
      <c r="M491" s="228">
        <v>12297.5798</v>
      </c>
      <c r="N491" s="230">
        <v>16.239999999999998</v>
      </c>
      <c r="O491" s="231">
        <v>0</v>
      </c>
      <c r="P491" s="315"/>
      <c r="Q491" s="276">
        <f t="shared" si="17"/>
        <v>2804.59</v>
      </c>
      <c r="R491" s="275">
        <f>(SUMIFS('Dec 31 2018 OFFS'!$AG:$AG,'Dec 31 2018 OFFS'!$AI:$AI,'T1 2019 Pipeline Data Lagasco'!$A491,'Dec 31 2018 OFFS'!$U:$U,'T1 2019 Pipeline Data Lagasco'!$E491,'Dec 31 2018 OFFS'!$AK:$AK,'T1 2019 Pipeline Data Lagasco'!$Q491,'Dec 31 2018 OFFS'!$W:$W,'T1 2019 Pipeline Data Lagasco'!$G491))/(MAX(COUNTIFS('Dec 31 2018 OFFS'!$AI:$AI,'T1 2019 Pipeline Data Lagasco'!$A491,'Dec 31 2018 OFFS'!$U:$U,'T1 2019 Pipeline Data Lagasco'!$E491,'Dec 31 2018 OFFS'!$AK:$AK,'T1 2019 Pipeline Data Lagasco'!$Q491,'Dec 31 2018 OFFS'!$W:$W,'T1 2019 Pipeline Data Lagasco'!$G491),1))</f>
        <v>0</v>
      </c>
      <c r="S491" s="275">
        <f t="shared" si="18"/>
        <v>0</v>
      </c>
      <c r="T491" s="217"/>
    </row>
    <row r="492" spans="1:20" ht="14.1" customHeight="1">
      <c r="A492" s="224" t="s">
        <v>1500</v>
      </c>
      <c r="B492" s="218" t="s">
        <v>1501</v>
      </c>
      <c r="C492" s="223">
        <v>1</v>
      </c>
      <c r="D492" s="218" t="s">
        <v>1488</v>
      </c>
      <c r="E492" s="240">
        <v>2</v>
      </c>
      <c r="F492" s="230">
        <v>3067.72</v>
      </c>
      <c r="G492" s="223">
        <v>1993</v>
      </c>
      <c r="H492" s="223">
        <v>1</v>
      </c>
      <c r="I492" s="223">
        <v>0</v>
      </c>
      <c r="J492" s="223"/>
      <c r="K492" s="228">
        <v>49819.772799999999</v>
      </c>
      <c r="L492" s="241">
        <v>70</v>
      </c>
      <c r="M492" s="229">
        <v>14945.931839999999</v>
      </c>
      <c r="N492" s="230">
        <v>16.239999999999998</v>
      </c>
      <c r="O492" s="231">
        <v>0</v>
      </c>
      <c r="P492" s="315"/>
      <c r="Q492" s="276">
        <f t="shared" si="17"/>
        <v>3067.72</v>
      </c>
      <c r="R492" s="275">
        <f>(SUMIFS('Dec 31 2018 OFFS'!$AG:$AG,'Dec 31 2018 OFFS'!$AI:$AI,'T1 2019 Pipeline Data Lagasco'!$A492,'Dec 31 2018 OFFS'!$U:$U,'T1 2019 Pipeline Data Lagasco'!$E492,'Dec 31 2018 OFFS'!$AK:$AK,'T1 2019 Pipeline Data Lagasco'!$Q492,'Dec 31 2018 OFFS'!$W:$W,'T1 2019 Pipeline Data Lagasco'!$G492))/(MAX(COUNTIFS('Dec 31 2018 OFFS'!$AI:$AI,'T1 2019 Pipeline Data Lagasco'!$A492,'Dec 31 2018 OFFS'!$U:$U,'T1 2019 Pipeline Data Lagasco'!$E492,'Dec 31 2018 OFFS'!$AK:$AK,'T1 2019 Pipeline Data Lagasco'!$Q492,'Dec 31 2018 OFFS'!$W:$W,'T1 2019 Pipeline Data Lagasco'!$G492),1))</f>
        <v>0</v>
      </c>
      <c r="S492" s="275">
        <f t="shared" si="18"/>
        <v>0</v>
      </c>
      <c r="T492" s="217"/>
    </row>
    <row r="493" spans="1:20" ht="14.1" customHeight="1">
      <c r="A493" s="224" t="s">
        <v>1500</v>
      </c>
      <c r="B493" s="218" t="s">
        <v>1501</v>
      </c>
      <c r="C493" s="223">
        <v>1</v>
      </c>
      <c r="D493" s="218" t="s">
        <v>1488</v>
      </c>
      <c r="E493" s="240">
        <v>2</v>
      </c>
      <c r="F493" s="230">
        <v>4349.7700000000004</v>
      </c>
      <c r="G493" s="223">
        <v>1981</v>
      </c>
      <c r="H493" s="223">
        <v>1</v>
      </c>
      <c r="I493" s="223">
        <v>0</v>
      </c>
      <c r="J493" s="223"/>
      <c r="K493" s="228">
        <v>70640.264800000004</v>
      </c>
      <c r="L493" s="241">
        <v>80</v>
      </c>
      <c r="M493" s="229">
        <v>14128.052960000001</v>
      </c>
      <c r="N493" s="230">
        <v>16.239999999999998</v>
      </c>
      <c r="O493" s="231">
        <v>0</v>
      </c>
      <c r="P493" s="315"/>
      <c r="Q493" s="276">
        <f t="shared" si="17"/>
        <v>4349.7700000000004</v>
      </c>
      <c r="R493" s="275">
        <f>(SUMIFS('Dec 31 2018 OFFS'!$AG:$AG,'Dec 31 2018 OFFS'!$AI:$AI,'T1 2019 Pipeline Data Lagasco'!$A493,'Dec 31 2018 OFFS'!$U:$U,'T1 2019 Pipeline Data Lagasco'!$E493,'Dec 31 2018 OFFS'!$AK:$AK,'T1 2019 Pipeline Data Lagasco'!$Q493,'Dec 31 2018 OFFS'!$W:$W,'T1 2019 Pipeline Data Lagasco'!$G493))/(MAX(COUNTIFS('Dec 31 2018 OFFS'!$AI:$AI,'T1 2019 Pipeline Data Lagasco'!$A493,'Dec 31 2018 OFFS'!$U:$U,'T1 2019 Pipeline Data Lagasco'!$E493,'Dec 31 2018 OFFS'!$AK:$AK,'T1 2019 Pipeline Data Lagasco'!$Q493,'Dec 31 2018 OFFS'!$W:$W,'T1 2019 Pipeline Data Lagasco'!$G493),1))</f>
        <v>0</v>
      </c>
      <c r="S493" s="275">
        <f t="shared" si="18"/>
        <v>0</v>
      </c>
      <c r="T493" s="217"/>
    </row>
    <row r="494" spans="1:20" ht="14.1" customHeight="1">
      <c r="A494" s="224" t="s">
        <v>1500</v>
      </c>
      <c r="B494" s="218" t="s">
        <v>1501</v>
      </c>
      <c r="C494" s="223">
        <v>1</v>
      </c>
      <c r="D494" s="218" t="s">
        <v>1488</v>
      </c>
      <c r="E494" s="240">
        <v>2</v>
      </c>
      <c r="F494" s="226">
        <v>2271.6206689999999</v>
      </c>
      <c r="G494" s="223">
        <v>1990</v>
      </c>
      <c r="H494" s="223">
        <v>1</v>
      </c>
      <c r="I494" s="223">
        <v>0</v>
      </c>
      <c r="J494" s="223"/>
      <c r="K494" s="229">
        <v>36891.11967</v>
      </c>
      <c r="L494" s="241">
        <v>73</v>
      </c>
      <c r="M494" s="229">
        <v>9960.6023100000002</v>
      </c>
      <c r="N494" s="230">
        <v>16.239999999999998</v>
      </c>
      <c r="O494" s="231">
        <v>0</v>
      </c>
      <c r="P494" s="315"/>
      <c r="Q494" s="276">
        <f t="shared" si="17"/>
        <v>2271.62</v>
      </c>
      <c r="R494" s="275">
        <f>(SUMIFS('Dec 31 2018 OFFS'!$AG:$AG,'Dec 31 2018 OFFS'!$AI:$AI,'T1 2019 Pipeline Data Lagasco'!$A494,'Dec 31 2018 OFFS'!$U:$U,'T1 2019 Pipeline Data Lagasco'!$E494,'Dec 31 2018 OFFS'!$AK:$AK,'T1 2019 Pipeline Data Lagasco'!$Q494,'Dec 31 2018 OFFS'!$W:$W,'T1 2019 Pipeline Data Lagasco'!$G494))/(MAX(COUNTIFS('Dec 31 2018 OFFS'!$AI:$AI,'T1 2019 Pipeline Data Lagasco'!$A494,'Dec 31 2018 OFFS'!$U:$U,'T1 2019 Pipeline Data Lagasco'!$E494,'Dec 31 2018 OFFS'!$AK:$AK,'T1 2019 Pipeline Data Lagasco'!$Q494,'Dec 31 2018 OFFS'!$W:$W,'T1 2019 Pipeline Data Lagasco'!$G494),1))</f>
        <v>0</v>
      </c>
      <c r="S494" s="275">
        <f t="shared" si="18"/>
        <v>0</v>
      </c>
      <c r="T494" s="217"/>
    </row>
    <row r="495" spans="1:20" ht="14.1" customHeight="1">
      <c r="A495" s="224" t="s">
        <v>1500</v>
      </c>
      <c r="B495" s="218" t="s">
        <v>1501</v>
      </c>
      <c r="C495" s="223">
        <v>1</v>
      </c>
      <c r="D495" s="218" t="s">
        <v>1488</v>
      </c>
      <c r="E495" s="240">
        <v>2</v>
      </c>
      <c r="F495" s="226">
        <v>6922.0142349999996</v>
      </c>
      <c r="G495" s="223">
        <v>1978</v>
      </c>
      <c r="H495" s="223">
        <v>1</v>
      </c>
      <c r="I495" s="246">
        <v>0</v>
      </c>
      <c r="J495" s="223"/>
      <c r="K495" s="228">
        <v>112413.51119999999</v>
      </c>
      <c r="L495" s="241">
        <v>80</v>
      </c>
      <c r="M495" s="229">
        <v>22482.702239999999</v>
      </c>
      <c r="N495" s="230">
        <v>16.239999999999998</v>
      </c>
      <c r="O495" s="248">
        <v>0</v>
      </c>
      <c r="P495" s="317" t="s">
        <v>1560</v>
      </c>
      <c r="Q495" s="276">
        <f t="shared" si="17"/>
        <v>6922.01</v>
      </c>
      <c r="R495" s="275">
        <f>(SUMIFS('Dec 31 2018 OFFS'!$AG:$AG,'Dec 31 2018 OFFS'!$AI:$AI,'T1 2019 Pipeline Data Lagasco'!$A495,'Dec 31 2018 OFFS'!$U:$U,'T1 2019 Pipeline Data Lagasco'!$E495,'Dec 31 2018 OFFS'!$AK:$AK,'T1 2019 Pipeline Data Lagasco'!$Q495,'Dec 31 2018 OFFS'!$W:$W,'T1 2019 Pipeline Data Lagasco'!$G495))/(MAX(COUNTIFS('Dec 31 2018 OFFS'!$AI:$AI,'T1 2019 Pipeline Data Lagasco'!$A495,'Dec 31 2018 OFFS'!$U:$U,'T1 2019 Pipeline Data Lagasco'!$E495,'Dec 31 2018 OFFS'!$AK:$AK,'T1 2019 Pipeline Data Lagasco'!$Q495,'Dec 31 2018 OFFS'!$W:$W,'T1 2019 Pipeline Data Lagasco'!$G495),1))</f>
        <v>0</v>
      </c>
      <c r="S495" s="275">
        <f t="shared" si="18"/>
        <v>0</v>
      </c>
      <c r="T495" s="278" t="e">
        <f>R495/O495</f>
        <v>#DIV/0!</v>
      </c>
    </row>
    <row r="496" spans="1:20" ht="14.1" customHeight="1">
      <c r="A496" s="224" t="s">
        <v>1500</v>
      </c>
      <c r="B496" s="218" t="s">
        <v>1501</v>
      </c>
      <c r="C496" s="223">
        <v>1</v>
      </c>
      <c r="D496" s="218" t="s">
        <v>1488</v>
      </c>
      <c r="E496" s="240">
        <v>2</v>
      </c>
      <c r="F496" s="226">
        <v>5306.6599509999996</v>
      </c>
      <c r="G496" s="223">
        <v>1978</v>
      </c>
      <c r="H496" s="223">
        <v>1</v>
      </c>
      <c r="I496" s="223">
        <v>1</v>
      </c>
      <c r="J496" s="223"/>
      <c r="K496" s="229">
        <v>86180.157609999995</v>
      </c>
      <c r="L496" s="241">
        <v>80</v>
      </c>
      <c r="M496" s="229">
        <v>17236.03152</v>
      </c>
      <c r="N496" s="230">
        <v>16.239999999999998</v>
      </c>
      <c r="O496" s="231">
        <v>17236</v>
      </c>
      <c r="P496" s="315"/>
      <c r="Q496" s="276">
        <f t="shared" si="17"/>
        <v>5306.66</v>
      </c>
      <c r="R496" s="275">
        <f>(SUMIFS('Dec 31 2018 OFFS'!$AG:$AG,'Dec 31 2018 OFFS'!$AI:$AI,'T1 2019 Pipeline Data Lagasco'!$A496,'Dec 31 2018 OFFS'!$U:$U,'T1 2019 Pipeline Data Lagasco'!$E496,'Dec 31 2018 OFFS'!$AK:$AK,'T1 2019 Pipeline Data Lagasco'!$Q496,'Dec 31 2018 OFFS'!$W:$W,'T1 2019 Pipeline Data Lagasco'!$G496))/(MAX(COUNTIFS('Dec 31 2018 OFFS'!$AI:$AI,'T1 2019 Pipeline Data Lagasco'!$A496,'Dec 31 2018 OFFS'!$U:$U,'T1 2019 Pipeline Data Lagasco'!$E496,'Dec 31 2018 OFFS'!$AK:$AK,'T1 2019 Pipeline Data Lagasco'!$Q496,'Dec 31 2018 OFFS'!$W:$W,'T1 2019 Pipeline Data Lagasco'!$G496),1))</f>
        <v>17236</v>
      </c>
      <c r="S496" s="275">
        <f t="shared" si="18"/>
        <v>0</v>
      </c>
      <c r="T496" s="217"/>
    </row>
    <row r="497" spans="1:20" ht="14.1" customHeight="1">
      <c r="A497" s="224" t="s">
        <v>1500</v>
      </c>
      <c r="B497" s="218" t="s">
        <v>1501</v>
      </c>
      <c r="C497" s="223">
        <v>1</v>
      </c>
      <c r="D497" s="218" t="s">
        <v>1488</v>
      </c>
      <c r="E497" s="240">
        <v>2</v>
      </c>
      <c r="F497" s="230">
        <v>6902.56</v>
      </c>
      <c r="G497" s="223">
        <v>1984</v>
      </c>
      <c r="H497" s="223">
        <v>1</v>
      </c>
      <c r="I497" s="223">
        <v>0</v>
      </c>
      <c r="J497" s="223"/>
      <c r="K497" s="228">
        <v>112097.5744</v>
      </c>
      <c r="L497" s="241">
        <v>80</v>
      </c>
      <c r="M497" s="229">
        <v>22419.514879999999</v>
      </c>
      <c r="N497" s="230">
        <v>16.239999999999998</v>
      </c>
      <c r="O497" s="231">
        <v>0</v>
      </c>
      <c r="P497" s="315"/>
      <c r="Q497" s="276">
        <f t="shared" si="17"/>
        <v>6902.56</v>
      </c>
      <c r="R497" s="275">
        <f>(SUMIFS('Dec 31 2018 OFFS'!$AG:$AG,'Dec 31 2018 OFFS'!$AI:$AI,'T1 2019 Pipeline Data Lagasco'!$A497,'Dec 31 2018 OFFS'!$U:$U,'T1 2019 Pipeline Data Lagasco'!$E497,'Dec 31 2018 OFFS'!$AK:$AK,'T1 2019 Pipeline Data Lagasco'!$Q497,'Dec 31 2018 OFFS'!$W:$W,'T1 2019 Pipeline Data Lagasco'!$G497))/(MAX(COUNTIFS('Dec 31 2018 OFFS'!$AI:$AI,'T1 2019 Pipeline Data Lagasco'!$A497,'Dec 31 2018 OFFS'!$U:$U,'T1 2019 Pipeline Data Lagasco'!$E497,'Dec 31 2018 OFFS'!$AK:$AK,'T1 2019 Pipeline Data Lagasco'!$Q497,'Dec 31 2018 OFFS'!$W:$W,'T1 2019 Pipeline Data Lagasco'!$G497),1))</f>
        <v>0</v>
      </c>
      <c r="S497" s="275">
        <f t="shared" si="18"/>
        <v>0</v>
      </c>
      <c r="T497" s="217"/>
    </row>
    <row r="498" spans="1:20" ht="14.1" customHeight="1">
      <c r="A498" s="224" t="s">
        <v>1500</v>
      </c>
      <c r="B498" s="218" t="s">
        <v>1501</v>
      </c>
      <c r="C498" s="223">
        <v>1</v>
      </c>
      <c r="D498" s="218" t="s">
        <v>1488</v>
      </c>
      <c r="E498" s="240">
        <v>2</v>
      </c>
      <c r="F498" s="226">
        <v>4177.1652329999997</v>
      </c>
      <c r="G498" s="223">
        <v>1980</v>
      </c>
      <c r="H498" s="223">
        <v>1</v>
      </c>
      <c r="I498" s="223">
        <v>1</v>
      </c>
      <c r="J498" s="223"/>
      <c r="K498" s="229">
        <v>67837.163390000002</v>
      </c>
      <c r="L498" s="241">
        <v>80</v>
      </c>
      <c r="M498" s="229">
        <v>13567.43268</v>
      </c>
      <c r="N498" s="230">
        <v>16.239999999999998</v>
      </c>
      <c r="O498" s="231">
        <v>13567</v>
      </c>
      <c r="P498" s="315"/>
      <c r="Q498" s="276">
        <f t="shared" si="17"/>
        <v>4177.17</v>
      </c>
      <c r="R498" s="275">
        <f>(SUMIFS('Dec 31 2018 OFFS'!$AG:$AG,'Dec 31 2018 OFFS'!$AI:$AI,'T1 2019 Pipeline Data Lagasco'!$A498,'Dec 31 2018 OFFS'!$U:$U,'T1 2019 Pipeline Data Lagasco'!$E498,'Dec 31 2018 OFFS'!$AK:$AK,'T1 2019 Pipeline Data Lagasco'!$Q498,'Dec 31 2018 OFFS'!$W:$W,'T1 2019 Pipeline Data Lagasco'!$G498))/(MAX(COUNTIFS('Dec 31 2018 OFFS'!$AI:$AI,'T1 2019 Pipeline Data Lagasco'!$A498,'Dec 31 2018 OFFS'!$U:$U,'T1 2019 Pipeline Data Lagasco'!$E498,'Dec 31 2018 OFFS'!$AK:$AK,'T1 2019 Pipeline Data Lagasco'!$Q498,'Dec 31 2018 OFFS'!$W:$W,'T1 2019 Pipeline Data Lagasco'!$G498),1))</f>
        <v>13567</v>
      </c>
      <c r="S498" s="275">
        <f t="shared" si="18"/>
        <v>0</v>
      </c>
      <c r="T498" s="217"/>
    </row>
    <row r="499" spans="1:20" ht="14.1" customHeight="1">
      <c r="A499" s="224" t="s">
        <v>1500</v>
      </c>
      <c r="B499" s="218" t="s">
        <v>1501</v>
      </c>
      <c r="C499" s="223">
        <v>1</v>
      </c>
      <c r="D499" s="218" t="s">
        <v>1488</v>
      </c>
      <c r="E499" s="240">
        <v>2</v>
      </c>
      <c r="F499" s="236">
        <v>5415.2229399999997</v>
      </c>
      <c r="G499" s="223">
        <v>1982</v>
      </c>
      <c r="H499" s="223">
        <v>1</v>
      </c>
      <c r="I499" s="223">
        <v>0</v>
      </c>
      <c r="J499" s="223"/>
      <c r="K499" s="229">
        <v>87943.220549999998</v>
      </c>
      <c r="L499" s="241">
        <v>80</v>
      </c>
      <c r="M499" s="229">
        <v>17588.644110000001</v>
      </c>
      <c r="N499" s="230">
        <v>16.239999999999998</v>
      </c>
      <c r="O499" s="231">
        <v>0</v>
      </c>
      <c r="P499" s="315"/>
      <c r="Q499" s="276">
        <f t="shared" si="17"/>
        <v>5415.22</v>
      </c>
      <c r="R499" s="275">
        <f>(SUMIFS('Dec 31 2018 OFFS'!$AG:$AG,'Dec 31 2018 OFFS'!$AI:$AI,'T1 2019 Pipeline Data Lagasco'!$A499,'Dec 31 2018 OFFS'!$U:$U,'T1 2019 Pipeline Data Lagasco'!$E499,'Dec 31 2018 OFFS'!$AK:$AK,'T1 2019 Pipeline Data Lagasco'!$Q499,'Dec 31 2018 OFFS'!$W:$W,'T1 2019 Pipeline Data Lagasco'!$G499))/(MAX(COUNTIFS('Dec 31 2018 OFFS'!$AI:$AI,'T1 2019 Pipeline Data Lagasco'!$A499,'Dec 31 2018 OFFS'!$U:$U,'T1 2019 Pipeline Data Lagasco'!$E499,'Dec 31 2018 OFFS'!$AK:$AK,'T1 2019 Pipeline Data Lagasco'!$Q499,'Dec 31 2018 OFFS'!$W:$W,'T1 2019 Pipeline Data Lagasco'!$G499),1))</f>
        <v>0</v>
      </c>
      <c r="S499" s="275">
        <f t="shared" si="18"/>
        <v>0</v>
      </c>
      <c r="T499" s="217"/>
    </row>
    <row r="500" spans="1:20" ht="14.1" customHeight="1">
      <c r="A500" s="224" t="s">
        <v>1500</v>
      </c>
      <c r="B500" s="218" t="s">
        <v>1501</v>
      </c>
      <c r="C500" s="223">
        <v>1</v>
      </c>
      <c r="D500" s="218" t="s">
        <v>1488</v>
      </c>
      <c r="E500" s="240">
        <v>2</v>
      </c>
      <c r="F500" s="230">
        <v>4102.33</v>
      </c>
      <c r="G500" s="223">
        <v>1983</v>
      </c>
      <c r="H500" s="223">
        <v>1</v>
      </c>
      <c r="I500" s="223">
        <v>0</v>
      </c>
      <c r="J500" s="223"/>
      <c r="K500" s="228">
        <v>66621.839200000002</v>
      </c>
      <c r="L500" s="241">
        <v>80</v>
      </c>
      <c r="M500" s="229">
        <v>13324.367840000001</v>
      </c>
      <c r="N500" s="230">
        <v>16.239999999999998</v>
      </c>
      <c r="O500" s="231">
        <v>0</v>
      </c>
      <c r="P500" s="315"/>
      <c r="Q500" s="276">
        <f t="shared" si="17"/>
        <v>4102.33</v>
      </c>
      <c r="R500" s="275">
        <f>(SUMIFS('Dec 31 2018 OFFS'!$AG:$AG,'Dec 31 2018 OFFS'!$AI:$AI,'T1 2019 Pipeline Data Lagasco'!$A500,'Dec 31 2018 OFFS'!$U:$U,'T1 2019 Pipeline Data Lagasco'!$E500,'Dec 31 2018 OFFS'!$AK:$AK,'T1 2019 Pipeline Data Lagasco'!$Q500,'Dec 31 2018 OFFS'!$W:$W,'T1 2019 Pipeline Data Lagasco'!$G500))/(MAX(COUNTIFS('Dec 31 2018 OFFS'!$AI:$AI,'T1 2019 Pipeline Data Lagasco'!$A500,'Dec 31 2018 OFFS'!$U:$U,'T1 2019 Pipeline Data Lagasco'!$E500,'Dec 31 2018 OFFS'!$AK:$AK,'T1 2019 Pipeline Data Lagasco'!$Q500,'Dec 31 2018 OFFS'!$W:$W,'T1 2019 Pipeline Data Lagasco'!$G500),1))</f>
        <v>0</v>
      </c>
      <c r="S500" s="275">
        <f t="shared" si="18"/>
        <v>0</v>
      </c>
      <c r="T500" s="217"/>
    </row>
    <row r="501" spans="1:20" ht="14.1" customHeight="1">
      <c r="A501" s="224" t="s">
        <v>1500</v>
      </c>
      <c r="B501" s="218" t="s">
        <v>1501</v>
      </c>
      <c r="C501" s="223">
        <v>1</v>
      </c>
      <c r="D501" s="218" t="s">
        <v>1488</v>
      </c>
      <c r="E501" s="240">
        <v>2</v>
      </c>
      <c r="F501" s="226">
        <v>7426.1808870000004</v>
      </c>
      <c r="G501" s="223">
        <v>1983</v>
      </c>
      <c r="H501" s="223">
        <v>1</v>
      </c>
      <c r="I501" s="223">
        <v>0</v>
      </c>
      <c r="J501" s="223"/>
      <c r="K501" s="228">
        <v>120601.1776</v>
      </c>
      <c r="L501" s="241">
        <v>80</v>
      </c>
      <c r="M501" s="229">
        <v>24120.235519999998</v>
      </c>
      <c r="N501" s="230">
        <v>16.239999999999998</v>
      </c>
      <c r="O501" s="231">
        <v>0</v>
      </c>
      <c r="P501" s="315"/>
      <c r="Q501" s="276">
        <f t="shared" si="17"/>
        <v>7426.18</v>
      </c>
      <c r="R501" s="275">
        <f>(SUMIFS('Dec 31 2018 OFFS'!$AG:$AG,'Dec 31 2018 OFFS'!$AI:$AI,'T1 2019 Pipeline Data Lagasco'!$A501,'Dec 31 2018 OFFS'!$U:$U,'T1 2019 Pipeline Data Lagasco'!$E501,'Dec 31 2018 OFFS'!$AK:$AK,'T1 2019 Pipeline Data Lagasco'!$Q501,'Dec 31 2018 OFFS'!$W:$W,'T1 2019 Pipeline Data Lagasco'!$G501))/(MAX(COUNTIFS('Dec 31 2018 OFFS'!$AI:$AI,'T1 2019 Pipeline Data Lagasco'!$A501,'Dec 31 2018 OFFS'!$U:$U,'T1 2019 Pipeline Data Lagasco'!$E501,'Dec 31 2018 OFFS'!$AK:$AK,'T1 2019 Pipeline Data Lagasco'!$Q501,'Dec 31 2018 OFFS'!$W:$W,'T1 2019 Pipeline Data Lagasco'!$G501),1))</f>
        <v>0</v>
      </c>
      <c r="S501" s="275">
        <f t="shared" si="18"/>
        <v>0</v>
      </c>
      <c r="T501" s="217"/>
    </row>
    <row r="502" spans="1:20" ht="14.1" customHeight="1">
      <c r="A502" s="224" t="s">
        <v>1500</v>
      </c>
      <c r="B502" s="218" t="s">
        <v>1501</v>
      </c>
      <c r="C502" s="223">
        <v>1</v>
      </c>
      <c r="D502" s="218" t="s">
        <v>1488</v>
      </c>
      <c r="E502" s="240">
        <v>2</v>
      </c>
      <c r="F502" s="226">
        <v>4322.0471189999998</v>
      </c>
      <c r="G502" s="223">
        <v>1982</v>
      </c>
      <c r="H502" s="223">
        <v>1</v>
      </c>
      <c r="I502" s="223">
        <v>0</v>
      </c>
      <c r="J502" s="223"/>
      <c r="K502" s="229">
        <v>70190.045209999997</v>
      </c>
      <c r="L502" s="241">
        <v>80</v>
      </c>
      <c r="M502" s="229">
        <v>14038.009040000001</v>
      </c>
      <c r="N502" s="230">
        <v>16.239999999999998</v>
      </c>
      <c r="O502" s="231">
        <v>0</v>
      </c>
      <c r="P502" s="315"/>
      <c r="Q502" s="276">
        <f t="shared" si="17"/>
        <v>4322.05</v>
      </c>
      <c r="R502" s="275">
        <f>(SUMIFS('Dec 31 2018 OFFS'!$AG:$AG,'Dec 31 2018 OFFS'!$AI:$AI,'T1 2019 Pipeline Data Lagasco'!$A502,'Dec 31 2018 OFFS'!$U:$U,'T1 2019 Pipeline Data Lagasco'!$E502,'Dec 31 2018 OFFS'!$AK:$AK,'T1 2019 Pipeline Data Lagasco'!$Q502,'Dec 31 2018 OFFS'!$W:$W,'T1 2019 Pipeline Data Lagasco'!$G502))/(MAX(COUNTIFS('Dec 31 2018 OFFS'!$AI:$AI,'T1 2019 Pipeline Data Lagasco'!$A502,'Dec 31 2018 OFFS'!$U:$U,'T1 2019 Pipeline Data Lagasco'!$E502,'Dec 31 2018 OFFS'!$AK:$AK,'T1 2019 Pipeline Data Lagasco'!$Q502,'Dec 31 2018 OFFS'!$W:$W,'T1 2019 Pipeline Data Lagasco'!$G502),1))</f>
        <v>0</v>
      </c>
      <c r="S502" s="275">
        <f t="shared" si="18"/>
        <v>0</v>
      </c>
      <c r="T502" s="217"/>
    </row>
    <row r="503" spans="1:20" ht="14.1" customHeight="1">
      <c r="A503" s="224" t="s">
        <v>1500</v>
      </c>
      <c r="B503" s="218" t="s">
        <v>1501</v>
      </c>
      <c r="C503" s="223">
        <v>1</v>
      </c>
      <c r="D503" s="218" t="s">
        <v>1488</v>
      </c>
      <c r="E503" s="240">
        <v>2</v>
      </c>
      <c r="F503" s="236">
        <v>5879.9210899999998</v>
      </c>
      <c r="G503" s="223">
        <v>1982</v>
      </c>
      <c r="H503" s="223">
        <v>1</v>
      </c>
      <c r="I503" s="246">
        <v>0</v>
      </c>
      <c r="J503" s="223"/>
      <c r="K503" s="229">
        <v>95489.918489999996</v>
      </c>
      <c r="L503" s="241">
        <v>80</v>
      </c>
      <c r="M503" s="228">
        <v>19097.983700000001</v>
      </c>
      <c r="N503" s="230">
        <v>16.239999999999998</v>
      </c>
      <c r="O503" s="248">
        <v>0</v>
      </c>
      <c r="P503" s="317" t="s">
        <v>1560</v>
      </c>
      <c r="Q503" s="276">
        <f t="shared" si="17"/>
        <v>5879.92</v>
      </c>
      <c r="R503" s="275">
        <f>(SUMIFS('Dec 31 2018 OFFS'!$AG:$AG,'Dec 31 2018 OFFS'!$AI:$AI,'T1 2019 Pipeline Data Lagasco'!$A503,'Dec 31 2018 OFFS'!$U:$U,'T1 2019 Pipeline Data Lagasco'!$E503,'Dec 31 2018 OFFS'!$AK:$AK,'T1 2019 Pipeline Data Lagasco'!$Q503,'Dec 31 2018 OFFS'!$W:$W,'T1 2019 Pipeline Data Lagasco'!$G503))/(MAX(COUNTIFS('Dec 31 2018 OFFS'!$AI:$AI,'T1 2019 Pipeline Data Lagasco'!$A503,'Dec 31 2018 OFFS'!$U:$U,'T1 2019 Pipeline Data Lagasco'!$E503,'Dec 31 2018 OFFS'!$AK:$AK,'T1 2019 Pipeline Data Lagasco'!$Q503,'Dec 31 2018 OFFS'!$W:$W,'T1 2019 Pipeline Data Lagasco'!$G503),1))</f>
        <v>0</v>
      </c>
      <c r="S503" s="275">
        <f t="shared" si="18"/>
        <v>0</v>
      </c>
      <c r="T503" s="278" t="e">
        <f>R503/O503</f>
        <v>#DIV/0!</v>
      </c>
    </row>
    <row r="504" spans="1:20" ht="14.1" customHeight="1">
      <c r="A504" s="224" t="s">
        <v>1500</v>
      </c>
      <c r="B504" s="218" t="s">
        <v>1501</v>
      </c>
      <c r="C504" s="223">
        <v>1</v>
      </c>
      <c r="D504" s="218" t="s">
        <v>1488</v>
      </c>
      <c r="E504" s="240">
        <v>2</v>
      </c>
      <c r="F504" s="230">
        <v>221.59</v>
      </c>
      <c r="G504" s="223">
        <v>1982</v>
      </c>
      <c r="H504" s="223">
        <v>1</v>
      </c>
      <c r="I504" s="223">
        <v>0</v>
      </c>
      <c r="J504" s="223"/>
      <c r="K504" s="228">
        <v>3598.6215999999999</v>
      </c>
      <c r="L504" s="241">
        <v>80</v>
      </c>
      <c r="M504" s="229">
        <v>719.72432000000003</v>
      </c>
      <c r="N504" s="230">
        <v>16.239999999999998</v>
      </c>
      <c r="O504" s="231">
        <v>0</v>
      </c>
      <c r="P504" s="315"/>
      <c r="Q504" s="276">
        <f t="shared" si="17"/>
        <v>221.59</v>
      </c>
      <c r="R504" s="275">
        <f>(SUMIFS('Dec 31 2018 OFFS'!$AG:$AG,'Dec 31 2018 OFFS'!$AI:$AI,'T1 2019 Pipeline Data Lagasco'!$A504,'Dec 31 2018 OFFS'!$U:$U,'T1 2019 Pipeline Data Lagasco'!$E504,'Dec 31 2018 OFFS'!$AK:$AK,'T1 2019 Pipeline Data Lagasco'!$Q504,'Dec 31 2018 OFFS'!$W:$W,'T1 2019 Pipeline Data Lagasco'!$G504))/(MAX(COUNTIFS('Dec 31 2018 OFFS'!$AI:$AI,'T1 2019 Pipeline Data Lagasco'!$A504,'Dec 31 2018 OFFS'!$U:$U,'T1 2019 Pipeline Data Lagasco'!$E504,'Dec 31 2018 OFFS'!$AK:$AK,'T1 2019 Pipeline Data Lagasco'!$Q504,'Dec 31 2018 OFFS'!$W:$W,'T1 2019 Pipeline Data Lagasco'!$G504),1))</f>
        <v>0</v>
      </c>
      <c r="S504" s="275">
        <f t="shared" si="18"/>
        <v>0</v>
      </c>
      <c r="T504" s="217"/>
    </row>
    <row r="505" spans="1:20" ht="14.1" customHeight="1">
      <c r="A505" s="224" t="s">
        <v>1500</v>
      </c>
      <c r="B505" s="218" t="s">
        <v>1501</v>
      </c>
      <c r="C505" s="223">
        <v>1</v>
      </c>
      <c r="D505" s="218" t="s">
        <v>1488</v>
      </c>
      <c r="E505" s="240">
        <v>2</v>
      </c>
      <c r="F505" s="226">
        <v>5270.3738629999998</v>
      </c>
      <c r="G505" s="223">
        <v>1986</v>
      </c>
      <c r="H505" s="223">
        <v>1</v>
      </c>
      <c r="I505" s="223">
        <v>1</v>
      </c>
      <c r="J505" s="223"/>
      <c r="K505" s="229">
        <v>85590.871539999993</v>
      </c>
      <c r="L505" s="241">
        <v>79</v>
      </c>
      <c r="M505" s="229">
        <v>17974.083019999998</v>
      </c>
      <c r="N505" s="230">
        <v>16.239999999999998</v>
      </c>
      <c r="O505" s="231">
        <v>17974</v>
      </c>
      <c r="P505" s="315"/>
      <c r="Q505" s="276">
        <f t="shared" si="17"/>
        <v>5270.37</v>
      </c>
      <c r="R505" s="275">
        <f>(SUMIFS('Dec 31 2018 OFFS'!$AG:$AG,'Dec 31 2018 OFFS'!$AI:$AI,'T1 2019 Pipeline Data Lagasco'!$A505,'Dec 31 2018 OFFS'!$U:$U,'T1 2019 Pipeline Data Lagasco'!$E505,'Dec 31 2018 OFFS'!$AK:$AK,'T1 2019 Pipeline Data Lagasco'!$Q505,'Dec 31 2018 OFFS'!$W:$W,'T1 2019 Pipeline Data Lagasco'!$G505))/(MAX(COUNTIFS('Dec 31 2018 OFFS'!$AI:$AI,'T1 2019 Pipeline Data Lagasco'!$A505,'Dec 31 2018 OFFS'!$U:$U,'T1 2019 Pipeline Data Lagasco'!$E505,'Dec 31 2018 OFFS'!$AK:$AK,'T1 2019 Pipeline Data Lagasco'!$Q505,'Dec 31 2018 OFFS'!$W:$W,'T1 2019 Pipeline Data Lagasco'!$G505),1))</f>
        <v>17974</v>
      </c>
      <c r="S505" s="275">
        <f t="shared" si="18"/>
        <v>0</v>
      </c>
      <c r="T505" s="217"/>
    </row>
    <row r="506" spans="1:20" ht="14.1" customHeight="1">
      <c r="A506" s="224" t="s">
        <v>1500</v>
      </c>
      <c r="B506" s="218" t="s">
        <v>1501</v>
      </c>
      <c r="C506" s="223">
        <v>1</v>
      </c>
      <c r="D506" s="218" t="s">
        <v>1488</v>
      </c>
      <c r="E506" s="240">
        <v>2</v>
      </c>
      <c r="F506" s="226">
        <v>4965.846313</v>
      </c>
      <c r="G506" s="223">
        <v>1974</v>
      </c>
      <c r="H506" s="223">
        <v>1</v>
      </c>
      <c r="I506" s="223">
        <v>0</v>
      </c>
      <c r="J506" s="223"/>
      <c r="K506" s="229">
        <v>80645.344119999994</v>
      </c>
      <c r="L506" s="241">
        <v>80</v>
      </c>
      <c r="M506" s="229">
        <v>16129.06882</v>
      </c>
      <c r="N506" s="230">
        <v>16.239999999999998</v>
      </c>
      <c r="O506" s="231">
        <v>0</v>
      </c>
      <c r="P506" s="315"/>
      <c r="Q506" s="276">
        <f t="shared" si="17"/>
        <v>4965.8500000000004</v>
      </c>
      <c r="R506" s="275">
        <f>(SUMIFS('Dec 31 2018 OFFS'!$AG:$AG,'Dec 31 2018 OFFS'!$AI:$AI,'T1 2019 Pipeline Data Lagasco'!$A506,'Dec 31 2018 OFFS'!$U:$U,'T1 2019 Pipeline Data Lagasco'!$E506,'Dec 31 2018 OFFS'!$AK:$AK,'T1 2019 Pipeline Data Lagasco'!$Q506,'Dec 31 2018 OFFS'!$W:$W,'T1 2019 Pipeline Data Lagasco'!$G506))/(MAX(COUNTIFS('Dec 31 2018 OFFS'!$AI:$AI,'T1 2019 Pipeline Data Lagasco'!$A506,'Dec 31 2018 OFFS'!$U:$U,'T1 2019 Pipeline Data Lagasco'!$E506,'Dec 31 2018 OFFS'!$AK:$AK,'T1 2019 Pipeline Data Lagasco'!$Q506,'Dec 31 2018 OFFS'!$W:$W,'T1 2019 Pipeline Data Lagasco'!$G506),1))</f>
        <v>0</v>
      </c>
      <c r="S506" s="275">
        <f t="shared" si="18"/>
        <v>0</v>
      </c>
      <c r="T506" s="217"/>
    </row>
    <row r="507" spans="1:20" ht="14.1" customHeight="1">
      <c r="A507" s="224" t="s">
        <v>1500</v>
      </c>
      <c r="B507" s="218" t="s">
        <v>1501</v>
      </c>
      <c r="C507" s="223">
        <v>1</v>
      </c>
      <c r="D507" s="218" t="s">
        <v>1488</v>
      </c>
      <c r="E507" s="240">
        <v>2</v>
      </c>
      <c r="F507" s="236">
        <v>2797.1127799999999</v>
      </c>
      <c r="G507" s="223">
        <v>1980</v>
      </c>
      <c r="H507" s="223">
        <v>1</v>
      </c>
      <c r="I507" s="223">
        <v>1</v>
      </c>
      <c r="J507" s="223"/>
      <c r="K507" s="229">
        <v>45425.111550000001</v>
      </c>
      <c r="L507" s="241">
        <v>80</v>
      </c>
      <c r="M507" s="233">
        <v>9085.022309</v>
      </c>
      <c r="N507" s="230">
        <v>16.239999999999998</v>
      </c>
      <c r="O507" s="231">
        <v>9085</v>
      </c>
      <c r="P507" s="315"/>
      <c r="Q507" s="276">
        <f t="shared" si="17"/>
        <v>2797.11</v>
      </c>
      <c r="R507" s="275">
        <f>(SUMIFS('Dec 31 2018 OFFS'!$AG:$AG,'Dec 31 2018 OFFS'!$AI:$AI,'T1 2019 Pipeline Data Lagasco'!$A507,'Dec 31 2018 OFFS'!$U:$U,'T1 2019 Pipeline Data Lagasco'!$E507,'Dec 31 2018 OFFS'!$AK:$AK,'T1 2019 Pipeline Data Lagasco'!$Q507,'Dec 31 2018 OFFS'!$W:$W,'T1 2019 Pipeline Data Lagasco'!$G507))/(MAX(COUNTIFS('Dec 31 2018 OFFS'!$AI:$AI,'T1 2019 Pipeline Data Lagasco'!$A507,'Dec 31 2018 OFFS'!$U:$U,'T1 2019 Pipeline Data Lagasco'!$E507,'Dec 31 2018 OFFS'!$AK:$AK,'T1 2019 Pipeline Data Lagasco'!$Q507,'Dec 31 2018 OFFS'!$W:$W,'T1 2019 Pipeline Data Lagasco'!$G507),1))</f>
        <v>9085</v>
      </c>
      <c r="S507" s="275">
        <f t="shared" si="18"/>
        <v>0</v>
      </c>
      <c r="T507" s="217"/>
    </row>
    <row r="508" spans="1:20" ht="14.1" customHeight="1">
      <c r="A508" s="224" t="s">
        <v>1500</v>
      </c>
      <c r="B508" s="218" t="s">
        <v>1501</v>
      </c>
      <c r="C508" s="223">
        <v>1</v>
      </c>
      <c r="D508" s="218" t="s">
        <v>1488</v>
      </c>
      <c r="E508" s="240">
        <v>2</v>
      </c>
      <c r="F508" s="236">
        <v>7008.7596400000002</v>
      </c>
      <c r="G508" s="223">
        <v>1968</v>
      </c>
      <c r="H508" s="223">
        <v>1</v>
      </c>
      <c r="I508" s="223">
        <v>0</v>
      </c>
      <c r="J508" s="223"/>
      <c r="K508" s="228">
        <v>113822.2565</v>
      </c>
      <c r="L508" s="241">
        <v>80</v>
      </c>
      <c r="M508" s="229">
        <v>22764.45131</v>
      </c>
      <c r="N508" s="230">
        <v>16.239999999999998</v>
      </c>
      <c r="O508" s="231">
        <v>0</v>
      </c>
      <c r="P508" s="315"/>
      <c r="Q508" s="276">
        <f t="shared" si="17"/>
        <v>7008.76</v>
      </c>
      <c r="R508" s="275">
        <f>(SUMIFS('Dec 31 2018 OFFS'!$AG:$AG,'Dec 31 2018 OFFS'!$AI:$AI,'T1 2019 Pipeline Data Lagasco'!$A508,'Dec 31 2018 OFFS'!$U:$U,'T1 2019 Pipeline Data Lagasco'!$E508,'Dec 31 2018 OFFS'!$AK:$AK,'T1 2019 Pipeline Data Lagasco'!$Q508,'Dec 31 2018 OFFS'!$W:$W,'T1 2019 Pipeline Data Lagasco'!$G508))/(MAX(COUNTIFS('Dec 31 2018 OFFS'!$AI:$AI,'T1 2019 Pipeline Data Lagasco'!$A508,'Dec 31 2018 OFFS'!$U:$U,'T1 2019 Pipeline Data Lagasco'!$E508,'Dec 31 2018 OFFS'!$AK:$AK,'T1 2019 Pipeline Data Lagasco'!$Q508,'Dec 31 2018 OFFS'!$W:$W,'T1 2019 Pipeline Data Lagasco'!$G508),1))</f>
        <v>0</v>
      </c>
      <c r="S508" s="275">
        <f t="shared" si="18"/>
        <v>0</v>
      </c>
      <c r="T508" s="217"/>
    </row>
    <row r="509" spans="1:20" ht="14.1" customHeight="1">
      <c r="A509" s="224" t="s">
        <v>1500</v>
      </c>
      <c r="B509" s="218" t="s">
        <v>1501</v>
      </c>
      <c r="C509" s="223">
        <v>1</v>
      </c>
      <c r="D509" s="218" t="s">
        <v>1488</v>
      </c>
      <c r="E509" s="240">
        <v>2</v>
      </c>
      <c r="F509" s="226">
        <v>6989.435493</v>
      </c>
      <c r="G509" s="223">
        <v>1974</v>
      </c>
      <c r="H509" s="223">
        <v>1</v>
      </c>
      <c r="I509" s="223">
        <v>0</v>
      </c>
      <c r="J509" s="223"/>
      <c r="K509" s="228">
        <v>113508.43240000001</v>
      </c>
      <c r="L509" s="241">
        <v>80</v>
      </c>
      <c r="M509" s="229">
        <v>22701.68648</v>
      </c>
      <c r="N509" s="230">
        <v>16.239999999999998</v>
      </c>
      <c r="O509" s="231">
        <v>0</v>
      </c>
      <c r="P509" s="315"/>
      <c r="Q509" s="276">
        <f t="shared" si="17"/>
        <v>6989.44</v>
      </c>
      <c r="R509" s="275">
        <f>(SUMIFS('Dec 31 2018 OFFS'!$AG:$AG,'Dec 31 2018 OFFS'!$AI:$AI,'T1 2019 Pipeline Data Lagasco'!$A509,'Dec 31 2018 OFFS'!$U:$U,'T1 2019 Pipeline Data Lagasco'!$E509,'Dec 31 2018 OFFS'!$AK:$AK,'T1 2019 Pipeline Data Lagasco'!$Q509,'Dec 31 2018 OFFS'!$W:$W,'T1 2019 Pipeline Data Lagasco'!$G509))/(MAX(COUNTIFS('Dec 31 2018 OFFS'!$AI:$AI,'T1 2019 Pipeline Data Lagasco'!$A509,'Dec 31 2018 OFFS'!$U:$U,'T1 2019 Pipeline Data Lagasco'!$E509,'Dec 31 2018 OFFS'!$AK:$AK,'T1 2019 Pipeline Data Lagasco'!$Q509,'Dec 31 2018 OFFS'!$W:$W,'T1 2019 Pipeline Data Lagasco'!$G509),1))</f>
        <v>0</v>
      </c>
      <c r="S509" s="275">
        <f t="shared" si="18"/>
        <v>0</v>
      </c>
      <c r="T509" s="217"/>
    </row>
    <row r="510" spans="1:20" ht="14.1" customHeight="1">
      <c r="A510" s="224" t="s">
        <v>1500</v>
      </c>
      <c r="B510" s="218" t="s">
        <v>1501</v>
      </c>
      <c r="C510" s="223">
        <v>1</v>
      </c>
      <c r="D510" s="218" t="s">
        <v>1488</v>
      </c>
      <c r="E510" s="240">
        <v>2</v>
      </c>
      <c r="F510" s="226">
        <v>5121.6205870000003</v>
      </c>
      <c r="G510" s="223">
        <v>1980</v>
      </c>
      <c r="H510" s="223">
        <v>1</v>
      </c>
      <c r="I510" s="223">
        <v>0</v>
      </c>
      <c r="J510" s="223"/>
      <c r="K510" s="229">
        <v>83175.118329999998</v>
      </c>
      <c r="L510" s="241">
        <v>80</v>
      </c>
      <c r="M510" s="229">
        <v>16635.023669999999</v>
      </c>
      <c r="N510" s="230">
        <v>16.239999999999998</v>
      </c>
      <c r="O510" s="231">
        <v>0</v>
      </c>
      <c r="P510" s="315"/>
      <c r="Q510" s="276">
        <f t="shared" si="17"/>
        <v>5121.62</v>
      </c>
      <c r="R510" s="275">
        <f>(SUMIFS('Dec 31 2018 OFFS'!$AG:$AG,'Dec 31 2018 OFFS'!$AI:$AI,'T1 2019 Pipeline Data Lagasco'!$A510,'Dec 31 2018 OFFS'!$U:$U,'T1 2019 Pipeline Data Lagasco'!$E510,'Dec 31 2018 OFFS'!$AK:$AK,'T1 2019 Pipeline Data Lagasco'!$Q510,'Dec 31 2018 OFFS'!$W:$W,'T1 2019 Pipeline Data Lagasco'!$G510))/(MAX(COUNTIFS('Dec 31 2018 OFFS'!$AI:$AI,'T1 2019 Pipeline Data Lagasco'!$A510,'Dec 31 2018 OFFS'!$U:$U,'T1 2019 Pipeline Data Lagasco'!$E510,'Dec 31 2018 OFFS'!$AK:$AK,'T1 2019 Pipeline Data Lagasco'!$Q510,'Dec 31 2018 OFFS'!$W:$W,'T1 2019 Pipeline Data Lagasco'!$G510),1))</f>
        <v>0</v>
      </c>
      <c r="S510" s="275">
        <f t="shared" si="18"/>
        <v>0</v>
      </c>
      <c r="T510" s="217"/>
    </row>
    <row r="511" spans="1:20" ht="14.1" customHeight="1">
      <c r="A511" s="224" t="s">
        <v>1500</v>
      </c>
      <c r="B511" s="218" t="s">
        <v>1501</v>
      </c>
      <c r="C511" s="223">
        <v>1</v>
      </c>
      <c r="D511" s="218" t="s">
        <v>1488</v>
      </c>
      <c r="E511" s="240">
        <v>2</v>
      </c>
      <c r="F511" s="230">
        <v>5227.99</v>
      </c>
      <c r="G511" s="223">
        <v>1980</v>
      </c>
      <c r="H511" s="223">
        <v>1</v>
      </c>
      <c r="I511" s="223">
        <v>0</v>
      </c>
      <c r="J511" s="223"/>
      <c r="K511" s="228">
        <v>84902.5576</v>
      </c>
      <c r="L511" s="241">
        <v>80</v>
      </c>
      <c r="M511" s="229">
        <v>16980.51152</v>
      </c>
      <c r="N511" s="230">
        <v>16.239999999999998</v>
      </c>
      <c r="O511" s="231">
        <v>0</v>
      </c>
      <c r="P511" s="315"/>
      <c r="Q511" s="276">
        <f t="shared" si="17"/>
        <v>5227.99</v>
      </c>
      <c r="R511" s="275">
        <f>(SUMIFS('Dec 31 2018 OFFS'!$AG:$AG,'Dec 31 2018 OFFS'!$AI:$AI,'T1 2019 Pipeline Data Lagasco'!$A511,'Dec 31 2018 OFFS'!$U:$U,'T1 2019 Pipeline Data Lagasco'!$E511,'Dec 31 2018 OFFS'!$AK:$AK,'T1 2019 Pipeline Data Lagasco'!$Q511,'Dec 31 2018 OFFS'!$W:$W,'T1 2019 Pipeline Data Lagasco'!$G511))/(MAX(COUNTIFS('Dec 31 2018 OFFS'!$AI:$AI,'T1 2019 Pipeline Data Lagasco'!$A511,'Dec 31 2018 OFFS'!$U:$U,'T1 2019 Pipeline Data Lagasco'!$E511,'Dec 31 2018 OFFS'!$AK:$AK,'T1 2019 Pipeline Data Lagasco'!$Q511,'Dec 31 2018 OFFS'!$W:$W,'T1 2019 Pipeline Data Lagasco'!$G511),1))</f>
        <v>0</v>
      </c>
      <c r="S511" s="275">
        <f t="shared" si="18"/>
        <v>0</v>
      </c>
      <c r="T511" s="217"/>
    </row>
    <row r="512" spans="1:20" ht="14.1" customHeight="1">
      <c r="A512" s="224" t="s">
        <v>1500</v>
      </c>
      <c r="B512" s="218" t="s">
        <v>1501</v>
      </c>
      <c r="C512" s="223">
        <v>1</v>
      </c>
      <c r="D512" s="218" t="s">
        <v>1488</v>
      </c>
      <c r="E512" s="240">
        <v>2</v>
      </c>
      <c r="F512" s="226">
        <v>5787.6638739999999</v>
      </c>
      <c r="G512" s="223">
        <v>1979</v>
      </c>
      <c r="H512" s="223">
        <v>1</v>
      </c>
      <c r="I512" s="223">
        <v>1</v>
      </c>
      <c r="J512" s="223"/>
      <c r="K512" s="229">
        <v>93991.661319999999</v>
      </c>
      <c r="L512" s="241">
        <v>80</v>
      </c>
      <c r="M512" s="229">
        <v>18798.332259999999</v>
      </c>
      <c r="N512" s="230">
        <v>16.239999999999998</v>
      </c>
      <c r="O512" s="231">
        <v>18798</v>
      </c>
      <c r="P512" s="315"/>
      <c r="Q512" s="276">
        <f t="shared" si="17"/>
        <v>5787.66</v>
      </c>
      <c r="R512" s="275">
        <f>(SUMIFS('Dec 31 2018 OFFS'!$AG:$AG,'Dec 31 2018 OFFS'!$AI:$AI,'T1 2019 Pipeline Data Lagasco'!$A512,'Dec 31 2018 OFFS'!$U:$U,'T1 2019 Pipeline Data Lagasco'!$E512,'Dec 31 2018 OFFS'!$AK:$AK,'T1 2019 Pipeline Data Lagasco'!$Q512,'Dec 31 2018 OFFS'!$W:$W,'T1 2019 Pipeline Data Lagasco'!$G512))/(MAX(COUNTIFS('Dec 31 2018 OFFS'!$AI:$AI,'T1 2019 Pipeline Data Lagasco'!$A512,'Dec 31 2018 OFFS'!$U:$U,'T1 2019 Pipeline Data Lagasco'!$E512,'Dec 31 2018 OFFS'!$AK:$AK,'T1 2019 Pipeline Data Lagasco'!$Q512,'Dec 31 2018 OFFS'!$W:$W,'T1 2019 Pipeline Data Lagasco'!$G512),1))</f>
        <v>18798</v>
      </c>
      <c r="S512" s="275">
        <f t="shared" si="18"/>
        <v>0</v>
      </c>
      <c r="T512" s="217"/>
    </row>
    <row r="513" spans="1:20" ht="14.1" customHeight="1">
      <c r="A513" s="224" t="s">
        <v>1500</v>
      </c>
      <c r="B513" s="218" t="s">
        <v>1501</v>
      </c>
      <c r="C513" s="223">
        <v>1</v>
      </c>
      <c r="D513" s="218" t="s">
        <v>1488</v>
      </c>
      <c r="E513" s="240">
        <v>2</v>
      </c>
      <c r="F513" s="236">
        <v>564.82938000000001</v>
      </c>
      <c r="G513" s="223">
        <v>1981</v>
      </c>
      <c r="H513" s="223">
        <v>1</v>
      </c>
      <c r="I513" s="223">
        <v>0</v>
      </c>
      <c r="J513" s="223"/>
      <c r="K513" s="233">
        <v>9172.8291310000004</v>
      </c>
      <c r="L513" s="241">
        <v>80</v>
      </c>
      <c r="M513" s="233">
        <v>1834.565826</v>
      </c>
      <c r="N513" s="230">
        <v>16.239999999999998</v>
      </c>
      <c r="O513" s="231">
        <v>0</v>
      </c>
      <c r="P513" s="315"/>
      <c r="Q513" s="276">
        <f t="shared" si="17"/>
        <v>564.83000000000004</v>
      </c>
      <c r="R513" s="275">
        <f>(SUMIFS('Dec 31 2018 OFFS'!$AG:$AG,'Dec 31 2018 OFFS'!$AI:$AI,'T1 2019 Pipeline Data Lagasco'!$A513,'Dec 31 2018 OFFS'!$U:$U,'T1 2019 Pipeline Data Lagasco'!$E513,'Dec 31 2018 OFFS'!$AK:$AK,'T1 2019 Pipeline Data Lagasco'!$Q513,'Dec 31 2018 OFFS'!$W:$W,'T1 2019 Pipeline Data Lagasco'!$G513))/(MAX(COUNTIFS('Dec 31 2018 OFFS'!$AI:$AI,'T1 2019 Pipeline Data Lagasco'!$A513,'Dec 31 2018 OFFS'!$U:$U,'T1 2019 Pipeline Data Lagasco'!$E513,'Dec 31 2018 OFFS'!$AK:$AK,'T1 2019 Pipeline Data Lagasco'!$Q513,'Dec 31 2018 OFFS'!$W:$W,'T1 2019 Pipeline Data Lagasco'!$G513),1))</f>
        <v>0</v>
      </c>
      <c r="S513" s="275">
        <f t="shared" si="18"/>
        <v>0</v>
      </c>
      <c r="T513" s="217"/>
    </row>
    <row r="514" spans="1:20" ht="15" customHeight="1">
      <c r="A514" s="224" t="s">
        <v>1500</v>
      </c>
      <c r="B514" s="218" t="s">
        <v>1501</v>
      </c>
      <c r="C514" s="223">
        <v>1</v>
      </c>
      <c r="D514" s="218" t="s">
        <v>1488</v>
      </c>
      <c r="E514" s="240">
        <v>2</v>
      </c>
      <c r="F514" s="226">
        <v>4638.1232250000003</v>
      </c>
      <c r="G514" s="223">
        <v>1981</v>
      </c>
      <c r="H514" s="223">
        <v>1</v>
      </c>
      <c r="I514" s="246">
        <v>0</v>
      </c>
      <c r="J514" s="223"/>
      <c r="K514" s="229">
        <v>75323.121180000002</v>
      </c>
      <c r="L514" s="241">
        <v>80</v>
      </c>
      <c r="M514" s="229">
        <v>15064.624239999999</v>
      </c>
      <c r="N514" s="230">
        <v>16.239999999999998</v>
      </c>
      <c r="O514" s="248">
        <v>0</v>
      </c>
      <c r="P514" s="317" t="s">
        <v>1560</v>
      </c>
      <c r="Q514" s="276">
        <f t="shared" si="17"/>
        <v>4638.12</v>
      </c>
      <c r="R514" s="275">
        <f>(SUMIFS('Dec 31 2018 OFFS'!$AG:$AG,'Dec 31 2018 OFFS'!$AI:$AI,'T1 2019 Pipeline Data Lagasco'!$A514,'Dec 31 2018 OFFS'!$U:$U,'T1 2019 Pipeline Data Lagasco'!$E514,'Dec 31 2018 OFFS'!$AK:$AK,'T1 2019 Pipeline Data Lagasco'!$Q514,'Dec 31 2018 OFFS'!$W:$W,'T1 2019 Pipeline Data Lagasco'!$G514))/(MAX(COUNTIFS('Dec 31 2018 OFFS'!$AI:$AI,'T1 2019 Pipeline Data Lagasco'!$A514,'Dec 31 2018 OFFS'!$U:$U,'T1 2019 Pipeline Data Lagasco'!$E514,'Dec 31 2018 OFFS'!$AK:$AK,'T1 2019 Pipeline Data Lagasco'!$Q514,'Dec 31 2018 OFFS'!$W:$W,'T1 2019 Pipeline Data Lagasco'!$G514),1))</f>
        <v>0</v>
      </c>
      <c r="S514" s="275">
        <f t="shared" si="18"/>
        <v>0</v>
      </c>
      <c r="T514" s="278" t="e">
        <f>R514/O514</f>
        <v>#DIV/0!</v>
      </c>
    </row>
    <row r="515" spans="1:20" ht="15" customHeight="1">
      <c r="A515" s="224" t="s">
        <v>1500</v>
      </c>
      <c r="B515" s="218" t="s">
        <v>1501</v>
      </c>
      <c r="C515" s="223">
        <v>1</v>
      </c>
      <c r="D515" s="218" t="s">
        <v>1488</v>
      </c>
      <c r="E515" s="240">
        <v>2</v>
      </c>
      <c r="F515" s="230">
        <v>112.07</v>
      </c>
      <c r="G515" s="223">
        <v>1981</v>
      </c>
      <c r="H515" s="223">
        <v>1</v>
      </c>
      <c r="I515" s="223">
        <v>0</v>
      </c>
      <c r="J515" s="223"/>
      <c r="K515" s="228">
        <v>1820.0168000000001</v>
      </c>
      <c r="L515" s="241">
        <v>80</v>
      </c>
      <c r="M515" s="229">
        <v>364.00335999999999</v>
      </c>
      <c r="N515" s="230">
        <v>16.239999999999998</v>
      </c>
      <c r="O515" s="231">
        <v>0</v>
      </c>
      <c r="P515" s="315"/>
      <c r="Q515" s="276">
        <f t="shared" si="17"/>
        <v>112.07</v>
      </c>
      <c r="R515" s="275">
        <f>(SUMIFS('Dec 31 2018 OFFS'!$AG:$AG,'Dec 31 2018 OFFS'!$AI:$AI,'T1 2019 Pipeline Data Lagasco'!$A515,'Dec 31 2018 OFFS'!$U:$U,'T1 2019 Pipeline Data Lagasco'!$E515,'Dec 31 2018 OFFS'!$AK:$AK,'T1 2019 Pipeline Data Lagasco'!$Q515,'Dec 31 2018 OFFS'!$W:$W,'T1 2019 Pipeline Data Lagasco'!$G515))/(MAX(COUNTIFS('Dec 31 2018 OFFS'!$AI:$AI,'T1 2019 Pipeline Data Lagasco'!$A515,'Dec 31 2018 OFFS'!$U:$U,'T1 2019 Pipeline Data Lagasco'!$E515,'Dec 31 2018 OFFS'!$AK:$AK,'T1 2019 Pipeline Data Lagasco'!$Q515,'Dec 31 2018 OFFS'!$W:$W,'T1 2019 Pipeline Data Lagasco'!$G515),1))</f>
        <v>0</v>
      </c>
      <c r="S515" s="275">
        <f t="shared" si="18"/>
        <v>0</v>
      </c>
      <c r="T515" s="217"/>
    </row>
    <row r="516" spans="1:20" ht="14.1" customHeight="1">
      <c r="A516" s="224" t="s">
        <v>1500</v>
      </c>
      <c r="B516" s="218" t="s">
        <v>1501</v>
      </c>
      <c r="C516" s="223">
        <v>1</v>
      </c>
      <c r="D516" s="218" t="s">
        <v>1488</v>
      </c>
      <c r="E516" s="240">
        <v>2</v>
      </c>
      <c r="F516" s="226">
        <v>1646.456645</v>
      </c>
      <c r="G516" s="223">
        <v>1988</v>
      </c>
      <c r="H516" s="223">
        <v>1</v>
      </c>
      <c r="I516" s="223">
        <v>1</v>
      </c>
      <c r="J516" s="223"/>
      <c r="K516" s="229">
        <v>26738.45592</v>
      </c>
      <c r="L516" s="241">
        <v>76</v>
      </c>
      <c r="M516" s="229">
        <v>6417.2294199999997</v>
      </c>
      <c r="N516" s="230">
        <v>16.239999999999998</v>
      </c>
      <c r="O516" s="231">
        <v>6417</v>
      </c>
      <c r="P516" s="315"/>
      <c r="Q516" s="276">
        <f t="shared" si="17"/>
        <v>1646.46</v>
      </c>
      <c r="R516" s="275">
        <f>(SUMIFS('Dec 31 2018 OFFS'!$AG:$AG,'Dec 31 2018 OFFS'!$AI:$AI,'T1 2019 Pipeline Data Lagasco'!$A516,'Dec 31 2018 OFFS'!$U:$U,'T1 2019 Pipeline Data Lagasco'!$E516,'Dec 31 2018 OFFS'!$AK:$AK,'T1 2019 Pipeline Data Lagasco'!$Q516,'Dec 31 2018 OFFS'!$W:$W,'T1 2019 Pipeline Data Lagasco'!$G516))/(MAX(COUNTIFS('Dec 31 2018 OFFS'!$AI:$AI,'T1 2019 Pipeline Data Lagasco'!$A516,'Dec 31 2018 OFFS'!$U:$U,'T1 2019 Pipeline Data Lagasco'!$E516,'Dec 31 2018 OFFS'!$AK:$AK,'T1 2019 Pipeline Data Lagasco'!$Q516,'Dec 31 2018 OFFS'!$W:$W,'T1 2019 Pipeline Data Lagasco'!$G516),1))</f>
        <v>6417</v>
      </c>
      <c r="S516" s="275">
        <f t="shared" si="18"/>
        <v>0</v>
      </c>
      <c r="T516" s="217"/>
    </row>
    <row r="517" spans="1:20" ht="14.1" customHeight="1">
      <c r="A517" s="224" t="s">
        <v>1500</v>
      </c>
      <c r="B517" s="218" t="s">
        <v>1501</v>
      </c>
      <c r="C517" s="223">
        <v>1</v>
      </c>
      <c r="D517" s="218" t="s">
        <v>1488</v>
      </c>
      <c r="E517" s="240">
        <v>2</v>
      </c>
      <c r="F517" s="226">
        <v>3607.0208929999999</v>
      </c>
      <c r="G517" s="223">
        <v>1988</v>
      </c>
      <c r="H517" s="223">
        <v>1</v>
      </c>
      <c r="I517" s="223">
        <v>1</v>
      </c>
      <c r="J517" s="223"/>
      <c r="K517" s="228">
        <v>58578.0193</v>
      </c>
      <c r="L517" s="241">
        <v>76</v>
      </c>
      <c r="M517" s="229">
        <v>14058.724630000001</v>
      </c>
      <c r="N517" s="230">
        <v>16.239999999999998</v>
      </c>
      <c r="O517" s="231">
        <v>14058</v>
      </c>
      <c r="P517" s="315"/>
      <c r="Q517" s="276">
        <f t="shared" si="17"/>
        <v>3607.02</v>
      </c>
      <c r="R517" s="275">
        <f>(SUMIFS('Dec 31 2018 OFFS'!$AG:$AG,'Dec 31 2018 OFFS'!$AI:$AI,'T1 2019 Pipeline Data Lagasco'!$A517,'Dec 31 2018 OFFS'!$U:$U,'T1 2019 Pipeline Data Lagasco'!$E517,'Dec 31 2018 OFFS'!$AK:$AK,'T1 2019 Pipeline Data Lagasco'!$Q517,'Dec 31 2018 OFFS'!$W:$W,'T1 2019 Pipeline Data Lagasco'!$G517))/(MAX(COUNTIFS('Dec 31 2018 OFFS'!$AI:$AI,'T1 2019 Pipeline Data Lagasco'!$A517,'Dec 31 2018 OFFS'!$U:$U,'T1 2019 Pipeline Data Lagasco'!$E517,'Dec 31 2018 OFFS'!$AK:$AK,'T1 2019 Pipeline Data Lagasco'!$Q517,'Dec 31 2018 OFFS'!$W:$W,'T1 2019 Pipeline Data Lagasco'!$G517),1))</f>
        <v>14058</v>
      </c>
      <c r="S517" s="275">
        <f t="shared" si="18"/>
        <v>0</v>
      </c>
      <c r="T517" s="217"/>
    </row>
    <row r="518" spans="1:20" ht="14.1" customHeight="1">
      <c r="A518" s="224" t="s">
        <v>1500</v>
      </c>
      <c r="B518" s="218" t="s">
        <v>1501</v>
      </c>
      <c r="C518" s="223">
        <v>1</v>
      </c>
      <c r="D518" s="218" t="s">
        <v>1488</v>
      </c>
      <c r="E518" s="240">
        <v>2</v>
      </c>
      <c r="F518" s="226">
        <v>5282.4473539999999</v>
      </c>
      <c r="G518" s="223">
        <v>1988</v>
      </c>
      <c r="H518" s="223">
        <v>1</v>
      </c>
      <c r="I518" s="223">
        <v>1</v>
      </c>
      <c r="J518" s="223"/>
      <c r="K518" s="229">
        <v>85786.945019999999</v>
      </c>
      <c r="L518" s="241">
        <v>76</v>
      </c>
      <c r="M518" s="229">
        <v>20588.86681</v>
      </c>
      <c r="N518" s="230">
        <v>16.239999999999998</v>
      </c>
      <c r="O518" s="231">
        <v>20588</v>
      </c>
      <c r="P518" s="315"/>
      <c r="Q518" s="276">
        <f t="shared" si="17"/>
        <v>5282.45</v>
      </c>
      <c r="R518" s="275">
        <f>(SUMIFS('Dec 31 2018 OFFS'!$AG:$AG,'Dec 31 2018 OFFS'!$AI:$AI,'T1 2019 Pipeline Data Lagasco'!$A518,'Dec 31 2018 OFFS'!$U:$U,'T1 2019 Pipeline Data Lagasco'!$E518,'Dec 31 2018 OFFS'!$AK:$AK,'T1 2019 Pipeline Data Lagasco'!$Q518,'Dec 31 2018 OFFS'!$W:$W,'T1 2019 Pipeline Data Lagasco'!$G518))/(MAX(COUNTIFS('Dec 31 2018 OFFS'!$AI:$AI,'T1 2019 Pipeline Data Lagasco'!$A518,'Dec 31 2018 OFFS'!$U:$U,'T1 2019 Pipeline Data Lagasco'!$E518,'Dec 31 2018 OFFS'!$AK:$AK,'T1 2019 Pipeline Data Lagasco'!$Q518,'Dec 31 2018 OFFS'!$W:$W,'T1 2019 Pipeline Data Lagasco'!$G518),1))</f>
        <v>20588</v>
      </c>
      <c r="S518" s="275">
        <f t="shared" si="18"/>
        <v>0</v>
      </c>
      <c r="T518" s="217"/>
    </row>
    <row r="519" spans="1:20" ht="14.1" customHeight="1">
      <c r="A519" s="224" t="s">
        <v>1500</v>
      </c>
      <c r="B519" s="218" t="s">
        <v>1501</v>
      </c>
      <c r="C519" s="223">
        <v>1</v>
      </c>
      <c r="D519" s="218" t="s">
        <v>1488</v>
      </c>
      <c r="E519" s="240">
        <v>2</v>
      </c>
      <c r="F519" s="230">
        <v>3548.23</v>
      </c>
      <c r="G519" s="223">
        <v>1991</v>
      </c>
      <c r="H519" s="223">
        <v>1</v>
      </c>
      <c r="I519" s="223">
        <v>0</v>
      </c>
      <c r="J519" s="223"/>
      <c r="K519" s="228">
        <v>57623.2552</v>
      </c>
      <c r="L519" s="241">
        <v>72</v>
      </c>
      <c r="M519" s="229">
        <v>16134.51146</v>
      </c>
      <c r="N519" s="230">
        <v>16.239999999999998</v>
      </c>
      <c r="O519" s="231">
        <v>0</v>
      </c>
      <c r="P519" s="315"/>
      <c r="Q519" s="276">
        <f t="shared" si="17"/>
        <v>3548.23</v>
      </c>
      <c r="R519" s="275">
        <f>(SUMIFS('Dec 31 2018 OFFS'!$AG:$AG,'Dec 31 2018 OFFS'!$AI:$AI,'T1 2019 Pipeline Data Lagasco'!$A519,'Dec 31 2018 OFFS'!$U:$U,'T1 2019 Pipeline Data Lagasco'!$E519,'Dec 31 2018 OFFS'!$AK:$AK,'T1 2019 Pipeline Data Lagasco'!$Q519,'Dec 31 2018 OFFS'!$W:$W,'T1 2019 Pipeline Data Lagasco'!$G519))/(MAX(COUNTIFS('Dec 31 2018 OFFS'!$AI:$AI,'T1 2019 Pipeline Data Lagasco'!$A519,'Dec 31 2018 OFFS'!$U:$U,'T1 2019 Pipeline Data Lagasco'!$E519,'Dec 31 2018 OFFS'!$AK:$AK,'T1 2019 Pipeline Data Lagasco'!$Q519,'Dec 31 2018 OFFS'!$W:$W,'T1 2019 Pipeline Data Lagasco'!$G519),1))</f>
        <v>0</v>
      </c>
      <c r="S519" s="275">
        <f t="shared" si="18"/>
        <v>0</v>
      </c>
      <c r="T519" s="217"/>
    </row>
    <row r="520" spans="1:20" ht="14.1" customHeight="1">
      <c r="A520" s="224" t="s">
        <v>1500</v>
      </c>
      <c r="B520" s="218" t="s">
        <v>1501</v>
      </c>
      <c r="C520" s="223">
        <v>1</v>
      </c>
      <c r="D520" s="218" t="s">
        <v>1488</v>
      </c>
      <c r="E520" s="240">
        <v>2</v>
      </c>
      <c r="F520" s="230">
        <v>3434.51</v>
      </c>
      <c r="G520" s="223">
        <v>1983</v>
      </c>
      <c r="H520" s="223">
        <v>1</v>
      </c>
      <c r="I520" s="223">
        <v>0</v>
      </c>
      <c r="J520" s="223"/>
      <c r="K520" s="228">
        <v>55776.4424</v>
      </c>
      <c r="L520" s="241">
        <v>80</v>
      </c>
      <c r="M520" s="229">
        <v>11155.288479999999</v>
      </c>
      <c r="N520" s="230">
        <v>16.239999999999998</v>
      </c>
      <c r="O520" s="231">
        <v>0</v>
      </c>
      <c r="P520" s="315"/>
      <c r="Q520" s="276">
        <f t="shared" si="17"/>
        <v>3434.51</v>
      </c>
      <c r="R520" s="275">
        <f>(SUMIFS('Dec 31 2018 OFFS'!$AG:$AG,'Dec 31 2018 OFFS'!$AI:$AI,'T1 2019 Pipeline Data Lagasco'!$A520,'Dec 31 2018 OFFS'!$U:$U,'T1 2019 Pipeline Data Lagasco'!$E520,'Dec 31 2018 OFFS'!$AK:$AK,'T1 2019 Pipeline Data Lagasco'!$Q520,'Dec 31 2018 OFFS'!$W:$W,'T1 2019 Pipeline Data Lagasco'!$G520))/(MAX(COUNTIFS('Dec 31 2018 OFFS'!$AI:$AI,'T1 2019 Pipeline Data Lagasco'!$A520,'Dec 31 2018 OFFS'!$U:$U,'T1 2019 Pipeline Data Lagasco'!$E520,'Dec 31 2018 OFFS'!$AK:$AK,'T1 2019 Pipeline Data Lagasco'!$Q520,'Dec 31 2018 OFFS'!$W:$W,'T1 2019 Pipeline Data Lagasco'!$G520),1))</f>
        <v>0</v>
      </c>
      <c r="S520" s="275">
        <f t="shared" si="18"/>
        <v>0</v>
      </c>
      <c r="T520" s="217"/>
    </row>
    <row r="521" spans="1:20" ht="14.1" customHeight="1">
      <c r="A521" s="224" t="s">
        <v>1500</v>
      </c>
      <c r="B521" s="218" t="s">
        <v>1501</v>
      </c>
      <c r="C521" s="223">
        <v>1</v>
      </c>
      <c r="D521" s="218" t="s">
        <v>1488</v>
      </c>
      <c r="E521" s="240">
        <v>2</v>
      </c>
      <c r="F521" s="226">
        <v>3420.8004259999998</v>
      </c>
      <c r="G521" s="223">
        <v>1991</v>
      </c>
      <c r="H521" s="223">
        <v>1</v>
      </c>
      <c r="I521" s="223">
        <v>1</v>
      </c>
      <c r="J521" s="223"/>
      <c r="K521" s="229">
        <v>55553.798920000001</v>
      </c>
      <c r="L521" s="241">
        <v>72</v>
      </c>
      <c r="M521" s="228">
        <v>15555.063700000001</v>
      </c>
      <c r="N521" s="230">
        <v>16.239999999999998</v>
      </c>
      <c r="O521" s="231">
        <v>15555</v>
      </c>
      <c r="P521" s="315"/>
      <c r="Q521" s="276">
        <f t="shared" si="17"/>
        <v>3420.80</v>
      </c>
      <c r="R521" s="275">
        <f>(SUMIFS('Dec 31 2018 OFFS'!$AG:$AG,'Dec 31 2018 OFFS'!$AI:$AI,'T1 2019 Pipeline Data Lagasco'!$A521,'Dec 31 2018 OFFS'!$U:$U,'T1 2019 Pipeline Data Lagasco'!$E521,'Dec 31 2018 OFFS'!$AK:$AK,'T1 2019 Pipeline Data Lagasco'!$Q521,'Dec 31 2018 OFFS'!$W:$W,'T1 2019 Pipeline Data Lagasco'!$G521))/(MAX(COUNTIFS('Dec 31 2018 OFFS'!$AI:$AI,'T1 2019 Pipeline Data Lagasco'!$A521,'Dec 31 2018 OFFS'!$U:$U,'T1 2019 Pipeline Data Lagasco'!$E521,'Dec 31 2018 OFFS'!$AK:$AK,'T1 2019 Pipeline Data Lagasco'!$Q521,'Dec 31 2018 OFFS'!$W:$W,'T1 2019 Pipeline Data Lagasco'!$G521),1))</f>
        <v>15555</v>
      </c>
      <c r="S521" s="275">
        <f t="shared" si="18"/>
        <v>0</v>
      </c>
      <c r="T521" s="217"/>
    </row>
    <row r="522" spans="1:20" ht="14.1" customHeight="1">
      <c r="A522" s="224" t="s">
        <v>1500</v>
      </c>
      <c r="B522" s="218" t="s">
        <v>1501</v>
      </c>
      <c r="C522" s="223">
        <v>1</v>
      </c>
      <c r="D522" s="218" t="s">
        <v>1488</v>
      </c>
      <c r="E522" s="240">
        <v>2</v>
      </c>
      <c r="F522" s="242">
        <v>2535.40</v>
      </c>
      <c r="G522" s="223">
        <v>1967</v>
      </c>
      <c r="H522" s="223">
        <v>1</v>
      </c>
      <c r="I522" s="223">
        <v>0</v>
      </c>
      <c r="J522" s="223"/>
      <c r="K522" s="239">
        <v>41174.896000000001</v>
      </c>
      <c r="L522" s="241">
        <v>80</v>
      </c>
      <c r="M522" s="228">
        <v>8234.9791999999998</v>
      </c>
      <c r="N522" s="230">
        <v>16.239999999999998</v>
      </c>
      <c r="O522" s="231">
        <v>0</v>
      </c>
      <c r="P522" s="315"/>
      <c r="Q522" s="276">
        <f t="shared" si="17"/>
        <v>2535.40</v>
      </c>
      <c r="R522" s="275">
        <f>(SUMIFS('Dec 31 2018 OFFS'!$AG:$AG,'Dec 31 2018 OFFS'!$AI:$AI,'T1 2019 Pipeline Data Lagasco'!$A522,'Dec 31 2018 OFFS'!$U:$U,'T1 2019 Pipeline Data Lagasco'!$E522,'Dec 31 2018 OFFS'!$AK:$AK,'T1 2019 Pipeline Data Lagasco'!$Q522,'Dec 31 2018 OFFS'!$W:$W,'T1 2019 Pipeline Data Lagasco'!$G522))/(MAX(COUNTIFS('Dec 31 2018 OFFS'!$AI:$AI,'T1 2019 Pipeline Data Lagasco'!$A522,'Dec 31 2018 OFFS'!$U:$U,'T1 2019 Pipeline Data Lagasco'!$E522,'Dec 31 2018 OFFS'!$AK:$AK,'T1 2019 Pipeline Data Lagasco'!$Q522,'Dec 31 2018 OFFS'!$W:$W,'T1 2019 Pipeline Data Lagasco'!$G522),1))</f>
        <v>0</v>
      </c>
      <c r="S522" s="275">
        <f t="shared" si="18"/>
        <v>0</v>
      </c>
      <c r="T522" s="217"/>
    </row>
    <row r="523" spans="1:20" ht="14.1" customHeight="1">
      <c r="A523" s="224" t="s">
        <v>1500</v>
      </c>
      <c r="B523" s="218" t="s">
        <v>1501</v>
      </c>
      <c r="C523" s="223">
        <v>1</v>
      </c>
      <c r="D523" s="218" t="s">
        <v>1488</v>
      </c>
      <c r="E523" s="240">
        <v>2</v>
      </c>
      <c r="F523" s="226">
        <v>5048.7531349999999</v>
      </c>
      <c r="G523" s="223">
        <v>1988</v>
      </c>
      <c r="H523" s="223">
        <v>1</v>
      </c>
      <c r="I523" s="223">
        <v>0</v>
      </c>
      <c r="J523" s="223"/>
      <c r="K523" s="229">
        <v>81991.750910000002</v>
      </c>
      <c r="L523" s="241">
        <v>76</v>
      </c>
      <c r="M523" s="229">
        <v>19678.020219999999</v>
      </c>
      <c r="N523" s="230">
        <v>16.239999999999998</v>
      </c>
      <c r="O523" s="231">
        <v>0</v>
      </c>
      <c r="P523" s="315"/>
      <c r="Q523" s="276">
        <f t="shared" si="17"/>
        <v>5048.75</v>
      </c>
      <c r="R523" s="275">
        <f>(SUMIFS('Dec 31 2018 OFFS'!$AG:$AG,'Dec 31 2018 OFFS'!$AI:$AI,'T1 2019 Pipeline Data Lagasco'!$A523,'Dec 31 2018 OFFS'!$U:$U,'T1 2019 Pipeline Data Lagasco'!$E523,'Dec 31 2018 OFFS'!$AK:$AK,'T1 2019 Pipeline Data Lagasco'!$Q523,'Dec 31 2018 OFFS'!$W:$W,'T1 2019 Pipeline Data Lagasco'!$G523))/(MAX(COUNTIFS('Dec 31 2018 OFFS'!$AI:$AI,'T1 2019 Pipeline Data Lagasco'!$A523,'Dec 31 2018 OFFS'!$U:$U,'T1 2019 Pipeline Data Lagasco'!$E523,'Dec 31 2018 OFFS'!$AK:$AK,'T1 2019 Pipeline Data Lagasco'!$Q523,'Dec 31 2018 OFFS'!$W:$W,'T1 2019 Pipeline Data Lagasco'!$G523),1))</f>
        <v>0</v>
      </c>
      <c r="S523" s="275">
        <f t="shared" si="18"/>
        <v>0</v>
      </c>
      <c r="T523" s="217"/>
    </row>
    <row r="524" spans="1:20" ht="14.1" customHeight="1">
      <c r="A524" s="224" t="s">
        <v>1500</v>
      </c>
      <c r="B524" s="218" t="s">
        <v>1501</v>
      </c>
      <c r="C524" s="223">
        <v>1</v>
      </c>
      <c r="D524" s="218" t="s">
        <v>1488</v>
      </c>
      <c r="E524" s="240">
        <v>2</v>
      </c>
      <c r="F524" s="226">
        <v>4717.4211230000001</v>
      </c>
      <c r="G524" s="223">
        <v>1988</v>
      </c>
      <c r="H524" s="223">
        <v>1</v>
      </c>
      <c r="I524" s="223">
        <v>0</v>
      </c>
      <c r="J524" s="223"/>
      <c r="K524" s="229">
        <v>76610.919039999993</v>
      </c>
      <c r="L524" s="241">
        <v>76</v>
      </c>
      <c r="M524" s="229">
        <v>18386.620569999999</v>
      </c>
      <c r="N524" s="230">
        <v>16.239999999999998</v>
      </c>
      <c r="O524" s="231">
        <v>0</v>
      </c>
      <c r="P524" s="315"/>
      <c r="Q524" s="276">
        <f t="shared" si="17"/>
        <v>4717.42</v>
      </c>
      <c r="R524" s="275">
        <f>(SUMIFS('Dec 31 2018 OFFS'!$AG:$AG,'Dec 31 2018 OFFS'!$AI:$AI,'T1 2019 Pipeline Data Lagasco'!$A524,'Dec 31 2018 OFFS'!$U:$U,'T1 2019 Pipeline Data Lagasco'!$E524,'Dec 31 2018 OFFS'!$AK:$AK,'T1 2019 Pipeline Data Lagasco'!$Q524,'Dec 31 2018 OFFS'!$W:$W,'T1 2019 Pipeline Data Lagasco'!$G524))/(MAX(COUNTIFS('Dec 31 2018 OFFS'!$AI:$AI,'T1 2019 Pipeline Data Lagasco'!$A524,'Dec 31 2018 OFFS'!$U:$U,'T1 2019 Pipeline Data Lagasco'!$E524,'Dec 31 2018 OFFS'!$AK:$AK,'T1 2019 Pipeline Data Lagasco'!$Q524,'Dec 31 2018 OFFS'!$W:$W,'T1 2019 Pipeline Data Lagasco'!$G524),1))</f>
        <v>0</v>
      </c>
      <c r="S524" s="275">
        <f t="shared" si="18"/>
        <v>0</v>
      </c>
      <c r="T524" s="217"/>
    </row>
    <row r="525" spans="1:20" ht="14.1" customHeight="1">
      <c r="A525" s="224" t="s">
        <v>1500</v>
      </c>
      <c r="B525" s="218" t="s">
        <v>1501</v>
      </c>
      <c r="C525" s="223">
        <v>1</v>
      </c>
      <c r="D525" s="218" t="s">
        <v>1488</v>
      </c>
      <c r="E525" s="240">
        <v>2</v>
      </c>
      <c r="F525" s="226">
        <v>5974.9998269999996</v>
      </c>
      <c r="G525" s="223">
        <v>1980</v>
      </c>
      <c r="H525" s="223">
        <v>1</v>
      </c>
      <c r="I525" s="223">
        <v>0</v>
      </c>
      <c r="J525" s="223"/>
      <c r="K525" s="229">
        <v>97033.997189999995</v>
      </c>
      <c r="L525" s="241">
        <v>80</v>
      </c>
      <c r="M525" s="229">
        <v>19406.799439999999</v>
      </c>
      <c r="N525" s="230">
        <v>16.239999999999998</v>
      </c>
      <c r="O525" s="231">
        <v>0</v>
      </c>
      <c r="P525" s="315"/>
      <c r="Q525" s="276">
        <f t="shared" si="17"/>
        <v>5975</v>
      </c>
      <c r="R525" s="275">
        <f>(SUMIFS('Dec 31 2018 OFFS'!$AG:$AG,'Dec 31 2018 OFFS'!$AI:$AI,'T1 2019 Pipeline Data Lagasco'!$A525,'Dec 31 2018 OFFS'!$U:$U,'T1 2019 Pipeline Data Lagasco'!$E525,'Dec 31 2018 OFFS'!$AK:$AK,'T1 2019 Pipeline Data Lagasco'!$Q525,'Dec 31 2018 OFFS'!$W:$W,'T1 2019 Pipeline Data Lagasco'!$G525))/(MAX(COUNTIFS('Dec 31 2018 OFFS'!$AI:$AI,'T1 2019 Pipeline Data Lagasco'!$A525,'Dec 31 2018 OFFS'!$U:$U,'T1 2019 Pipeline Data Lagasco'!$E525,'Dec 31 2018 OFFS'!$AK:$AK,'T1 2019 Pipeline Data Lagasco'!$Q525,'Dec 31 2018 OFFS'!$W:$W,'T1 2019 Pipeline Data Lagasco'!$G525),1))</f>
        <v>0</v>
      </c>
      <c r="S525" s="275">
        <f t="shared" si="18"/>
        <v>0</v>
      </c>
      <c r="T525" s="217"/>
    </row>
    <row r="526" spans="1:20" ht="14.1" customHeight="1">
      <c r="A526" s="224" t="s">
        <v>1500</v>
      </c>
      <c r="B526" s="218" t="s">
        <v>1501</v>
      </c>
      <c r="C526" s="223">
        <v>1</v>
      </c>
      <c r="D526" s="218" t="s">
        <v>1488</v>
      </c>
      <c r="E526" s="240">
        <v>2</v>
      </c>
      <c r="F526" s="236">
        <v>11161.843510000001</v>
      </c>
      <c r="G526" s="223">
        <v>1987</v>
      </c>
      <c r="H526" s="223">
        <v>1</v>
      </c>
      <c r="I526" s="223">
        <v>0</v>
      </c>
      <c r="J526" s="223"/>
      <c r="K526" s="228">
        <v>181268.33859999999</v>
      </c>
      <c r="L526" s="241">
        <v>78</v>
      </c>
      <c r="M526" s="229">
        <v>39879.034489999998</v>
      </c>
      <c r="N526" s="230">
        <v>16.239999999999998</v>
      </c>
      <c r="O526" s="231">
        <v>0</v>
      </c>
      <c r="P526" s="315"/>
      <c r="Q526" s="276">
        <f t="shared" si="17"/>
        <v>11161.84</v>
      </c>
      <c r="R526" s="275">
        <f>(SUMIFS('Dec 31 2018 OFFS'!$AG:$AG,'Dec 31 2018 OFFS'!$AI:$AI,'T1 2019 Pipeline Data Lagasco'!$A526,'Dec 31 2018 OFFS'!$U:$U,'T1 2019 Pipeline Data Lagasco'!$E526,'Dec 31 2018 OFFS'!$AK:$AK,'T1 2019 Pipeline Data Lagasco'!$Q526,'Dec 31 2018 OFFS'!$W:$W,'T1 2019 Pipeline Data Lagasco'!$G526))/(MAX(COUNTIFS('Dec 31 2018 OFFS'!$AI:$AI,'T1 2019 Pipeline Data Lagasco'!$A526,'Dec 31 2018 OFFS'!$U:$U,'T1 2019 Pipeline Data Lagasco'!$E526,'Dec 31 2018 OFFS'!$AK:$AK,'T1 2019 Pipeline Data Lagasco'!$Q526,'Dec 31 2018 OFFS'!$W:$W,'T1 2019 Pipeline Data Lagasco'!$G526),1))</f>
        <v>0</v>
      </c>
      <c r="S526" s="275">
        <f t="shared" si="18"/>
        <v>0</v>
      </c>
      <c r="T526" s="217"/>
    </row>
    <row r="527" spans="1:20" ht="14.1" customHeight="1">
      <c r="A527" s="224" t="s">
        <v>1500</v>
      </c>
      <c r="B527" s="218" t="s">
        <v>1501</v>
      </c>
      <c r="C527" s="223">
        <v>1</v>
      </c>
      <c r="D527" s="218" t="s">
        <v>1488</v>
      </c>
      <c r="E527" s="240">
        <v>2</v>
      </c>
      <c r="F527" s="226">
        <v>4961.8764970000002</v>
      </c>
      <c r="G527" s="223">
        <v>1988</v>
      </c>
      <c r="H527" s="223">
        <v>1</v>
      </c>
      <c r="I527" s="223">
        <v>0</v>
      </c>
      <c r="J527" s="223"/>
      <c r="K527" s="229">
        <v>80580.874309999999</v>
      </c>
      <c r="L527" s="241">
        <v>76</v>
      </c>
      <c r="M527" s="229">
        <v>19339.409830000001</v>
      </c>
      <c r="N527" s="230">
        <v>16.239999999999998</v>
      </c>
      <c r="O527" s="231">
        <v>0</v>
      </c>
      <c r="P527" s="315"/>
      <c r="Q527" s="276">
        <f t="shared" si="17"/>
        <v>4961.88</v>
      </c>
      <c r="R527" s="275">
        <f>(SUMIFS('Dec 31 2018 OFFS'!$AG:$AG,'Dec 31 2018 OFFS'!$AI:$AI,'T1 2019 Pipeline Data Lagasco'!$A527,'Dec 31 2018 OFFS'!$U:$U,'T1 2019 Pipeline Data Lagasco'!$E527,'Dec 31 2018 OFFS'!$AK:$AK,'T1 2019 Pipeline Data Lagasco'!$Q527,'Dec 31 2018 OFFS'!$W:$W,'T1 2019 Pipeline Data Lagasco'!$G527))/(MAX(COUNTIFS('Dec 31 2018 OFFS'!$AI:$AI,'T1 2019 Pipeline Data Lagasco'!$A527,'Dec 31 2018 OFFS'!$U:$U,'T1 2019 Pipeline Data Lagasco'!$E527,'Dec 31 2018 OFFS'!$AK:$AK,'T1 2019 Pipeline Data Lagasco'!$Q527,'Dec 31 2018 OFFS'!$W:$W,'T1 2019 Pipeline Data Lagasco'!$G527),1))</f>
        <v>0</v>
      </c>
      <c r="S527" s="275">
        <f t="shared" si="18"/>
        <v>0</v>
      </c>
      <c r="T527" s="217"/>
    </row>
    <row r="528" spans="1:20" ht="14.1" customHeight="1">
      <c r="A528" s="224" t="s">
        <v>1500</v>
      </c>
      <c r="B528" s="218" t="s">
        <v>1501</v>
      </c>
      <c r="C528" s="223">
        <v>1</v>
      </c>
      <c r="D528" s="218" t="s">
        <v>1488</v>
      </c>
      <c r="E528" s="240">
        <v>2</v>
      </c>
      <c r="F528" s="226">
        <v>3924.4421440000001</v>
      </c>
      <c r="G528" s="223">
        <v>1992</v>
      </c>
      <c r="H528" s="223">
        <v>1</v>
      </c>
      <c r="I528" s="223">
        <v>0</v>
      </c>
      <c r="J528" s="223"/>
      <c r="K528" s="229">
        <v>63732.940410000003</v>
      </c>
      <c r="L528" s="241">
        <v>71</v>
      </c>
      <c r="M528" s="229">
        <v>18482.55272</v>
      </c>
      <c r="N528" s="230">
        <v>16.239999999999998</v>
      </c>
      <c r="O528" s="231">
        <v>0</v>
      </c>
      <c r="P528" s="315"/>
      <c r="Q528" s="276">
        <f t="shared" si="17"/>
        <v>3924.44</v>
      </c>
      <c r="R528" s="275">
        <f>(SUMIFS('Dec 31 2018 OFFS'!$AG:$AG,'Dec 31 2018 OFFS'!$AI:$AI,'T1 2019 Pipeline Data Lagasco'!$A528,'Dec 31 2018 OFFS'!$U:$U,'T1 2019 Pipeline Data Lagasco'!$E528,'Dec 31 2018 OFFS'!$AK:$AK,'T1 2019 Pipeline Data Lagasco'!$Q528,'Dec 31 2018 OFFS'!$W:$W,'T1 2019 Pipeline Data Lagasco'!$G528))/(MAX(COUNTIFS('Dec 31 2018 OFFS'!$AI:$AI,'T1 2019 Pipeline Data Lagasco'!$A528,'Dec 31 2018 OFFS'!$U:$U,'T1 2019 Pipeline Data Lagasco'!$E528,'Dec 31 2018 OFFS'!$AK:$AK,'T1 2019 Pipeline Data Lagasco'!$Q528,'Dec 31 2018 OFFS'!$W:$W,'T1 2019 Pipeline Data Lagasco'!$G528),1))</f>
        <v>0</v>
      </c>
      <c r="S528" s="275">
        <f t="shared" si="18"/>
        <v>0</v>
      </c>
      <c r="T528" s="217"/>
    </row>
    <row r="529" spans="1:19" s="217" customFormat="1" ht="14.1" customHeight="1">
      <c r="A529" s="224" t="s">
        <v>1500</v>
      </c>
      <c r="B529" s="218" t="s">
        <v>1501</v>
      </c>
      <c r="C529" s="223">
        <v>1</v>
      </c>
      <c r="D529" s="218" t="s">
        <v>1488</v>
      </c>
      <c r="E529" s="240">
        <v>2</v>
      </c>
      <c r="F529" s="230">
        <v>5528.44</v>
      </c>
      <c r="G529" s="223">
        <v>1974</v>
      </c>
      <c r="H529" s="223">
        <v>1</v>
      </c>
      <c r="I529" s="223">
        <v>0</v>
      </c>
      <c r="J529" s="223"/>
      <c r="K529" s="228">
        <v>89781.865600000005</v>
      </c>
      <c r="L529" s="241">
        <v>80</v>
      </c>
      <c r="M529" s="229">
        <v>17956.37312</v>
      </c>
      <c r="N529" s="230">
        <v>16.239999999999998</v>
      </c>
      <c r="O529" s="231">
        <v>0</v>
      </c>
      <c r="P529" s="315"/>
      <c r="Q529" s="276">
        <f t="shared" si="17"/>
        <v>5528.44</v>
      </c>
      <c r="R529" s="275">
        <f>(SUMIFS('Dec 31 2018 OFFS'!$AG:$AG,'Dec 31 2018 OFFS'!$AI:$AI,'T1 2019 Pipeline Data Lagasco'!$A529,'Dec 31 2018 OFFS'!$U:$U,'T1 2019 Pipeline Data Lagasco'!$E529,'Dec 31 2018 OFFS'!$AK:$AK,'T1 2019 Pipeline Data Lagasco'!$Q529,'Dec 31 2018 OFFS'!$W:$W,'T1 2019 Pipeline Data Lagasco'!$G529))/(MAX(COUNTIFS('Dec 31 2018 OFFS'!$AI:$AI,'T1 2019 Pipeline Data Lagasco'!$A529,'Dec 31 2018 OFFS'!$U:$U,'T1 2019 Pipeline Data Lagasco'!$E529,'Dec 31 2018 OFFS'!$AK:$AK,'T1 2019 Pipeline Data Lagasco'!$Q529,'Dec 31 2018 OFFS'!$W:$W,'T1 2019 Pipeline Data Lagasco'!$G529),1))</f>
        <v>0</v>
      </c>
      <c r="S529" s="275">
        <f t="shared" si="18"/>
        <v>0</v>
      </c>
    </row>
    <row r="530" spans="1:19" s="217" customFormat="1" ht="14.1" customHeight="1">
      <c r="A530" s="224" t="s">
        <v>1500</v>
      </c>
      <c r="B530" s="218" t="s">
        <v>1501</v>
      </c>
      <c r="C530" s="223">
        <v>1</v>
      </c>
      <c r="D530" s="218" t="s">
        <v>1488</v>
      </c>
      <c r="E530" s="240">
        <v>2</v>
      </c>
      <c r="F530" s="226">
        <v>3091.633769</v>
      </c>
      <c r="G530" s="223">
        <v>1990</v>
      </c>
      <c r="H530" s="223">
        <v>1</v>
      </c>
      <c r="I530" s="223">
        <v>0</v>
      </c>
      <c r="J530" s="223"/>
      <c r="K530" s="228">
        <v>50208.132400000002</v>
      </c>
      <c r="L530" s="241">
        <v>73</v>
      </c>
      <c r="M530" s="229">
        <v>13556.195750000001</v>
      </c>
      <c r="N530" s="230">
        <v>16.239999999999998</v>
      </c>
      <c r="O530" s="231">
        <v>0</v>
      </c>
      <c r="P530" s="315"/>
      <c r="Q530" s="276">
        <f t="shared" si="17"/>
        <v>3091.63</v>
      </c>
      <c r="R530" s="275">
        <f>(SUMIFS('Dec 31 2018 OFFS'!$AG:$AG,'Dec 31 2018 OFFS'!$AI:$AI,'T1 2019 Pipeline Data Lagasco'!$A530,'Dec 31 2018 OFFS'!$U:$U,'T1 2019 Pipeline Data Lagasco'!$E530,'Dec 31 2018 OFFS'!$AK:$AK,'T1 2019 Pipeline Data Lagasco'!$Q530,'Dec 31 2018 OFFS'!$W:$W,'T1 2019 Pipeline Data Lagasco'!$G530))/(MAX(COUNTIFS('Dec 31 2018 OFFS'!$AI:$AI,'T1 2019 Pipeline Data Lagasco'!$A530,'Dec 31 2018 OFFS'!$U:$U,'T1 2019 Pipeline Data Lagasco'!$E530,'Dec 31 2018 OFFS'!$AK:$AK,'T1 2019 Pipeline Data Lagasco'!$Q530,'Dec 31 2018 OFFS'!$W:$W,'T1 2019 Pipeline Data Lagasco'!$G530),1))</f>
        <v>0</v>
      </c>
      <c r="S530" s="275">
        <f t="shared" si="18"/>
        <v>0</v>
      </c>
    </row>
    <row r="531" spans="1:19" s="217" customFormat="1" ht="14.1" customHeight="1">
      <c r="A531" s="224" t="s">
        <v>1500</v>
      </c>
      <c r="B531" s="218" t="s">
        <v>1501</v>
      </c>
      <c r="C531" s="223">
        <v>1</v>
      </c>
      <c r="D531" s="218" t="s">
        <v>1488</v>
      </c>
      <c r="E531" s="240">
        <v>2</v>
      </c>
      <c r="F531" s="226">
        <v>3881.988077</v>
      </c>
      <c r="G531" s="223">
        <v>1986</v>
      </c>
      <c r="H531" s="223">
        <v>1</v>
      </c>
      <c r="I531" s="223">
        <v>0</v>
      </c>
      <c r="J531" s="223"/>
      <c r="K531" s="229">
        <v>63043.486360000003</v>
      </c>
      <c r="L531" s="241">
        <v>79</v>
      </c>
      <c r="M531" s="229">
        <v>13239.13214</v>
      </c>
      <c r="N531" s="230">
        <v>16.239999999999998</v>
      </c>
      <c r="O531" s="231">
        <v>0</v>
      </c>
      <c r="P531" s="315"/>
      <c r="Q531" s="276">
        <f t="shared" si="17"/>
        <v>3881.99</v>
      </c>
      <c r="R531" s="275">
        <f>(SUMIFS('Dec 31 2018 OFFS'!$AG:$AG,'Dec 31 2018 OFFS'!$AI:$AI,'T1 2019 Pipeline Data Lagasco'!$A531,'Dec 31 2018 OFFS'!$U:$U,'T1 2019 Pipeline Data Lagasco'!$E531,'Dec 31 2018 OFFS'!$AK:$AK,'T1 2019 Pipeline Data Lagasco'!$Q531,'Dec 31 2018 OFFS'!$W:$W,'T1 2019 Pipeline Data Lagasco'!$G531))/(MAX(COUNTIFS('Dec 31 2018 OFFS'!$AI:$AI,'T1 2019 Pipeline Data Lagasco'!$A531,'Dec 31 2018 OFFS'!$U:$U,'T1 2019 Pipeline Data Lagasco'!$E531,'Dec 31 2018 OFFS'!$AK:$AK,'T1 2019 Pipeline Data Lagasco'!$Q531,'Dec 31 2018 OFFS'!$W:$W,'T1 2019 Pipeline Data Lagasco'!$G531),1))</f>
        <v>0</v>
      </c>
      <c r="S531" s="275">
        <f t="shared" si="18"/>
        <v>0</v>
      </c>
    </row>
    <row r="532" spans="1:19" s="217" customFormat="1" ht="14.1" customHeight="1">
      <c r="A532" s="224" t="s">
        <v>1500</v>
      </c>
      <c r="B532" s="218" t="s">
        <v>1501</v>
      </c>
      <c r="C532" s="223">
        <v>1</v>
      </c>
      <c r="D532" s="218" t="s">
        <v>1488</v>
      </c>
      <c r="E532" s="240">
        <v>2</v>
      </c>
      <c r="F532" s="236">
        <v>4035.3017199999999</v>
      </c>
      <c r="G532" s="223">
        <v>1986</v>
      </c>
      <c r="H532" s="223">
        <v>1</v>
      </c>
      <c r="I532" s="223">
        <v>1</v>
      </c>
      <c r="J532" s="223"/>
      <c r="K532" s="229">
        <v>65533.299939999997</v>
      </c>
      <c r="L532" s="241">
        <v>79</v>
      </c>
      <c r="M532" s="229">
        <v>13761.992990000001</v>
      </c>
      <c r="N532" s="230">
        <v>16.239999999999998</v>
      </c>
      <c r="O532" s="231">
        <v>13761</v>
      </c>
      <c r="P532" s="315"/>
      <c r="Q532" s="276">
        <f t="shared" si="19" ref="Q532:Q595">ROUND(F532,2)</f>
        <v>4035.30</v>
      </c>
      <c r="R532" s="275">
        <f>(SUMIFS('Dec 31 2018 OFFS'!$AG:$AG,'Dec 31 2018 OFFS'!$AI:$AI,'T1 2019 Pipeline Data Lagasco'!$A532,'Dec 31 2018 OFFS'!$U:$U,'T1 2019 Pipeline Data Lagasco'!$E532,'Dec 31 2018 OFFS'!$AK:$AK,'T1 2019 Pipeline Data Lagasco'!$Q532,'Dec 31 2018 OFFS'!$W:$W,'T1 2019 Pipeline Data Lagasco'!$G532))/(MAX(COUNTIFS('Dec 31 2018 OFFS'!$AI:$AI,'T1 2019 Pipeline Data Lagasco'!$A532,'Dec 31 2018 OFFS'!$U:$U,'T1 2019 Pipeline Data Lagasco'!$E532,'Dec 31 2018 OFFS'!$AK:$AK,'T1 2019 Pipeline Data Lagasco'!$Q532,'Dec 31 2018 OFFS'!$W:$W,'T1 2019 Pipeline Data Lagasco'!$G532),1))</f>
        <v>13761</v>
      </c>
      <c r="S532" s="275">
        <f t="shared" si="20" ref="S532:S595">O532-R532</f>
        <v>0</v>
      </c>
    </row>
    <row r="533" spans="1:19" s="217" customFormat="1" ht="14.1" customHeight="1">
      <c r="A533" s="224" t="s">
        <v>1500</v>
      </c>
      <c r="B533" s="218" t="s">
        <v>1501</v>
      </c>
      <c r="C533" s="223">
        <v>1</v>
      </c>
      <c r="D533" s="218" t="s">
        <v>1488</v>
      </c>
      <c r="E533" s="240">
        <v>3</v>
      </c>
      <c r="F533" s="223">
        <v>940</v>
      </c>
      <c r="G533" s="223">
        <v>2003</v>
      </c>
      <c r="H533" s="223">
        <v>1</v>
      </c>
      <c r="I533" s="223">
        <v>0</v>
      </c>
      <c r="J533" s="223"/>
      <c r="K533" s="237">
        <v>22174.60</v>
      </c>
      <c r="L533" s="241">
        <v>57</v>
      </c>
      <c r="M533" s="239">
        <v>9535.0779999999995</v>
      </c>
      <c r="N533" s="230">
        <v>23.59</v>
      </c>
      <c r="O533" s="231">
        <v>0</v>
      </c>
      <c r="P533" s="315"/>
      <c r="Q533" s="276">
        <f t="shared" si="19"/>
        <v>940</v>
      </c>
      <c r="R533" s="275">
        <f>(SUMIFS('Dec 31 2018 OFFS'!$AG:$AG,'Dec 31 2018 OFFS'!$AI:$AI,'T1 2019 Pipeline Data Lagasco'!$A533,'Dec 31 2018 OFFS'!$U:$U,'T1 2019 Pipeline Data Lagasco'!$E533,'Dec 31 2018 OFFS'!$AK:$AK,'T1 2019 Pipeline Data Lagasco'!$Q533,'Dec 31 2018 OFFS'!$W:$W,'T1 2019 Pipeline Data Lagasco'!$G533))/(MAX(COUNTIFS('Dec 31 2018 OFFS'!$AI:$AI,'T1 2019 Pipeline Data Lagasco'!$A533,'Dec 31 2018 OFFS'!$U:$U,'T1 2019 Pipeline Data Lagasco'!$E533,'Dec 31 2018 OFFS'!$AK:$AK,'T1 2019 Pipeline Data Lagasco'!$Q533,'Dec 31 2018 OFFS'!$W:$W,'T1 2019 Pipeline Data Lagasco'!$G533),1))</f>
        <v>0</v>
      </c>
      <c r="S533" s="275">
        <f t="shared" si="20"/>
        <v>0</v>
      </c>
    </row>
    <row r="534" spans="1:19" s="217" customFormat="1" ht="14.1" customHeight="1">
      <c r="A534" s="224" t="s">
        <v>1500</v>
      </c>
      <c r="B534" s="218" t="s">
        <v>1501</v>
      </c>
      <c r="C534" s="223">
        <v>1</v>
      </c>
      <c r="D534" s="218" t="s">
        <v>1488</v>
      </c>
      <c r="E534" s="240">
        <v>3</v>
      </c>
      <c r="F534" s="226">
        <v>4293.2741539999997</v>
      </c>
      <c r="G534" s="223">
        <v>1974</v>
      </c>
      <c r="H534" s="223">
        <v>1</v>
      </c>
      <c r="I534" s="223">
        <v>1</v>
      </c>
      <c r="J534" s="223"/>
      <c r="K534" s="228">
        <v>101278.3373</v>
      </c>
      <c r="L534" s="241">
        <v>80</v>
      </c>
      <c r="M534" s="229">
        <v>20255.667460000001</v>
      </c>
      <c r="N534" s="230">
        <v>23.59</v>
      </c>
      <c r="O534" s="231">
        <v>20255</v>
      </c>
      <c r="P534" s="315"/>
      <c r="Q534" s="276">
        <f t="shared" si="19"/>
        <v>4293.2700000000004</v>
      </c>
      <c r="R534" s="275">
        <f>(SUMIFS('Dec 31 2018 OFFS'!$AG:$AG,'Dec 31 2018 OFFS'!$AI:$AI,'T1 2019 Pipeline Data Lagasco'!$A534,'Dec 31 2018 OFFS'!$U:$U,'T1 2019 Pipeline Data Lagasco'!$E534,'Dec 31 2018 OFFS'!$AK:$AK,'T1 2019 Pipeline Data Lagasco'!$Q534,'Dec 31 2018 OFFS'!$W:$W,'T1 2019 Pipeline Data Lagasco'!$G534))/(MAX(COUNTIFS('Dec 31 2018 OFFS'!$AI:$AI,'T1 2019 Pipeline Data Lagasco'!$A534,'Dec 31 2018 OFFS'!$U:$U,'T1 2019 Pipeline Data Lagasco'!$E534,'Dec 31 2018 OFFS'!$AK:$AK,'T1 2019 Pipeline Data Lagasco'!$Q534,'Dec 31 2018 OFFS'!$W:$W,'T1 2019 Pipeline Data Lagasco'!$G534),1))</f>
        <v>20255</v>
      </c>
      <c r="S534" s="275">
        <f t="shared" si="20"/>
        <v>0</v>
      </c>
    </row>
    <row r="535" spans="1:19" s="217" customFormat="1" ht="14.1" customHeight="1">
      <c r="A535" s="224" t="s">
        <v>1500</v>
      </c>
      <c r="B535" s="218" t="s">
        <v>1501</v>
      </c>
      <c r="C535" s="223">
        <v>1</v>
      </c>
      <c r="D535" s="218" t="s">
        <v>1488</v>
      </c>
      <c r="E535" s="240">
        <v>3</v>
      </c>
      <c r="F535" s="226">
        <v>5558.858107</v>
      </c>
      <c r="G535" s="223">
        <v>1985</v>
      </c>
      <c r="H535" s="223">
        <v>1</v>
      </c>
      <c r="I535" s="223">
        <v>1</v>
      </c>
      <c r="J535" s="223"/>
      <c r="K535" s="228">
        <v>131133.4627</v>
      </c>
      <c r="L535" s="241">
        <v>80</v>
      </c>
      <c r="M535" s="229">
        <v>26226.69255</v>
      </c>
      <c r="N535" s="230">
        <v>23.59</v>
      </c>
      <c r="O535" s="231">
        <v>26226</v>
      </c>
      <c r="P535" s="315"/>
      <c r="Q535" s="276">
        <f t="shared" si="19"/>
        <v>5558.86</v>
      </c>
      <c r="R535" s="275">
        <f>(SUMIFS('Dec 31 2018 OFFS'!$AG:$AG,'Dec 31 2018 OFFS'!$AI:$AI,'T1 2019 Pipeline Data Lagasco'!$A535,'Dec 31 2018 OFFS'!$U:$U,'T1 2019 Pipeline Data Lagasco'!$E535,'Dec 31 2018 OFFS'!$AK:$AK,'T1 2019 Pipeline Data Lagasco'!$Q535,'Dec 31 2018 OFFS'!$W:$W,'T1 2019 Pipeline Data Lagasco'!$G535))/(MAX(COUNTIFS('Dec 31 2018 OFFS'!$AI:$AI,'T1 2019 Pipeline Data Lagasco'!$A535,'Dec 31 2018 OFFS'!$U:$U,'T1 2019 Pipeline Data Lagasco'!$E535,'Dec 31 2018 OFFS'!$AK:$AK,'T1 2019 Pipeline Data Lagasco'!$Q535,'Dec 31 2018 OFFS'!$W:$W,'T1 2019 Pipeline Data Lagasco'!$G535),1))</f>
        <v>26226</v>
      </c>
      <c r="S535" s="275">
        <f t="shared" si="20"/>
        <v>0</v>
      </c>
    </row>
    <row r="536" spans="1:19" s="217" customFormat="1" ht="14.1" customHeight="1">
      <c r="A536" s="224" t="s">
        <v>1500</v>
      </c>
      <c r="B536" s="218" t="s">
        <v>1501</v>
      </c>
      <c r="C536" s="223">
        <v>1</v>
      </c>
      <c r="D536" s="218" t="s">
        <v>1488</v>
      </c>
      <c r="E536" s="240">
        <v>3</v>
      </c>
      <c r="F536" s="223">
        <v>5710</v>
      </c>
      <c r="G536" s="223">
        <v>2006</v>
      </c>
      <c r="H536" s="223">
        <v>1</v>
      </c>
      <c r="I536" s="223">
        <v>1</v>
      </c>
      <c r="J536" s="223"/>
      <c r="K536" s="237">
        <v>134698.90</v>
      </c>
      <c r="L536" s="241">
        <v>52</v>
      </c>
      <c r="M536" s="239">
        <v>64655.472000000002</v>
      </c>
      <c r="N536" s="230">
        <v>23.59</v>
      </c>
      <c r="O536" s="231">
        <v>64655</v>
      </c>
      <c r="P536" s="315"/>
      <c r="Q536" s="276">
        <f t="shared" si="19"/>
        <v>5710</v>
      </c>
      <c r="R536" s="275">
        <f>(SUMIFS('Dec 31 2018 OFFS'!$AG:$AG,'Dec 31 2018 OFFS'!$AI:$AI,'T1 2019 Pipeline Data Lagasco'!$A536,'Dec 31 2018 OFFS'!$U:$U,'T1 2019 Pipeline Data Lagasco'!$E536,'Dec 31 2018 OFFS'!$AK:$AK,'T1 2019 Pipeline Data Lagasco'!$Q536,'Dec 31 2018 OFFS'!$W:$W,'T1 2019 Pipeline Data Lagasco'!$G536))/(MAX(COUNTIFS('Dec 31 2018 OFFS'!$AI:$AI,'T1 2019 Pipeline Data Lagasco'!$A536,'Dec 31 2018 OFFS'!$U:$U,'T1 2019 Pipeline Data Lagasco'!$E536,'Dec 31 2018 OFFS'!$AK:$AK,'T1 2019 Pipeline Data Lagasco'!$Q536,'Dec 31 2018 OFFS'!$W:$W,'T1 2019 Pipeline Data Lagasco'!$G536),1))</f>
        <v>64655</v>
      </c>
      <c r="S536" s="275">
        <f t="shared" si="20"/>
        <v>0</v>
      </c>
    </row>
    <row r="537" spans="1:19" s="217" customFormat="1" ht="14.1" customHeight="1">
      <c r="A537" s="224" t="s">
        <v>1500</v>
      </c>
      <c r="B537" s="218" t="s">
        <v>1501</v>
      </c>
      <c r="C537" s="223">
        <v>1</v>
      </c>
      <c r="D537" s="218" t="s">
        <v>1488</v>
      </c>
      <c r="E537" s="240">
        <v>3</v>
      </c>
      <c r="F537" s="223">
        <v>5313</v>
      </c>
      <c r="G537" s="223">
        <v>1975</v>
      </c>
      <c r="H537" s="223">
        <v>1</v>
      </c>
      <c r="I537" s="223">
        <v>1</v>
      </c>
      <c r="J537" s="223"/>
      <c r="K537" s="238">
        <v>125333.67</v>
      </c>
      <c r="L537" s="241">
        <v>80</v>
      </c>
      <c r="M537" s="239">
        <v>25066.734</v>
      </c>
      <c r="N537" s="230">
        <v>23.59</v>
      </c>
      <c r="O537" s="231">
        <v>25066</v>
      </c>
      <c r="P537" s="315"/>
      <c r="Q537" s="276">
        <f t="shared" si="19"/>
        <v>5313</v>
      </c>
      <c r="R537" s="275">
        <f>(SUMIFS('Dec 31 2018 OFFS'!$AG:$AG,'Dec 31 2018 OFFS'!$AI:$AI,'T1 2019 Pipeline Data Lagasco'!$A537,'Dec 31 2018 OFFS'!$U:$U,'T1 2019 Pipeline Data Lagasco'!$E537,'Dec 31 2018 OFFS'!$AK:$AK,'T1 2019 Pipeline Data Lagasco'!$Q537,'Dec 31 2018 OFFS'!$W:$W,'T1 2019 Pipeline Data Lagasco'!$G537))/(MAX(COUNTIFS('Dec 31 2018 OFFS'!$AI:$AI,'T1 2019 Pipeline Data Lagasco'!$A537,'Dec 31 2018 OFFS'!$U:$U,'T1 2019 Pipeline Data Lagasco'!$E537,'Dec 31 2018 OFFS'!$AK:$AK,'T1 2019 Pipeline Data Lagasco'!$Q537,'Dec 31 2018 OFFS'!$W:$W,'T1 2019 Pipeline Data Lagasco'!$G537),1))</f>
        <v>25066</v>
      </c>
      <c r="S537" s="275">
        <f t="shared" si="20"/>
        <v>0</v>
      </c>
    </row>
    <row r="538" spans="1:19" s="217" customFormat="1" ht="14.1" customHeight="1">
      <c r="A538" s="224" t="s">
        <v>1500</v>
      </c>
      <c r="B538" s="218" t="s">
        <v>1501</v>
      </c>
      <c r="C538" s="223">
        <v>1</v>
      </c>
      <c r="D538" s="218" t="s">
        <v>1488</v>
      </c>
      <c r="E538" s="240">
        <v>3</v>
      </c>
      <c r="F538" s="223">
        <v>6217</v>
      </c>
      <c r="G538" s="223">
        <v>1982</v>
      </c>
      <c r="H538" s="223">
        <v>1</v>
      </c>
      <c r="I538" s="223">
        <v>1</v>
      </c>
      <c r="J538" s="223"/>
      <c r="K538" s="238">
        <v>146659.03</v>
      </c>
      <c r="L538" s="241">
        <v>80</v>
      </c>
      <c r="M538" s="239">
        <v>29331.806</v>
      </c>
      <c r="N538" s="230">
        <v>23.59</v>
      </c>
      <c r="O538" s="231">
        <v>29331</v>
      </c>
      <c r="P538" s="315"/>
      <c r="Q538" s="276">
        <f t="shared" si="19"/>
        <v>6217</v>
      </c>
      <c r="R538" s="275">
        <f>(SUMIFS('Dec 31 2018 OFFS'!$AG:$AG,'Dec 31 2018 OFFS'!$AI:$AI,'T1 2019 Pipeline Data Lagasco'!$A538,'Dec 31 2018 OFFS'!$U:$U,'T1 2019 Pipeline Data Lagasco'!$E538,'Dec 31 2018 OFFS'!$AK:$AK,'T1 2019 Pipeline Data Lagasco'!$Q538,'Dec 31 2018 OFFS'!$W:$W,'T1 2019 Pipeline Data Lagasco'!$G538))/(MAX(COUNTIFS('Dec 31 2018 OFFS'!$AI:$AI,'T1 2019 Pipeline Data Lagasco'!$A538,'Dec 31 2018 OFFS'!$U:$U,'T1 2019 Pipeline Data Lagasco'!$E538,'Dec 31 2018 OFFS'!$AK:$AK,'T1 2019 Pipeline Data Lagasco'!$Q538,'Dec 31 2018 OFFS'!$W:$W,'T1 2019 Pipeline Data Lagasco'!$G538),1))</f>
        <v>29331</v>
      </c>
      <c r="S538" s="275">
        <f t="shared" si="20"/>
        <v>0</v>
      </c>
    </row>
    <row r="539" spans="1:19" s="217" customFormat="1" ht="14.1" customHeight="1">
      <c r="A539" s="224" t="s">
        <v>1500</v>
      </c>
      <c r="B539" s="218" t="s">
        <v>1501</v>
      </c>
      <c r="C539" s="223">
        <v>1</v>
      </c>
      <c r="D539" s="218" t="s">
        <v>1488</v>
      </c>
      <c r="E539" s="240">
        <v>3</v>
      </c>
      <c r="F539" s="223">
        <v>3500</v>
      </c>
      <c r="G539" s="223">
        <v>2008</v>
      </c>
      <c r="H539" s="223">
        <v>1</v>
      </c>
      <c r="I539" s="223">
        <v>0</v>
      </c>
      <c r="J539" s="223"/>
      <c r="K539" s="240">
        <v>82565</v>
      </c>
      <c r="L539" s="241">
        <v>49</v>
      </c>
      <c r="M539" s="238">
        <v>42108.15</v>
      </c>
      <c r="N539" s="230">
        <v>23.59</v>
      </c>
      <c r="O539" s="231">
        <v>0</v>
      </c>
      <c r="P539" s="315"/>
      <c r="Q539" s="276">
        <f t="shared" si="19"/>
        <v>3500</v>
      </c>
      <c r="R539" s="275">
        <f>(SUMIFS('Dec 31 2018 OFFS'!$AG:$AG,'Dec 31 2018 OFFS'!$AI:$AI,'T1 2019 Pipeline Data Lagasco'!$A539,'Dec 31 2018 OFFS'!$U:$U,'T1 2019 Pipeline Data Lagasco'!$E539,'Dec 31 2018 OFFS'!$AK:$AK,'T1 2019 Pipeline Data Lagasco'!$Q539,'Dec 31 2018 OFFS'!$W:$W,'T1 2019 Pipeline Data Lagasco'!$G539))/(MAX(COUNTIFS('Dec 31 2018 OFFS'!$AI:$AI,'T1 2019 Pipeline Data Lagasco'!$A539,'Dec 31 2018 OFFS'!$U:$U,'T1 2019 Pipeline Data Lagasco'!$E539,'Dec 31 2018 OFFS'!$AK:$AK,'T1 2019 Pipeline Data Lagasco'!$Q539,'Dec 31 2018 OFFS'!$W:$W,'T1 2019 Pipeline Data Lagasco'!$G539),1))</f>
        <v>0</v>
      </c>
      <c r="S539" s="275">
        <f t="shared" si="20"/>
        <v>0</v>
      </c>
    </row>
    <row r="540" spans="1:19" s="217" customFormat="1" ht="14.1" customHeight="1">
      <c r="A540" s="224" t="s">
        <v>1500</v>
      </c>
      <c r="B540" s="218" t="s">
        <v>1501</v>
      </c>
      <c r="C540" s="223">
        <v>1</v>
      </c>
      <c r="D540" s="218" t="s">
        <v>1488</v>
      </c>
      <c r="E540" s="240">
        <v>3</v>
      </c>
      <c r="F540" s="223">
        <v>3919</v>
      </c>
      <c r="G540" s="223">
        <v>2008</v>
      </c>
      <c r="H540" s="223">
        <v>1</v>
      </c>
      <c r="I540" s="223">
        <v>1</v>
      </c>
      <c r="J540" s="223"/>
      <c r="K540" s="238">
        <v>92449.21</v>
      </c>
      <c r="L540" s="241">
        <v>49</v>
      </c>
      <c r="M540" s="228">
        <v>47149.097099999999</v>
      </c>
      <c r="N540" s="230">
        <v>23.59</v>
      </c>
      <c r="O540" s="231">
        <v>47149</v>
      </c>
      <c r="P540" s="315"/>
      <c r="Q540" s="276">
        <f t="shared" si="19"/>
        <v>3919</v>
      </c>
      <c r="R540" s="275">
        <f>(SUMIFS('Dec 31 2018 OFFS'!$AG:$AG,'Dec 31 2018 OFFS'!$AI:$AI,'T1 2019 Pipeline Data Lagasco'!$A540,'Dec 31 2018 OFFS'!$U:$U,'T1 2019 Pipeline Data Lagasco'!$E540,'Dec 31 2018 OFFS'!$AK:$AK,'T1 2019 Pipeline Data Lagasco'!$Q540,'Dec 31 2018 OFFS'!$W:$W,'T1 2019 Pipeline Data Lagasco'!$G540))/(MAX(COUNTIFS('Dec 31 2018 OFFS'!$AI:$AI,'T1 2019 Pipeline Data Lagasco'!$A540,'Dec 31 2018 OFFS'!$U:$U,'T1 2019 Pipeline Data Lagasco'!$E540,'Dec 31 2018 OFFS'!$AK:$AK,'T1 2019 Pipeline Data Lagasco'!$Q540,'Dec 31 2018 OFFS'!$W:$W,'T1 2019 Pipeline Data Lagasco'!$G540),1))</f>
        <v>47149</v>
      </c>
      <c r="S540" s="275">
        <f t="shared" si="20"/>
        <v>0</v>
      </c>
    </row>
    <row r="541" spans="1:19" s="217" customFormat="1" ht="14.1" customHeight="1">
      <c r="A541" s="224" t="s">
        <v>1500</v>
      </c>
      <c r="B541" s="218" t="s">
        <v>1501</v>
      </c>
      <c r="C541" s="223">
        <v>1</v>
      </c>
      <c r="D541" s="218" t="s">
        <v>1488</v>
      </c>
      <c r="E541" s="240">
        <v>3</v>
      </c>
      <c r="F541" s="223">
        <v>4141</v>
      </c>
      <c r="G541" s="223">
        <v>2006</v>
      </c>
      <c r="H541" s="223">
        <v>1</v>
      </c>
      <c r="I541" s="223">
        <v>1</v>
      </c>
      <c r="J541" s="223"/>
      <c r="K541" s="238">
        <v>97686.19</v>
      </c>
      <c r="L541" s="241">
        <v>52</v>
      </c>
      <c r="M541" s="228">
        <v>46889.371200000001</v>
      </c>
      <c r="N541" s="230">
        <v>23.59</v>
      </c>
      <c r="O541" s="231">
        <v>46889</v>
      </c>
      <c r="P541" s="315"/>
      <c r="Q541" s="276">
        <f t="shared" si="19"/>
        <v>4141</v>
      </c>
      <c r="R541" s="275">
        <f>(SUMIFS('Dec 31 2018 OFFS'!$AG:$AG,'Dec 31 2018 OFFS'!$AI:$AI,'T1 2019 Pipeline Data Lagasco'!$A541,'Dec 31 2018 OFFS'!$U:$U,'T1 2019 Pipeline Data Lagasco'!$E541,'Dec 31 2018 OFFS'!$AK:$AK,'T1 2019 Pipeline Data Lagasco'!$Q541,'Dec 31 2018 OFFS'!$W:$W,'T1 2019 Pipeline Data Lagasco'!$G541))/(MAX(COUNTIFS('Dec 31 2018 OFFS'!$AI:$AI,'T1 2019 Pipeline Data Lagasco'!$A541,'Dec 31 2018 OFFS'!$U:$U,'T1 2019 Pipeline Data Lagasco'!$E541,'Dec 31 2018 OFFS'!$AK:$AK,'T1 2019 Pipeline Data Lagasco'!$Q541,'Dec 31 2018 OFFS'!$W:$W,'T1 2019 Pipeline Data Lagasco'!$G541),1))</f>
        <v>46889</v>
      </c>
      <c r="S541" s="275">
        <f t="shared" si="20"/>
        <v>0</v>
      </c>
    </row>
    <row r="542" spans="1:19" s="217" customFormat="1" ht="14.1" customHeight="1">
      <c r="A542" s="224" t="s">
        <v>1500</v>
      </c>
      <c r="B542" s="218" t="s">
        <v>1501</v>
      </c>
      <c r="C542" s="223">
        <v>1</v>
      </c>
      <c r="D542" s="218" t="s">
        <v>1488</v>
      </c>
      <c r="E542" s="240">
        <v>3</v>
      </c>
      <c r="F542" s="223">
        <v>2803</v>
      </c>
      <c r="G542" s="223">
        <v>1998</v>
      </c>
      <c r="H542" s="223">
        <v>1</v>
      </c>
      <c r="I542" s="223">
        <v>1</v>
      </c>
      <c r="J542" s="223"/>
      <c r="K542" s="238">
        <v>66122.77</v>
      </c>
      <c r="L542" s="241">
        <v>63</v>
      </c>
      <c r="M542" s="228">
        <v>24465.424900000002</v>
      </c>
      <c r="N542" s="230">
        <v>23.59</v>
      </c>
      <c r="O542" s="231">
        <v>24465</v>
      </c>
      <c r="P542" s="315"/>
      <c r="Q542" s="276">
        <f t="shared" si="19"/>
        <v>2803</v>
      </c>
      <c r="R542" s="275">
        <f>(SUMIFS('Dec 31 2018 OFFS'!$AG:$AG,'Dec 31 2018 OFFS'!$AI:$AI,'T1 2019 Pipeline Data Lagasco'!$A542,'Dec 31 2018 OFFS'!$U:$U,'T1 2019 Pipeline Data Lagasco'!$E542,'Dec 31 2018 OFFS'!$AK:$AK,'T1 2019 Pipeline Data Lagasco'!$Q542,'Dec 31 2018 OFFS'!$W:$W,'T1 2019 Pipeline Data Lagasco'!$G542))/(MAX(COUNTIFS('Dec 31 2018 OFFS'!$AI:$AI,'T1 2019 Pipeline Data Lagasco'!$A542,'Dec 31 2018 OFFS'!$U:$U,'T1 2019 Pipeline Data Lagasco'!$E542,'Dec 31 2018 OFFS'!$AK:$AK,'T1 2019 Pipeline Data Lagasco'!$Q542,'Dec 31 2018 OFFS'!$W:$W,'T1 2019 Pipeline Data Lagasco'!$G542),1))</f>
        <v>24465</v>
      </c>
      <c r="S542" s="275">
        <f t="shared" si="20"/>
        <v>0</v>
      </c>
    </row>
    <row r="543" spans="1:19" s="217" customFormat="1" ht="14.1" customHeight="1">
      <c r="A543" s="224" t="s">
        <v>1500</v>
      </c>
      <c r="B543" s="218" t="s">
        <v>1501</v>
      </c>
      <c r="C543" s="223">
        <v>1</v>
      </c>
      <c r="D543" s="218" t="s">
        <v>1488</v>
      </c>
      <c r="E543" s="240">
        <v>3</v>
      </c>
      <c r="F543" s="223">
        <v>4122</v>
      </c>
      <c r="G543" s="223">
        <v>1998</v>
      </c>
      <c r="H543" s="223">
        <v>1</v>
      </c>
      <c r="I543" s="223">
        <v>0</v>
      </c>
      <c r="J543" s="223"/>
      <c r="K543" s="238">
        <v>97237.98</v>
      </c>
      <c r="L543" s="241">
        <v>63</v>
      </c>
      <c r="M543" s="228">
        <v>35978.052600000003</v>
      </c>
      <c r="N543" s="230">
        <v>23.59</v>
      </c>
      <c r="O543" s="231">
        <v>0</v>
      </c>
      <c r="P543" s="315"/>
      <c r="Q543" s="276">
        <f t="shared" si="19"/>
        <v>4122</v>
      </c>
      <c r="R543" s="275">
        <f>(SUMIFS('Dec 31 2018 OFFS'!$AG:$AG,'Dec 31 2018 OFFS'!$AI:$AI,'T1 2019 Pipeline Data Lagasco'!$A543,'Dec 31 2018 OFFS'!$U:$U,'T1 2019 Pipeline Data Lagasco'!$E543,'Dec 31 2018 OFFS'!$AK:$AK,'T1 2019 Pipeline Data Lagasco'!$Q543,'Dec 31 2018 OFFS'!$W:$W,'T1 2019 Pipeline Data Lagasco'!$G543))/(MAX(COUNTIFS('Dec 31 2018 OFFS'!$AI:$AI,'T1 2019 Pipeline Data Lagasco'!$A543,'Dec 31 2018 OFFS'!$U:$U,'T1 2019 Pipeline Data Lagasco'!$E543,'Dec 31 2018 OFFS'!$AK:$AK,'T1 2019 Pipeline Data Lagasco'!$Q543,'Dec 31 2018 OFFS'!$W:$W,'T1 2019 Pipeline Data Lagasco'!$G543),1))</f>
        <v>0</v>
      </c>
      <c r="S543" s="275">
        <f t="shared" si="20"/>
        <v>0</v>
      </c>
    </row>
    <row r="544" spans="1:19" s="217" customFormat="1" ht="14.1" customHeight="1">
      <c r="A544" s="224" t="s">
        <v>1500</v>
      </c>
      <c r="B544" s="218" t="s">
        <v>1501</v>
      </c>
      <c r="C544" s="223">
        <v>1</v>
      </c>
      <c r="D544" s="218" t="s">
        <v>1488</v>
      </c>
      <c r="E544" s="240">
        <v>3</v>
      </c>
      <c r="F544" s="223">
        <v>1398</v>
      </c>
      <c r="G544" s="223">
        <v>2002</v>
      </c>
      <c r="H544" s="223">
        <v>1</v>
      </c>
      <c r="I544" s="223">
        <v>0</v>
      </c>
      <c r="J544" s="223"/>
      <c r="K544" s="238">
        <v>32978.82</v>
      </c>
      <c r="L544" s="241">
        <v>57</v>
      </c>
      <c r="M544" s="228">
        <v>14180.892599999999</v>
      </c>
      <c r="N544" s="230">
        <v>23.59</v>
      </c>
      <c r="O544" s="231">
        <v>0</v>
      </c>
      <c r="P544" s="315"/>
      <c r="Q544" s="276">
        <f t="shared" si="19"/>
        <v>1398</v>
      </c>
      <c r="R544" s="275">
        <f>(SUMIFS('Dec 31 2018 OFFS'!$AG:$AG,'Dec 31 2018 OFFS'!$AI:$AI,'T1 2019 Pipeline Data Lagasco'!$A544,'Dec 31 2018 OFFS'!$U:$U,'T1 2019 Pipeline Data Lagasco'!$E544,'Dec 31 2018 OFFS'!$AK:$AK,'T1 2019 Pipeline Data Lagasco'!$Q544,'Dec 31 2018 OFFS'!$W:$W,'T1 2019 Pipeline Data Lagasco'!$G544))/(MAX(COUNTIFS('Dec 31 2018 OFFS'!$AI:$AI,'T1 2019 Pipeline Data Lagasco'!$A544,'Dec 31 2018 OFFS'!$U:$U,'T1 2019 Pipeline Data Lagasco'!$E544,'Dec 31 2018 OFFS'!$AK:$AK,'T1 2019 Pipeline Data Lagasco'!$Q544,'Dec 31 2018 OFFS'!$W:$W,'T1 2019 Pipeline Data Lagasco'!$G544),1))</f>
        <v>0</v>
      </c>
      <c r="S544" s="275">
        <f t="shared" si="20"/>
        <v>0</v>
      </c>
    </row>
    <row r="545" spans="1:19" s="217" customFormat="1" ht="14.1" customHeight="1">
      <c r="A545" s="224" t="s">
        <v>1500</v>
      </c>
      <c r="B545" s="218" t="s">
        <v>1501</v>
      </c>
      <c r="C545" s="223">
        <v>1</v>
      </c>
      <c r="D545" s="218" t="s">
        <v>1488</v>
      </c>
      <c r="E545" s="240">
        <v>3</v>
      </c>
      <c r="F545" s="223">
        <v>1438</v>
      </c>
      <c r="G545" s="223">
        <v>1995</v>
      </c>
      <c r="H545" s="223">
        <v>1</v>
      </c>
      <c r="I545" s="223">
        <v>1</v>
      </c>
      <c r="J545" s="223"/>
      <c r="K545" s="238">
        <v>33922.42</v>
      </c>
      <c r="L545" s="241">
        <v>67</v>
      </c>
      <c r="M545" s="228">
        <v>11194.3986</v>
      </c>
      <c r="N545" s="230">
        <v>23.59</v>
      </c>
      <c r="O545" s="231">
        <v>11194</v>
      </c>
      <c r="P545" s="315"/>
      <c r="Q545" s="276">
        <f t="shared" si="19"/>
        <v>1438</v>
      </c>
      <c r="R545" s="275">
        <f>(SUMIFS('Dec 31 2018 OFFS'!$AG:$AG,'Dec 31 2018 OFFS'!$AI:$AI,'T1 2019 Pipeline Data Lagasco'!$A545,'Dec 31 2018 OFFS'!$U:$U,'T1 2019 Pipeline Data Lagasco'!$E545,'Dec 31 2018 OFFS'!$AK:$AK,'T1 2019 Pipeline Data Lagasco'!$Q545,'Dec 31 2018 OFFS'!$W:$W,'T1 2019 Pipeline Data Lagasco'!$G545))/(MAX(COUNTIFS('Dec 31 2018 OFFS'!$AI:$AI,'T1 2019 Pipeline Data Lagasco'!$A545,'Dec 31 2018 OFFS'!$U:$U,'T1 2019 Pipeline Data Lagasco'!$E545,'Dec 31 2018 OFFS'!$AK:$AK,'T1 2019 Pipeline Data Lagasco'!$Q545,'Dec 31 2018 OFFS'!$W:$W,'T1 2019 Pipeline Data Lagasco'!$G545),1))</f>
        <v>11194</v>
      </c>
      <c r="S545" s="275">
        <f t="shared" si="20"/>
        <v>0</v>
      </c>
    </row>
    <row r="546" spans="1:19" s="217" customFormat="1" ht="14.1" customHeight="1">
      <c r="A546" s="224" t="s">
        <v>1500</v>
      </c>
      <c r="B546" s="218" t="s">
        <v>1501</v>
      </c>
      <c r="C546" s="223">
        <v>1</v>
      </c>
      <c r="D546" s="218" t="s">
        <v>1488</v>
      </c>
      <c r="E546" s="240">
        <v>3</v>
      </c>
      <c r="F546" s="223">
        <v>4907</v>
      </c>
      <c r="G546" s="223">
        <v>2006</v>
      </c>
      <c r="H546" s="223">
        <v>1</v>
      </c>
      <c r="I546" s="223">
        <v>0</v>
      </c>
      <c r="J546" s="223"/>
      <c r="K546" s="238">
        <v>115756.13</v>
      </c>
      <c r="L546" s="241">
        <v>52</v>
      </c>
      <c r="M546" s="228">
        <v>55562.9424</v>
      </c>
      <c r="N546" s="230">
        <v>23.59</v>
      </c>
      <c r="O546" s="231">
        <v>0</v>
      </c>
      <c r="P546" s="315"/>
      <c r="Q546" s="276">
        <f t="shared" si="19"/>
        <v>4907</v>
      </c>
      <c r="R546" s="275">
        <f>(SUMIFS('Dec 31 2018 OFFS'!$AG:$AG,'Dec 31 2018 OFFS'!$AI:$AI,'T1 2019 Pipeline Data Lagasco'!$A546,'Dec 31 2018 OFFS'!$U:$U,'T1 2019 Pipeline Data Lagasco'!$E546,'Dec 31 2018 OFFS'!$AK:$AK,'T1 2019 Pipeline Data Lagasco'!$Q546,'Dec 31 2018 OFFS'!$W:$W,'T1 2019 Pipeline Data Lagasco'!$G546))/(MAX(COUNTIFS('Dec 31 2018 OFFS'!$AI:$AI,'T1 2019 Pipeline Data Lagasco'!$A546,'Dec 31 2018 OFFS'!$U:$U,'T1 2019 Pipeline Data Lagasco'!$E546,'Dec 31 2018 OFFS'!$AK:$AK,'T1 2019 Pipeline Data Lagasco'!$Q546,'Dec 31 2018 OFFS'!$W:$W,'T1 2019 Pipeline Data Lagasco'!$G546),1))</f>
        <v>0</v>
      </c>
      <c r="S546" s="275">
        <f t="shared" si="20"/>
        <v>0</v>
      </c>
    </row>
    <row r="547" spans="1:19" s="217" customFormat="1" ht="14.1" customHeight="1">
      <c r="A547" s="224" t="s">
        <v>1500</v>
      </c>
      <c r="B547" s="218" t="s">
        <v>1501</v>
      </c>
      <c r="C547" s="223">
        <v>1</v>
      </c>
      <c r="D547" s="218" t="s">
        <v>1488</v>
      </c>
      <c r="E547" s="240">
        <v>3</v>
      </c>
      <c r="F547" s="223">
        <v>4434</v>
      </c>
      <c r="G547" s="223">
        <v>2006</v>
      </c>
      <c r="H547" s="223">
        <v>1</v>
      </c>
      <c r="I547" s="223">
        <v>0</v>
      </c>
      <c r="J547" s="223"/>
      <c r="K547" s="238">
        <v>104598.06</v>
      </c>
      <c r="L547" s="241">
        <v>52</v>
      </c>
      <c r="M547" s="228">
        <v>50207.068800000001</v>
      </c>
      <c r="N547" s="230">
        <v>23.59</v>
      </c>
      <c r="O547" s="231">
        <v>0</v>
      </c>
      <c r="P547" s="315"/>
      <c r="Q547" s="276">
        <f t="shared" si="19"/>
        <v>4434</v>
      </c>
      <c r="R547" s="275">
        <f>(SUMIFS('Dec 31 2018 OFFS'!$AG:$AG,'Dec 31 2018 OFFS'!$AI:$AI,'T1 2019 Pipeline Data Lagasco'!$A547,'Dec 31 2018 OFFS'!$U:$U,'T1 2019 Pipeline Data Lagasco'!$E547,'Dec 31 2018 OFFS'!$AK:$AK,'T1 2019 Pipeline Data Lagasco'!$Q547,'Dec 31 2018 OFFS'!$W:$W,'T1 2019 Pipeline Data Lagasco'!$G547))/(MAX(COUNTIFS('Dec 31 2018 OFFS'!$AI:$AI,'T1 2019 Pipeline Data Lagasco'!$A547,'Dec 31 2018 OFFS'!$U:$U,'T1 2019 Pipeline Data Lagasco'!$E547,'Dec 31 2018 OFFS'!$AK:$AK,'T1 2019 Pipeline Data Lagasco'!$Q547,'Dec 31 2018 OFFS'!$W:$W,'T1 2019 Pipeline Data Lagasco'!$G547),1))</f>
        <v>0</v>
      </c>
      <c r="S547" s="275">
        <f t="shared" si="20"/>
        <v>0</v>
      </c>
    </row>
    <row r="548" spans="1:19" s="217" customFormat="1" ht="14.1" customHeight="1">
      <c r="A548" s="224" t="s">
        <v>1500</v>
      </c>
      <c r="B548" s="218" t="s">
        <v>1501</v>
      </c>
      <c r="C548" s="223">
        <v>1</v>
      </c>
      <c r="D548" s="218" t="s">
        <v>1488</v>
      </c>
      <c r="E548" s="240">
        <v>3</v>
      </c>
      <c r="F548" s="223">
        <v>3070</v>
      </c>
      <c r="G548" s="223">
        <v>1975</v>
      </c>
      <c r="H548" s="223">
        <v>1</v>
      </c>
      <c r="I548" s="223">
        <v>1</v>
      </c>
      <c r="J548" s="223"/>
      <c r="K548" s="237">
        <v>72421.30</v>
      </c>
      <c r="L548" s="241">
        <v>80</v>
      </c>
      <c r="M548" s="238">
        <v>14484.26</v>
      </c>
      <c r="N548" s="230">
        <v>23.59</v>
      </c>
      <c r="O548" s="231">
        <v>14484</v>
      </c>
      <c r="P548" s="315"/>
      <c r="Q548" s="276">
        <f t="shared" si="19"/>
        <v>3070</v>
      </c>
      <c r="R548" s="275">
        <f>(SUMIFS('Dec 31 2018 OFFS'!$AG:$AG,'Dec 31 2018 OFFS'!$AI:$AI,'T1 2019 Pipeline Data Lagasco'!$A548,'Dec 31 2018 OFFS'!$U:$U,'T1 2019 Pipeline Data Lagasco'!$E548,'Dec 31 2018 OFFS'!$AK:$AK,'T1 2019 Pipeline Data Lagasco'!$Q548,'Dec 31 2018 OFFS'!$W:$W,'T1 2019 Pipeline Data Lagasco'!$G548))/(MAX(COUNTIFS('Dec 31 2018 OFFS'!$AI:$AI,'T1 2019 Pipeline Data Lagasco'!$A548,'Dec 31 2018 OFFS'!$U:$U,'T1 2019 Pipeline Data Lagasco'!$E548,'Dec 31 2018 OFFS'!$AK:$AK,'T1 2019 Pipeline Data Lagasco'!$Q548,'Dec 31 2018 OFFS'!$W:$W,'T1 2019 Pipeline Data Lagasco'!$G548),1))</f>
        <v>14484</v>
      </c>
      <c r="S548" s="275">
        <f t="shared" si="20"/>
        <v>0</v>
      </c>
    </row>
    <row r="549" spans="1:19" s="217" customFormat="1" ht="14.1" customHeight="1">
      <c r="A549" s="224" t="s">
        <v>1500</v>
      </c>
      <c r="B549" s="218" t="s">
        <v>1501</v>
      </c>
      <c r="C549" s="223">
        <v>1</v>
      </c>
      <c r="D549" s="218" t="s">
        <v>1488</v>
      </c>
      <c r="E549" s="240">
        <v>3</v>
      </c>
      <c r="F549" s="223">
        <v>5155</v>
      </c>
      <c r="G549" s="223">
        <v>2006</v>
      </c>
      <c r="H549" s="223">
        <v>1</v>
      </c>
      <c r="I549" s="223">
        <v>1</v>
      </c>
      <c r="J549" s="223"/>
      <c r="K549" s="238">
        <v>121606.45</v>
      </c>
      <c r="L549" s="241">
        <v>52</v>
      </c>
      <c r="M549" s="239">
        <v>58371.095999999998</v>
      </c>
      <c r="N549" s="230">
        <v>23.59</v>
      </c>
      <c r="O549" s="231">
        <v>58371</v>
      </c>
      <c r="P549" s="315"/>
      <c r="Q549" s="276">
        <f t="shared" si="19"/>
        <v>5155</v>
      </c>
      <c r="R549" s="275">
        <f>(SUMIFS('Dec 31 2018 OFFS'!$AG:$AG,'Dec 31 2018 OFFS'!$AI:$AI,'T1 2019 Pipeline Data Lagasco'!$A549,'Dec 31 2018 OFFS'!$U:$U,'T1 2019 Pipeline Data Lagasco'!$E549,'Dec 31 2018 OFFS'!$AK:$AK,'T1 2019 Pipeline Data Lagasco'!$Q549,'Dec 31 2018 OFFS'!$W:$W,'T1 2019 Pipeline Data Lagasco'!$G549))/(MAX(COUNTIFS('Dec 31 2018 OFFS'!$AI:$AI,'T1 2019 Pipeline Data Lagasco'!$A549,'Dec 31 2018 OFFS'!$U:$U,'T1 2019 Pipeline Data Lagasco'!$E549,'Dec 31 2018 OFFS'!$AK:$AK,'T1 2019 Pipeline Data Lagasco'!$Q549,'Dec 31 2018 OFFS'!$W:$W,'T1 2019 Pipeline Data Lagasco'!$G549),1))</f>
        <v>58371</v>
      </c>
      <c r="S549" s="275">
        <f t="shared" si="20"/>
        <v>0</v>
      </c>
    </row>
    <row r="550" spans="1:19" s="217" customFormat="1" ht="14.1" customHeight="1">
      <c r="A550" s="224" t="s">
        <v>1500</v>
      </c>
      <c r="B550" s="218" t="s">
        <v>1501</v>
      </c>
      <c r="C550" s="223">
        <v>1</v>
      </c>
      <c r="D550" s="218" t="s">
        <v>1488</v>
      </c>
      <c r="E550" s="240">
        <v>3</v>
      </c>
      <c r="F550" s="223">
        <v>3380</v>
      </c>
      <c r="G550" s="223">
        <v>2009</v>
      </c>
      <c r="H550" s="223">
        <v>1</v>
      </c>
      <c r="I550" s="223">
        <v>1</v>
      </c>
      <c r="J550" s="223"/>
      <c r="K550" s="237">
        <v>79734.20</v>
      </c>
      <c r="L550" s="241">
        <v>44</v>
      </c>
      <c r="M550" s="239">
        <v>44651.152000000002</v>
      </c>
      <c r="N550" s="230">
        <v>23.59</v>
      </c>
      <c r="O550" s="231">
        <v>44651</v>
      </c>
      <c r="P550" s="315"/>
      <c r="Q550" s="276">
        <f t="shared" si="19"/>
        <v>3380</v>
      </c>
      <c r="R550" s="275">
        <f>(SUMIFS('Dec 31 2018 OFFS'!$AG:$AG,'Dec 31 2018 OFFS'!$AI:$AI,'T1 2019 Pipeline Data Lagasco'!$A550,'Dec 31 2018 OFFS'!$U:$U,'T1 2019 Pipeline Data Lagasco'!$E550,'Dec 31 2018 OFFS'!$AK:$AK,'T1 2019 Pipeline Data Lagasco'!$Q550,'Dec 31 2018 OFFS'!$W:$W,'T1 2019 Pipeline Data Lagasco'!$G550))/(MAX(COUNTIFS('Dec 31 2018 OFFS'!$AI:$AI,'T1 2019 Pipeline Data Lagasco'!$A550,'Dec 31 2018 OFFS'!$U:$U,'T1 2019 Pipeline Data Lagasco'!$E550,'Dec 31 2018 OFFS'!$AK:$AK,'T1 2019 Pipeline Data Lagasco'!$Q550,'Dec 31 2018 OFFS'!$W:$W,'T1 2019 Pipeline Data Lagasco'!$G550),1))</f>
        <v>44651</v>
      </c>
      <c r="S550" s="275">
        <f t="shared" si="20"/>
        <v>0</v>
      </c>
    </row>
    <row r="551" spans="1:19" s="217" customFormat="1" ht="14.1" customHeight="1">
      <c r="A551" s="224" t="s">
        <v>1500</v>
      </c>
      <c r="B551" s="218" t="s">
        <v>1501</v>
      </c>
      <c r="C551" s="223">
        <v>1</v>
      </c>
      <c r="D551" s="218" t="s">
        <v>1488</v>
      </c>
      <c r="E551" s="240">
        <v>3</v>
      </c>
      <c r="F551" s="223">
        <v>4275</v>
      </c>
      <c r="G551" s="223">
        <v>2005</v>
      </c>
      <c r="H551" s="223">
        <v>1</v>
      </c>
      <c r="I551" s="223">
        <v>1</v>
      </c>
      <c r="J551" s="223"/>
      <c r="K551" s="238">
        <v>100847.25</v>
      </c>
      <c r="L551" s="241">
        <v>54</v>
      </c>
      <c r="M551" s="239">
        <v>46389.735000000001</v>
      </c>
      <c r="N551" s="230">
        <v>23.59</v>
      </c>
      <c r="O551" s="231">
        <v>46389</v>
      </c>
      <c r="P551" s="315"/>
      <c r="Q551" s="276">
        <f t="shared" si="19"/>
        <v>4275</v>
      </c>
      <c r="R551" s="275">
        <f>(SUMIFS('Dec 31 2018 OFFS'!$AG:$AG,'Dec 31 2018 OFFS'!$AI:$AI,'T1 2019 Pipeline Data Lagasco'!$A551,'Dec 31 2018 OFFS'!$U:$U,'T1 2019 Pipeline Data Lagasco'!$E551,'Dec 31 2018 OFFS'!$AK:$AK,'T1 2019 Pipeline Data Lagasco'!$Q551,'Dec 31 2018 OFFS'!$W:$W,'T1 2019 Pipeline Data Lagasco'!$G551))/(MAX(COUNTIFS('Dec 31 2018 OFFS'!$AI:$AI,'T1 2019 Pipeline Data Lagasco'!$A551,'Dec 31 2018 OFFS'!$U:$U,'T1 2019 Pipeline Data Lagasco'!$E551,'Dec 31 2018 OFFS'!$AK:$AK,'T1 2019 Pipeline Data Lagasco'!$Q551,'Dec 31 2018 OFFS'!$W:$W,'T1 2019 Pipeline Data Lagasco'!$G551),1))</f>
        <v>46389</v>
      </c>
      <c r="S551" s="275">
        <f t="shared" si="20"/>
        <v>0</v>
      </c>
    </row>
    <row r="552" spans="1:19" s="217" customFormat="1" ht="14.1" customHeight="1">
      <c r="A552" s="224" t="s">
        <v>1500</v>
      </c>
      <c r="B552" s="218" t="s">
        <v>1501</v>
      </c>
      <c r="C552" s="223">
        <v>1</v>
      </c>
      <c r="D552" s="218" t="s">
        <v>1488</v>
      </c>
      <c r="E552" s="240">
        <v>3</v>
      </c>
      <c r="F552" s="223">
        <v>252</v>
      </c>
      <c r="G552" s="223">
        <v>2009</v>
      </c>
      <c r="H552" s="223">
        <v>1</v>
      </c>
      <c r="I552" s="223">
        <v>0</v>
      </c>
      <c r="J552" s="223"/>
      <c r="K552" s="238">
        <v>5944.68</v>
      </c>
      <c r="L552" s="241">
        <v>44</v>
      </c>
      <c r="M552" s="228">
        <v>3329.0207999999998</v>
      </c>
      <c r="N552" s="230">
        <v>23.59</v>
      </c>
      <c r="O552" s="231">
        <v>0</v>
      </c>
      <c r="P552" s="315"/>
      <c r="Q552" s="276">
        <f t="shared" si="19"/>
        <v>252</v>
      </c>
      <c r="R552" s="275">
        <f>(SUMIFS('Dec 31 2018 OFFS'!$AG:$AG,'Dec 31 2018 OFFS'!$AI:$AI,'T1 2019 Pipeline Data Lagasco'!$A552,'Dec 31 2018 OFFS'!$U:$U,'T1 2019 Pipeline Data Lagasco'!$E552,'Dec 31 2018 OFFS'!$AK:$AK,'T1 2019 Pipeline Data Lagasco'!$Q552,'Dec 31 2018 OFFS'!$W:$W,'T1 2019 Pipeline Data Lagasco'!$G552))/(MAX(COUNTIFS('Dec 31 2018 OFFS'!$AI:$AI,'T1 2019 Pipeline Data Lagasco'!$A552,'Dec 31 2018 OFFS'!$U:$U,'T1 2019 Pipeline Data Lagasco'!$E552,'Dec 31 2018 OFFS'!$AK:$AK,'T1 2019 Pipeline Data Lagasco'!$Q552,'Dec 31 2018 OFFS'!$W:$W,'T1 2019 Pipeline Data Lagasco'!$G552),1))</f>
        <v>0</v>
      </c>
      <c r="S552" s="275">
        <f t="shared" si="20"/>
        <v>0</v>
      </c>
    </row>
    <row r="553" spans="1:19" s="217" customFormat="1" ht="14.1" customHeight="1">
      <c r="A553" s="224" t="s">
        <v>1500</v>
      </c>
      <c r="B553" s="218" t="s">
        <v>1501</v>
      </c>
      <c r="C553" s="223">
        <v>1</v>
      </c>
      <c r="D553" s="218" t="s">
        <v>1488</v>
      </c>
      <c r="E553" s="240">
        <v>3</v>
      </c>
      <c r="F553" s="226">
        <v>3639.9277160000001</v>
      </c>
      <c r="G553" s="223">
        <v>2002</v>
      </c>
      <c r="H553" s="223">
        <v>1</v>
      </c>
      <c r="I553" s="223">
        <v>1</v>
      </c>
      <c r="J553" s="223"/>
      <c r="K553" s="229">
        <v>85865.894820000001</v>
      </c>
      <c r="L553" s="241">
        <v>57</v>
      </c>
      <c r="M553" s="229">
        <v>36922.334770000001</v>
      </c>
      <c r="N553" s="230">
        <v>23.59</v>
      </c>
      <c r="O553" s="231">
        <v>36922</v>
      </c>
      <c r="P553" s="315"/>
      <c r="Q553" s="276">
        <f t="shared" si="19"/>
        <v>3639.93</v>
      </c>
      <c r="R553" s="275">
        <f>(SUMIFS('Dec 31 2018 OFFS'!$AG:$AG,'Dec 31 2018 OFFS'!$AI:$AI,'T1 2019 Pipeline Data Lagasco'!$A553,'Dec 31 2018 OFFS'!$U:$U,'T1 2019 Pipeline Data Lagasco'!$E553,'Dec 31 2018 OFFS'!$AK:$AK,'T1 2019 Pipeline Data Lagasco'!$Q553,'Dec 31 2018 OFFS'!$W:$W,'T1 2019 Pipeline Data Lagasco'!$G553))/(MAX(COUNTIFS('Dec 31 2018 OFFS'!$AI:$AI,'T1 2019 Pipeline Data Lagasco'!$A553,'Dec 31 2018 OFFS'!$U:$U,'T1 2019 Pipeline Data Lagasco'!$E553,'Dec 31 2018 OFFS'!$AK:$AK,'T1 2019 Pipeline Data Lagasco'!$Q553,'Dec 31 2018 OFFS'!$W:$W,'T1 2019 Pipeline Data Lagasco'!$G553),1))</f>
        <v>36922</v>
      </c>
      <c r="S553" s="275">
        <f t="shared" si="20"/>
        <v>0</v>
      </c>
    </row>
    <row r="554" spans="1:19" s="217" customFormat="1" ht="14.1" customHeight="1">
      <c r="A554" s="224" t="s">
        <v>1500</v>
      </c>
      <c r="B554" s="218" t="s">
        <v>1501</v>
      </c>
      <c r="C554" s="223">
        <v>1</v>
      </c>
      <c r="D554" s="218" t="s">
        <v>1488</v>
      </c>
      <c r="E554" s="240">
        <v>3</v>
      </c>
      <c r="F554" s="223">
        <v>13113</v>
      </c>
      <c r="G554" s="223">
        <v>1986</v>
      </c>
      <c r="H554" s="223">
        <v>1</v>
      </c>
      <c r="I554" s="223">
        <v>1</v>
      </c>
      <c r="J554" s="223"/>
      <c r="K554" s="238">
        <v>309335.67</v>
      </c>
      <c r="L554" s="241">
        <v>79</v>
      </c>
      <c r="M554" s="228">
        <v>64960.490700000002</v>
      </c>
      <c r="N554" s="230">
        <v>23.59</v>
      </c>
      <c r="O554" s="231">
        <v>64960</v>
      </c>
      <c r="P554" s="315"/>
      <c r="Q554" s="276">
        <f t="shared" si="19"/>
        <v>13113</v>
      </c>
      <c r="R554" s="275">
        <f>(SUMIFS('Dec 31 2018 OFFS'!$AG:$AG,'Dec 31 2018 OFFS'!$AI:$AI,'T1 2019 Pipeline Data Lagasco'!$A554,'Dec 31 2018 OFFS'!$U:$U,'T1 2019 Pipeline Data Lagasco'!$E554,'Dec 31 2018 OFFS'!$AK:$AK,'T1 2019 Pipeline Data Lagasco'!$Q554,'Dec 31 2018 OFFS'!$W:$W,'T1 2019 Pipeline Data Lagasco'!$G554))/(MAX(COUNTIFS('Dec 31 2018 OFFS'!$AI:$AI,'T1 2019 Pipeline Data Lagasco'!$A554,'Dec 31 2018 OFFS'!$U:$U,'T1 2019 Pipeline Data Lagasco'!$E554,'Dec 31 2018 OFFS'!$AK:$AK,'T1 2019 Pipeline Data Lagasco'!$Q554,'Dec 31 2018 OFFS'!$W:$W,'T1 2019 Pipeline Data Lagasco'!$G554),1))</f>
        <v>64960</v>
      </c>
      <c r="S554" s="275">
        <f t="shared" si="20"/>
        <v>0</v>
      </c>
    </row>
    <row r="555" spans="1:19" s="217" customFormat="1" ht="14.1" customHeight="1">
      <c r="A555" s="224" t="s">
        <v>1500</v>
      </c>
      <c r="B555" s="218" t="s">
        <v>1501</v>
      </c>
      <c r="C555" s="223">
        <v>1</v>
      </c>
      <c r="D555" s="218" t="s">
        <v>1488</v>
      </c>
      <c r="E555" s="240">
        <v>3</v>
      </c>
      <c r="F555" s="223">
        <v>6990</v>
      </c>
      <c r="G555" s="223">
        <v>2005</v>
      </c>
      <c r="H555" s="223">
        <v>1</v>
      </c>
      <c r="I555" s="223">
        <v>1</v>
      </c>
      <c r="J555" s="223"/>
      <c r="K555" s="237">
        <v>164894.10</v>
      </c>
      <c r="L555" s="241">
        <v>54</v>
      </c>
      <c r="M555" s="239">
        <v>75851.285999999993</v>
      </c>
      <c r="N555" s="230">
        <v>23.59</v>
      </c>
      <c r="O555" s="231">
        <v>75851</v>
      </c>
      <c r="P555" s="315"/>
      <c r="Q555" s="276">
        <f t="shared" si="19"/>
        <v>6990</v>
      </c>
      <c r="R555" s="275">
        <f>(SUMIFS('Dec 31 2018 OFFS'!$AG:$AG,'Dec 31 2018 OFFS'!$AI:$AI,'T1 2019 Pipeline Data Lagasco'!$A555,'Dec 31 2018 OFFS'!$U:$U,'T1 2019 Pipeline Data Lagasco'!$E555,'Dec 31 2018 OFFS'!$AK:$AK,'T1 2019 Pipeline Data Lagasco'!$Q555,'Dec 31 2018 OFFS'!$W:$W,'T1 2019 Pipeline Data Lagasco'!$G555))/(MAX(COUNTIFS('Dec 31 2018 OFFS'!$AI:$AI,'T1 2019 Pipeline Data Lagasco'!$A555,'Dec 31 2018 OFFS'!$U:$U,'T1 2019 Pipeline Data Lagasco'!$E555,'Dec 31 2018 OFFS'!$AK:$AK,'T1 2019 Pipeline Data Lagasco'!$Q555,'Dec 31 2018 OFFS'!$W:$W,'T1 2019 Pipeline Data Lagasco'!$G555),1))</f>
        <v>75851</v>
      </c>
      <c r="S555" s="275">
        <f t="shared" si="20"/>
        <v>0</v>
      </c>
    </row>
    <row r="556" spans="1:19" s="217" customFormat="1" ht="14.1" customHeight="1">
      <c r="A556" s="224" t="s">
        <v>1500</v>
      </c>
      <c r="B556" s="218" t="s">
        <v>1501</v>
      </c>
      <c r="C556" s="223">
        <v>1</v>
      </c>
      <c r="D556" s="218" t="s">
        <v>1488</v>
      </c>
      <c r="E556" s="240">
        <v>3</v>
      </c>
      <c r="F556" s="223">
        <v>5513</v>
      </c>
      <c r="G556" s="223">
        <v>2005</v>
      </c>
      <c r="H556" s="223">
        <v>1</v>
      </c>
      <c r="I556" s="223">
        <v>1</v>
      </c>
      <c r="J556" s="223"/>
      <c r="K556" s="238">
        <v>130051.67</v>
      </c>
      <c r="L556" s="241">
        <v>54</v>
      </c>
      <c r="M556" s="228">
        <v>59823.768199999999</v>
      </c>
      <c r="N556" s="230">
        <v>23.59</v>
      </c>
      <c r="O556" s="231">
        <v>59823</v>
      </c>
      <c r="P556" s="315"/>
      <c r="Q556" s="276">
        <f t="shared" si="19"/>
        <v>5513</v>
      </c>
      <c r="R556" s="275">
        <f>(SUMIFS('Dec 31 2018 OFFS'!$AG:$AG,'Dec 31 2018 OFFS'!$AI:$AI,'T1 2019 Pipeline Data Lagasco'!$A556,'Dec 31 2018 OFFS'!$U:$U,'T1 2019 Pipeline Data Lagasco'!$E556,'Dec 31 2018 OFFS'!$AK:$AK,'T1 2019 Pipeline Data Lagasco'!$Q556,'Dec 31 2018 OFFS'!$W:$W,'T1 2019 Pipeline Data Lagasco'!$G556))/(MAX(COUNTIFS('Dec 31 2018 OFFS'!$AI:$AI,'T1 2019 Pipeline Data Lagasco'!$A556,'Dec 31 2018 OFFS'!$U:$U,'T1 2019 Pipeline Data Lagasco'!$E556,'Dec 31 2018 OFFS'!$AK:$AK,'T1 2019 Pipeline Data Lagasco'!$Q556,'Dec 31 2018 OFFS'!$W:$W,'T1 2019 Pipeline Data Lagasco'!$G556),1))</f>
        <v>59823</v>
      </c>
      <c r="S556" s="275">
        <f t="shared" si="20"/>
        <v>0</v>
      </c>
    </row>
    <row r="557" spans="1:19" s="217" customFormat="1" ht="15" customHeight="1">
      <c r="A557" s="224" t="s">
        <v>1500</v>
      </c>
      <c r="B557" s="218" t="s">
        <v>1501</v>
      </c>
      <c r="C557" s="223">
        <v>1</v>
      </c>
      <c r="D557" s="218" t="s">
        <v>1488</v>
      </c>
      <c r="E557" s="240">
        <v>3</v>
      </c>
      <c r="F557" s="223">
        <v>5273</v>
      </c>
      <c r="G557" s="223">
        <v>2005</v>
      </c>
      <c r="H557" s="223">
        <v>1</v>
      </c>
      <c r="I557" s="223">
        <v>0</v>
      </c>
      <c r="J557" s="223"/>
      <c r="K557" s="238">
        <v>124390.07</v>
      </c>
      <c r="L557" s="241">
        <v>54</v>
      </c>
      <c r="M557" s="228">
        <v>57219.432200000003</v>
      </c>
      <c r="N557" s="230">
        <v>23.59</v>
      </c>
      <c r="O557" s="231">
        <v>0</v>
      </c>
      <c r="P557" s="315"/>
      <c r="Q557" s="276">
        <f t="shared" si="19"/>
        <v>5273</v>
      </c>
      <c r="R557" s="275">
        <f>(SUMIFS('Dec 31 2018 OFFS'!$AG:$AG,'Dec 31 2018 OFFS'!$AI:$AI,'T1 2019 Pipeline Data Lagasco'!$A557,'Dec 31 2018 OFFS'!$U:$U,'T1 2019 Pipeline Data Lagasco'!$E557,'Dec 31 2018 OFFS'!$AK:$AK,'T1 2019 Pipeline Data Lagasco'!$Q557,'Dec 31 2018 OFFS'!$W:$W,'T1 2019 Pipeline Data Lagasco'!$G557))/(MAX(COUNTIFS('Dec 31 2018 OFFS'!$AI:$AI,'T1 2019 Pipeline Data Lagasco'!$A557,'Dec 31 2018 OFFS'!$U:$U,'T1 2019 Pipeline Data Lagasco'!$E557,'Dec 31 2018 OFFS'!$AK:$AK,'T1 2019 Pipeline Data Lagasco'!$Q557,'Dec 31 2018 OFFS'!$W:$W,'T1 2019 Pipeline Data Lagasco'!$G557),1))</f>
        <v>0</v>
      </c>
      <c r="S557" s="275">
        <f t="shared" si="20"/>
        <v>0</v>
      </c>
    </row>
    <row r="558" spans="1:19" s="217" customFormat="1" ht="15" customHeight="1">
      <c r="A558" s="224" t="s">
        <v>1500</v>
      </c>
      <c r="B558" s="218" t="s">
        <v>1501</v>
      </c>
      <c r="C558" s="223">
        <v>1</v>
      </c>
      <c r="D558" s="218" t="s">
        <v>1488</v>
      </c>
      <c r="E558" s="240">
        <v>3</v>
      </c>
      <c r="F558" s="223">
        <v>2223</v>
      </c>
      <c r="G558" s="223">
        <v>2010</v>
      </c>
      <c r="H558" s="223">
        <v>1</v>
      </c>
      <c r="I558" s="223">
        <v>1</v>
      </c>
      <c r="J558" s="223"/>
      <c r="K558" s="238">
        <v>52440.57</v>
      </c>
      <c r="L558" s="241">
        <v>39</v>
      </c>
      <c r="M558" s="228">
        <v>31988.7477</v>
      </c>
      <c r="N558" s="230">
        <v>23.59</v>
      </c>
      <c r="O558" s="231">
        <v>31988</v>
      </c>
      <c r="P558" s="314"/>
      <c r="Q558" s="276">
        <f t="shared" si="19"/>
        <v>2223</v>
      </c>
      <c r="R558" s="275">
        <f>(SUMIFS('Dec 31 2018 OFFS'!$AG:$AG,'Dec 31 2018 OFFS'!$AI:$AI,'T1 2019 Pipeline Data Lagasco'!$A558,'Dec 31 2018 OFFS'!$U:$U,'T1 2019 Pipeline Data Lagasco'!$E558,'Dec 31 2018 OFFS'!$AK:$AK,'T1 2019 Pipeline Data Lagasco'!$Q558,'Dec 31 2018 OFFS'!$W:$W,'T1 2019 Pipeline Data Lagasco'!$G558))/(MAX(COUNTIFS('Dec 31 2018 OFFS'!$AI:$AI,'T1 2019 Pipeline Data Lagasco'!$A558,'Dec 31 2018 OFFS'!$U:$U,'T1 2019 Pipeline Data Lagasco'!$E558,'Dec 31 2018 OFFS'!$AK:$AK,'T1 2019 Pipeline Data Lagasco'!$Q558,'Dec 31 2018 OFFS'!$W:$W,'T1 2019 Pipeline Data Lagasco'!$G558),1))</f>
        <v>31988</v>
      </c>
      <c r="S558" s="275">
        <f t="shared" si="20"/>
        <v>0</v>
      </c>
    </row>
    <row r="559" spans="1:19" s="217" customFormat="1" ht="14.1" customHeight="1">
      <c r="A559" s="224" t="s">
        <v>1500</v>
      </c>
      <c r="B559" s="218" t="s">
        <v>1501</v>
      </c>
      <c r="C559" s="223">
        <v>1</v>
      </c>
      <c r="D559" s="218" t="s">
        <v>1488</v>
      </c>
      <c r="E559" s="240">
        <v>3</v>
      </c>
      <c r="F559" s="236">
        <v>22576.57415</v>
      </c>
      <c r="G559" s="223">
        <v>1981</v>
      </c>
      <c r="H559" s="223">
        <v>1</v>
      </c>
      <c r="I559" s="223">
        <v>1</v>
      </c>
      <c r="J559" s="223"/>
      <c r="K559" s="228">
        <v>532581.38419999997</v>
      </c>
      <c r="L559" s="241">
        <v>80</v>
      </c>
      <c r="M559" s="228">
        <v>106516.27680000001</v>
      </c>
      <c r="N559" s="230">
        <v>23.59</v>
      </c>
      <c r="O559" s="231">
        <v>106516</v>
      </c>
      <c r="P559" s="314"/>
      <c r="Q559" s="276">
        <f t="shared" si="19"/>
        <v>22576.57</v>
      </c>
      <c r="R559" s="275">
        <f>(SUMIFS('Dec 31 2018 OFFS'!$AG:$AG,'Dec 31 2018 OFFS'!$AI:$AI,'T1 2019 Pipeline Data Lagasco'!$A559,'Dec 31 2018 OFFS'!$U:$U,'T1 2019 Pipeline Data Lagasco'!$E559,'Dec 31 2018 OFFS'!$AK:$AK,'T1 2019 Pipeline Data Lagasco'!$Q559,'Dec 31 2018 OFFS'!$W:$W,'T1 2019 Pipeline Data Lagasco'!$G559))/(MAX(COUNTIFS('Dec 31 2018 OFFS'!$AI:$AI,'T1 2019 Pipeline Data Lagasco'!$A559,'Dec 31 2018 OFFS'!$U:$U,'T1 2019 Pipeline Data Lagasco'!$E559,'Dec 31 2018 OFFS'!$AK:$AK,'T1 2019 Pipeline Data Lagasco'!$Q559,'Dec 31 2018 OFFS'!$W:$W,'T1 2019 Pipeline Data Lagasco'!$G559),1))</f>
        <v>106516</v>
      </c>
      <c r="S559" s="275">
        <f t="shared" si="20"/>
        <v>0</v>
      </c>
    </row>
    <row r="560" spans="1:19" s="217" customFormat="1" ht="14.1" customHeight="1">
      <c r="A560" s="224" t="s">
        <v>1500</v>
      </c>
      <c r="B560" s="218" t="s">
        <v>1501</v>
      </c>
      <c r="C560" s="223">
        <v>1</v>
      </c>
      <c r="D560" s="218" t="s">
        <v>1488</v>
      </c>
      <c r="E560" s="240">
        <v>3</v>
      </c>
      <c r="F560" s="236">
        <v>6581.3318300000001</v>
      </c>
      <c r="G560" s="223">
        <v>1985</v>
      </c>
      <c r="H560" s="223">
        <v>1</v>
      </c>
      <c r="I560" s="223">
        <v>1</v>
      </c>
      <c r="J560" s="223"/>
      <c r="K560" s="228">
        <v>155253.61790000001</v>
      </c>
      <c r="L560" s="241">
        <v>80</v>
      </c>
      <c r="M560" s="229">
        <v>31050.723580000002</v>
      </c>
      <c r="N560" s="230">
        <v>23.59</v>
      </c>
      <c r="O560" s="231">
        <v>31050</v>
      </c>
      <c r="P560" s="314"/>
      <c r="Q560" s="276">
        <f t="shared" si="19"/>
        <v>6581.33</v>
      </c>
      <c r="R560" s="275">
        <f>(SUMIFS('Dec 31 2018 OFFS'!$AG:$AG,'Dec 31 2018 OFFS'!$AI:$AI,'T1 2019 Pipeline Data Lagasco'!$A560,'Dec 31 2018 OFFS'!$U:$U,'T1 2019 Pipeline Data Lagasco'!$E560,'Dec 31 2018 OFFS'!$AK:$AK,'T1 2019 Pipeline Data Lagasco'!$Q560,'Dec 31 2018 OFFS'!$W:$W,'T1 2019 Pipeline Data Lagasco'!$G560))/(MAX(COUNTIFS('Dec 31 2018 OFFS'!$AI:$AI,'T1 2019 Pipeline Data Lagasco'!$A560,'Dec 31 2018 OFFS'!$U:$U,'T1 2019 Pipeline Data Lagasco'!$E560,'Dec 31 2018 OFFS'!$AK:$AK,'T1 2019 Pipeline Data Lagasco'!$Q560,'Dec 31 2018 OFFS'!$W:$W,'T1 2019 Pipeline Data Lagasco'!$G560),1))</f>
        <v>31050</v>
      </c>
      <c r="S560" s="275">
        <f t="shared" si="20"/>
        <v>0</v>
      </c>
    </row>
    <row r="561" spans="1:20" ht="14.1" customHeight="1">
      <c r="A561" s="224" t="s">
        <v>1500</v>
      </c>
      <c r="B561" s="218" t="s">
        <v>1501</v>
      </c>
      <c r="C561" s="223">
        <v>1</v>
      </c>
      <c r="D561" s="218" t="s">
        <v>1488</v>
      </c>
      <c r="E561" s="240">
        <v>3</v>
      </c>
      <c r="F561" s="236">
        <v>4711.7452700000003</v>
      </c>
      <c r="G561" s="223">
        <v>1974</v>
      </c>
      <c r="H561" s="223">
        <v>1</v>
      </c>
      <c r="I561" s="223">
        <v>1</v>
      </c>
      <c r="J561" s="223"/>
      <c r="K561" s="228">
        <v>111150.07090000001</v>
      </c>
      <c r="L561" s="241">
        <v>80</v>
      </c>
      <c r="M561" s="229">
        <v>22230.014190000002</v>
      </c>
      <c r="N561" s="230">
        <v>23.59</v>
      </c>
      <c r="O561" s="231">
        <v>22230</v>
      </c>
      <c r="P561" s="314"/>
      <c r="Q561" s="276">
        <f t="shared" si="19"/>
        <v>4711.75</v>
      </c>
      <c r="R561" s="275">
        <f>(SUMIFS('Dec 31 2018 OFFS'!$AG:$AG,'Dec 31 2018 OFFS'!$AI:$AI,'T1 2019 Pipeline Data Lagasco'!$A561,'Dec 31 2018 OFFS'!$U:$U,'T1 2019 Pipeline Data Lagasco'!$E561,'Dec 31 2018 OFFS'!$AK:$AK,'T1 2019 Pipeline Data Lagasco'!$Q561,'Dec 31 2018 OFFS'!$W:$W,'T1 2019 Pipeline Data Lagasco'!$G561))/(MAX(COUNTIFS('Dec 31 2018 OFFS'!$AI:$AI,'T1 2019 Pipeline Data Lagasco'!$A561,'Dec 31 2018 OFFS'!$U:$U,'T1 2019 Pipeline Data Lagasco'!$E561,'Dec 31 2018 OFFS'!$AK:$AK,'T1 2019 Pipeline Data Lagasco'!$Q561,'Dec 31 2018 OFFS'!$W:$W,'T1 2019 Pipeline Data Lagasco'!$G561),1))</f>
        <v>22230</v>
      </c>
      <c r="S561" s="275">
        <f t="shared" si="20"/>
        <v>0</v>
      </c>
      <c r="T561" s="217"/>
    </row>
    <row r="562" spans="1:20" ht="14.1" customHeight="1">
      <c r="A562" s="224" t="s">
        <v>1500</v>
      </c>
      <c r="B562" s="218" t="s">
        <v>1501</v>
      </c>
      <c r="C562" s="223">
        <v>1</v>
      </c>
      <c r="D562" s="218" t="s">
        <v>1488</v>
      </c>
      <c r="E562" s="240">
        <v>3</v>
      </c>
      <c r="F562" s="236">
        <v>11991.338239999999</v>
      </c>
      <c r="G562" s="223">
        <v>1982</v>
      </c>
      <c r="H562" s="223">
        <v>1</v>
      </c>
      <c r="I562" s="223">
        <v>0</v>
      </c>
      <c r="J562" s="223"/>
      <c r="K562" s="239">
        <v>282875.66899999999</v>
      </c>
      <c r="L562" s="241">
        <v>80</v>
      </c>
      <c r="M562" s="229">
        <v>56575.13379</v>
      </c>
      <c r="N562" s="230">
        <v>23.59</v>
      </c>
      <c r="O562" s="231">
        <v>0</v>
      </c>
      <c r="P562" s="314"/>
      <c r="Q562" s="276">
        <f t="shared" si="19"/>
        <v>11991.34</v>
      </c>
      <c r="R562" s="275">
        <f>(SUMIFS('Dec 31 2018 OFFS'!$AG:$AG,'Dec 31 2018 OFFS'!$AI:$AI,'T1 2019 Pipeline Data Lagasco'!$A562,'Dec 31 2018 OFFS'!$U:$U,'T1 2019 Pipeline Data Lagasco'!$E562,'Dec 31 2018 OFFS'!$AK:$AK,'T1 2019 Pipeline Data Lagasco'!$Q562,'Dec 31 2018 OFFS'!$W:$W,'T1 2019 Pipeline Data Lagasco'!$G562))/(MAX(COUNTIFS('Dec 31 2018 OFFS'!$AI:$AI,'T1 2019 Pipeline Data Lagasco'!$A562,'Dec 31 2018 OFFS'!$U:$U,'T1 2019 Pipeline Data Lagasco'!$E562,'Dec 31 2018 OFFS'!$AK:$AK,'T1 2019 Pipeline Data Lagasco'!$Q562,'Dec 31 2018 OFFS'!$W:$W,'T1 2019 Pipeline Data Lagasco'!$G562),1))</f>
        <v>0</v>
      </c>
      <c r="S562" s="275">
        <f t="shared" si="20"/>
        <v>0</v>
      </c>
      <c r="T562" s="217"/>
    </row>
    <row r="563" spans="1:20" ht="14.1" customHeight="1">
      <c r="A563" s="224" t="s">
        <v>1500</v>
      </c>
      <c r="B563" s="218" t="s">
        <v>1501</v>
      </c>
      <c r="C563" s="223">
        <v>1</v>
      </c>
      <c r="D563" s="218" t="s">
        <v>1488</v>
      </c>
      <c r="E563" s="240">
        <v>3</v>
      </c>
      <c r="F563" s="226">
        <v>8479.7897809999995</v>
      </c>
      <c r="G563" s="223">
        <v>1982</v>
      </c>
      <c r="H563" s="223">
        <v>1</v>
      </c>
      <c r="I563" s="225">
        <v>0</v>
      </c>
      <c r="J563" s="223"/>
      <c r="K563" s="228">
        <v>200038.2409</v>
      </c>
      <c r="L563" s="241">
        <v>80</v>
      </c>
      <c r="M563" s="229">
        <v>40007.64819</v>
      </c>
      <c r="N563" s="230">
        <v>23.59</v>
      </c>
      <c r="O563" s="287">
        <v>0</v>
      </c>
      <c r="P563" s="318" t="s">
        <v>1558</v>
      </c>
      <c r="Q563" s="276">
        <f t="shared" si="19"/>
        <v>8479.7900000000009</v>
      </c>
      <c r="R563" s="275">
        <f>(SUMIFS('Dec 31 2018 OFFS'!$AG:$AG,'Dec 31 2018 OFFS'!$AI:$AI,'T1 2019 Pipeline Data Lagasco'!$A563,'Dec 31 2018 OFFS'!$U:$U,'T1 2019 Pipeline Data Lagasco'!$E563,'Dec 31 2018 OFFS'!$AK:$AK,'T1 2019 Pipeline Data Lagasco'!$Q563,'Dec 31 2018 OFFS'!$W:$W,'T1 2019 Pipeline Data Lagasco'!$G563))/(MAX(COUNTIFS('Dec 31 2018 OFFS'!$AI:$AI,'T1 2019 Pipeline Data Lagasco'!$A563,'Dec 31 2018 OFFS'!$U:$U,'T1 2019 Pipeline Data Lagasco'!$E563,'Dec 31 2018 OFFS'!$AK:$AK,'T1 2019 Pipeline Data Lagasco'!$Q563,'Dec 31 2018 OFFS'!$W:$W,'T1 2019 Pipeline Data Lagasco'!$G563),1))</f>
        <v>0</v>
      </c>
      <c r="S563" s="275">
        <f t="shared" si="20"/>
        <v>0</v>
      </c>
      <c r="T563" s="278" t="e">
        <f>R563/O563</f>
        <v>#DIV/0!</v>
      </c>
    </row>
    <row r="564" spans="1:20" ht="14.1" customHeight="1">
      <c r="A564" s="224" t="s">
        <v>1500</v>
      </c>
      <c r="B564" s="218" t="s">
        <v>1501</v>
      </c>
      <c r="C564" s="223">
        <v>1</v>
      </c>
      <c r="D564" s="218" t="s">
        <v>1488</v>
      </c>
      <c r="E564" s="240">
        <v>3</v>
      </c>
      <c r="F564" s="226">
        <v>5187.5654670000004</v>
      </c>
      <c r="G564" s="223">
        <v>1994</v>
      </c>
      <c r="H564" s="223">
        <v>1</v>
      </c>
      <c r="I564" s="223">
        <v>1</v>
      </c>
      <c r="J564" s="223"/>
      <c r="K564" s="228">
        <v>122374.6694</v>
      </c>
      <c r="L564" s="241">
        <v>68</v>
      </c>
      <c r="M564" s="229">
        <v>39159.894189999999</v>
      </c>
      <c r="N564" s="230">
        <v>23.59</v>
      </c>
      <c r="O564" s="231">
        <v>39159</v>
      </c>
      <c r="P564" s="314"/>
      <c r="Q564" s="276">
        <f t="shared" si="19"/>
        <v>5187.57</v>
      </c>
      <c r="R564" s="275">
        <f>(SUMIFS('Dec 31 2018 OFFS'!$AG:$AG,'Dec 31 2018 OFFS'!$AI:$AI,'T1 2019 Pipeline Data Lagasco'!$A564,'Dec 31 2018 OFFS'!$U:$U,'T1 2019 Pipeline Data Lagasco'!$E564,'Dec 31 2018 OFFS'!$AK:$AK,'T1 2019 Pipeline Data Lagasco'!$Q564,'Dec 31 2018 OFFS'!$W:$W,'T1 2019 Pipeline Data Lagasco'!$G564))/(MAX(COUNTIFS('Dec 31 2018 OFFS'!$AI:$AI,'T1 2019 Pipeline Data Lagasco'!$A564,'Dec 31 2018 OFFS'!$U:$U,'T1 2019 Pipeline Data Lagasco'!$E564,'Dec 31 2018 OFFS'!$AK:$AK,'T1 2019 Pipeline Data Lagasco'!$Q564,'Dec 31 2018 OFFS'!$W:$W,'T1 2019 Pipeline Data Lagasco'!$G564),1))</f>
        <v>39159</v>
      </c>
      <c r="S564" s="275">
        <f t="shared" si="20"/>
        <v>0</v>
      </c>
      <c r="T564" s="217"/>
    </row>
    <row r="565" spans="1:20" ht="14.1" customHeight="1">
      <c r="A565" s="224" t="s">
        <v>1500</v>
      </c>
      <c r="B565" s="218" t="s">
        <v>1501</v>
      </c>
      <c r="C565" s="223">
        <v>1</v>
      </c>
      <c r="D565" s="218" t="s">
        <v>1488</v>
      </c>
      <c r="E565" s="240">
        <v>3</v>
      </c>
      <c r="F565" s="236">
        <v>11364.993109999999</v>
      </c>
      <c r="G565" s="223">
        <v>1974</v>
      </c>
      <c r="H565" s="223">
        <v>1</v>
      </c>
      <c r="I565" s="223">
        <v>0</v>
      </c>
      <c r="J565" s="223"/>
      <c r="K565" s="228">
        <v>268100.1874</v>
      </c>
      <c r="L565" s="241">
        <v>80</v>
      </c>
      <c r="M565" s="229">
        <v>53620.037490000002</v>
      </c>
      <c r="N565" s="230">
        <v>23.59</v>
      </c>
      <c r="O565" s="231">
        <v>0</v>
      </c>
      <c r="P565" s="314"/>
      <c r="Q565" s="276">
        <f t="shared" si="19"/>
        <v>11364.99</v>
      </c>
      <c r="R565" s="275">
        <f>(SUMIFS('Dec 31 2018 OFFS'!$AG:$AG,'Dec 31 2018 OFFS'!$AI:$AI,'T1 2019 Pipeline Data Lagasco'!$A565,'Dec 31 2018 OFFS'!$U:$U,'T1 2019 Pipeline Data Lagasco'!$E565,'Dec 31 2018 OFFS'!$AK:$AK,'T1 2019 Pipeline Data Lagasco'!$Q565,'Dec 31 2018 OFFS'!$W:$W,'T1 2019 Pipeline Data Lagasco'!$G565))/(MAX(COUNTIFS('Dec 31 2018 OFFS'!$AI:$AI,'T1 2019 Pipeline Data Lagasco'!$A565,'Dec 31 2018 OFFS'!$U:$U,'T1 2019 Pipeline Data Lagasco'!$E565,'Dec 31 2018 OFFS'!$AK:$AK,'T1 2019 Pipeline Data Lagasco'!$Q565,'Dec 31 2018 OFFS'!$W:$W,'T1 2019 Pipeline Data Lagasco'!$G565),1))</f>
        <v>0</v>
      </c>
      <c r="S565" s="275">
        <f t="shared" si="20"/>
        <v>0</v>
      </c>
      <c r="T565" s="217"/>
    </row>
    <row r="566" spans="1:20" ht="14.1" customHeight="1">
      <c r="A566" s="224" t="s">
        <v>1500</v>
      </c>
      <c r="B566" s="218" t="s">
        <v>1501</v>
      </c>
      <c r="C566" s="223">
        <v>1</v>
      </c>
      <c r="D566" s="218" t="s">
        <v>1488</v>
      </c>
      <c r="E566" s="240">
        <v>3</v>
      </c>
      <c r="F566" s="223">
        <v>16708</v>
      </c>
      <c r="G566" s="223">
        <v>2006</v>
      </c>
      <c r="H566" s="223">
        <v>1</v>
      </c>
      <c r="I566" s="223">
        <v>1</v>
      </c>
      <c r="J566" s="223"/>
      <c r="K566" s="238">
        <v>394141.72</v>
      </c>
      <c r="L566" s="241">
        <v>52</v>
      </c>
      <c r="M566" s="228">
        <v>189188.02559999999</v>
      </c>
      <c r="N566" s="230">
        <v>23.59</v>
      </c>
      <c r="O566" s="231">
        <v>189188</v>
      </c>
      <c r="P566" s="314"/>
      <c r="Q566" s="276">
        <f t="shared" si="19"/>
        <v>16708</v>
      </c>
      <c r="R566" s="275">
        <f>(SUMIFS('Dec 31 2018 OFFS'!$AG:$AG,'Dec 31 2018 OFFS'!$AI:$AI,'T1 2019 Pipeline Data Lagasco'!$A566,'Dec 31 2018 OFFS'!$U:$U,'T1 2019 Pipeline Data Lagasco'!$E566,'Dec 31 2018 OFFS'!$AK:$AK,'T1 2019 Pipeline Data Lagasco'!$Q566,'Dec 31 2018 OFFS'!$W:$W,'T1 2019 Pipeline Data Lagasco'!$G566))/(MAX(COUNTIFS('Dec 31 2018 OFFS'!$AI:$AI,'T1 2019 Pipeline Data Lagasco'!$A566,'Dec 31 2018 OFFS'!$U:$U,'T1 2019 Pipeline Data Lagasco'!$E566,'Dec 31 2018 OFFS'!$AK:$AK,'T1 2019 Pipeline Data Lagasco'!$Q566,'Dec 31 2018 OFFS'!$W:$W,'T1 2019 Pipeline Data Lagasco'!$G566),1))</f>
        <v>189188</v>
      </c>
      <c r="S566" s="275">
        <f t="shared" si="20"/>
        <v>0</v>
      </c>
      <c r="T566" s="217"/>
    </row>
    <row r="567" spans="1:20" ht="14.1" customHeight="1">
      <c r="A567" s="224" t="s">
        <v>1500</v>
      </c>
      <c r="B567" s="218" t="s">
        <v>1501</v>
      </c>
      <c r="C567" s="223">
        <v>1</v>
      </c>
      <c r="D567" s="218" t="s">
        <v>1488</v>
      </c>
      <c r="E567" s="240">
        <v>3</v>
      </c>
      <c r="F567" s="223">
        <v>8336</v>
      </c>
      <c r="G567" s="223">
        <v>2006</v>
      </c>
      <c r="H567" s="223">
        <v>1</v>
      </c>
      <c r="I567" s="223">
        <v>1</v>
      </c>
      <c r="J567" s="223"/>
      <c r="K567" s="238">
        <v>196646.24</v>
      </c>
      <c r="L567" s="241">
        <v>52</v>
      </c>
      <c r="M567" s="228">
        <v>94390.195200000002</v>
      </c>
      <c r="N567" s="230">
        <v>23.59</v>
      </c>
      <c r="O567" s="231">
        <v>94390</v>
      </c>
      <c r="P567" s="314"/>
      <c r="Q567" s="276">
        <f t="shared" si="19"/>
        <v>8336</v>
      </c>
      <c r="R567" s="275">
        <f>(SUMIFS('Dec 31 2018 OFFS'!$AG:$AG,'Dec 31 2018 OFFS'!$AI:$AI,'T1 2019 Pipeline Data Lagasco'!$A567,'Dec 31 2018 OFFS'!$U:$U,'T1 2019 Pipeline Data Lagasco'!$E567,'Dec 31 2018 OFFS'!$AK:$AK,'T1 2019 Pipeline Data Lagasco'!$Q567,'Dec 31 2018 OFFS'!$W:$W,'T1 2019 Pipeline Data Lagasco'!$G567))/(MAX(COUNTIFS('Dec 31 2018 OFFS'!$AI:$AI,'T1 2019 Pipeline Data Lagasco'!$A567,'Dec 31 2018 OFFS'!$U:$U,'T1 2019 Pipeline Data Lagasco'!$E567,'Dec 31 2018 OFFS'!$AK:$AK,'T1 2019 Pipeline Data Lagasco'!$Q567,'Dec 31 2018 OFFS'!$W:$W,'T1 2019 Pipeline Data Lagasco'!$G567),1))</f>
        <v>94390</v>
      </c>
      <c r="S567" s="275">
        <f t="shared" si="20"/>
        <v>0</v>
      </c>
      <c r="T567" s="217"/>
    </row>
    <row r="568" spans="1:20" ht="14.1" customHeight="1">
      <c r="A568" s="224" t="s">
        <v>1500</v>
      </c>
      <c r="B568" s="218" t="s">
        <v>1501</v>
      </c>
      <c r="C568" s="223">
        <v>1</v>
      </c>
      <c r="D568" s="218" t="s">
        <v>1488</v>
      </c>
      <c r="E568" s="240">
        <v>3</v>
      </c>
      <c r="F568" s="223">
        <v>7953</v>
      </c>
      <c r="G568" s="223">
        <v>2004</v>
      </c>
      <c r="H568" s="223">
        <v>1</v>
      </c>
      <c r="I568" s="246">
        <v>0</v>
      </c>
      <c r="J568" s="223"/>
      <c r="K568" s="238">
        <v>187611.27</v>
      </c>
      <c r="L568" s="241">
        <v>56</v>
      </c>
      <c r="M568" s="228">
        <v>82548.958799999993</v>
      </c>
      <c r="N568" s="230">
        <v>23.59</v>
      </c>
      <c r="O568" s="248">
        <v>0</v>
      </c>
      <c r="P568" s="319" t="s">
        <v>1560</v>
      </c>
      <c r="Q568" s="276">
        <f t="shared" si="19"/>
        <v>7953</v>
      </c>
      <c r="R568" s="275">
        <f>(SUMIFS('Dec 31 2018 OFFS'!$AG:$AG,'Dec 31 2018 OFFS'!$AI:$AI,'T1 2019 Pipeline Data Lagasco'!$A568,'Dec 31 2018 OFFS'!$U:$U,'T1 2019 Pipeline Data Lagasco'!$E568,'Dec 31 2018 OFFS'!$AK:$AK,'T1 2019 Pipeline Data Lagasco'!$Q568,'Dec 31 2018 OFFS'!$W:$W,'T1 2019 Pipeline Data Lagasco'!$G568))/(MAX(COUNTIFS('Dec 31 2018 OFFS'!$AI:$AI,'T1 2019 Pipeline Data Lagasco'!$A568,'Dec 31 2018 OFFS'!$U:$U,'T1 2019 Pipeline Data Lagasco'!$E568,'Dec 31 2018 OFFS'!$AK:$AK,'T1 2019 Pipeline Data Lagasco'!$Q568,'Dec 31 2018 OFFS'!$W:$W,'T1 2019 Pipeline Data Lagasco'!$G568),1))</f>
        <v>0</v>
      </c>
      <c r="S568" s="275">
        <f t="shared" si="20"/>
        <v>0</v>
      </c>
      <c r="T568" s="278" t="e">
        <f>R568/O568</f>
        <v>#DIV/0!</v>
      </c>
    </row>
    <row r="569" spans="1:20" ht="14.1" customHeight="1">
      <c r="A569" s="224" t="s">
        <v>1500</v>
      </c>
      <c r="B569" s="218" t="s">
        <v>1501</v>
      </c>
      <c r="C569" s="223">
        <v>1</v>
      </c>
      <c r="D569" s="218" t="s">
        <v>1488</v>
      </c>
      <c r="E569" s="240">
        <v>3</v>
      </c>
      <c r="F569" s="223">
        <v>5682</v>
      </c>
      <c r="G569" s="223">
        <v>2006</v>
      </c>
      <c r="H569" s="223">
        <v>1</v>
      </c>
      <c r="I569" s="223">
        <v>1</v>
      </c>
      <c r="J569" s="223"/>
      <c r="K569" s="238">
        <v>134038.38</v>
      </c>
      <c r="L569" s="241">
        <v>52</v>
      </c>
      <c r="M569" s="228">
        <v>64338.422400000003</v>
      </c>
      <c r="N569" s="230">
        <v>23.59</v>
      </c>
      <c r="O569" s="231">
        <v>64338</v>
      </c>
      <c r="P569" s="314"/>
      <c r="Q569" s="276">
        <f t="shared" si="19"/>
        <v>5682</v>
      </c>
      <c r="R569" s="275">
        <f>(SUMIFS('Dec 31 2018 OFFS'!$AG:$AG,'Dec 31 2018 OFFS'!$AI:$AI,'T1 2019 Pipeline Data Lagasco'!$A569,'Dec 31 2018 OFFS'!$U:$U,'T1 2019 Pipeline Data Lagasco'!$E569,'Dec 31 2018 OFFS'!$AK:$AK,'T1 2019 Pipeline Data Lagasco'!$Q569,'Dec 31 2018 OFFS'!$W:$W,'T1 2019 Pipeline Data Lagasco'!$G569))/(MAX(COUNTIFS('Dec 31 2018 OFFS'!$AI:$AI,'T1 2019 Pipeline Data Lagasco'!$A569,'Dec 31 2018 OFFS'!$U:$U,'T1 2019 Pipeline Data Lagasco'!$E569,'Dec 31 2018 OFFS'!$AK:$AK,'T1 2019 Pipeline Data Lagasco'!$Q569,'Dec 31 2018 OFFS'!$W:$W,'T1 2019 Pipeline Data Lagasco'!$G569),1))</f>
        <v>64338</v>
      </c>
      <c r="S569" s="275">
        <f t="shared" si="20"/>
        <v>0</v>
      </c>
      <c r="T569" s="217"/>
    </row>
    <row r="570" spans="1:20" ht="14.1" customHeight="1">
      <c r="A570" s="224" t="s">
        <v>1500</v>
      </c>
      <c r="B570" s="218" t="s">
        <v>1501</v>
      </c>
      <c r="C570" s="223">
        <v>1</v>
      </c>
      <c r="D570" s="218" t="s">
        <v>1488</v>
      </c>
      <c r="E570" s="240">
        <v>3</v>
      </c>
      <c r="F570" s="223">
        <v>7250</v>
      </c>
      <c r="G570" s="223">
        <v>2002</v>
      </c>
      <c r="H570" s="223">
        <v>1</v>
      </c>
      <c r="I570" s="223">
        <v>1</v>
      </c>
      <c r="J570" s="223"/>
      <c r="K570" s="237">
        <v>171027.50</v>
      </c>
      <c r="L570" s="241">
        <v>57</v>
      </c>
      <c r="M570" s="239">
        <v>73541.824999999997</v>
      </c>
      <c r="N570" s="230">
        <v>23.59</v>
      </c>
      <c r="O570" s="231">
        <v>73541</v>
      </c>
      <c r="P570" s="314"/>
      <c r="Q570" s="279">
        <f t="shared" si="19"/>
        <v>7250</v>
      </c>
      <c r="R570" s="322">
        <f>(SUMIFS('Dec 31 2018 OFFS'!$AG:$AG,'Dec 31 2018 OFFS'!$AI:$AI,'T1 2019 Pipeline Data Lagasco'!$A570,'Dec 31 2018 OFFS'!$U:$U,'T1 2019 Pipeline Data Lagasco'!$E570,'Dec 31 2018 OFFS'!$AK:$AK,'T1 2019 Pipeline Data Lagasco'!$Q570,'Dec 31 2018 OFFS'!$W:$W,'T1 2019 Pipeline Data Lagasco'!$G570))/(MAX(COUNTIFS('Dec 31 2018 OFFS'!$AI:$AI,'T1 2019 Pipeline Data Lagasco'!$A570,'Dec 31 2018 OFFS'!$U:$U,'T1 2019 Pipeline Data Lagasco'!$E570,'Dec 31 2018 OFFS'!$AK:$AK,'T1 2019 Pipeline Data Lagasco'!$Q570,'Dec 31 2018 OFFS'!$W:$W,'T1 2019 Pipeline Data Lagasco'!$G570),1))*2</f>
        <v>73541</v>
      </c>
      <c r="S570" s="275">
        <f t="shared" si="20"/>
        <v>0</v>
      </c>
      <c r="T570" s="217"/>
    </row>
    <row r="571" spans="1:20" ht="14.1" customHeight="1">
      <c r="A571" s="224" t="s">
        <v>1500</v>
      </c>
      <c r="B571" s="218" t="s">
        <v>1501</v>
      </c>
      <c r="C571" s="223">
        <v>1</v>
      </c>
      <c r="D571" s="218" t="s">
        <v>1488</v>
      </c>
      <c r="E571" s="240">
        <v>3</v>
      </c>
      <c r="F571" s="223">
        <v>533</v>
      </c>
      <c r="G571" s="223">
        <v>2008</v>
      </c>
      <c r="H571" s="223">
        <v>1</v>
      </c>
      <c r="I571" s="223">
        <v>1</v>
      </c>
      <c r="J571" s="223"/>
      <c r="K571" s="238">
        <v>12573.47</v>
      </c>
      <c r="L571" s="241">
        <v>49</v>
      </c>
      <c r="M571" s="228">
        <v>6412.4696999999996</v>
      </c>
      <c r="N571" s="230">
        <v>23.59</v>
      </c>
      <c r="O571" s="231">
        <v>6412</v>
      </c>
      <c r="P571" s="314"/>
      <c r="Q571" s="276">
        <f t="shared" si="19"/>
        <v>533</v>
      </c>
      <c r="R571" s="275">
        <f>(SUMIFS('Dec 31 2018 OFFS'!$AG:$AG,'Dec 31 2018 OFFS'!$AI:$AI,'T1 2019 Pipeline Data Lagasco'!$A571,'Dec 31 2018 OFFS'!$U:$U,'T1 2019 Pipeline Data Lagasco'!$E571,'Dec 31 2018 OFFS'!$AK:$AK,'T1 2019 Pipeline Data Lagasco'!$Q571,'Dec 31 2018 OFFS'!$W:$W,'T1 2019 Pipeline Data Lagasco'!$G571))/(MAX(COUNTIFS('Dec 31 2018 OFFS'!$AI:$AI,'T1 2019 Pipeline Data Lagasco'!$A571,'Dec 31 2018 OFFS'!$U:$U,'T1 2019 Pipeline Data Lagasco'!$E571,'Dec 31 2018 OFFS'!$AK:$AK,'T1 2019 Pipeline Data Lagasco'!$Q571,'Dec 31 2018 OFFS'!$W:$W,'T1 2019 Pipeline Data Lagasco'!$G571),1))</f>
        <v>6412</v>
      </c>
      <c r="S571" s="275">
        <f t="shared" si="20"/>
        <v>0</v>
      </c>
      <c r="T571" s="217"/>
    </row>
    <row r="572" spans="1:20" ht="14.1" customHeight="1">
      <c r="A572" s="224" t="s">
        <v>1500</v>
      </c>
      <c r="B572" s="218" t="s">
        <v>1501</v>
      </c>
      <c r="C572" s="223">
        <v>1</v>
      </c>
      <c r="D572" s="218" t="s">
        <v>1488</v>
      </c>
      <c r="E572" s="240">
        <v>3</v>
      </c>
      <c r="F572" s="223">
        <v>1577</v>
      </c>
      <c r="G572" s="223">
        <v>2002</v>
      </c>
      <c r="H572" s="223">
        <v>1</v>
      </c>
      <c r="I572" s="223">
        <v>0</v>
      </c>
      <c r="J572" s="223"/>
      <c r="K572" s="238">
        <v>37201.43</v>
      </c>
      <c r="L572" s="241">
        <v>57</v>
      </c>
      <c r="M572" s="228">
        <v>15996.6149</v>
      </c>
      <c r="N572" s="230">
        <v>23.59</v>
      </c>
      <c r="O572" s="231">
        <v>0</v>
      </c>
      <c r="P572" s="314"/>
      <c r="Q572" s="276">
        <f t="shared" si="19"/>
        <v>1577</v>
      </c>
      <c r="R572" s="275">
        <f>(SUMIFS('Dec 31 2018 OFFS'!$AG:$AG,'Dec 31 2018 OFFS'!$AI:$AI,'T1 2019 Pipeline Data Lagasco'!$A572,'Dec 31 2018 OFFS'!$U:$U,'T1 2019 Pipeline Data Lagasco'!$E572,'Dec 31 2018 OFFS'!$AK:$AK,'T1 2019 Pipeline Data Lagasco'!$Q572,'Dec 31 2018 OFFS'!$W:$W,'T1 2019 Pipeline Data Lagasco'!$G572))/(MAX(COUNTIFS('Dec 31 2018 OFFS'!$AI:$AI,'T1 2019 Pipeline Data Lagasco'!$A572,'Dec 31 2018 OFFS'!$U:$U,'T1 2019 Pipeline Data Lagasco'!$E572,'Dec 31 2018 OFFS'!$AK:$AK,'T1 2019 Pipeline Data Lagasco'!$Q572,'Dec 31 2018 OFFS'!$W:$W,'T1 2019 Pipeline Data Lagasco'!$G572),1))</f>
        <v>0</v>
      </c>
      <c r="S572" s="275">
        <f t="shared" si="20"/>
        <v>0</v>
      </c>
      <c r="T572" s="217"/>
    </row>
    <row r="573" spans="1:20" ht="14.1" customHeight="1">
      <c r="A573" s="224" t="s">
        <v>1500</v>
      </c>
      <c r="B573" s="218" t="s">
        <v>1501</v>
      </c>
      <c r="C573" s="223">
        <v>1</v>
      </c>
      <c r="D573" s="218" t="s">
        <v>1488</v>
      </c>
      <c r="E573" s="240">
        <v>3</v>
      </c>
      <c r="F573" s="223">
        <v>7250</v>
      </c>
      <c r="G573" s="223">
        <v>2002</v>
      </c>
      <c r="H573" s="223">
        <v>1</v>
      </c>
      <c r="I573" s="223">
        <v>0</v>
      </c>
      <c r="J573" s="223"/>
      <c r="K573" s="237">
        <v>171027.50</v>
      </c>
      <c r="L573" s="241">
        <v>57</v>
      </c>
      <c r="M573" s="239">
        <v>73541.824999999997</v>
      </c>
      <c r="N573" s="230">
        <v>23.59</v>
      </c>
      <c r="O573" s="231">
        <v>0</v>
      </c>
      <c r="P573" s="314"/>
      <c r="Q573" s="279">
        <f t="shared" si="19"/>
        <v>7250</v>
      </c>
      <c r="R573" s="322">
        <f>(SUMIFS('Dec 31 2018 OFFS'!$AG:$AG,'Dec 31 2018 OFFS'!$AI:$AI,'T1 2019 Pipeline Data Lagasco'!$A573,'Dec 31 2018 OFFS'!$U:$U,'T1 2019 Pipeline Data Lagasco'!$E573,'Dec 31 2018 OFFS'!$AK:$AK,'T1 2019 Pipeline Data Lagasco'!$Q573,'Dec 31 2018 OFFS'!$W:$W,'T1 2019 Pipeline Data Lagasco'!$G573))/(MAX(COUNTIFS('Dec 31 2018 OFFS'!$AI:$AI,'T1 2019 Pipeline Data Lagasco'!$A573,'Dec 31 2018 OFFS'!$U:$U,'T1 2019 Pipeline Data Lagasco'!$E573,'Dec 31 2018 OFFS'!$AK:$AK,'T1 2019 Pipeline Data Lagasco'!$Q573,'Dec 31 2018 OFFS'!$W:$W,'T1 2019 Pipeline Data Lagasco'!$G573),1))*0</f>
        <v>0</v>
      </c>
      <c r="S573" s="275">
        <f t="shared" si="20"/>
        <v>0</v>
      </c>
      <c r="T573" s="278" t="e">
        <f>R573/O573</f>
        <v>#DIV/0!</v>
      </c>
    </row>
    <row r="574" spans="1:20" ht="14.1" customHeight="1">
      <c r="A574" s="224" t="s">
        <v>1500</v>
      </c>
      <c r="B574" s="218" t="s">
        <v>1501</v>
      </c>
      <c r="C574" s="223">
        <v>1</v>
      </c>
      <c r="D574" s="218" t="s">
        <v>1488</v>
      </c>
      <c r="E574" s="240">
        <v>3</v>
      </c>
      <c r="F574" s="223">
        <v>3831</v>
      </c>
      <c r="G574" s="223">
        <v>2008</v>
      </c>
      <c r="H574" s="223">
        <v>1</v>
      </c>
      <c r="I574" s="223">
        <v>1</v>
      </c>
      <c r="J574" s="223"/>
      <c r="K574" s="238">
        <v>90373.29</v>
      </c>
      <c r="L574" s="241">
        <v>49</v>
      </c>
      <c r="M574" s="228">
        <v>46090.377899999999</v>
      </c>
      <c r="N574" s="230">
        <v>23.59</v>
      </c>
      <c r="O574" s="231">
        <v>46090</v>
      </c>
      <c r="P574" s="314"/>
      <c r="Q574" s="276">
        <f t="shared" si="19"/>
        <v>3831</v>
      </c>
      <c r="R574" s="275">
        <f>(SUMIFS('Dec 31 2018 OFFS'!$AG:$AG,'Dec 31 2018 OFFS'!$AI:$AI,'T1 2019 Pipeline Data Lagasco'!$A574,'Dec 31 2018 OFFS'!$U:$U,'T1 2019 Pipeline Data Lagasco'!$E574,'Dec 31 2018 OFFS'!$AK:$AK,'T1 2019 Pipeline Data Lagasco'!$Q574,'Dec 31 2018 OFFS'!$W:$W,'T1 2019 Pipeline Data Lagasco'!$G574))/(MAX(COUNTIFS('Dec 31 2018 OFFS'!$AI:$AI,'T1 2019 Pipeline Data Lagasco'!$A574,'Dec 31 2018 OFFS'!$U:$U,'T1 2019 Pipeline Data Lagasco'!$E574,'Dec 31 2018 OFFS'!$AK:$AK,'T1 2019 Pipeline Data Lagasco'!$Q574,'Dec 31 2018 OFFS'!$W:$W,'T1 2019 Pipeline Data Lagasco'!$G574),1))</f>
        <v>46090</v>
      </c>
      <c r="S574" s="275">
        <f t="shared" si="20"/>
        <v>0</v>
      </c>
      <c r="T574" s="217"/>
    </row>
    <row r="575" spans="1:20" ht="14.1" customHeight="1">
      <c r="A575" s="224" t="s">
        <v>1500</v>
      </c>
      <c r="B575" s="218" t="s">
        <v>1501</v>
      </c>
      <c r="C575" s="223">
        <v>1</v>
      </c>
      <c r="D575" s="218" t="s">
        <v>1488</v>
      </c>
      <c r="E575" s="240">
        <v>3</v>
      </c>
      <c r="F575" s="223">
        <v>3697</v>
      </c>
      <c r="G575" s="223">
        <v>1995</v>
      </c>
      <c r="H575" s="223">
        <v>1</v>
      </c>
      <c r="I575" s="223">
        <v>1</v>
      </c>
      <c r="J575" s="223"/>
      <c r="K575" s="238">
        <v>87212.23</v>
      </c>
      <c r="L575" s="241">
        <v>67</v>
      </c>
      <c r="M575" s="228">
        <v>28780.035899999999</v>
      </c>
      <c r="N575" s="230">
        <v>23.59</v>
      </c>
      <c r="O575" s="231">
        <v>28780</v>
      </c>
      <c r="P575" s="314"/>
      <c r="Q575" s="276">
        <f t="shared" si="19"/>
        <v>3697</v>
      </c>
      <c r="R575" s="275">
        <f>(SUMIFS('Dec 31 2018 OFFS'!$AG:$AG,'Dec 31 2018 OFFS'!$AI:$AI,'T1 2019 Pipeline Data Lagasco'!$A575,'Dec 31 2018 OFFS'!$U:$U,'T1 2019 Pipeline Data Lagasco'!$E575,'Dec 31 2018 OFFS'!$AK:$AK,'T1 2019 Pipeline Data Lagasco'!$Q575,'Dec 31 2018 OFFS'!$W:$W,'T1 2019 Pipeline Data Lagasco'!$G575))/(MAX(COUNTIFS('Dec 31 2018 OFFS'!$AI:$AI,'T1 2019 Pipeline Data Lagasco'!$A575,'Dec 31 2018 OFFS'!$U:$U,'T1 2019 Pipeline Data Lagasco'!$E575,'Dec 31 2018 OFFS'!$AK:$AK,'T1 2019 Pipeline Data Lagasco'!$Q575,'Dec 31 2018 OFFS'!$W:$W,'T1 2019 Pipeline Data Lagasco'!$G575),1))</f>
        <v>28780</v>
      </c>
      <c r="S575" s="275">
        <f t="shared" si="20"/>
        <v>0</v>
      </c>
      <c r="T575" s="217"/>
    </row>
    <row r="576" spans="1:20" ht="14.1" customHeight="1">
      <c r="A576" s="224" t="s">
        <v>1500</v>
      </c>
      <c r="B576" s="218" t="s">
        <v>1501</v>
      </c>
      <c r="C576" s="223">
        <v>1</v>
      </c>
      <c r="D576" s="218" t="s">
        <v>1488</v>
      </c>
      <c r="E576" s="240">
        <v>3</v>
      </c>
      <c r="F576" s="223">
        <v>5925</v>
      </c>
      <c r="G576" s="223">
        <v>2008</v>
      </c>
      <c r="H576" s="223">
        <v>1</v>
      </c>
      <c r="I576" s="223">
        <v>1</v>
      </c>
      <c r="J576" s="223"/>
      <c r="K576" s="238">
        <v>139770.75</v>
      </c>
      <c r="L576" s="241">
        <v>49</v>
      </c>
      <c r="M576" s="228">
        <v>71283.082500000004</v>
      </c>
      <c r="N576" s="230">
        <v>23.59</v>
      </c>
      <c r="O576" s="231">
        <v>71283</v>
      </c>
      <c r="P576" s="314"/>
      <c r="Q576" s="276">
        <f t="shared" si="19"/>
        <v>5925</v>
      </c>
      <c r="R576" s="275">
        <f>(SUMIFS('Dec 31 2018 OFFS'!$AG:$AG,'Dec 31 2018 OFFS'!$AI:$AI,'T1 2019 Pipeline Data Lagasco'!$A576,'Dec 31 2018 OFFS'!$U:$U,'T1 2019 Pipeline Data Lagasco'!$E576,'Dec 31 2018 OFFS'!$AK:$AK,'T1 2019 Pipeline Data Lagasco'!$Q576,'Dec 31 2018 OFFS'!$W:$W,'T1 2019 Pipeline Data Lagasco'!$G576))/(MAX(COUNTIFS('Dec 31 2018 OFFS'!$AI:$AI,'T1 2019 Pipeline Data Lagasco'!$A576,'Dec 31 2018 OFFS'!$U:$U,'T1 2019 Pipeline Data Lagasco'!$E576,'Dec 31 2018 OFFS'!$AK:$AK,'T1 2019 Pipeline Data Lagasco'!$Q576,'Dec 31 2018 OFFS'!$W:$W,'T1 2019 Pipeline Data Lagasco'!$G576),1))</f>
        <v>71283</v>
      </c>
      <c r="S576" s="275">
        <f t="shared" si="20"/>
        <v>0</v>
      </c>
      <c r="T576" s="217"/>
    </row>
    <row r="577" spans="1:19" s="217" customFormat="1" ht="14.1" customHeight="1">
      <c r="A577" s="224" t="s">
        <v>1500</v>
      </c>
      <c r="B577" s="218" t="s">
        <v>1501</v>
      </c>
      <c r="C577" s="223">
        <v>1</v>
      </c>
      <c r="D577" s="218" t="s">
        <v>1488</v>
      </c>
      <c r="E577" s="240">
        <v>3</v>
      </c>
      <c r="F577" s="223">
        <v>4480</v>
      </c>
      <c r="G577" s="223">
        <v>2008</v>
      </c>
      <c r="H577" s="223">
        <v>1</v>
      </c>
      <c r="I577" s="223">
        <v>1</v>
      </c>
      <c r="J577" s="223"/>
      <c r="K577" s="237">
        <v>105683.20</v>
      </c>
      <c r="L577" s="241">
        <v>49</v>
      </c>
      <c r="M577" s="239">
        <v>53898.432000000001</v>
      </c>
      <c r="N577" s="230">
        <v>23.59</v>
      </c>
      <c r="O577" s="231">
        <v>53898</v>
      </c>
      <c r="P577" s="314"/>
      <c r="Q577" s="276">
        <f t="shared" si="19"/>
        <v>4480</v>
      </c>
      <c r="R577" s="275">
        <f>(SUMIFS('Dec 31 2018 OFFS'!$AG:$AG,'Dec 31 2018 OFFS'!$AI:$AI,'T1 2019 Pipeline Data Lagasco'!$A577,'Dec 31 2018 OFFS'!$U:$U,'T1 2019 Pipeline Data Lagasco'!$E577,'Dec 31 2018 OFFS'!$AK:$AK,'T1 2019 Pipeline Data Lagasco'!$Q577,'Dec 31 2018 OFFS'!$W:$W,'T1 2019 Pipeline Data Lagasco'!$G577))/(MAX(COUNTIFS('Dec 31 2018 OFFS'!$AI:$AI,'T1 2019 Pipeline Data Lagasco'!$A577,'Dec 31 2018 OFFS'!$U:$U,'T1 2019 Pipeline Data Lagasco'!$E577,'Dec 31 2018 OFFS'!$AK:$AK,'T1 2019 Pipeline Data Lagasco'!$Q577,'Dec 31 2018 OFFS'!$W:$W,'T1 2019 Pipeline Data Lagasco'!$G577),1))</f>
        <v>53898</v>
      </c>
      <c r="S577" s="275">
        <f t="shared" si="20"/>
        <v>0</v>
      </c>
    </row>
    <row r="578" spans="1:19" s="217" customFormat="1" ht="14.1" customHeight="1">
      <c r="A578" s="224" t="s">
        <v>1500</v>
      </c>
      <c r="B578" s="218" t="s">
        <v>1501</v>
      </c>
      <c r="C578" s="223">
        <v>1</v>
      </c>
      <c r="D578" s="218" t="s">
        <v>1488</v>
      </c>
      <c r="E578" s="240">
        <v>3</v>
      </c>
      <c r="F578" s="223">
        <v>3127</v>
      </c>
      <c r="G578" s="223">
        <v>1995</v>
      </c>
      <c r="H578" s="223">
        <v>1</v>
      </c>
      <c r="I578" s="223">
        <v>1</v>
      </c>
      <c r="J578" s="223"/>
      <c r="K578" s="238">
        <v>73765.929999999993</v>
      </c>
      <c r="L578" s="241">
        <v>67</v>
      </c>
      <c r="M578" s="228">
        <v>24342.7569</v>
      </c>
      <c r="N578" s="230">
        <v>23.59</v>
      </c>
      <c r="O578" s="231">
        <v>24342</v>
      </c>
      <c r="P578" s="314"/>
      <c r="Q578" s="276">
        <f t="shared" si="19"/>
        <v>3127</v>
      </c>
      <c r="R578" s="275">
        <f>(SUMIFS('Dec 31 2018 OFFS'!$AG:$AG,'Dec 31 2018 OFFS'!$AI:$AI,'T1 2019 Pipeline Data Lagasco'!$A578,'Dec 31 2018 OFFS'!$U:$U,'T1 2019 Pipeline Data Lagasco'!$E578,'Dec 31 2018 OFFS'!$AK:$AK,'T1 2019 Pipeline Data Lagasco'!$Q578,'Dec 31 2018 OFFS'!$W:$W,'T1 2019 Pipeline Data Lagasco'!$G578))/(MAX(COUNTIFS('Dec 31 2018 OFFS'!$AI:$AI,'T1 2019 Pipeline Data Lagasco'!$A578,'Dec 31 2018 OFFS'!$U:$U,'T1 2019 Pipeline Data Lagasco'!$E578,'Dec 31 2018 OFFS'!$AK:$AK,'T1 2019 Pipeline Data Lagasco'!$Q578,'Dec 31 2018 OFFS'!$W:$W,'T1 2019 Pipeline Data Lagasco'!$G578),1))</f>
        <v>24342</v>
      </c>
      <c r="S578" s="275">
        <f t="shared" si="20"/>
        <v>0</v>
      </c>
    </row>
    <row r="579" spans="1:19" s="217" customFormat="1" ht="14.1" customHeight="1">
      <c r="A579" s="224" t="s">
        <v>1500</v>
      </c>
      <c r="B579" s="218" t="s">
        <v>1501</v>
      </c>
      <c r="C579" s="223">
        <v>1</v>
      </c>
      <c r="D579" s="218" t="s">
        <v>1488</v>
      </c>
      <c r="E579" s="240">
        <v>3</v>
      </c>
      <c r="F579" s="226">
        <v>2132.6442950000001</v>
      </c>
      <c r="G579" s="223">
        <v>1991</v>
      </c>
      <c r="H579" s="223">
        <v>1</v>
      </c>
      <c r="I579" s="223">
        <v>1</v>
      </c>
      <c r="J579" s="223"/>
      <c r="K579" s="229">
        <v>50309.07892</v>
      </c>
      <c r="L579" s="241">
        <v>72</v>
      </c>
      <c r="M579" s="228">
        <v>14086.542100000001</v>
      </c>
      <c r="N579" s="230">
        <v>23.59</v>
      </c>
      <c r="O579" s="231">
        <v>14086</v>
      </c>
      <c r="P579" s="314"/>
      <c r="Q579" s="276">
        <f t="shared" si="19"/>
        <v>2132.64</v>
      </c>
      <c r="R579" s="275">
        <f>(SUMIFS('Dec 31 2018 OFFS'!$AG:$AG,'Dec 31 2018 OFFS'!$AI:$AI,'T1 2019 Pipeline Data Lagasco'!$A579,'Dec 31 2018 OFFS'!$U:$U,'T1 2019 Pipeline Data Lagasco'!$E579,'Dec 31 2018 OFFS'!$AK:$AK,'T1 2019 Pipeline Data Lagasco'!$Q579,'Dec 31 2018 OFFS'!$W:$W,'T1 2019 Pipeline Data Lagasco'!$G579))/(MAX(COUNTIFS('Dec 31 2018 OFFS'!$AI:$AI,'T1 2019 Pipeline Data Lagasco'!$A579,'Dec 31 2018 OFFS'!$U:$U,'T1 2019 Pipeline Data Lagasco'!$E579,'Dec 31 2018 OFFS'!$AK:$AK,'T1 2019 Pipeline Data Lagasco'!$Q579,'Dec 31 2018 OFFS'!$W:$W,'T1 2019 Pipeline Data Lagasco'!$G579),1))</f>
        <v>14086</v>
      </c>
      <c r="S579" s="275">
        <f t="shared" si="20"/>
        <v>0</v>
      </c>
    </row>
    <row r="580" spans="1:19" s="217" customFormat="1" ht="14.1" customHeight="1">
      <c r="A580" s="224" t="s">
        <v>1500</v>
      </c>
      <c r="B580" s="218" t="s">
        <v>1501</v>
      </c>
      <c r="C580" s="223">
        <v>1</v>
      </c>
      <c r="D580" s="218" t="s">
        <v>1488</v>
      </c>
      <c r="E580" s="240">
        <v>3</v>
      </c>
      <c r="F580" s="226">
        <v>2740.3542510000002</v>
      </c>
      <c r="G580" s="223">
        <v>1990</v>
      </c>
      <c r="H580" s="223">
        <v>1</v>
      </c>
      <c r="I580" s="223">
        <v>1</v>
      </c>
      <c r="J580" s="223"/>
      <c r="K580" s="229">
        <v>64644.956789999997</v>
      </c>
      <c r="L580" s="241">
        <v>73</v>
      </c>
      <c r="M580" s="229">
        <v>17454.138330000002</v>
      </c>
      <c r="N580" s="230">
        <v>23.59</v>
      </c>
      <c r="O580" s="231">
        <v>17454</v>
      </c>
      <c r="P580" s="314"/>
      <c r="Q580" s="276">
        <f t="shared" si="19"/>
        <v>2740.35</v>
      </c>
      <c r="R580" s="275">
        <f>(SUMIFS('Dec 31 2018 OFFS'!$AG:$AG,'Dec 31 2018 OFFS'!$AI:$AI,'T1 2019 Pipeline Data Lagasco'!$A580,'Dec 31 2018 OFFS'!$U:$U,'T1 2019 Pipeline Data Lagasco'!$E580,'Dec 31 2018 OFFS'!$AK:$AK,'T1 2019 Pipeline Data Lagasco'!$Q580,'Dec 31 2018 OFFS'!$W:$W,'T1 2019 Pipeline Data Lagasco'!$G580))/(MAX(COUNTIFS('Dec 31 2018 OFFS'!$AI:$AI,'T1 2019 Pipeline Data Lagasco'!$A580,'Dec 31 2018 OFFS'!$U:$U,'T1 2019 Pipeline Data Lagasco'!$E580,'Dec 31 2018 OFFS'!$AK:$AK,'T1 2019 Pipeline Data Lagasco'!$Q580,'Dec 31 2018 OFFS'!$W:$W,'T1 2019 Pipeline Data Lagasco'!$G580),1))</f>
        <v>17454</v>
      </c>
      <c r="S580" s="275">
        <f t="shared" si="20"/>
        <v>0</v>
      </c>
    </row>
    <row r="581" spans="1:19" s="217" customFormat="1" ht="14.1" customHeight="1">
      <c r="A581" s="224" t="s">
        <v>1500</v>
      </c>
      <c r="B581" s="218" t="s">
        <v>1501</v>
      </c>
      <c r="C581" s="223">
        <v>1</v>
      </c>
      <c r="D581" s="218" t="s">
        <v>1488</v>
      </c>
      <c r="E581" s="240">
        <v>3</v>
      </c>
      <c r="F581" s="230">
        <v>3165.06</v>
      </c>
      <c r="G581" s="223">
        <v>1967</v>
      </c>
      <c r="H581" s="223">
        <v>1</v>
      </c>
      <c r="I581" s="223">
        <v>0</v>
      </c>
      <c r="J581" s="223"/>
      <c r="K581" s="228">
        <v>74663.765400000004</v>
      </c>
      <c r="L581" s="241">
        <v>80</v>
      </c>
      <c r="M581" s="229">
        <v>14932.75308</v>
      </c>
      <c r="N581" s="230">
        <v>23.59</v>
      </c>
      <c r="O581" s="231">
        <v>0</v>
      </c>
      <c r="P581" s="314"/>
      <c r="Q581" s="276">
        <f t="shared" si="19"/>
        <v>3165.06</v>
      </c>
      <c r="R581" s="275">
        <f>(SUMIFS('Dec 31 2018 OFFS'!$AG:$AG,'Dec 31 2018 OFFS'!$AI:$AI,'T1 2019 Pipeline Data Lagasco'!$A581,'Dec 31 2018 OFFS'!$U:$U,'T1 2019 Pipeline Data Lagasco'!$E581,'Dec 31 2018 OFFS'!$AK:$AK,'T1 2019 Pipeline Data Lagasco'!$Q581,'Dec 31 2018 OFFS'!$W:$W,'T1 2019 Pipeline Data Lagasco'!$G581))/(MAX(COUNTIFS('Dec 31 2018 OFFS'!$AI:$AI,'T1 2019 Pipeline Data Lagasco'!$A581,'Dec 31 2018 OFFS'!$U:$U,'T1 2019 Pipeline Data Lagasco'!$E581,'Dec 31 2018 OFFS'!$AK:$AK,'T1 2019 Pipeline Data Lagasco'!$Q581,'Dec 31 2018 OFFS'!$W:$W,'T1 2019 Pipeline Data Lagasco'!$G581),1))</f>
        <v>0</v>
      </c>
      <c r="S581" s="275">
        <f t="shared" si="20"/>
        <v>0</v>
      </c>
    </row>
    <row r="582" spans="1:19" s="217" customFormat="1" ht="14.1" customHeight="1">
      <c r="A582" s="224" t="s">
        <v>1500</v>
      </c>
      <c r="B582" s="218" t="s">
        <v>1501</v>
      </c>
      <c r="C582" s="223">
        <v>1</v>
      </c>
      <c r="D582" s="218" t="s">
        <v>1488</v>
      </c>
      <c r="E582" s="240">
        <v>3</v>
      </c>
      <c r="F582" s="230">
        <v>2511.19</v>
      </c>
      <c r="G582" s="223">
        <v>1967</v>
      </c>
      <c r="H582" s="223">
        <v>1</v>
      </c>
      <c r="I582" s="223">
        <v>0</v>
      </c>
      <c r="J582" s="223"/>
      <c r="K582" s="228">
        <v>59238.972099999999</v>
      </c>
      <c r="L582" s="241">
        <v>80</v>
      </c>
      <c r="M582" s="229">
        <v>11847.79442</v>
      </c>
      <c r="N582" s="230">
        <v>23.59</v>
      </c>
      <c r="O582" s="231">
        <v>0</v>
      </c>
      <c r="P582" s="314"/>
      <c r="Q582" s="276">
        <f t="shared" si="19"/>
        <v>2511.19</v>
      </c>
      <c r="R582" s="275">
        <f>(SUMIFS('Dec 31 2018 OFFS'!$AG:$AG,'Dec 31 2018 OFFS'!$AI:$AI,'T1 2019 Pipeline Data Lagasco'!$A582,'Dec 31 2018 OFFS'!$U:$U,'T1 2019 Pipeline Data Lagasco'!$E582,'Dec 31 2018 OFFS'!$AK:$AK,'T1 2019 Pipeline Data Lagasco'!$Q582,'Dec 31 2018 OFFS'!$W:$W,'T1 2019 Pipeline Data Lagasco'!$G582))/(MAX(COUNTIFS('Dec 31 2018 OFFS'!$AI:$AI,'T1 2019 Pipeline Data Lagasco'!$A582,'Dec 31 2018 OFFS'!$U:$U,'T1 2019 Pipeline Data Lagasco'!$E582,'Dec 31 2018 OFFS'!$AK:$AK,'T1 2019 Pipeline Data Lagasco'!$Q582,'Dec 31 2018 OFFS'!$W:$W,'T1 2019 Pipeline Data Lagasco'!$G582),1))</f>
        <v>0</v>
      </c>
      <c r="S582" s="275">
        <f t="shared" si="20"/>
        <v>0</v>
      </c>
    </row>
    <row r="583" spans="1:19" s="217" customFormat="1" ht="14.1" customHeight="1">
      <c r="A583" s="224" t="s">
        <v>1500</v>
      </c>
      <c r="B583" s="218" t="s">
        <v>1501</v>
      </c>
      <c r="C583" s="223">
        <v>1</v>
      </c>
      <c r="D583" s="218" t="s">
        <v>1488</v>
      </c>
      <c r="E583" s="240">
        <v>3</v>
      </c>
      <c r="F583" s="242">
        <v>5516.90</v>
      </c>
      <c r="G583" s="223">
        <v>1967</v>
      </c>
      <c r="H583" s="223">
        <v>1</v>
      </c>
      <c r="I583" s="223">
        <v>0</v>
      </c>
      <c r="J583" s="223"/>
      <c r="K583" s="239">
        <v>130143.671</v>
      </c>
      <c r="L583" s="241">
        <v>80</v>
      </c>
      <c r="M583" s="228">
        <v>26028.734199999999</v>
      </c>
      <c r="N583" s="230">
        <v>23.59</v>
      </c>
      <c r="O583" s="231">
        <v>0</v>
      </c>
      <c r="P583" s="314"/>
      <c r="Q583" s="276">
        <f t="shared" si="19"/>
        <v>5516.90</v>
      </c>
      <c r="R583" s="275">
        <f>(SUMIFS('Dec 31 2018 OFFS'!$AG:$AG,'Dec 31 2018 OFFS'!$AI:$AI,'T1 2019 Pipeline Data Lagasco'!$A583,'Dec 31 2018 OFFS'!$U:$U,'T1 2019 Pipeline Data Lagasco'!$E583,'Dec 31 2018 OFFS'!$AK:$AK,'T1 2019 Pipeline Data Lagasco'!$Q583,'Dec 31 2018 OFFS'!$W:$W,'T1 2019 Pipeline Data Lagasco'!$G583))/(MAX(COUNTIFS('Dec 31 2018 OFFS'!$AI:$AI,'T1 2019 Pipeline Data Lagasco'!$A583,'Dec 31 2018 OFFS'!$U:$U,'T1 2019 Pipeline Data Lagasco'!$E583,'Dec 31 2018 OFFS'!$AK:$AK,'T1 2019 Pipeline Data Lagasco'!$Q583,'Dec 31 2018 OFFS'!$W:$W,'T1 2019 Pipeline Data Lagasco'!$G583),1))</f>
        <v>0</v>
      </c>
      <c r="S583" s="275">
        <f t="shared" si="20"/>
        <v>0</v>
      </c>
    </row>
    <row r="584" spans="1:19" s="217" customFormat="1" ht="14.1" customHeight="1">
      <c r="A584" s="224" t="s">
        <v>1500</v>
      </c>
      <c r="B584" s="218" t="s">
        <v>1501</v>
      </c>
      <c r="C584" s="223">
        <v>1</v>
      </c>
      <c r="D584" s="218" t="s">
        <v>1488</v>
      </c>
      <c r="E584" s="240">
        <v>3</v>
      </c>
      <c r="F584" s="230">
        <v>2882.81</v>
      </c>
      <c r="G584" s="223">
        <v>1967</v>
      </c>
      <c r="H584" s="223">
        <v>1</v>
      </c>
      <c r="I584" s="223">
        <v>0</v>
      </c>
      <c r="J584" s="223"/>
      <c r="K584" s="228">
        <v>68005.487899999993</v>
      </c>
      <c r="L584" s="241">
        <v>80</v>
      </c>
      <c r="M584" s="229">
        <v>13601.09758</v>
      </c>
      <c r="N584" s="230">
        <v>23.59</v>
      </c>
      <c r="O584" s="231">
        <v>0</v>
      </c>
      <c r="P584" s="314"/>
      <c r="Q584" s="276">
        <f t="shared" si="19"/>
        <v>2882.81</v>
      </c>
      <c r="R584" s="275">
        <f>(SUMIFS('Dec 31 2018 OFFS'!$AG:$AG,'Dec 31 2018 OFFS'!$AI:$AI,'T1 2019 Pipeline Data Lagasco'!$A584,'Dec 31 2018 OFFS'!$U:$U,'T1 2019 Pipeline Data Lagasco'!$E584,'Dec 31 2018 OFFS'!$AK:$AK,'T1 2019 Pipeline Data Lagasco'!$Q584,'Dec 31 2018 OFFS'!$W:$W,'T1 2019 Pipeline Data Lagasco'!$G584))/(MAX(COUNTIFS('Dec 31 2018 OFFS'!$AI:$AI,'T1 2019 Pipeline Data Lagasco'!$A584,'Dec 31 2018 OFFS'!$U:$U,'T1 2019 Pipeline Data Lagasco'!$E584,'Dec 31 2018 OFFS'!$AK:$AK,'T1 2019 Pipeline Data Lagasco'!$Q584,'Dec 31 2018 OFFS'!$W:$W,'T1 2019 Pipeline Data Lagasco'!$G584),1))</f>
        <v>0</v>
      </c>
      <c r="S584" s="275">
        <f t="shared" si="20"/>
        <v>0</v>
      </c>
    </row>
    <row r="585" spans="1:19" s="217" customFormat="1" ht="14.1" customHeight="1">
      <c r="A585" s="224" t="s">
        <v>1500</v>
      </c>
      <c r="B585" s="218" t="s">
        <v>1501</v>
      </c>
      <c r="C585" s="223">
        <v>1</v>
      </c>
      <c r="D585" s="218" t="s">
        <v>1488</v>
      </c>
      <c r="E585" s="240">
        <v>3</v>
      </c>
      <c r="F585" s="226">
        <v>4216.3384610000003</v>
      </c>
      <c r="G585" s="223">
        <v>1967</v>
      </c>
      <c r="H585" s="223">
        <v>1</v>
      </c>
      <c r="I585" s="223">
        <v>0</v>
      </c>
      <c r="J585" s="223"/>
      <c r="K585" s="229">
        <v>99463.424280000007</v>
      </c>
      <c r="L585" s="241">
        <v>80</v>
      </c>
      <c r="M585" s="229">
        <v>19892.684860000001</v>
      </c>
      <c r="N585" s="230">
        <v>23.59</v>
      </c>
      <c r="O585" s="231">
        <v>0</v>
      </c>
      <c r="P585" s="314"/>
      <c r="Q585" s="276">
        <f t="shared" si="19"/>
        <v>4216.34</v>
      </c>
      <c r="R585" s="275">
        <f>(SUMIFS('Dec 31 2018 OFFS'!$AG:$AG,'Dec 31 2018 OFFS'!$AI:$AI,'T1 2019 Pipeline Data Lagasco'!$A585,'Dec 31 2018 OFFS'!$U:$U,'T1 2019 Pipeline Data Lagasco'!$E585,'Dec 31 2018 OFFS'!$AK:$AK,'T1 2019 Pipeline Data Lagasco'!$Q585,'Dec 31 2018 OFFS'!$W:$W,'T1 2019 Pipeline Data Lagasco'!$G585))/(MAX(COUNTIFS('Dec 31 2018 OFFS'!$AI:$AI,'T1 2019 Pipeline Data Lagasco'!$A585,'Dec 31 2018 OFFS'!$U:$U,'T1 2019 Pipeline Data Lagasco'!$E585,'Dec 31 2018 OFFS'!$AK:$AK,'T1 2019 Pipeline Data Lagasco'!$Q585,'Dec 31 2018 OFFS'!$W:$W,'T1 2019 Pipeline Data Lagasco'!$G585),1))</f>
        <v>0</v>
      </c>
      <c r="S585" s="275">
        <f t="shared" si="20"/>
        <v>0</v>
      </c>
    </row>
    <row r="586" spans="1:19" s="217" customFormat="1" ht="14.1" customHeight="1">
      <c r="A586" s="224" t="s">
        <v>1500</v>
      </c>
      <c r="B586" s="218" t="s">
        <v>1501</v>
      </c>
      <c r="C586" s="223">
        <v>1</v>
      </c>
      <c r="D586" s="218" t="s">
        <v>1488</v>
      </c>
      <c r="E586" s="240">
        <v>3</v>
      </c>
      <c r="F586" s="226">
        <v>2948.523537</v>
      </c>
      <c r="G586" s="223">
        <v>1967</v>
      </c>
      <c r="H586" s="223">
        <v>1</v>
      </c>
      <c r="I586" s="223">
        <v>1</v>
      </c>
      <c r="J586" s="223"/>
      <c r="K586" s="229">
        <v>69555.670230000003</v>
      </c>
      <c r="L586" s="241">
        <v>80</v>
      </c>
      <c r="M586" s="229">
        <v>13911.134050000001</v>
      </c>
      <c r="N586" s="230">
        <v>23.59</v>
      </c>
      <c r="O586" s="231">
        <v>13911</v>
      </c>
      <c r="P586" s="314"/>
      <c r="Q586" s="276">
        <f t="shared" si="19"/>
        <v>2948.52</v>
      </c>
      <c r="R586" s="275">
        <f>(SUMIFS('Dec 31 2018 OFFS'!$AG:$AG,'Dec 31 2018 OFFS'!$AI:$AI,'T1 2019 Pipeline Data Lagasco'!$A586,'Dec 31 2018 OFFS'!$U:$U,'T1 2019 Pipeline Data Lagasco'!$E586,'Dec 31 2018 OFFS'!$AK:$AK,'T1 2019 Pipeline Data Lagasco'!$Q586,'Dec 31 2018 OFFS'!$W:$W,'T1 2019 Pipeline Data Lagasco'!$G586))/(MAX(COUNTIFS('Dec 31 2018 OFFS'!$AI:$AI,'T1 2019 Pipeline Data Lagasco'!$A586,'Dec 31 2018 OFFS'!$U:$U,'T1 2019 Pipeline Data Lagasco'!$E586,'Dec 31 2018 OFFS'!$AK:$AK,'T1 2019 Pipeline Data Lagasco'!$Q586,'Dec 31 2018 OFFS'!$W:$W,'T1 2019 Pipeline Data Lagasco'!$G586),1))</f>
        <v>13911</v>
      </c>
      <c r="S586" s="275">
        <f t="shared" si="20"/>
        <v>0</v>
      </c>
    </row>
    <row r="587" spans="1:19" s="217" customFormat="1" ht="14.1" customHeight="1">
      <c r="A587" s="224" t="s">
        <v>1500</v>
      </c>
      <c r="B587" s="218" t="s">
        <v>1501</v>
      </c>
      <c r="C587" s="223">
        <v>1</v>
      </c>
      <c r="D587" s="218" t="s">
        <v>1488</v>
      </c>
      <c r="E587" s="240">
        <v>3</v>
      </c>
      <c r="F587" s="226">
        <v>2529.133785</v>
      </c>
      <c r="G587" s="223">
        <v>1990</v>
      </c>
      <c r="H587" s="223">
        <v>1</v>
      </c>
      <c r="I587" s="223">
        <v>1</v>
      </c>
      <c r="J587" s="223"/>
      <c r="K587" s="229">
        <v>59662.26599</v>
      </c>
      <c r="L587" s="241">
        <v>73</v>
      </c>
      <c r="M587" s="229">
        <v>16108.811820000001</v>
      </c>
      <c r="N587" s="230">
        <v>23.59</v>
      </c>
      <c r="O587" s="231">
        <v>16108</v>
      </c>
      <c r="P587" s="314"/>
      <c r="Q587" s="276">
        <f t="shared" si="19"/>
        <v>2529.13</v>
      </c>
      <c r="R587" s="275">
        <f>(SUMIFS('Dec 31 2018 OFFS'!$AG:$AG,'Dec 31 2018 OFFS'!$AI:$AI,'T1 2019 Pipeline Data Lagasco'!$A587,'Dec 31 2018 OFFS'!$U:$U,'T1 2019 Pipeline Data Lagasco'!$E587,'Dec 31 2018 OFFS'!$AK:$AK,'T1 2019 Pipeline Data Lagasco'!$Q587,'Dec 31 2018 OFFS'!$W:$W,'T1 2019 Pipeline Data Lagasco'!$G587))/(MAX(COUNTIFS('Dec 31 2018 OFFS'!$AI:$AI,'T1 2019 Pipeline Data Lagasco'!$A587,'Dec 31 2018 OFFS'!$U:$U,'T1 2019 Pipeline Data Lagasco'!$E587,'Dec 31 2018 OFFS'!$AK:$AK,'T1 2019 Pipeline Data Lagasco'!$Q587,'Dec 31 2018 OFFS'!$W:$W,'T1 2019 Pipeline Data Lagasco'!$G587),1))</f>
        <v>16108</v>
      </c>
      <c r="S587" s="275">
        <f t="shared" si="20"/>
        <v>0</v>
      </c>
    </row>
    <row r="588" spans="1:19" s="217" customFormat="1" ht="14.1" customHeight="1">
      <c r="A588" s="224" t="s">
        <v>1500</v>
      </c>
      <c r="B588" s="218" t="s">
        <v>1501</v>
      </c>
      <c r="C588" s="223">
        <v>1</v>
      </c>
      <c r="D588" s="218" t="s">
        <v>1488</v>
      </c>
      <c r="E588" s="240">
        <v>3</v>
      </c>
      <c r="F588" s="226">
        <v>2897.7361369999999</v>
      </c>
      <c r="G588" s="223">
        <v>1967</v>
      </c>
      <c r="H588" s="223">
        <v>1</v>
      </c>
      <c r="I588" s="223">
        <v>0</v>
      </c>
      <c r="J588" s="223"/>
      <c r="K588" s="229">
        <v>68357.595459999997</v>
      </c>
      <c r="L588" s="241">
        <v>80</v>
      </c>
      <c r="M588" s="229">
        <v>13671.51909</v>
      </c>
      <c r="N588" s="230">
        <v>23.59</v>
      </c>
      <c r="O588" s="231">
        <v>0</v>
      </c>
      <c r="P588" s="314"/>
      <c r="Q588" s="276">
        <f t="shared" si="19"/>
        <v>2897.74</v>
      </c>
      <c r="R588" s="275">
        <f>(SUMIFS('Dec 31 2018 OFFS'!$AG:$AG,'Dec 31 2018 OFFS'!$AI:$AI,'T1 2019 Pipeline Data Lagasco'!$A588,'Dec 31 2018 OFFS'!$U:$U,'T1 2019 Pipeline Data Lagasco'!$E588,'Dec 31 2018 OFFS'!$AK:$AK,'T1 2019 Pipeline Data Lagasco'!$Q588,'Dec 31 2018 OFFS'!$W:$W,'T1 2019 Pipeline Data Lagasco'!$G588))/(MAX(COUNTIFS('Dec 31 2018 OFFS'!$AI:$AI,'T1 2019 Pipeline Data Lagasco'!$A588,'Dec 31 2018 OFFS'!$U:$U,'T1 2019 Pipeline Data Lagasco'!$E588,'Dec 31 2018 OFFS'!$AK:$AK,'T1 2019 Pipeline Data Lagasco'!$Q588,'Dec 31 2018 OFFS'!$W:$W,'T1 2019 Pipeline Data Lagasco'!$G588),1))</f>
        <v>0</v>
      </c>
      <c r="S588" s="275">
        <f t="shared" si="20"/>
        <v>0</v>
      </c>
    </row>
    <row r="589" spans="1:19" s="217" customFormat="1" ht="14.1" customHeight="1">
      <c r="A589" s="224" t="s">
        <v>1500</v>
      </c>
      <c r="B589" s="218" t="s">
        <v>1501</v>
      </c>
      <c r="C589" s="223">
        <v>1</v>
      </c>
      <c r="D589" s="218" t="s">
        <v>1488</v>
      </c>
      <c r="E589" s="240">
        <v>3</v>
      </c>
      <c r="F589" s="230">
        <v>2755.25</v>
      </c>
      <c r="G589" s="223">
        <v>1967</v>
      </c>
      <c r="H589" s="223">
        <v>1</v>
      </c>
      <c r="I589" s="223">
        <v>0</v>
      </c>
      <c r="J589" s="223"/>
      <c r="K589" s="228">
        <v>64996.347500000003</v>
      </c>
      <c r="L589" s="241">
        <v>80</v>
      </c>
      <c r="M589" s="228">
        <v>12999.2695</v>
      </c>
      <c r="N589" s="230">
        <v>23.59</v>
      </c>
      <c r="O589" s="231">
        <v>0</v>
      </c>
      <c r="P589" s="314"/>
      <c r="Q589" s="276">
        <f t="shared" si="19"/>
        <v>2755.25</v>
      </c>
      <c r="R589" s="275">
        <f>(SUMIFS('Dec 31 2018 OFFS'!$AG:$AG,'Dec 31 2018 OFFS'!$AI:$AI,'T1 2019 Pipeline Data Lagasco'!$A589,'Dec 31 2018 OFFS'!$U:$U,'T1 2019 Pipeline Data Lagasco'!$E589,'Dec 31 2018 OFFS'!$AK:$AK,'T1 2019 Pipeline Data Lagasco'!$Q589,'Dec 31 2018 OFFS'!$W:$W,'T1 2019 Pipeline Data Lagasco'!$G589))/(MAX(COUNTIFS('Dec 31 2018 OFFS'!$AI:$AI,'T1 2019 Pipeline Data Lagasco'!$A589,'Dec 31 2018 OFFS'!$U:$U,'T1 2019 Pipeline Data Lagasco'!$E589,'Dec 31 2018 OFFS'!$AK:$AK,'T1 2019 Pipeline Data Lagasco'!$Q589,'Dec 31 2018 OFFS'!$W:$W,'T1 2019 Pipeline Data Lagasco'!$G589),1))</f>
        <v>0</v>
      </c>
      <c r="S589" s="275">
        <f t="shared" si="20"/>
        <v>0</v>
      </c>
    </row>
    <row r="590" spans="1:19" s="217" customFormat="1" ht="14.1" customHeight="1">
      <c r="A590" s="224" t="s">
        <v>1500</v>
      </c>
      <c r="B590" s="218" t="s">
        <v>1501</v>
      </c>
      <c r="C590" s="223">
        <v>1</v>
      </c>
      <c r="D590" s="218" t="s">
        <v>1488</v>
      </c>
      <c r="E590" s="240">
        <v>3</v>
      </c>
      <c r="F590" s="230">
        <v>4165.91</v>
      </c>
      <c r="G590" s="223">
        <v>1976</v>
      </c>
      <c r="H590" s="223">
        <v>1</v>
      </c>
      <c r="I590" s="223">
        <v>0</v>
      </c>
      <c r="J590" s="223"/>
      <c r="K590" s="228">
        <v>98273.816900000005</v>
      </c>
      <c r="L590" s="241">
        <v>80</v>
      </c>
      <c r="M590" s="229">
        <v>19654.76338</v>
      </c>
      <c r="N590" s="230">
        <v>23.59</v>
      </c>
      <c r="O590" s="231">
        <v>0</v>
      </c>
      <c r="P590" s="314"/>
      <c r="Q590" s="276">
        <f t="shared" si="19"/>
        <v>4165.91</v>
      </c>
      <c r="R590" s="275">
        <f>(SUMIFS('Dec 31 2018 OFFS'!$AG:$AG,'Dec 31 2018 OFFS'!$AI:$AI,'T1 2019 Pipeline Data Lagasco'!$A590,'Dec 31 2018 OFFS'!$U:$U,'T1 2019 Pipeline Data Lagasco'!$E590,'Dec 31 2018 OFFS'!$AK:$AK,'T1 2019 Pipeline Data Lagasco'!$Q590,'Dec 31 2018 OFFS'!$W:$W,'T1 2019 Pipeline Data Lagasco'!$G590))/(MAX(COUNTIFS('Dec 31 2018 OFFS'!$AI:$AI,'T1 2019 Pipeline Data Lagasco'!$A590,'Dec 31 2018 OFFS'!$U:$U,'T1 2019 Pipeline Data Lagasco'!$E590,'Dec 31 2018 OFFS'!$AK:$AK,'T1 2019 Pipeline Data Lagasco'!$Q590,'Dec 31 2018 OFFS'!$W:$W,'T1 2019 Pipeline Data Lagasco'!$G590),1))</f>
        <v>0</v>
      </c>
      <c r="S590" s="275">
        <f t="shared" si="20"/>
        <v>0</v>
      </c>
    </row>
    <row r="591" spans="1:19" s="217" customFormat="1" ht="14.1" customHeight="1">
      <c r="A591" s="224" t="s">
        <v>1500</v>
      </c>
      <c r="B591" s="218" t="s">
        <v>1501</v>
      </c>
      <c r="C591" s="223">
        <v>1</v>
      </c>
      <c r="D591" s="218" t="s">
        <v>1488</v>
      </c>
      <c r="E591" s="240">
        <v>3</v>
      </c>
      <c r="F591" s="230">
        <v>2608.5300000000002</v>
      </c>
      <c r="G591" s="223">
        <v>1975</v>
      </c>
      <c r="H591" s="223">
        <v>1</v>
      </c>
      <c r="I591" s="223">
        <v>0</v>
      </c>
      <c r="J591" s="223"/>
      <c r="K591" s="228">
        <v>61535.222699999998</v>
      </c>
      <c r="L591" s="241">
        <v>80</v>
      </c>
      <c r="M591" s="229">
        <v>12307.044540000001</v>
      </c>
      <c r="N591" s="230">
        <v>23.59</v>
      </c>
      <c r="O591" s="231">
        <v>0</v>
      </c>
      <c r="P591" s="314"/>
      <c r="Q591" s="276">
        <f t="shared" si="19"/>
        <v>2608.5300000000002</v>
      </c>
      <c r="R591" s="275">
        <f>(SUMIFS('Dec 31 2018 OFFS'!$AG:$AG,'Dec 31 2018 OFFS'!$AI:$AI,'T1 2019 Pipeline Data Lagasco'!$A591,'Dec 31 2018 OFFS'!$U:$U,'T1 2019 Pipeline Data Lagasco'!$E591,'Dec 31 2018 OFFS'!$AK:$AK,'T1 2019 Pipeline Data Lagasco'!$Q591,'Dec 31 2018 OFFS'!$W:$W,'T1 2019 Pipeline Data Lagasco'!$G591))/(MAX(COUNTIFS('Dec 31 2018 OFFS'!$AI:$AI,'T1 2019 Pipeline Data Lagasco'!$A591,'Dec 31 2018 OFFS'!$U:$U,'T1 2019 Pipeline Data Lagasco'!$E591,'Dec 31 2018 OFFS'!$AK:$AK,'T1 2019 Pipeline Data Lagasco'!$Q591,'Dec 31 2018 OFFS'!$W:$W,'T1 2019 Pipeline Data Lagasco'!$G591),1))</f>
        <v>0</v>
      </c>
      <c r="S591" s="275">
        <f t="shared" si="20"/>
        <v>0</v>
      </c>
    </row>
    <row r="592" spans="1:19" s="217" customFormat="1" ht="14.1" customHeight="1">
      <c r="A592" s="224" t="s">
        <v>1500</v>
      </c>
      <c r="B592" s="218" t="s">
        <v>1501</v>
      </c>
      <c r="C592" s="223">
        <v>1</v>
      </c>
      <c r="D592" s="218" t="s">
        <v>1488</v>
      </c>
      <c r="E592" s="240">
        <v>3</v>
      </c>
      <c r="F592" s="230">
        <v>3288.55</v>
      </c>
      <c r="G592" s="223">
        <v>1967</v>
      </c>
      <c r="H592" s="223">
        <v>1</v>
      </c>
      <c r="I592" s="223">
        <v>0</v>
      </c>
      <c r="J592" s="223"/>
      <c r="K592" s="228">
        <v>77576.894499999995</v>
      </c>
      <c r="L592" s="241">
        <v>80</v>
      </c>
      <c r="M592" s="228">
        <v>15515.3789</v>
      </c>
      <c r="N592" s="230">
        <v>23.59</v>
      </c>
      <c r="O592" s="231">
        <v>0</v>
      </c>
      <c r="P592" s="314"/>
      <c r="Q592" s="276">
        <f t="shared" si="19"/>
        <v>3288.55</v>
      </c>
      <c r="R592" s="275">
        <f>(SUMIFS('Dec 31 2018 OFFS'!$AG:$AG,'Dec 31 2018 OFFS'!$AI:$AI,'T1 2019 Pipeline Data Lagasco'!$A592,'Dec 31 2018 OFFS'!$U:$U,'T1 2019 Pipeline Data Lagasco'!$E592,'Dec 31 2018 OFFS'!$AK:$AK,'T1 2019 Pipeline Data Lagasco'!$Q592,'Dec 31 2018 OFFS'!$W:$W,'T1 2019 Pipeline Data Lagasco'!$G592))/(MAX(COUNTIFS('Dec 31 2018 OFFS'!$AI:$AI,'T1 2019 Pipeline Data Lagasco'!$A592,'Dec 31 2018 OFFS'!$U:$U,'T1 2019 Pipeline Data Lagasco'!$E592,'Dec 31 2018 OFFS'!$AK:$AK,'T1 2019 Pipeline Data Lagasco'!$Q592,'Dec 31 2018 OFFS'!$W:$W,'T1 2019 Pipeline Data Lagasco'!$G592),1))</f>
        <v>0</v>
      </c>
      <c r="S592" s="275">
        <f t="shared" si="20"/>
        <v>0</v>
      </c>
    </row>
    <row r="593" spans="1:19" s="217" customFormat="1" ht="14.1" customHeight="1">
      <c r="A593" s="224" t="s">
        <v>1500</v>
      </c>
      <c r="B593" s="218" t="s">
        <v>1501</v>
      </c>
      <c r="C593" s="223">
        <v>1</v>
      </c>
      <c r="D593" s="218" t="s">
        <v>1488</v>
      </c>
      <c r="E593" s="240">
        <v>3</v>
      </c>
      <c r="F593" s="226">
        <v>3614.566824</v>
      </c>
      <c r="G593" s="223">
        <v>1990</v>
      </c>
      <c r="H593" s="223">
        <v>1</v>
      </c>
      <c r="I593" s="223">
        <v>1</v>
      </c>
      <c r="J593" s="223"/>
      <c r="K593" s="229">
        <v>85267.631389999995</v>
      </c>
      <c r="L593" s="241">
        <v>73</v>
      </c>
      <c r="M593" s="229">
        <v>23022.260480000001</v>
      </c>
      <c r="N593" s="230">
        <v>23.59</v>
      </c>
      <c r="O593" s="231">
        <v>23022</v>
      </c>
      <c r="P593" s="314"/>
      <c r="Q593" s="276">
        <f t="shared" si="19"/>
        <v>3614.57</v>
      </c>
      <c r="R593" s="275">
        <f>(SUMIFS('Dec 31 2018 OFFS'!$AG:$AG,'Dec 31 2018 OFFS'!$AI:$AI,'T1 2019 Pipeline Data Lagasco'!$A593,'Dec 31 2018 OFFS'!$U:$U,'T1 2019 Pipeline Data Lagasco'!$E593,'Dec 31 2018 OFFS'!$AK:$AK,'T1 2019 Pipeline Data Lagasco'!$Q593,'Dec 31 2018 OFFS'!$W:$W,'T1 2019 Pipeline Data Lagasco'!$G593))/(MAX(COUNTIFS('Dec 31 2018 OFFS'!$AI:$AI,'T1 2019 Pipeline Data Lagasco'!$A593,'Dec 31 2018 OFFS'!$U:$U,'T1 2019 Pipeline Data Lagasco'!$E593,'Dec 31 2018 OFFS'!$AK:$AK,'T1 2019 Pipeline Data Lagasco'!$Q593,'Dec 31 2018 OFFS'!$W:$W,'T1 2019 Pipeline Data Lagasco'!$G593),1))</f>
        <v>23022</v>
      </c>
      <c r="S593" s="275">
        <f t="shared" si="20"/>
        <v>0</v>
      </c>
    </row>
    <row r="594" spans="1:19" s="217" customFormat="1" ht="14.1" customHeight="1">
      <c r="A594" s="224" t="s">
        <v>1500</v>
      </c>
      <c r="B594" s="218" t="s">
        <v>1501</v>
      </c>
      <c r="C594" s="223">
        <v>1</v>
      </c>
      <c r="D594" s="218" t="s">
        <v>1488</v>
      </c>
      <c r="E594" s="240">
        <v>3</v>
      </c>
      <c r="F594" s="232">
        <v>838.91073689999996</v>
      </c>
      <c r="G594" s="223">
        <v>1967</v>
      </c>
      <c r="H594" s="223">
        <v>1</v>
      </c>
      <c r="I594" s="223">
        <v>1</v>
      </c>
      <c r="J594" s="223"/>
      <c r="K594" s="229">
        <v>19789.904279999999</v>
      </c>
      <c r="L594" s="241">
        <v>80</v>
      </c>
      <c r="M594" s="233">
        <v>3957.980857</v>
      </c>
      <c r="N594" s="230">
        <v>23.59</v>
      </c>
      <c r="O594" s="231">
        <v>3957</v>
      </c>
      <c r="P594" s="314"/>
      <c r="Q594" s="276">
        <f t="shared" si="19"/>
        <v>838.91</v>
      </c>
      <c r="R594" s="275">
        <f>(SUMIFS('Dec 31 2018 OFFS'!$AG:$AG,'Dec 31 2018 OFFS'!$AI:$AI,'T1 2019 Pipeline Data Lagasco'!$A594,'Dec 31 2018 OFFS'!$U:$U,'T1 2019 Pipeline Data Lagasco'!$E594,'Dec 31 2018 OFFS'!$AK:$AK,'T1 2019 Pipeline Data Lagasco'!$Q594,'Dec 31 2018 OFFS'!$W:$W,'T1 2019 Pipeline Data Lagasco'!$G594))/(MAX(COUNTIFS('Dec 31 2018 OFFS'!$AI:$AI,'T1 2019 Pipeline Data Lagasco'!$A594,'Dec 31 2018 OFFS'!$U:$U,'T1 2019 Pipeline Data Lagasco'!$E594,'Dec 31 2018 OFFS'!$AK:$AK,'T1 2019 Pipeline Data Lagasco'!$Q594,'Dec 31 2018 OFFS'!$W:$W,'T1 2019 Pipeline Data Lagasco'!$G594),1))</f>
        <v>3957</v>
      </c>
      <c r="S594" s="275">
        <f t="shared" si="20"/>
        <v>0</v>
      </c>
    </row>
    <row r="595" spans="1:19" s="217" customFormat="1" ht="14.1" customHeight="1">
      <c r="A595" s="224" t="s">
        <v>1500</v>
      </c>
      <c r="B595" s="218" t="s">
        <v>1501</v>
      </c>
      <c r="C595" s="223">
        <v>1</v>
      </c>
      <c r="D595" s="218" t="s">
        <v>1488</v>
      </c>
      <c r="E595" s="240">
        <v>3</v>
      </c>
      <c r="F595" s="226">
        <v>3985.0064459999999</v>
      </c>
      <c r="G595" s="223">
        <v>1967</v>
      </c>
      <c r="H595" s="223">
        <v>1</v>
      </c>
      <c r="I595" s="223">
        <v>1</v>
      </c>
      <c r="J595" s="223"/>
      <c r="K595" s="229">
        <v>94006.302070000005</v>
      </c>
      <c r="L595" s="241">
        <v>80</v>
      </c>
      <c r="M595" s="229">
        <v>18801.260409999999</v>
      </c>
      <c r="N595" s="230">
        <v>23.59</v>
      </c>
      <c r="O595" s="231">
        <v>18801</v>
      </c>
      <c r="P595" s="314"/>
      <c r="Q595" s="276">
        <f t="shared" si="19"/>
        <v>3985.01</v>
      </c>
      <c r="R595" s="275">
        <f>(SUMIFS('Dec 31 2018 OFFS'!$AG:$AG,'Dec 31 2018 OFFS'!$AI:$AI,'T1 2019 Pipeline Data Lagasco'!$A595,'Dec 31 2018 OFFS'!$U:$U,'T1 2019 Pipeline Data Lagasco'!$E595,'Dec 31 2018 OFFS'!$AK:$AK,'T1 2019 Pipeline Data Lagasco'!$Q595,'Dec 31 2018 OFFS'!$W:$W,'T1 2019 Pipeline Data Lagasco'!$G595))/(MAX(COUNTIFS('Dec 31 2018 OFFS'!$AI:$AI,'T1 2019 Pipeline Data Lagasco'!$A595,'Dec 31 2018 OFFS'!$U:$U,'T1 2019 Pipeline Data Lagasco'!$E595,'Dec 31 2018 OFFS'!$AK:$AK,'T1 2019 Pipeline Data Lagasco'!$Q595,'Dec 31 2018 OFFS'!$W:$W,'T1 2019 Pipeline Data Lagasco'!$G595),1))</f>
        <v>18801</v>
      </c>
      <c r="S595" s="275">
        <f t="shared" si="20"/>
        <v>0</v>
      </c>
    </row>
    <row r="596" spans="1:19" s="217" customFormat="1" ht="14.1" customHeight="1">
      <c r="A596" s="224" t="s">
        <v>1500</v>
      </c>
      <c r="B596" s="218" t="s">
        <v>1501</v>
      </c>
      <c r="C596" s="223">
        <v>1</v>
      </c>
      <c r="D596" s="218" t="s">
        <v>1488</v>
      </c>
      <c r="E596" s="240">
        <v>3</v>
      </c>
      <c r="F596" s="230">
        <v>3125.43</v>
      </c>
      <c r="G596" s="223">
        <v>1967</v>
      </c>
      <c r="H596" s="223">
        <v>1</v>
      </c>
      <c r="I596" s="223">
        <v>0</v>
      </c>
      <c r="J596" s="223"/>
      <c r="K596" s="228">
        <v>73728.893700000001</v>
      </c>
      <c r="L596" s="241">
        <v>80</v>
      </c>
      <c r="M596" s="229">
        <v>14745.77874</v>
      </c>
      <c r="N596" s="230">
        <v>23.59</v>
      </c>
      <c r="O596" s="231">
        <v>0</v>
      </c>
      <c r="P596" s="314"/>
      <c r="Q596" s="276">
        <f t="shared" si="21" ref="Q596:Q659">ROUND(F596,2)</f>
        <v>3125.43</v>
      </c>
      <c r="R596" s="275">
        <f>(SUMIFS('Dec 31 2018 OFFS'!$AG:$AG,'Dec 31 2018 OFFS'!$AI:$AI,'T1 2019 Pipeline Data Lagasco'!$A596,'Dec 31 2018 OFFS'!$U:$U,'T1 2019 Pipeline Data Lagasco'!$E596,'Dec 31 2018 OFFS'!$AK:$AK,'T1 2019 Pipeline Data Lagasco'!$Q596,'Dec 31 2018 OFFS'!$W:$W,'T1 2019 Pipeline Data Lagasco'!$G596))/(MAX(COUNTIFS('Dec 31 2018 OFFS'!$AI:$AI,'T1 2019 Pipeline Data Lagasco'!$A596,'Dec 31 2018 OFFS'!$U:$U,'T1 2019 Pipeline Data Lagasco'!$E596,'Dec 31 2018 OFFS'!$AK:$AK,'T1 2019 Pipeline Data Lagasco'!$Q596,'Dec 31 2018 OFFS'!$W:$W,'T1 2019 Pipeline Data Lagasco'!$G596),1))</f>
        <v>0</v>
      </c>
      <c r="S596" s="275">
        <f t="shared" si="22" ref="S596:S659">O596-R596</f>
        <v>0</v>
      </c>
    </row>
    <row r="597" spans="1:19" s="217" customFormat="1" ht="14.1" customHeight="1">
      <c r="A597" s="224" t="s">
        <v>1500</v>
      </c>
      <c r="B597" s="218" t="s">
        <v>1501</v>
      </c>
      <c r="C597" s="223">
        <v>1</v>
      </c>
      <c r="D597" s="218" t="s">
        <v>1488</v>
      </c>
      <c r="E597" s="240">
        <v>3</v>
      </c>
      <c r="F597" s="230">
        <v>4152.5600000000004</v>
      </c>
      <c r="G597" s="223">
        <v>1967</v>
      </c>
      <c r="H597" s="223">
        <v>1</v>
      </c>
      <c r="I597" s="223">
        <v>0</v>
      </c>
      <c r="J597" s="223"/>
      <c r="K597" s="228">
        <v>97958.890400000004</v>
      </c>
      <c r="L597" s="241">
        <v>80</v>
      </c>
      <c r="M597" s="229">
        <v>19591.77808</v>
      </c>
      <c r="N597" s="230">
        <v>23.59</v>
      </c>
      <c r="O597" s="231">
        <v>0</v>
      </c>
      <c r="P597" s="314"/>
      <c r="Q597" s="276">
        <f t="shared" si="21"/>
        <v>4152.5600000000004</v>
      </c>
      <c r="R597" s="275">
        <f>(SUMIFS('Dec 31 2018 OFFS'!$AG:$AG,'Dec 31 2018 OFFS'!$AI:$AI,'T1 2019 Pipeline Data Lagasco'!$A597,'Dec 31 2018 OFFS'!$U:$U,'T1 2019 Pipeline Data Lagasco'!$E597,'Dec 31 2018 OFFS'!$AK:$AK,'T1 2019 Pipeline Data Lagasco'!$Q597,'Dec 31 2018 OFFS'!$W:$W,'T1 2019 Pipeline Data Lagasco'!$G597))/(MAX(COUNTIFS('Dec 31 2018 OFFS'!$AI:$AI,'T1 2019 Pipeline Data Lagasco'!$A597,'Dec 31 2018 OFFS'!$U:$U,'T1 2019 Pipeline Data Lagasco'!$E597,'Dec 31 2018 OFFS'!$AK:$AK,'T1 2019 Pipeline Data Lagasco'!$Q597,'Dec 31 2018 OFFS'!$W:$W,'T1 2019 Pipeline Data Lagasco'!$G597),1))</f>
        <v>0</v>
      </c>
      <c r="S597" s="275">
        <f t="shared" si="22"/>
        <v>0</v>
      </c>
    </row>
    <row r="598" spans="1:19" s="217" customFormat="1" ht="14.1" customHeight="1">
      <c r="A598" s="224" t="s">
        <v>1500</v>
      </c>
      <c r="B598" s="218" t="s">
        <v>1501</v>
      </c>
      <c r="C598" s="223">
        <v>1</v>
      </c>
      <c r="D598" s="218" t="s">
        <v>1488</v>
      </c>
      <c r="E598" s="240">
        <v>3</v>
      </c>
      <c r="F598" s="226">
        <v>4321.5221849999998</v>
      </c>
      <c r="G598" s="223">
        <v>1983</v>
      </c>
      <c r="H598" s="223">
        <v>1</v>
      </c>
      <c r="I598" s="223">
        <v>0</v>
      </c>
      <c r="J598" s="223"/>
      <c r="K598" s="228">
        <v>101944.7083</v>
      </c>
      <c r="L598" s="241">
        <v>80</v>
      </c>
      <c r="M598" s="229">
        <v>20388.94167</v>
      </c>
      <c r="N598" s="230">
        <v>23.59</v>
      </c>
      <c r="O598" s="231">
        <v>0</v>
      </c>
      <c r="P598" s="314"/>
      <c r="Q598" s="276">
        <f t="shared" si="21"/>
        <v>4321.5200000000004</v>
      </c>
      <c r="R598" s="275">
        <f>(SUMIFS('Dec 31 2018 OFFS'!$AG:$AG,'Dec 31 2018 OFFS'!$AI:$AI,'T1 2019 Pipeline Data Lagasco'!$A598,'Dec 31 2018 OFFS'!$U:$U,'T1 2019 Pipeline Data Lagasco'!$E598,'Dec 31 2018 OFFS'!$AK:$AK,'T1 2019 Pipeline Data Lagasco'!$Q598,'Dec 31 2018 OFFS'!$W:$W,'T1 2019 Pipeline Data Lagasco'!$G598))/(MAX(COUNTIFS('Dec 31 2018 OFFS'!$AI:$AI,'T1 2019 Pipeline Data Lagasco'!$A598,'Dec 31 2018 OFFS'!$U:$U,'T1 2019 Pipeline Data Lagasco'!$E598,'Dec 31 2018 OFFS'!$AK:$AK,'T1 2019 Pipeline Data Lagasco'!$Q598,'Dec 31 2018 OFFS'!$W:$W,'T1 2019 Pipeline Data Lagasco'!$G598),1))</f>
        <v>0</v>
      </c>
      <c r="S598" s="275">
        <f t="shared" si="22"/>
        <v>0</v>
      </c>
    </row>
    <row r="599" spans="1:19" s="217" customFormat="1" ht="14.1" customHeight="1">
      <c r="A599" s="224" t="s">
        <v>1500</v>
      </c>
      <c r="B599" s="218" t="s">
        <v>1501</v>
      </c>
      <c r="C599" s="223">
        <v>1</v>
      </c>
      <c r="D599" s="218" t="s">
        <v>1488</v>
      </c>
      <c r="E599" s="240">
        <v>3</v>
      </c>
      <c r="F599" s="230">
        <v>5580.18</v>
      </c>
      <c r="G599" s="223">
        <v>1965</v>
      </c>
      <c r="H599" s="223">
        <v>1</v>
      </c>
      <c r="I599" s="223">
        <v>0</v>
      </c>
      <c r="J599" s="223"/>
      <c r="K599" s="228">
        <v>131636.44620000001</v>
      </c>
      <c r="L599" s="241">
        <v>80</v>
      </c>
      <c r="M599" s="229">
        <v>26327.289239999998</v>
      </c>
      <c r="N599" s="230">
        <v>23.59</v>
      </c>
      <c r="O599" s="231">
        <v>0</v>
      </c>
      <c r="P599" s="314"/>
      <c r="Q599" s="276">
        <f t="shared" si="21"/>
        <v>5580.18</v>
      </c>
      <c r="R599" s="275">
        <f>(SUMIFS('Dec 31 2018 OFFS'!$AG:$AG,'Dec 31 2018 OFFS'!$AI:$AI,'T1 2019 Pipeline Data Lagasco'!$A599,'Dec 31 2018 OFFS'!$U:$U,'T1 2019 Pipeline Data Lagasco'!$E599,'Dec 31 2018 OFFS'!$AK:$AK,'T1 2019 Pipeline Data Lagasco'!$Q599,'Dec 31 2018 OFFS'!$W:$W,'T1 2019 Pipeline Data Lagasco'!$G599))/(MAX(COUNTIFS('Dec 31 2018 OFFS'!$AI:$AI,'T1 2019 Pipeline Data Lagasco'!$A599,'Dec 31 2018 OFFS'!$U:$U,'T1 2019 Pipeline Data Lagasco'!$E599,'Dec 31 2018 OFFS'!$AK:$AK,'T1 2019 Pipeline Data Lagasco'!$Q599,'Dec 31 2018 OFFS'!$W:$W,'T1 2019 Pipeline Data Lagasco'!$G599),1))</f>
        <v>0</v>
      </c>
      <c r="S599" s="275">
        <f t="shared" si="22"/>
        <v>0</v>
      </c>
    </row>
    <row r="600" spans="1:19" s="217" customFormat="1" ht="15" customHeight="1">
      <c r="A600" s="224" t="s">
        <v>1500</v>
      </c>
      <c r="B600" s="218" t="s">
        <v>1501</v>
      </c>
      <c r="C600" s="223">
        <v>1</v>
      </c>
      <c r="D600" s="218" t="s">
        <v>1488</v>
      </c>
      <c r="E600" s="240">
        <v>3</v>
      </c>
      <c r="F600" s="230">
        <v>7199.05</v>
      </c>
      <c r="G600" s="223">
        <v>1965</v>
      </c>
      <c r="H600" s="223">
        <v>1</v>
      </c>
      <c r="I600" s="223">
        <v>0</v>
      </c>
      <c r="J600" s="223"/>
      <c r="K600" s="228">
        <v>169825.5895</v>
      </c>
      <c r="L600" s="241">
        <v>80</v>
      </c>
      <c r="M600" s="228">
        <v>33965.117899999997</v>
      </c>
      <c r="N600" s="230">
        <v>23.59</v>
      </c>
      <c r="O600" s="231">
        <v>0</v>
      </c>
      <c r="P600" s="314"/>
      <c r="Q600" s="276">
        <f t="shared" si="21"/>
        <v>7199.05</v>
      </c>
      <c r="R600" s="275">
        <f>(SUMIFS('Dec 31 2018 OFFS'!$AG:$AG,'Dec 31 2018 OFFS'!$AI:$AI,'T1 2019 Pipeline Data Lagasco'!$A600,'Dec 31 2018 OFFS'!$U:$U,'T1 2019 Pipeline Data Lagasco'!$E600,'Dec 31 2018 OFFS'!$AK:$AK,'T1 2019 Pipeline Data Lagasco'!$Q600,'Dec 31 2018 OFFS'!$W:$W,'T1 2019 Pipeline Data Lagasco'!$G600))/(MAX(COUNTIFS('Dec 31 2018 OFFS'!$AI:$AI,'T1 2019 Pipeline Data Lagasco'!$A600,'Dec 31 2018 OFFS'!$U:$U,'T1 2019 Pipeline Data Lagasco'!$E600,'Dec 31 2018 OFFS'!$AK:$AK,'T1 2019 Pipeline Data Lagasco'!$Q600,'Dec 31 2018 OFFS'!$W:$W,'T1 2019 Pipeline Data Lagasco'!$G600),1))</f>
        <v>0</v>
      </c>
      <c r="S600" s="275">
        <f t="shared" si="22"/>
        <v>0</v>
      </c>
    </row>
    <row r="601" spans="1:19" s="217" customFormat="1" ht="15" customHeight="1">
      <c r="A601" s="224" t="s">
        <v>1500</v>
      </c>
      <c r="B601" s="218" t="s">
        <v>1501</v>
      </c>
      <c r="C601" s="223">
        <v>1</v>
      </c>
      <c r="D601" s="218" t="s">
        <v>1488</v>
      </c>
      <c r="E601" s="240">
        <v>3</v>
      </c>
      <c r="F601" s="230">
        <v>6142.26</v>
      </c>
      <c r="G601" s="223">
        <v>1991</v>
      </c>
      <c r="H601" s="223">
        <v>1</v>
      </c>
      <c r="I601" s="223">
        <v>0</v>
      </c>
      <c r="J601" s="223"/>
      <c r="K601" s="228">
        <v>144895.91339999999</v>
      </c>
      <c r="L601" s="241">
        <v>72</v>
      </c>
      <c r="M601" s="229">
        <v>40570.855750000002</v>
      </c>
      <c r="N601" s="230">
        <v>23.59</v>
      </c>
      <c r="O601" s="231">
        <v>0</v>
      </c>
      <c r="P601" s="314"/>
      <c r="Q601" s="276">
        <f t="shared" si="21"/>
        <v>6142.26</v>
      </c>
      <c r="R601" s="275">
        <f>(SUMIFS('Dec 31 2018 OFFS'!$AG:$AG,'Dec 31 2018 OFFS'!$AI:$AI,'T1 2019 Pipeline Data Lagasco'!$A601,'Dec 31 2018 OFFS'!$U:$U,'T1 2019 Pipeline Data Lagasco'!$E601,'Dec 31 2018 OFFS'!$AK:$AK,'T1 2019 Pipeline Data Lagasco'!$Q601,'Dec 31 2018 OFFS'!$W:$W,'T1 2019 Pipeline Data Lagasco'!$G601))/(MAX(COUNTIFS('Dec 31 2018 OFFS'!$AI:$AI,'T1 2019 Pipeline Data Lagasco'!$A601,'Dec 31 2018 OFFS'!$U:$U,'T1 2019 Pipeline Data Lagasco'!$E601,'Dec 31 2018 OFFS'!$AK:$AK,'T1 2019 Pipeline Data Lagasco'!$Q601,'Dec 31 2018 OFFS'!$W:$W,'T1 2019 Pipeline Data Lagasco'!$G601),1))</f>
        <v>0</v>
      </c>
      <c r="S601" s="275">
        <f t="shared" si="22"/>
        <v>0</v>
      </c>
    </row>
    <row r="602" spans="1:19" s="217" customFormat="1" ht="14.1" customHeight="1">
      <c r="A602" s="224" t="s">
        <v>1500</v>
      </c>
      <c r="B602" s="218" t="s">
        <v>1501</v>
      </c>
      <c r="C602" s="223">
        <v>1</v>
      </c>
      <c r="D602" s="218" t="s">
        <v>1488</v>
      </c>
      <c r="E602" s="240">
        <v>3</v>
      </c>
      <c r="F602" s="226">
        <v>3462.204624</v>
      </c>
      <c r="G602" s="223">
        <v>1965</v>
      </c>
      <c r="H602" s="223">
        <v>1</v>
      </c>
      <c r="I602" s="223">
        <v>0</v>
      </c>
      <c r="J602" s="223"/>
      <c r="K602" s="229">
        <v>81673.407080000004</v>
      </c>
      <c r="L602" s="241">
        <v>80</v>
      </c>
      <c r="M602" s="229">
        <v>16334.681420000001</v>
      </c>
      <c r="N602" s="230">
        <v>23.59</v>
      </c>
      <c r="O602" s="231">
        <v>0</v>
      </c>
      <c r="P602" s="314"/>
      <c r="Q602" s="276">
        <f t="shared" si="21"/>
        <v>3462.20</v>
      </c>
      <c r="R602" s="275">
        <f>(SUMIFS('Dec 31 2018 OFFS'!$AG:$AG,'Dec 31 2018 OFFS'!$AI:$AI,'T1 2019 Pipeline Data Lagasco'!$A602,'Dec 31 2018 OFFS'!$U:$U,'T1 2019 Pipeline Data Lagasco'!$E602,'Dec 31 2018 OFFS'!$AK:$AK,'T1 2019 Pipeline Data Lagasco'!$Q602,'Dec 31 2018 OFFS'!$W:$W,'T1 2019 Pipeline Data Lagasco'!$G602))/(MAX(COUNTIFS('Dec 31 2018 OFFS'!$AI:$AI,'T1 2019 Pipeline Data Lagasco'!$A602,'Dec 31 2018 OFFS'!$U:$U,'T1 2019 Pipeline Data Lagasco'!$E602,'Dec 31 2018 OFFS'!$AK:$AK,'T1 2019 Pipeline Data Lagasco'!$Q602,'Dec 31 2018 OFFS'!$W:$W,'T1 2019 Pipeline Data Lagasco'!$G602),1))</f>
        <v>0</v>
      </c>
      <c r="S602" s="275">
        <f t="shared" si="22"/>
        <v>0</v>
      </c>
    </row>
    <row r="603" spans="1:19" s="217" customFormat="1" ht="14.1" customHeight="1">
      <c r="A603" s="224" t="s">
        <v>1500</v>
      </c>
      <c r="B603" s="218" t="s">
        <v>1501</v>
      </c>
      <c r="C603" s="223">
        <v>1</v>
      </c>
      <c r="D603" s="218" t="s">
        <v>1488</v>
      </c>
      <c r="E603" s="240">
        <v>3</v>
      </c>
      <c r="F603" s="232">
        <v>88.517057800000003</v>
      </c>
      <c r="G603" s="223">
        <v>1965</v>
      </c>
      <c r="H603" s="223">
        <v>1</v>
      </c>
      <c r="I603" s="223">
        <v>0</v>
      </c>
      <c r="J603" s="223"/>
      <c r="K603" s="233">
        <v>2088.1173939999999</v>
      </c>
      <c r="L603" s="241">
        <v>80</v>
      </c>
      <c r="M603" s="234">
        <v>417.62347870000002</v>
      </c>
      <c r="N603" s="230">
        <v>23.59</v>
      </c>
      <c r="O603" s="231">
        <v>0</v>
      </c>
      <c r="P603" s="314"/>
      <c r="Q603" s="276">
        <f t="shared" si="21"/>
        <v>88.52</v>
      </c>
      <c r="R603" s="275">
        <f>(SUMIFS('Dec 31 2018 OFFS'!$AG:$AG,'Dec 31 2018 OFFS'!$AI:$AI,'T1 2019 Pipeline Data Lagasco'!$A603,'Dec 31 2018 OFFS'!$U:$U,'T1 2019 Pipeline Data Lagasco'!$E603,'Dec 31 2018 OFFS'!$AK:$AK,'T1 2019 Pipeline Data Lagasco'!$Q603,'Dec 31 2018 OFFS'!$W:$W,'T1 2019 Pipeline Data Lagasco'!$G603))/(MAX(COUNTIFS('Dec 31 2018 OFFS'!$AI:$AI,'T1 2019 Pipeline Data Lagasco'!$A603,'Dec 31 2018 OFFS'!$U:$U,'T1 2019 Pipeline Data Lagasco'!$E603,'Dec 31 2018 OFFS'!$AK:$AK,'T1 2019 Pipeline Data Lagasco'!$Q603,'Dec 31 2018 OFFS'!$W:$W,'T1 2019 Pipeline Data Lagasco'!$G603),1))</f>
        <v>0</v>
      </c>
      <c r="S603" s="275">
        <f t="shared" si="22"/>
        <v>0</v>
      </c>
    </row>
    <row r="604" spans="1:19" s="217" customFormat="1" ht="14.1" customHeight="1">
      <c r="A604" s="224" t="s">
        <v>1500</v>
      </c>
      <c r="B604" s="218" t="s">
        <v>1501</v>
      </c>
      <c r="C604" s="223">
        <v>1</v>
      </c>
      <c r="D604" s="218" t="s">
        <v>1488</v>
      </c>
      <c r="E604" s="240">
        <v>3</v>
      </c>
      <c r="F604" s="236">
        <v>11925.85267</v>
      </c>
      <c r="G604" s="223">
        <v>1965</v>
      </c>
      <c r="H604" s="223">
        <v>1</v>
      </c>
      <c r="I604" s="223">
        <v>0</v>
      </c>
      <c r="J604" s="223"/>
      <c r="K604" s="228">
        <v>281330.86459999997</v>
      </c>
      <c r="L604" s="241">
        <v>80</v>
      </c>
      <c r="M604" s="229">
        <v>56266.172910000001</v>
      </c>
      <c r="N604" s="230">
        <v>23.59</v>
      </c>
      <c r="O604" s="231">
        <v>0</v>
      </c>
      <c r="P604" s="314"/>
      <c r="Q604" s="276">
        <f t="shared" si="21"/>
        <v>11925.85</v>
      </c>
      <c r="R604" s="275">
        <f>(SUMIFS('Dec 31 2018 OFFS'!$AG:$AG,'Dec 31 2018 OFFS'!$AI:$AI,'T1 2019 Pipeline Data Lagasco'!$A604,'Dec 31 2018 OFFS'!$U:$U,'T1 2019 Pipeline Data Lagasco'!$E604,'Dec 31 2018 OFFS'!$AK:$AK,'T1 2019 Pipeline Data Lagasco'!$Q604,'Dec 31 2018 OFFS'!$W:$W,'T1 2019 Pipeline Data Lagasco'!$G604))/(MAX(COUNTIFS('Dec 31 2018 OFFS'!$AI:$AI,'T1 2019 Pipeline Data Lagasco'!$A604,'Dec 31 2018 OFFS'!$U:$U,'T1 2019 Pipeline Data Lagasco'!$E604,'Dec 31 2018 OFFS'!$AK:$AK,'T1 2019 Pipeline Data Lagasco'!$Q604,'Dec 31 2018 OFFS'!$W:$W,'T1 2019 Pipeline Data Lagasco'!$G604),1))</f>
        <v>0</v>
      </c>
      <c r="S604" s="275">
        <f t="shared" si="22"/>
        <v>0</v>
      </c>
    </row>
    <row r="605" spans="1:19" s="217" customFormat="1" ht="14.1" customHeight="1">
      <c r="A605" s="224" t="s">
        <v>1500</v>
      </c>
      <c r="B605" s="218" t="s">
        <v>1501</v>
      </c>
      <c r="C605" s="223">
        <v>1</v>
      </c>
      <c r="D605" s="218" t="s">
        <v>1488</v>
      </c>
      <c r="E605" s="240">
        <v>3</v>
      </c>
      <c r="F605" s="230">
        <v>3649.85</v>
      </c>
      <c r="G605" s="223">
        <v>1965</v>
      </c>
      <c r="H605" s="223">
        <v>1</v>
      </c>
      <c r="I605" s="223">
        <v>1</v>
      </c>
      <c r="J605" s="223"/>
      <c r="K605" s="228">
        <v>86099.961500000005</v>
      </c>
      <c r="L605" s="241">
        <v>80</v>
      </c>
      <c r="M605" s="228">
        <v>17219.992300000002</v>
      </c>
      <c r="N605" s="230">
        <v>23.59</v>
      </c>
      <c r="O605" s="231">
        <v>17219</v>
      </c>
      <c r="P605" s="314"/>
      <c r="Q605" s="276">
        <f t="shared" si="21"/>
        <v>3649.85</v>
      </c>
      <c r="R605" s="275">
        <f>(SUMIFS('Dec 31 2018 OFFS'!$AG:$AG,'Dec 31 2018 OFFS'!$AI:$AI,'T1 2019 Pipeline Data Lagasco'!$A605,'Dec 31 2018 OFFS'!$U:$U,'T1 2019 Pipeline Data Lagasco'!$E605,'Dec 31 2018 OFFS'!$AK:$AK,'T1 2019 Pipeline Data Lagasco'!$Q605,'Dec 31 2018 OFFS'!$W:$W,'T1 2019 Pipeline Data Lagasco'!$G605))/(MAX(COUNTIFS('Dec 31 2018 OFFS'!$AI:$AI,'T1 2019 Pipeline Data Lagasco'!$A605,'Dec 31 2018 OFFS'!$U:$U,'T1 2019 Pipeline Data Lagasco'!$E605,'Dec 31 2018 OFFS'!$AK:$AK,'T1 2019 Pipeline Data Lagasco'!$Q605,'Dec 31 2018 OFFS'!$W:$W,'T1 2019 Pipeline Data Lagasco'!$G605),1))</f>
        <v>17219</v>
      </c>
      <c r="S605" s="275">
        <f t="shared" si="22"/>
        <v>0</v>
      </c>
    </row>
    <row r="606" spans="1:19" s="217" customFormat="1" ht="14.1" customHeight="1">
      <c r="A606" s="224" t="s">
        <v>1500</v>
      </c>
      <c r="B606" s="218" t="s">
        <v>1501</v>
      </c>
      <c r="C606" s="223">
        <v>1</v>
      </c>
      <c r="D606" s="218" t="s">
        <v>1488</v>
      </c>
      <c r="E606" s="240">
        <v>3</v>
      </c>
      <c r="F606" s="223">
        <v>4300</v>
      </c>
      <c r="G606" s="223">
        <v>1982</v>
      </c>
      <c r="H606" s="223">
        <v>1</v>
      </c>
      <c r="I606" s="223">
        <v>1</v>
      </c>
      <c r="J606" s="223"/>
      <c r="K606" s="240">
        <v>101437</v>
      </c>
      <c r="L606" s="241">
        <v>80</v>
      </c>
      <c r="M606" s="237">
        <v>20287.40</v>
      </c>
      <c r="N606" s="230">
        <v>23.59</v>
      </c>
      <c r="O606" s="231">
        <v>20287</v>
      </c>
      <c r="P606" s="314"/>
      <c r="Q606" s="276">
        <f t="shared" si="21"/>
        <v>4300</v>
      </c>
      <c r="R606" s="275">
        <f>(SUMIFS('Dec 31 2018 OFFS'!$AG:$AG,'Dec 31 2018 OFFS'!$AI:$AI,'T1 2019 Pipeline Data Lagasco'!$A606,'Dec 31 2018 OFFS'!$U:$U,'T1 2019 Pipeline Data Lagasco'!$E606,'Dec 31 2018 OFFS'!$AK:$AK,'T1 2019 Pipeline Data Lagasco'!$Q606,'Dec 31 2018 OFFS'!$W:$W,'T1 2019 Pipeline Data Lagasco'!$G606))/(MAX(COUNTIFS('Dec 31 2018 OFFS'!$AI:$AI,'T1 2019 Pipeline Data Lagasco'!$A606,'Dec 31 2018 OFFS'!$U:$U,'T1 2019 Pipeline Data Lagasco'!$E606,'Dec 31 2018 OFFS'!$AK:$AK,'T1 2019 Pipeline Data Lagasco'!$Q606,'Dec 31 2018 OFFS'!$W:$W,'T1 2019 Pipeline Data Lagasco'!$G606),1))</f>
        <v>20287</v>
      </c>
      <c r="S606" s="275">
        <f t="shared" si="22"/>
        <v>0</v>
      </c>
    </row>
    <row r="607" spans="1:19" s="217" customFormat="1" ht="14.1" customHeight="1">
      <c r="A607" s="224" t="s">
        <v>1500</v>
      </c>
      <c r="B607" s="218" t="s">
        <v>1501</v>
      </c>
      <c r="C607" s="223">
        <v>1</v>
      </c>
      <c r="D607" s="218" t="s">
        <v>1488</v>
      </c>
      <c r="E607" s="240">
        <v>3</v>
      </c>
      <c r="F607" s="223">
        <v>3976</v>
      </c>
      <c r="G607" s="223">
        <v>1982</v>
      </c>
      <c r="H607" s="223">
        <v>1</v>
      </c>
      <c r="I607" s="223">
        <v>1</v>
      </c>
      <c r="J607" s="223"/>
      <c r="K607" s="238">
        <v>93793.84</v>
      </c>
      <c r="L607" s="241">
        <v>80</v>
      </c>
      <c r="M607" s="239">
        <v>18758.768</v>
      </c>
      <c r="N607" s="230">
        <v>23.59</v>
      </c>
      <c r="O607" s="231">
        <v>18758</v>
      </c>
      <c r="P607" s="314"/>
      <c r="Q607" s="276">
        <f t="shared" si="21"/>
        <v>3976</v>
      </c>
      <c r="R607" s="275">
        <f>(SUMIFS('Dec 31 2018 OFFS'!$AG:$AG,'Dec 31 2018 OFFS'!$AI:$AI,'T1 2019 Pipeline Data Lagasco'!$A607,'Dec 31 2018 OFFS'!$U:$U,'T1 2019 Pipeline Data Lagasco'!$E607,'Dec 31 2018 OFFS'!$AK:$AK,'T1 2019 Pipeline Data Lagasco'!$Q607,'Dec 31 2018 OFFS'!$W:$W,'T1 2019 Pipeline Data Lagasco'!$G607))/(MAX(COUNTIFS('Dec 31 2018 OFFS'!$AI:$AI,'T1 2019 Pipeline Data Lagasco'!$A607,'Dec 31 2018 OFFS'!$U:$U,'T1 2019 Pipeline Data Lagasco'!$E607,'Dec 31 2018 OFFS'!$AK:$AK,'T1 2019 Pipeline Data Lagasco'!$Q607,'Dec 31 2018 OFFS'!$W:$W,'T1 2019 Pipeline Data Lagasco'!$G607),1))</f>
        <v>18758</v>
      </c>
      <c r="S607" s="275">
        <f t="shared" si="22"/>
        <v>0</v>
      </c>
    </row>
    <row r="608" spans="1:19" s="217" customFormat="1" ht="14.1" customHeight="1">
      <c r="A608" s="224" t="s">
        <v>1500</v>
      </c>
      <c r="B608" s="218" t="s">
        <v>1501</v>
      </c>
      <c r="C608" s="223">
        <v>1</v>
      </c>
      <c r="D608" s="218" t="s">
        <v>1488</v>
      </c>
      <c r="E608" s="240">
        <v>3</v>
      </c>
      <c r="F608" s="242">
        <v>5153.8999999999996</v>
      </c>
      <c r="G608" s="223">
        <v>1965</v>
      </c>
      <c r="H608" s="223">
        <v>1</v>
      </c>
      <c r="I608" s="223">
        <v>0</v>
      </c>
      <c r="J608" s="223"/>
      <c r="K608" s="239">
        <v>121580.501</v>
      </c>
      <c r="L608" s="241">
        <v>80</v>
      </c>
      <c r="M608" s="228">
        <v>24316.100200000001</v>
      </c>
      <c r="N608" s="230">
        <v>23.59</v>
      </c>
      <c r="O608" s="231">
        <v>0</v>
      </c>
      <c r="P608" s="314"/>
      <c r="Q608" s="276">
        <f t="shared" si="21"/>
        <v>5153.8999999999996</v>
      </c>
      <c r="R608" s="275">
        <f>(SUMIFS('Dec 31 2018 OFFS'!$AG:$AG,'Dec 31 2018 OFFS'!$AI:$AI,'T1 2019 Pipeline Data Lagasco'!$A608,'Dec 31 2018 OFFS'!$U:$U,'T1 2019 Pipeline Data Lagasco'!$E608,'Dec 31 2018 OFFS'!$AK:$AK,'T1 2019 Pipeline Data Lagasco'!$Q608,'Dec 31 2018 OFFS'!$W:$W,'T1 2019 Pipeline Data Lagasco'!$G608))/(MAX(COUNTIFS('Dec 31 2018 OFFS'!$AI:$AI,'T1 2019 Pipeline Data Lagasco'!$A608,'Dec 31 2018 OFFS'!$U:$U,'T1 2019 Pipeline Data Lagasco'!$E608,'Dec 31 2018 OFFS'!$AK:$AK,'T1 2019 Pipeline Data Lagasco'!$Q608,'Dec 31 2018 OFFS'!$W:$W,'T1 2019 Pipeline Data Lagasco'!$G608),1))</f>
        <v>0</v>
      </c>
      <c r="S608" s="275">
        <f t="shared" si="22"/>
        <v>0</v>
      </c>
    </row>
    <row r="609" spans="1:19" s="217" customFormat="1" ht="14.1" customHeight="1">
      <c r="A609" s="224" t="s">
        <v>1500</v>
      </c>
      <c r="B609" s="218" t="s">
        <v>1501</v>
      </c>
      <c r="C609" s="223">
        <v>1</v>
      </c>
      <c r="D609" s="218" t="s">
        <v>1488</v>
      </c>
      <c r="E609" s="240">
        <v>3</v>
      </c>
      <c r="F609" s="230">
        <v>2059.25</v>
      </c>
      <c r="G609" s="223">
        <v>1965</v>
      </c>
      <c r="H609" s="223">
        <v>1</v>
      </c>
      <c r="I609" s="223">
        <v>0</v>
      </c>
      <c r="J609" s="223"/>
      <c r="K609" s="228">
        <v>48577.707499999997</v>
      </c>
      <c r="L609" s="241">
        <v>80</v>
      </c>
      <c r="M609" s="228">
        <v>9715.5414999999994</v>
      </c>
      <c r="N609" s="230">
        <v>23.59</v>
      </c>
      <c r="O609" s="231">
        <v>0</v>
      </c>
      <c r="P609" s="314"/>
      <c r="Q609" s="276">
        <f t="shared" si="21"/>
        <v>2059.25</v>
      </c>
      <c r="R609" s="275">
        <f>(SUMIFS('Dec 31 2018 OFFS'!$AG:$AG,'Dec 31 2018 OFFS'!$AI:$AI,'T1 2019 Pipeline Data Lagasco'!$A609,'Dec 31 2018 OFFS'!$U:$U,'T1 2019 Pipeline Data Lagasco'!$E609,'Dec 31 2018 OFFS'!$AK:$AK,'T1 2019 Pipeline Data Lagasco'!$Q609,'Dec 31 2018 OFFS'!$W:$W,'T1 2019 Pipeline Data Lagasco'!$G609))/(MAX(COUNTIFS('Dec 31 2018 OFFS'!$AI:$AI,'T1 2019 Pipeline Data Lagasco'!$A609,'Dec 31 2018 OFFS'!$U:$U,'T1 2019 Pipeline Data Lagasco'!$E609,'Dec 31 2018 OFFS'!$AK:$AK,'T1 2019 Pipeline Data Lagasco'!$Q609,'Dec 31 2018 OFFS'!$W:$W,'T1 2019 Pipeline Data Lagasco'!$G609),1))</f>
        <v>0</v>
      </c>
      <c r="S609" s="275">
        <f t="shared" si="22"/>
        <v>0</v>
      </c>
    </row>
    <row r="610" spans="1:19" s="217" customFormat="1" ht="14.1" customHeight="1">
      <c r="A610" s="224" t="s">
        <v>1500</v>
      </c>
      <c r="B610" s="218" t="s">
        <v>1501</v>
      </c>
      <c r="C610" s="223">
        <v>1</v>
      </c>
      <c r="D610" s="218" t="s">
        <v>1488</v>
      </c>
      <c r="E610" s="240">
        <v>3</v>
      </c>
      <c r="F610" s="242">
        <v>3124.80</v>
      </c>
      <c r="G610" s="223">
        <v>1965</v>
      </c>
      <c r="H610" s="223">
        <v>1</v>
      </c>
      <c r="I610" s="223">
        <v>0</v>
      </c>
      <c r="J610" s="223"/>
      <c r="K610" s="239">
        <v>73714.032000000007</v>
      </c>
      <c r="L610" s="241">
        <v>80</v>
      </c>
      <c r="M610" s="228">
        <v>14742.806399999999</v>
      </c>
      <c r="N610" s="230">
        <v>23.59</v>
      </c>
      <c r="O610" s="231">
        <v>0</v>
      </c>
      <c r="P610" s="314"/>
      <c r="Q610" s="276">
        <f t="shared" si="21"/>
        <v>3124.80</v>
      </c>
      <c r="R610" s="275">
        <f>(SUMIFS('Dec 31 2018 OFFS'!$AG:$AG,'Dec 31 2018 OFFS'!$AI:$AI,'T1 2019 Pipeline Data Lagasco'!$A610,'Dec 31 2018 OFFS'!$U:$U,'T1 2019 Pipeline Data Lagasco'!$E610,'Dec 31 2018 OFFS'!$AK:$AK,'T1 2019 Pipeline Data Lagasco'!$Q610,'Dec 31 2018 OFFS'!$W:$W,'T1 2019 Pipeline Data Lagasco'!$G610))/(MAX(COUNTIFS('Dec 31 2018 OFFS'!$AI:$AI,'T1 2019 Pipeline Data Lagasco'!$A610,'Dec 31 2018 OFFS'!$U:$U,'T1 2019 Pipeline Data Lagasco'!$E610,'Dec 31 2018 OFFS'!$AK:$AK,'T1 2019 Pipeline Data Lagasco'!$Q610,'Dec 31 2018 OFFS'!$W:$W,'T1 2019 Pipeline Data Lagasco'!$G610),1))</f>
        <v>0</v>
      </c>
      <c r="S610" s="275">
        <f t="shared" si="22"/>
        <v>0</v>
      </c>
    </row>
    <row r="611" spans="1:19" s="217" customFormat="1" ht="14.1" customHeight="1">
      <c r="A611" s="224" t="s">
        <v>1500</v>
      </c>
      <c r="B611" s="218" t="s">
        <v>1501</v>
      </c>
      <c r="C611" s="223">
        <v>1</v>
      </c>
      <c r="D611" s="218" t="s">
        <v>1488</v>
      </c>
      <c r="E611" s="240">
        <v>3</v>
      </c>
      <c r="F611" s="230">
        <v>4154.04</v>
      </c>
      <c r="G611" s="223">
        <v>1965</v>
      </c>
      <c r="H611" s="223">
        <v>1</v>
      </c>
      <c r="I611" s="223">
        <v>0</v>
      </c>
      <c r="J611" s="223"/>
      <c r="K611" s="228">
        <v>97993.803599999999</v>
      </c>
      <c r="L611" s="241">
        <v>80</v>
      </c>
      <c r="M611" s="229">
        <v>19598.760719999998</v>
      </c>
      <c r="N611" s="230">
        <v>23.59</v>
      </c>
      <c r="O611" s="231">
        <v>0</v>
      </c>
      <c r="P611" s="314"/>
      <c r="Q611" s="276">
        <f t="shared" si="21"/>
        <v>4154.04</v>
      </c>
      <c r="R611" s="275">
        <f>(SUMIFS('Dec 31 2018 OFFS'!$AG:$AG,'Dec 31 2018 OFFS'!$AI:$AI,'T1 2019 Pipeline Data Lagasco'!$A611,'Dec 31 2018 OFFS'!$U:$U,'T1 2019 Pipeline Data Lagasco'!$E611,'Dec 31 2018 OFFS'!$AK:$AK,'T1 2019 Pipeline Data Lagasco'!$Q611,'Dec 31 2018 OFFS'!$W:$W,'T1 2019 Pipeline Data Lagasco'!$G611))/(MAX(COUNTIFS('Dec 31 2018 OFFS'!$AI:$AI,'T1 2019 Pipeline Data Lagasco'!$A611,'Dec 31 2018 OFFS'!$U:$U,'T1 2019 Pipeline Data Lagasco'!$E611,'Dec 31 2018 OFFS'!$AK:$AK,'T1 2019 Pipeline Data Lagasco'!$Q611,'Dec 31 2018 OFFS'!$W:$W,'T1 2019 Pipeline Data Lagasco'!$G611),1))</f>
        <v>0</v>
      </c>
      <c r="S611" s="275">
        <f t="shared" si="22"/>
        <v>0</v>
      </c>
    </row>
    <row r="612" spans="1:19" s="217" customFormat="1" ht="14.1" customHeight="1">
      <c r="A612" s="224" t="s">
        <v>1500</v>
      </c>
      <c r="B612" s="218" t="s">
        <v>1501</v>
      </c>
      <c r="C612" s="223">
        <v>1</v>
      </c>
      <c r="D612" s="218" t="s">
        <v>1488</v>
      </c>
      <c r="E612" s="240">
        <v>3</v>
      </c>
      <c r="F612" s="226">
        <v>6405.774093</v>
      </c>
      <c r="G612" s="223">
        <v>1985</v>
      </c>
      <c r="H612" s="223">
        <v>1</v>
      </c>
      <c r="I612" s="223">
        <v>1</v>
      </c>
      <c r="J612" s="223"/>
      <c r="K612" s="228">
        <v>151112.2108</v>
      </c>
      <c r="L612" s="241">
        <v>80</v>
      </c>
      <c r="M612" s="229">
        <v>30222.442169999998</v>
      </c>
      <c r="N612" s="230">
        <v>23.59</v>
      </c>
      <c r="O612" s="231">
        <v>30222</v>
      </c>
      <c r="P612" s="314"/>
      <c r="Q612" s="276">
        <f t="shared" si="21"/>
        <v>6405.77</v>
      </c>
      <c r="R612" s="275">
        <f>(SUMIFS('Dec 31 2018 OFFS'!$AG:$AG,'Dec 31 2018 OFFS'!$AI:$AI,'T1 2019 Pipeline Data Lagasco'!$A612,'Dec 31 2018 OFFS'!$U:$U,'T1 2019 Pipeline Data Lagasco'!$E612,'Dec 31 2018 OFFS'!$AK:$AK,'T1 2019 Pipeline Data Lagasco'!$Q612,'Dec 31 2018 OFFS'!$W:$W,'T1 2019 Pipeline Data Lagasco'!$G612))/(MAX(COUNTIFS('Dec 31 2018 OFFS'!$AI:$AI,'T1 2019 Pipeline Data Lagasco'!$A612,'Dec 31 2018 OFFS'!$U:$U,'T1 2019 Pipeline Data Lagasco'!$E612,'Dec 31 2018 OFFS'!$AK:$AK,'T1 2019 Pipeline Data Lagasco'!$Q612,'Dec 31 2018 OFFS'!$W:$W,'T1 2019 Pipeline Data Lagasco'!$G612),1))</f>
        <v>30222</v>
      </c>
      <c r="S612" s="275">
        <f t="shared" si="22"/>
        <v>0</v>
      </c>
    </row>
    <row r="613" spans="1:19" s="217" customFormat="1" ht="14.1" customHeight="1">
      <c r="A613" s="224" t="s">
        <v>1500</v>
      </c>
      <c r="B613" s="218" t="s">
        <v>1501</v>
      </c>
      <c r="C613" s="223">
        <v>1</v>
      </c>
      <c r="D613" s="218" t="s">
        <v>1488</v>
      </c>
      <c r="E613" s="240">
        <v>3</v>
      </c>
      <c r="F613" s="226">
        <v>3701.476271</v>
      </c>
      <c r="G613" s="223">
        <v>1991</v>
      </c>
      <c r="H613" s="223">
        <v>1</v>
      </c>
      <c r="I613" s="223">
        <v>1</v>
      </c>
      <c r="J613" s="223"/>
      <c r="K613" s="229">
        <v>87317.825230000002</v>
      </c>
      <c r="L613" s="241">
        <v>72</v>
      </c>
      <c r="M613" s="229">
        <v>24448.99106</v>
      </c>
      <c r="N613" s="230">
        <v>23.59</v>
      </c>
      <c r="O613" s="231">
        <v>24448</v>
      </c>
      <c r="P613" s="314"/>
      <c r="Q613" s="276">
        <f t="shared" si="21"/>
        <v>3701.48</v>
      </c>
      <c r="R613" s="275">
        <f>(SUMIFS('Dec 31 2018 OFFS'!$AG:$AG,'Dec 31 2018 OFFS'!$AI:$AI,'T1 2019 Pipeline Data Lagasco'!$A613,'Dec 31 2018 OFFS'!$U:$U,'T1 2019 Pipeline Data Lagasco'!$E613,'Dec 31 2018 OFFS'!$AK:$AK,'T1 2019 Pipeline Data Lagasco'!$Q613,'Dec 31 2018 OFFS'!$W:$W,'T1 2019 Pipeline Data Lagasco'!$G613))/(MAX(COUNTIFS('Dec 31 2018 OFFS'!$AI:$AI,'T1 2019 Pipeline Data Lagasco'!$A613,'Dec 31 2018 OFFS'!$U:$U,'T1 2019 Pipeline Data Lagasco'!$E613,'Dec 31 2018 OFFS'!$AK:$AK,'T1 2019 Pipeline Data Lagasco'!$Q613,'Dec 31 2018 OFFS'!$W:$W,'T1 2019 Pipeline Data Lagasco'!$G613),1))</f>
        <v>24448</v>
      </c>
      <c r="S613" s="275">
        <f t="shared" si="22"/>
        <v>0</v>
      </c>
    </row>
    <row r="614" spans="1:19" s="217" customFormat="1" ht="14.1" customHeight="1">
      <c r="A614" s="224" t="s">
        <v>1500</v>
      </c>
      <c r="B614" s="218" t="s">
        <v>1501</v>
      </c>
      <c r="C614" s="223">
        <v>1</v>
      </c>
      <c r="D614" s="218" t="s">
        <v>1488</v>
      </c>
      <c r="E614" s="240">
        <v>3</v>
      </c>
      <c r="F614" s="236">
        <v>10190.41965</v>
      </c>
      <c r="G614" s="223">
        <v>1985</v>
      </c>
      <c r="H614" s="223">
        <v>1</v>
      </c>
      <c r="I614" s="223">
        <v>1</v>
      </c>
      <c r="J614" s="223"/>
      <c r="K614" s="228">
        <v>240391.99960000001</v>
      </c>
      <c r="L614" s="241">
        <v>80</v>
      </c>
      <c r="M614" s="229">
        <v>48078.399920000003</v>
      </c>
      <c r="N614" s="230">
        <v>23.59</v>
      </c>
      <c r="O614" s="231">
        <v>48078</v>
      </c>
      <c r="P614" s="314"/>
      <c r="Q614" s="276">
        <f t="shared" si="21"/>
        <v>10190.42</v>
      </c>
      <c r="R614" s="275">
        <f>(SUMIFS('Dec 31 2018 OFFS'!$AG:$AG,'Dec 31 2018 OFFS'!$AI:$AI,'T1 2019 Pipeline Data Lagasco'!$A614,'Dec 31 2018 OFFS'!$U:$U,'T1 2019 Pipeline Data Lagasco'!$E614,'Dec 31 2018 OFFS'!$AK:$AK,'T1 2019 Pipeline Data Lagasco'!$Q614,'Dec 31 2018 OFFS'!$W:$W,'T1 2019 Pipeline Data Lagasco'!$G614))/(MAX(COUNTIFS('Dec 31 2018 OFFS'!$AI:$AI,'T1 2019 Pipeline Data Lagasco'!$A614,'Dec 31 2018 OFFS'!$U:$U,'T1 2019 Pipeline Data Lagasco'!$E614,'Dec 31 2018 OFFS'!$AK:$AK,'T1 2019 Pipeline Data Lagasco'!$Q614,'Dec 31 2018 OFFS'!$W:$W,'T1 2019 Pipeline Data Lagasco'!$G614),1))</f>
        <v>48078</v>
      </c>
      <c r="S614" s="275">
        <f t="shared" si="22"/>
        <v>0</v>
      </c>
    </row>
    <row r="615" spans="1:19" s="217" customFormat="1" ht="14.1" customHeight="1">
      <c r="A615" s="224" t="s">
        <v>1500</v>
      </c>
      <c r="B615" s="218" t="s">
        <v>1501</v>
      </c>
      <c r="C615" s="223">
        <v>1</v>
      </c>
      <c r="D615" s="218" t="s">
        <v>1488</v>
      </c>
      <c r="E615" s="240">
        <v>3</v>
      </c>
      <c r="F615" s="226">
        <v>8085.3344120000002</v>
      </c>
      <c r="G615" s="223">
        <v>1985</v>
      </c>
      <c r="H615" s="223">
        <v>1</v>
      </c>
      <c r="I615" s="223">
        <v>1</v>
      </c>
      <c r="J615" s="223"/>
      <c r="K615" s="228">
        <v>190733.03880000001</v>
      </c>
      <c r="L615" s="241">
        <v>80</v>
      </c>
      <c r="M615" s="229">
        <v>38146.607750000003</v>
      </c>
      <c r="N615" s="230">
        <v>23.59</v>
      </c>
      <c r="O615" s="231">
        <v>38146</v>
      </c>
      <c r="P615" s="314"/>
      <c r="Q615" s="276">
        <f t="shared" si="21"/>
        <v>8085.33</v>
      </c>
      <c r="R615" s="275">
        <f>(SUMIFS('Dec 31 2018 OFFS'!$AG:$AG,'Dec 31 2018 OFFS'!$AI:$AI,'T1 2019 Pipeline Data Lagasco'!$A615,'Dec 31 2018 OFFS'!$U:$U,'T1 2019 Pipeline Data Lagasco'!$E615,'Dec 31 2018 OFFS'!$AK:$AK,'T1 2019 Pipeline Data Lagasco'!$Q615,'Dec 31 2018 OFFS'!$W:$W,'T1 2019 Pipeline Data Lagasco'!$G615))/(MAX(COUNTIFS('Dec 31 2018 OFFS'!$AI:$AI,'T1 2019 Pipeline Data Lagasco'!$A615,'Dec 31 2018 OFFS'!$U:$U,'T1 2019 Pipeline Data Lagasco'!$E615,'Dec 31 2018 OFFS'!$AK:$AK,'T1 2019 Pipeline Data Lagasco'!$Q615,'Dec 31 2018 OFFS'!$W:$W,'T1 2019 Pipeline Data Lagasco'!$G615),1))</f>
        <v>38146</v>
      </c>
      <c r="S615" s="275">
        <f t="shared" si="22"/>
        <v>0</v>
      </c>
    </row>
    <row r="616" spans="1:19" s="217" customFormat="1" ht="14.1" customHeight="1">
      <c r="A616" s="224" t="s">
        <v>1500</v>
      </c>
      <c r="B616" s="218" t="s">
        <v>1501</v>
      </c>
      <c r="C616" s="223">
        <v>1</v>
      </c>
      <c r="D616" s="218" t="s">
        <v>1488</v>
      </c>
      <c r="E616" s="240">
        <v>3</v>
      </c>
      <c r="F616" s="223">
        <v>1</v>
      </c>
      <c r="G616" s="223">
        <v>1983</v>
      </c>
      <c r="H616" s="223">
        <v>1</v>
      </c>
      <c r="I616" s="223">
        <v>1</v>
      </c>
      <c r="J616" s="223"/>
      <c r="K616" s="238">
        <v>23.59</v>
      </c>
      <c r="L616" s="241">
        <v>80</v>
      </c>
      <c r="M616" s="239">
        <v>4.718</v>
      </c>
      <c r="N616" s="230">
        <v>23.59</v>
      </c>
      <c r="O616" s="231">
        <v>4</v>
      </c>
      <c r="P616" s="314"/>
      <c r="Q616" s="276">
        <f t="shared" si="21"/>
        <v>1</v>
      </c>
      <c r="R616" s="275">
        <f>(SUMIFS('Dec 31 2018 OFFS'!$AG:$AG,'Dec 31 2018 OFFS'!$AI:$AI,'T1 2019 Pipeline Data Lagasco'!$A616,'Dec 31 2018 OFFS'!$U:$U,'T1 2019 Pipeline Data Lagasco'!$E616,'Dec 31 2018 OFFS'!$AK:$AK,'T1 2019 Pipeline Data Lagasco'!$Q616,'Dec 31 2018 OFFS'!$W:$W,'T1 2019 Pipeline Data Lagasco'!$G616))/(MAX(COUNTIFS('Dec 31 2018 OFFS'!$AI:$AI,'T1 2019 Pipeline Data Lagasco'!$A616,'Dec 31 2018 OFFS'!$U:$U,'T1 2019 Pipeline Data Lagasco'!$E616,'Dec 31 2018 OFFS'!$AK:$AK,'T1 2019 Pipeline Data Lagasco'!$Q616,'Dec 31 2018 OFFS'!$W:$W,'T1 2019 Pipeline Data Lagasco'!$G616),1))</f>
        <v>4</v>
      </c>
      <c r="S616" s="275">
        <f t="shared" si="22"/>
        <v>0</v>
      </c>
    </row>
    <row r="617" spans="1:19" s="217" customFormat="1" ht="14.1" customHeight="1">
      <c r="A617" s="224" t="s">
        <v>1500</v>
      </c>
      <c r="B617" s="218" t="s">
        <v>1501</v>
      </c>
      <c r="C617" s="223">
        <v>1</v>
      </c>
      <c r="D617" s="218" t="s">
        <v>1488</v>
      </c>
      <c r="E617" s="240">
        <v>3</v>
      </c>
      <c r="F617" s="235">
        <v>10310.137500000001</v>
      </c>
      <c r="G617" s="223">
        <v>1985</v>
      </c>
      <c r="H617" s="223">
        <v>1</v>
      </c>
      <c r="I617" s="223">
        <v>1</v>
      </c>
      <c r="J617" s="223"/>
      <c r="K617" s="228">
        <v>243216.14350000001</v>
      </c>
      <c r="L617" s="241">
        <v>80</v>
      </c>
      <c r="M617" s="229">
        <v>48643.228710000003</v>
      </c>
      <c r="N617" s="230">
        <v>23.59</v>
      </c>
      <c r="O617" s="231">
        <v>48643</v>
      </c>
      <c r="P617" s="314"/>
      <c r="Q617" s="276">
        <f t="shared" si="21"/>
        <v>10310.14</v>
      </c>
      <c r="R617" s="275">
        <f>(SUMIFS('Dec 31 2018 OFFS'!$AG:$AG,'Dec 31 2018 OFFS'!$AI:$AI,'T1 2019 Pipeline Data Lagasco'!$A617,'Dec 31 2018 OFFS'!$U:$U,'T1 2019 Pipeline Data Lagasco'!$E617,'Dec 31 2018 OFFS'!$AK:$AK,'T1 2019 Pipeline Data Lagasco'!$Q617,'Dec 31 2018 OFFS'!$W:$W,'T1 2019 Pipeline Data Lagasco'!$G617))/(MAX(COUNTIFS('Dec 31 2018 OFFS'!$AI:$AI,'T1 2019 Pipeline Data Lagasco'!$A617,'Dec 31 2018 OFFS'!$U:$U,'T1 2019 Pipeline Data Lagasco'!$E617,'Dec 31 2018 OFFS'!$AK:$AK,'T1 2019 Pipeline Data Lagasco'!$Q617,'Dec 31 2018 OFFS'!$W:$W,'T1 2019 Pipeline Data Lagasco'!$G617),1))</f>
        <v>48643</v>
      </c>
      <c r="S617" s="275">
        <f t="shared" si="22"/>
        <v>0</v>
      </c>
    </row>
    <row r="618" spans="1:19" s="217" customFormat="1" ht="14.1" customHeight="1">
      <c r="A618" s="224" t="s">
        <v>1500</v>
      </c>
      <c r="B618" s="218" t="s">
        <v>1501</v>
      </c>
      <c r="C618" s="223">
        <v>1</v>
      </c>
      <c r="D618" s="218" t="s">
        <v>1488</v>
      </c>
      <c r="E618" s="240">
        <v>3</v>
      </c>
      <c r="F618" s="244">
        <v>12.99212561</v>
      </c>
      <c r="G618" s="223">
        <v>1985</v>
      </c>
      <c r="H618" s="223">
        <v>1</v>
      </c>
      <c r="I618" s="223">
        <v>1</v>
      </c>
      <c r="J618" s="223"/>
      <c r="K618" s="234">
        <v>306.48424310000001</v>
      </c>
      <c r="L618" s="241">
        <v>80</v>
      </c>
      <c r="M618" s="245">
        <v>61.296848619999999</v>
      </c>
      <c r="N618" s="230">
        <v>23.59</v>
      </c>
      <c r="O618" s="231">
        <v>61</v>
      </c>
      <c r="P618" s="314"/>
      <c r="Q618" s="276">
        <f t="shared" si="21"/>
        <v>12.99</v>
      </c>
      <c r="R618" s="275">
        <f>(SUMIFS('Dec 31 2018 OFFS'!$AG:$AG,'Dec 31 2018 OFFS'!$AI:$AI,'T1 2019 Pipeline Data Lagasco'!$A618,'Dec 31 2018 OFFS'!$U:$U,'T1 2019 Pipeline Data Lagasco'!$E618,'Dec 31 2018 OFFS'!$AK:$AK,'T1 2019 Pipeline Data Lagasco'!$Q618,'Dec 31 2018 OFFS'!$W:$W,'T1 2019 Pipeline Data Lagasco'!$G618))/(MAX(COUNTIFS('Dec 31 2018 OFFS'!$AI:$AI,'T1 2019 Pipeline Data Lagasco'!$A618,'Dec 31 2018 OFFS'!$U:$U,'T1 2019 Pipeline Data Lagasco'!$E618,'Dec 31 2018 OFFS'!$AK:$AK,'T1 2019 Pipeline Data Lagasco'!$Q618,'Dec 31 2018 OFFS'!$W:$W,'T1 2019 Pipeline Data Lagasco'!$G618),1))</f>
        <v>61</v>
      </c>
      <c r="S618" s="275">
        <f t="shared" si="22"/>
        <v>0</v>
      </c>
    </row>
    <row r="619" spans="1:19" s="217" customFormat="1" ht="14.1" customHeight="1">
      <c r="A619" s="224" t="s">
        <v>1500</v>
      </c>
      <c r="B619" s="218" t="s">
        <v>1501</v>
      </c>
      <c r="C619" s="223">
        <v>1</v>
      </c>
      <c r="D619" s="218" t="s">
        <v>1488</v>
      </c>
      <c r="E619" s="240">
        <v>3</v>
      </c>
      <c r="F619" s="223">
        <v>3999</v>
      </c>
      <c r="G619" s="223">
        <v>1984</v>
      </c>
      <c r="H619" s="223">
        <v>1</v>
      </c>
      <c r="I619" s="223">
        <v>1</v>
      </c>
      <c r="J619" s="223"/>
      <c r="K619" s="238">
        <v>94336.41</v>
      </c>
      <c r="L619" s="241">
        <v>80</v>
      </c>
      <c r="M619" s="239">
        <v>18867.281999999999</v>
      </c>
      <c r="N619" s="230">
        <v>23.59</v>
      </c>
      <c r="O619" s="231">
        <v>18867</v>
      </c>
      <c r="P619" s="314"/>
      <c r="Q619" s="276">
        <f t="shared" si="21"/>
        <v>3999</v>
      </c>
      <c r="R619" s="275">
        <f>(SUMIFS('Dec 31 2018 OFFS'!$AG:$AG,'Dec 31 2018 OFFS'!$AI:$AI,'T1 2019 Pipeline Data Lagasco'!$A619,'Dec 31 2018 OFFS'!$U:$U,'T1 2019 Pipeline Data Lagasco'!$E619,'Dec 31 2018 OFFS'!$AK:$AK,'T1 2019 Pipeline Data Lagasco'!$Q619,'Dec 31 2018 OFFS'!$W:$W,'T1 2019 Pipeline Data Lagasco'!$G619))/(MAX(COUNTIFS('Dec 31 2018 OFFS'!$AI:$AI,'T1 2019 Pipeline Data Lagasco'!$A619,'Dec 31 2018 OFFS'!$U:$U,'T1 2019 Pipeline Data Lagasco'!$E619,'Dec 31 2018 OFFS'!$AK:$AK,'T1 2019 Pipeline Data Lagasco'!$Q619,'Dec 31 2018 OFFS'!$W:$W,'T1 2019 Pipeline Data Lagasco'!$G619),1))</f>
        <v>18867</v>
      </c>
      <c r="S619" s="275">
        <f t="shared" si="22"/>
        <v>0</v>
      </c>
    </row>
    <row r="620" spans="1:19" s="217" customFormat="1" ht="14.1" customHeight="1">
      <c r="A620" s="224" t="s">
        <v>1500</v>
      </c>
      <c r="B620" s="218" t="s">
        <v>1501</v>
      </c>
      <c r="C620" s="223">
        <v>1</v>
      </c>
      <c r="D620" s="218" t="s">
        <v>1488</v>
      </c>
      <c r="E620" s="240">
        <v>3</v>
      </c>
      <c r="F620" s="226">
        <v>4002.558939</v>
      </c>
      <c r="G620" s="223">
        <v>1985</v>
      </c>
      <c r="H620" s="223">
        <v>1</v>
      </c>
      <c r="I620" s="223">
        <v>1</v>
      </c>
      <c r="J620" s="223"/>
      <c r="K620" s="229">
        <v>94420.365380000003</v>
      </c>
      <c r="L620" s="241">
        <v>80</v>
      </c>
      <c r="M620" s="229">
        <v>18884.073079999998</v>
      </c>
      <c r="N620" s="230">
        <v>23.59</v>
      </c>
      <c r="O620" s="231">
        <v>18884</v>
      </c>
      <c r="P620" s="314"/>
      <c r="Q620" s="276">
        <f t="shared" si="21"/>
        <v>4002.56</v>
      </c>
      <c r="R620" s="275">
        <f>(SUMIFS('Dec 31 2018 OFFS'!$AG:$AG,'Dec 31 2018 OFFS'!$AI:$AI,'T1 2019 Pipeline Data Lagasco'!$A620,'Dec 31 2018 OFFS'!$U:$U,'T1 2019 Pipeline Data Lagasco'!$E620,'Dec 31 2018 OFFS'!$AK:$AK,'T1 2019 Pipeline Data Lagasco'!$Q620,'Dec 31 2018 OFFS'!$W:$W,'T1 2019 Pipeline Data Lagasco'!$G620))/(MAX(COUNTIFS('Dec 31 2018 OFFS'!$AI:$AI,'T1 2019 Pipeline Data Lagasco'!$A620,'Dec 31 2018 OFFS'!$U:$U,'T1 2019 Pipeline Data Lagasco'!$E620,'Dec 31 2018 OFFS'!$AK:$AK,'T1 2019 Pipeline Data Lagasco'!$Q620,'Dec 31 2018 OFFS'!$W:$W,'T1 2019 Pipeline Data Lagasco'!$G620),1))</f>
        <v>18884</v>
      </c>
      <c r="S620" s="275">
        <f t="shared" si="22"/>
        <v>0</v>
      </c>
    </row>
    <row r="621" spans="1:19" s="217" customFormat="1" ht="14.1" customHeight="1">
      <c r="A621" s="224" t="s">
        <v>1500</v>
      </c>
      <c r="B621" s="218" t="s">
        <v>1501</v>
      </c>
      <c r="C621" s="223">
        <v>1</v>
      </c>
      <c r="D621" s="218" t="s">
        <v>1488</v>
      </c>
      <c r="E621" s="240">
        <v>3</v>
      </c>
      <c r="F621" s="226">
        <v>6951.1809009999997</v>
      </c>
      <c r="G621" s="223">
        <v>1985</v>
      </c>
      <c r="H621" s="223">
        <v>1</v>
      </c>
      <c r="I621" s="223">
        <v>1</v>
      </c>
      <c r="J621" s="223"/>
      <c r="K621" s="228">
        <v>163978.35750000001</v>
      </c>
      <c r="L621" s="241">
        <v>80</v>
      </c>
      <c r="M621" s="229">
        <v>32795.671490000001</v>
      </c>
      <c r="N621" s="230">
        <v>23.59</v>
      </c>
      <c r="O621" s="231">
        <v>32795</v>
      </c>
      <c r="P621" s="314"/>
      <c r="Q621" s="276">
        <f t="shared" si="21"/>
        <v>6951.18</v>
      </c>
      <c r="R621" s="275">
        <f>(SUMIFS('Dec 31 2018 OFFS'!$AG:$AG,'Dec 31 2018 OFFS'!$AI:$AI,'T1 2019 Pipeline Data Lagasco'!$A621,'Dec 31 2018 OFFS'!$U:$U,'T1 2019 Pipeline Data Lagasco'!$E621,'Dec 31 2018 OFFS'!$AK:$AK,'T1 2019 Pipeline Data Lagasco'!$Q621,'Dec 31 2018 OFFS'!$W:$W,'T1 2019 Pipeline Data Lagasco'!$G621))/(MAX(COUNTIFS('Dec 31 2018 OFFS'!$AI:$AI,'T1 2019 Pipeline Data Lagasco'!$A621,'Dec 31 2018 OFFS'!$U:$U,'T1 2019 Pipeline Data Lagasco'!$E621,'Dec 31 2018 OFFS'!$AK:$AK,'T1 2019 Pipeline Data Lagasco'!$Q621,'Dec 31 2018 OFFS'!$W:$W,'T1 2019 Pipeline Data Lagasco'!$G621),1))</f>
        <v>32795</v>
      </c>
      <c r="S621" s="275">
        <f t="shared" si="22"/>
        <v>0</v>
      </c>
    </row>
    <row r="622" spans="1:19" s="217" customFormat="1" ht="14.1" customHeight="1">
      <c r="A622" s="224" t="s">
        <v>1500</v>
      </c>
      <c r="B622" s="218" t="s">
        <v>1501</v>
      </c>
      <c r="C622" s="223">
        <v>1</v>
      </c>
      <c r="D622" s="218" t="s">
        <v>1488</v>
      </c>
      <c r="E622" s="240">
        <v>3</v>
      </c>
      <c r="F622" s="226">
        <v>9919.4550930000005</v>
      </c>
      <c r="G622" s="223">
        <v>1984</v>
      </c>
      <c r="H622" s="223">
        <v>1</v>
      </c>
      <c r="I622" s="223">
        <v>1</v>
      </c>
      <c r="J622" s="223"/>
      <c r="K622" s="228">
        <v>233999.94570000001</v>
      </c>
      <c r="L622" s="241">
        <v>80</v>
      </c>
      <c r="M622" s="229">
        <v>46799.989130000002</v>
      </c>
      <c r="N622" s="230">
        <v>23.59</v>
      </c>
      <c r="O622" s="231">
        <v>46799</v>
      </c>
      <c r="P622" s="314"/>
      <c r="Q622" s="276">
        <f t="shared" si="21"/>
        <v>9919.4599999999991</v>
      </c>
      <c r="R622" s="275">
        <f>(SUMIFS('Dec 31 2018 OFFS'!$AG:$AG,'Dec 31 2018 OFFS'!$AI:$AI,'T1 2019 Pipeline Data Lagasco'!$A622,'Dec 31 2018 OFFS'!$U:$U,'T1 2019 Pipeline Data Lagasco'!$E622,'Dec 31 2018 OFFS'!$AK:$AK,'T1 2019 Pipeline Data Lagasco'!$Q622,'Dec 31 2018 OFFS'!$W:$W,'T1 2019 Pipeline Data Lagasco'!$G622))/(MAX(COUNTIFS('Dec 31 2018 OFFS'!$AI:$AI,'T1 2019 Pipeline Data Lagasco'!$A622,'Dec 31 2018 OFFS'!$U:$U,'T1 2019 Pipeline Data Lagasco'!$E622,'Dec 31 2018 OFFS'!$AK:$AK,'T1 2019 Pipeline Data Lagasco'!$Q622,'Dec 31 2018 OFFS'!$W:$W,'T1 2019 Pipeline Data Lagasco'!$G622),1))</f>
        <v>46799</v>
      </c>
      <c r="S622" s="275">
        <f t="shared" si="22"/>
        <v>0</v>
      </c>
    </row>
    <row r="623" spans="1:19" s="217" customFormat="1" ht="14.1" customHeight="1">
      <c r="A623" s="224" t="s">
        <v>1500</v>
      </c>
      <c r="B623" s="218" t="s">
        <v>1501</v>
      </c>
      <c r="C623" s="223">
        <v>1</v>
      </c>
      <c r="D623" s="218" t="s">
        <v>1488</v>
      </c>
      <c r="E623" s="240">
        <v>3</v>
      </c>
      <c r="F623" s="226">
        <v>1113.1561360000001</v>
      </c>
      <c r="G623" s="223">
        <v>1985</v>
      </c>
      <c r="H623" s="223">
        <v>1</v>
      </c>
      <c r="I623" s="223">
        <v>1</v>
      </c>
      <c r="J623" s="223"/>
      <c r="K623" s="229">
        <v>26259.35324</v>
      </c>
      <c r="L623" s="241">
        <v>80</v>
      </c>
      <c r="M623" s="233">
        <v>5251.8706480000001</v>
      </c>
      <c r="N623" s="230">
        <v>23.59</v>
      </c>
      <c r="O623" s="231">
        <v>5251</v>
      </c>
      <c r="P623" s="314"/>
      <c r="Q623" s="276">
        <f t="shared" si="21"/>
        <v>1113.1600000000001</v>
      </c>
      <c r="R623" s="275">
        <f>(SUMIFS('Dec 31 2018 OFFS'!$AG:$AG,'Dec 31 2018 OFFS'!$AI:$AI,'T1 2019 Pipeline Data Lagasco'!$A623,'Dec 31 2018 OFFS'!$U:$U,'T1 2019 Pipeline Data Lagasco'!$E623,'Dec 31 2018 OFFS'!$AK:$AK,'T1 2019 Pipeline Data Lagasco'!$Q623,'Dec 31 2018 OFFS'!$W:$W,'T1 2019 Pipeline Data Lagasco'!$G623))/(MAX(COUNTIFS('Dec 31 2018 OFFS'!$AI:$AI,'T1 2019 Pipeline Data Lagasco'!$A623,'Dec 31 2018 OFFS'!$U:$U,'T1 2019 Pipeline Data Lagasco'!$E623,'Dec 31 2018 OFFS'!$AK:$AK,'T1 2019 Pipeline Data Lagasco'!$Q623,'Dec 31 2018 OFFS'!$W:$W,'T1 2019 Pipeline Data Lagasco'!$G623),1))</f>
        <v>5251</v>
      </c>
      <c r="S623" s="275">
        <f t="shared" si="22"/>
        <v>0</v>
      </c>
    </row>
    <row r="624" spans="1:19" s="217" customFormat="1" ht="14.1" customHeight="1">
      <c r="A624" s="224" t="s">
        <v>1500</v>
      </c>
      <c r="B624" s="218" t="s">
        <v>1501</v>
      </c>
      <c r="C624" s="223">
        <v>1</v>
      </c>
      <c r="D624" s="218" t="s">
        <v>1488</v>
      </c>
      <c r="E624" s="240">
        <v>3</v>
      </c>
      <c r="F624" s="226">
        <v>4048.8843969999998</v>
      </c>
      <c r="G624" s="223">
        <v>1985</v>
      </c>
      <c r="H624" s="223">
        <v>1</v>
      </c>
      <c r="I624" s="223">
        <v>1</v>
      </c>
      <c r="J624" s="223"/>
      <c r="K624" s="229">
        <v>95513.182929999995</v>
      </c>
      <c r="L624" s="241">
        <v>80</v>
      </c>
      <c r="M624" s="229">
        <v>19102.636589999998</v>
      </c>
      <c r="N624" s="230">
        <v>23.59</v>
      </c>
      <c r="O624" s="231">
        <v>19102</v>
      </c>
      <c r="P624" s="314"/>
      <c r="Q624" s="276">
        <f t="shared" si="21"/>
        <v>4048.88</v>
      </c>
      <c r="R624" s="275">
        <f>(SUMIFS('Dec 31 2018 OFFS'!$AG:$AG,'Dec 31 2018 OFFS'!$AI:$AI,'T1 2019 Pipeline Data Lagasco'!$A624,'Dec 31 2018 OFFS'!$U:$U,'T1 2019 Pipeline Data Lagasco'!$E624,'Dec 31 2018 OFFS'!$AK:$AK,'T1 2019 Pipeline Data Lagasco'!$Q624,'Dec 31 2018 OFFS'!$W:$W,'T1 2019 Pipeline Data Lagasco'!$G624))/(MAX(COUNTIFS('Dec 31 2018 OFFS'!$AI:$AI,'T1 2019 Pipeline Data Lagasco'!$A624,'Dec 31 2018 OFFS'!$U:$U,'T1 2019 Pipeline Data Lagasco'!$E624,'Dec 31 2018 OFFS'!$AK:$AK,'T1 2019 Pipeline Data Lagasco'!$Q624,'Dec 31 2018 OFFS'!$W:$W,'T1 2019 Pipeline Data Lagasco'!$G624),1))</f>
        <v>19102</v>
      </c>
      <c r="S624" s="275">
        <f t="shared" si="22"/>
        <v>0</v>
      </c>
    </row>
    <row r="625" spans="1:19" s="217" customFormat="1" ht="14.1" customHeight="1">
      <c r="A625" s="224" t="s">
        <v>1500</v>
      </c>
      <c r="B625" s="218" t="s">
        <v>1501</v>
      </c>
      <c r="C625" s="223">
        <v>1</v>
      </c>
      <c r="D625" s="218" t="s">
        <v>1488</v>
      </c>
      <c r="E625" s="240">
        <v>3</v>
      </c>
      <c r="F625" s="236">
        <v>4412.33583</v>
      </c>
      <c r="G625" s="223">
        <v>1991</v>
      </c>
      <c r="H625" s="223">
        <v>1</v>
      </c>
      <c r="I625" s="223">
        <v>1</v>
      </c>
      <c r="J625" s="223"/>
      <c r="K625" s="228">
        <v>104087.0022</v>
      </c>
      <c r="L625" s="241">
        <v>72</v>
      </c>
      <c r="M625" s="229">
        <v>29144.360629999999</v>
      </c>
      <c r="N625" s="230">
        <v>23.59</v>
      </c>
      <c r="O625" s="231">
        <v>29144</v>
      </c>
      <c r="P625" s="314"/>
      <c r="Q625" s="276">
        <f t="shared" si="21"/>
        <v>4412.34</v>
      </c>
      <c r="R625" s="275">
        <f>(SUMIFS('Dec 31 2018 OFFS'!$AG:$AG,'Dec 31 2018 OFFS'!$AI:$AI,'T1 2019 Pipeline Data Lagasco'!$A625,'Dec 31 2018 OFFS'!$U:$U,'T1 2019 Pipeline Data Lagasco'!$E625,'Dec 31 2018 OFFS'!$AK:$AK,'T1 2019 Pipeline Data Lagasco'!$Q625,'Dec 31 2018 OFFS'!$W:$W,'T1 2019 Pipeline Data Lagasco'!$G625))/(MAX(COUNTIFS('Dec 31 2018 OFFS'!$AI:$AI,'T1 2019 Pipeline Data Lagasco'!$A625,'Dec 31 2018 OFFS'!$U:$U,'T1 2019 Pipeline Data Lagasco'!$E625,'Dec 31 2018 OFFS'!$AK:$AK,'T1 2019 Pipeline Data Lagasco'!$Q625,'Dec 31 2018 OFFS'!$W:$W,'T1 2019 Pipeline Data Lagasco'!$G625),1))</f>
        <v>29144</v>
      </c>
      <c r="S625" s="275">
        <f t="shared" si="22"/>
        <v>0</v>
      </c>
    </row>
    <row r="626" spans="1:19" s="217" customFormat="1" ht="14.1" customHeight="1">
      <c r="A626" s="224" t="s">
        <v>1500</v>
      </c>
      <c r="B626" s="218" t="s">
        <v>1501</v>
      </c>
      <c r="C626" s="223">
        <v>1</v>
      </c>
      <c r="D626" s="218" t="s">
        <v>1488</v>
      </c>
      <c r="E626" s="240">
        <v>3</v>
      </c>
      <c r="F626" s="226">
        <v>4323.7531559999998</v>
      </c>
      <c r="G626" s="223">
        <v>1985</v>
      </c>
      <c r="H626" s="223">
        <v>1</v>
      </c>
      <c r="I626" s="223">
        <v>1</v>
      </c>
      <c r="J626" s="223"/>
      <c r="K626" s="228">
        <v>101997.33689999999</v>
      </c>
      <c r="L626" s="241">
        <v>80</v>
      </c>
      <c r="M626" s="229">
        <v>20399.467390000002</v>
      </c>
      <c r="N626" s="230">
        <v>23.59</v>
      </c>
      <c r="O626" s="231">
        <v>20399</v>
      </c>
      <c r="P626" s="314"/>
      <c r="Q626" s="276">
        <f t="shared" si="21"/>
        <v>4323.75</v>
      </c>
      <c r="R626" s="275">
        <f>(SUMIFS('Dec 31 2018 OFFS'!$AG:$AG,'Dec 31 2018 OFFS'!$AI:$AI,'T1 2019 Pipeline Data Lagasco'!$A626,'Dec 31 2018 OFFS'!$U:$U,'T1 2019 Pipeline Data Lagasco'!$E626,'Dec 31 2018 OFFS'!$AK:$AK,'T1 2019 Pipeline Data Lagasco'!$Q626,'Dec 31 2018 OFFS'!$W:$W,'T1 2019 Pipeline Data Lagasco'!$G626))/(MAX(COUNTIFS('Dec 31 2018 OFFS'!$AI:$AI,'T1 2019 Pipeline Data Lagasco'!$A626,'Dec 31 2018 OFFS'!$U:$U,'T1 2019 Pipeline Data Lagasco'!$E626,'Dec 31 2018 OFFS'!$AK:$AK,'T1 2019 Pipeline Data Lagasco'!$Q626,'Dec 31 2018 OFFS'!$W:$W,'T1 2019 Pipeline Data Lagasco'!$G626),1))</f>
        <v>20399</v>
      </c>
      <c r="S626" s="275">
        <f t="shared" si="22"/>
        <v>0</v>
      </c>
    </row>
    <row r="627" spans="1:19" s="217" customFormat="1" ht="14.1" customHeight="1">
      <c r="A627" s="224" t="s">
        <v>1500</v>
      </c>
      <c r="B627" s="218" t="s">
        <v>1501</v>
      </c>
      <c r="C627" s="223">
        <v>1</v>
      </c>
      <c r="D627" s="218" t="s">
        <v>1488</v>
      </c>
      <c r="E627" s="240">
        <v>3</v>
      </c>
      <c r="F627" s="226">
        <v>6385.4656940000004</v>
      </c>
      <c r="G627" s="223">
        <v>1984</v>
      </c>
      <c r="H627" s="223">
        <v>1</v>
      </c>
      <c r="I627" s="223">
        <v>0</v>
      </c>
      <c r="J627" s="223"/>
      <c r="K627" s="228">
        <v>150633.13570000001</v>
      </c>
      <c r="L627" s="241">
        <v>80</v>
      </c>
      <c r="M627" s="229">
        <v>30126.62715</v>
      </c>
      <c r="N627" s="230">
        <v>23.59</v>
      </c>
      <c r="O627" s="231">
        <v>0</v>
      </c>
      <c r="P627" s="314"/>
      <c r="Q627" s="276">
        <f t="shared" si="21"/>
        <v>6385.47</v>
      </c>
      <c r="R627" s="275">
        <f>(SUMIFS('Dec 31 2018 OFFS'!$AG:$AG,'Dec 31 2018 OFFS'!$AI:$AI,'T1 2019 Pipeline Data Lagasco'!$A627,'Dec 31 2018 OFFS'!$U:$U,'T1 2019 Pipeline Data Lagasco'!$E627,'Dec 31 2018 OFFS'!$AK:$AK,'T1 2019 Pipeline Data Lagasco'!$Q627,'Dec 31 2018 OFFS'!$W:$W,'T1 2019 Pipeline Data Lagasco'!$G627))/(MAX(COUNTIFS('Dec 31 2018 OFFS'!$AI:$AI,'T1 2019 Pipeline Data Lagasco'!$A627,'Dec 31 2018 OFFS'!$U:$U,'T1 2019 Pipeline Data Lagasco'!$E627,'Dec 31 2018 OFFS'!$AK:$AK,'T1 2019 Pipeline Data Lagasco'!$Q627,'Dec 31 2018 OFFS'!$W:$W,'T1 2019 Pipeline Data Lagasco'!$G627),1))</f>
        <v>0</v>
      </c>
      <c r="S627" s="275">
        <f t="shared" si="22"/>
        <v>0</v>
      </c>
    </row>
    <row r="628" spans="1:19" s="217" customFormat="1" ht="14.1" customHeight="1">
      <c r="A628" s="224" t="s">
        <v>1500</v>
      </c>
      <c r="B628" s="218" t="s">
        <v>1501</v>
      </c>
      <c r="C628" s="223">
        <v>1</v>
      </c>
      <c r="D628" s="218" t="s">
        <v>1488</v>
      </c>
      <c r="E628" s="240">
        <v>3</v>
      </c>
      <c r="F628" s="226">
        <v>2882.2505729999998</v>
      </c>
      <c r="G628" s="223">
        <v>1988</v>
      </c>
      <c r="H628" s="223">
        <v>1</v>
      </c>
      <c r="I628" s="223">
        <v>0</v>
      </c>
      <c r="J628" s="223"/>
      <c r="K628" s="229">
        <v>67992.291010000001</v>
      </c>
      <c r="L628" s="241">
        <v>76</v>
      </c>
      <c r="M628" s="229">
        <v>16318.14984</v>
      </c>
      <c r="N628" s="230">
        <v>23.59</v>
      </c>
      <c r="O628" s="231">
        <v>0</v>
      </c>
      <c r="P628" s="314"/>
      <c r="Q628" s="276">
        <f t="shared" si="21"/>
        <v>2882.25</v>
      </c>
      <c r="R628" s="275">
        <f>(SUMIFS('Dec 31 2018 OFFS'!$AG:$AG,'Dec 31 2018 OFFS'!$AI:$AI,'T1 2019 Pipeline Data Lagasco'!$A628,'Dec 31 2018 OFFS'!$U:$U,'T1 2019 Pipeline Data Lagasco'!$E628,'Dec 31 2018 OFFS'!$AK:$AK,'T1 2019 Pipeline Data Lagasco'!$Q628,'Dec 31 2018 OFFS'!$W:$W,'T1 2019 Pipeline Data Lagasco'!$G628))/(MAX(COUNTIFS('Dec 31 2018 OFFS'!$AI:$AI,'T1 2019 Pipeline Data Lagasco'!$A628,'Dec 31 2018 OFFS'!$U:$U,'T1 2019 Pipeline Data Lagasco'!$E628,'Dec 31 2018 OFFS'!$AK:$AK,'T1 2019 Pipeline Data Lagasco'!$Q628,'Dec 31 2018 OFFS'!$W:$W,'T1 2019 Pipeline Data Lagasco'!$G628),1))</f>
        <v>0</v>
      </c>
      <c r="S628" s="275">
        <f t="shared" si="22"/>
        <v>0</v>
      </c>
    </row>
    <row r="629" spans="1:19" s="217" customFormat="1" ht="14.1" customHeight="1">
      <c r="A629" s="224" t="s">
        <v>1500</v>
      </c>
      <c r="B629" s="218" t="s">
        <v>1501</v>
      </c>
      <c r="C629" s="223">
        <v>1</v>
      </c>
      <c r="D629" s="218" t="s">
        <v>1488</v>
      </c>
      <c r="E629" s="240">
        <v>3</v>
      </c>
      <c r="F629" s="226">
        <v>8042.3882190000004</v>
      </c>
      <c r="G629" s="223">
        <v>1985</v>
      </c>
      <c r="H629" s="223">
        <v>1</v>
      </c>
      <c r="I629" s="223">
        <v>0</v>
      </c>
      <c r="J629" s="223"/>
      <c r="K629" s="228">
        <v>189719.9381</v>
      </c>
      <c r="L629" s="241">
        <v>80</v>
      </c>
      <c r="M629" s="229">
        <v>37943.98762</v>
      </c>
      <c r="N629" s="230">
        <v>23.59</v>
      </c>
      <c r="O629" s="231">
        <v>0</v>
      </c>
      <c r="P629" s="314"/>
      <c r="Q629" s="276">
        <f t="shared" si="21"/>
        <v>8042.39</v>
      </c>
      <c r="R629" s="275">
        <f>(SUMIFS('Dec 31 2018 OFFS'!$AG:$AG,'Dec 31 2018 OFFS'!$AI:$AI,'T1 2019 Pipeline Data Lagasco'!$A629,'Dec 31 2018 OFFS'!$U:$U,'T1 2019 Pipeline Data Lagasco'!$E629,'Dec 31 2018 OFFS'!$AK:$AK,'T1 2019 Pipeline Data Lagasco'!$Q629,'Dec 31 2018 OFFS'!$W:$W,'T1 2019 Pipeline Data Lagasco'!$G629))/(MAX(COUNTIFS('Dec 31 2018 OFFS'!$AI:$AI,'T1 2019 Pipeline Data Lagasco'!$A629,'Dec 31 2018 OFFS'!$U:$U,'T1 2019 Pipeline Data Lagasco'!$E629,'Dec 31 2018 OFFS'!$AK:$AK,'T1 2019 Pipeline Data Lagasco'!$Q629,'Dec 31 2018 OFFS'!$W:$W,'T1 2019 Pipeline Data Lagasco'!$G629),1))</f>
        <v>0</v>
      </c>
      <c r="S629" s="275">
        <f t="shared" si="22"/>
        <v>0</v>
      </c>
    </row>
    <row r="630" spans="1:19" s="217" customFormat="1" ht="14.1" customHeight="1">
      <c r="A630" s="224" t="s">
        <v>1500</v>
      </c>
      <c r="B630" s="218" t="s">
        <v>1501</v>
      </c>
      <c r="C630" s="223">
        <v>1</v>
      </c>
      <c r="D630" s="218" t="s">
        <v>1488</v>
      </c>
      <c r="E630" s="240">
        <v>3</v>
      </c>
      <c r="F630" s="223">
        <v>9506</v>
      </c>
      <c r="G630" s="223">
        <v>2005</v>
      </c>
      <c r="H630" s="223">
        <v>1</v>
      </c>
      <c r="I630" s="223">
        <v>0</v>
      </c>
      <c r="J630" s="223"/>
      <c r="K630" s="238">
        <v>224246.54</v>
      </c>
      <c r="L630" s="241">
        <v>54</v>
      </c>
      <c r="M630" s="228">
        <v>103153.4084</v>
      </c>
      <c r="N630" s="230">
        <v>23.59</v>
      </c>
      <c r="O630" s="231">
        <v>0</v>
      </c>
      <c r="P630" s="314"/>
      <c r="Q630" s="276">
        <f t="shared" si="21"/>
        <v>9506</v>
      </c>
      <c r="R630" s="275">
        <f>(SUMIFS('Dec 31 2018 OFFS'!$AG:$AG,'Dec 31 2018 OFFS'!$AI:$AI,'T1 2019 Pipeline Data Lagasco'!$A630,'Dec 31 2018 OFFS'!$U:$U,'T1 2019 Pipeline Data Lagasco'!$E630,'Dec 31 2018 OFFS'!$AK:$AK,'T1 2019 Pipeline Data Lagasco'!$Q630,'Dec 31 2018 OFFS'!$W:$W,'T1 2019 Pipeline Data Lagasco'!$G630))/(MAX(COUNTIFS('Dec 31 2018 OFFS'!$AI:$AI,'T1 2019 Pipeline Data Lagasco'!$A630,'Dec 31 2018 OFFS'!$U:$U,'T1 2019 Pipeline Data Lagasco'!$E630,'Dec 31 2018 OFFS'!$AK:$AK,'T1 2019 Pipeline Data Lagasco'!$Q630,'Dec 31 2018 OFFS'!$W:$W,'T1 2019 Pipeline Data Lagasco'!$G630),1))</f>
        <v>0</v>
      </c>
      <c r="S630" s="275">
        <f t="shared" si="22"/>
        <v>0</v>
      </c>
    </row>
    <row r="631" spans="1:19" s="217" customFormat="1" ht="14.1" customHeight="1">
      <c r="A631" s="224" t="s">
        <v>1500</v>
      </c>
      <c r="B631" s="218" t="s">
        <v>1501</v>
      </c>
      <c r="C631" s="223">
        <v>1</v>
      </c>
      <c r="D631" s="218" t="s">
        <v>1488</v>
      </c>
      <c r="E631" s="240">
        <v>3</v>
      </c>
      <c r="F631" s="226">
        <v>2744.1928339999999</v>
      </c>
      <c r="G631" s="223">
        <v>1980</v>
      </c>
      <c r="H631" s="223">
        <v>1</v>
      </c>
      <c r="I631" s="223">
        <v>0</v>
      </c>
      <c r="J631" s="223"/>
      <c r="K631" s="229">
        <v>64735.508950000003</v>
      </c>
      <c r="L631" s="241">
        <v>80</v>
      </c>
      <c r="M631" s="229">
        <v>12947.101790000001</v>
      </c>
      <c r="N631" s="230">
        <v>23.59</v>
      </c>
      <c r="O631" s="231">
        <v>0</v>
      </c>
      <c r="P631" s="314"/>
      <c r="Q631" s="276">
        <f t="shared" si="21"/>
        <v>2744.19</v>
      </c>
      <c r="R631" s="275">
        <f>(SUMIFS('Dec 31 2018 OFFS'!$AG:$AG,'Dec 31 2018 OFFS'!$AI:$AI,'T1 2019 Pipeline Data Lagasco'!$A631,'Dec 31 2018 OFFS'!$U:$U,'T1 2019 Pipeline Data Lagasco'!$E631,'Dec 31 2018 OFFS'!$AK:$AK,'T1 2019 Pipeline Data Lagasco'!$Q631,'Dec 31 2018 OFFS'!$W:$W,'T1 2019 Pipeline Data Lagasco'!$G631))/(MAX(COUNTIFS('Dec 31 2018 OFFS'!$AI:$AI,'T1 2019 Pipeline Data Lagasco'!$A631,'Dec 31 2018 OFFS'!$U:$U,'T1 2019 Pipeline Data Lagasco'!$E631,'Dec 31 2018 OFFS'!$AK:$AK,'T1 2019 Pipeline Data Lagasco'!$Q631,'Dec 31 2018 OFFS'!$W:$W,'T1 2019 Pipeline Data Lagasco'!$G631),1))</f>
        <v>0</v>
      </c>
      <c r="S631" s="275">
        <f t="shared" si="22"/>
        <v>0</v>
      </c>
    </row>
    <row r="632" spans="1:19" s="217" customFormat="1" ht="14.1" customHeight="1">
      <c r="A632" s="224" t="s">
        <v>1500</v>
      </c>
      <c r="B632" s="218" t="s">
        <v>1501</v>
      </c>
      <c r="C632" s="223">
        <v>1</v>
      </c>
      <c r="D632" s="218" t="s">
        <v>1488</v>
      </c>
      <c r="E632" s="240">
        <v>3</v>
      </c>
      <c r="F632" s="230">
        <v>2743.68</v>
      </c>
      <c r="G632" s="223">
        <v>2008</v>
      </c>
      <c r="H632" s="223">
        <v>1</v>
      </c>
      <c r="I632" s="223">
        <v>1</v>
      </c>
      <c r="J632" s="223"/>
      <c r="K632" s="228">
        <v>64723.411200000002</v>
      </c>
      <c r="L632" s="241">
        <v>49</v>
      </c>
      <c r="M632" s="229">
        <v>33008.939709999999</v>
      </c>
      <c r="N632" s="230">
        <v>23.59</v>
      </c>
      <c r="O632" s="231">
        <v>33008</v>
      </c>
      <c r="P632" s="314"/>
      <c r="Q632" s="276">
        <f t="shared" si="21"/>
        <v>2743.68</v>
      </c>
      <c r="R632" s="275">
        <f>(SUMIFS('Dec 31 2018 OFFS'!$AG:$AG,'Dec 31 2018 OFFS'!$AI:$AI,'T1 2019 Pipeline Data Lagasco'!$A632,'Dec 31 2018 OFFS'!$U:$U,'T1 2019 Pipeline Data Lagasco'!$E632,'Dec 31 2018 OFFS'!$AK:$AK,'T1 2019 Pipeline Data Lagasco'!$Q632,'Dec 31 2018 OFFS'!$W:$W,'T1 2019 Pipeline Data Lagasco'!$G632))/(MAX(COUNTIFS('Dec 31 2018 OFFS'!$AI:$AI,'T1 2019 Pipeline Data Lagasco'!$A632,'Dec 31 2018 OFFS'!$U:$U,'T1 2019 Pipeline Data Lagasco'!$E632,'Dec 31 2018 OFFS'!$AK:$AK,'T1 2019 Pipeline Data Lagasco'!$Q632,'Dec 31 2018 OFFS'!$W:$W,'T1 2019 Pipeline Data Lagasco'!$G632),1))</f>
        <v>33008</v>
      </c>
      <c r="S632" s="275">
        <f t="shared" si="22"/>
        <v>0</v>
      </c>
    </row>
    <row r="633" spans="1:19" s="217" customFormat="1" ht="14.1" customHeight="1">
      <c r="A633" s="224" t="s">
        <v>1500</v>
      </c>
      <c r="B633" s="218" t="s">
        <v>1501</v>
      </c>
      <c r="C633" s="223">
        <v>1</v>
      </c>
      <c r="D633" s="218" t="s">
        <v>1488</v>
      </c>
      <c r="E633" s="240">
        <v>3</v>
      </c>
      <c r="F633" s="230">
        <v>1611.55</v>
      </c>
      <c r="G633" s="223">
        <v>1980</v>
      </c>
      <c r="H633" s="223">
        <v>1</v>
      </c>
      <c r="I633" s="223">
        <v>0</v>
      </c>
      <c r="J633" s="223"/>
      <c r="K633" s="228">
        <v>38016.464500000002</v>
      </c>
      <c r="L633" s="241">
        <v>80</v>
      </c>
      <c r="M633" s="228">
        <v>7603.2929000000004</v>
      </c>
      <c r="N633" s="230">
        <v>23.59</v>
      </c>
      <c r="O633" s="231">
        <v>0</v>
      </c>
      <c r="P633" s="314"/>
      <c r="Q633" s="276">
        <f t="shared" si="21"/>
        <v>1611.55</v>
      </c>
      <c r="R633" s="275">
        <f>(SUMIFS('Dec 31 2018 OFFS'!$AG:$AG,'Dec 31 2018 OFFS'!$AI:$AI,'T1 2019 Pipeline Data Lagasco'!$A633,'Dec 31 2018 OFFS'!$U:$U,'T1 2019 Pipeline Data Lagasco'!$E633,'Dec 31 2018 OFFS'!$AK:$AK,'T1 2019 Pipeline Data Lagasco'!$Q633,'Dec 31 2018 OFFS'!$W:$W,'T1 2019 Pipeline Data Lagasco'!$G633))/(MAX(COUNTIFS('Dec 31 2018 OFFS'!$AI:$AI,'T1 2019 Pipeline Data Lagasco'!$A633,'Dec 31 2018 OFFS'!$U:$U,'T1 2019 Pipeline Data Lagasco'!$E633,'Dec 31 2018 OFFS'!$AK:$AK,'T1 2019 Pipeline Data Lagasco'!$Q633,'Dec 31 2018 OFFS'!$W:$W,'T1 2019 Pipeline Data Lagasco'!$G633),1))</f>
        <v>0</v>
      </c>
      <c r="S633" s="275">
        <f t="shared" si="22"/>
        <v>0</v>
      </c>
    </row>
    <row r="634" spans="1:19" s="217" customFormat="1" ht="14.1" customHeight="1">
      <c r="A634" s="224" t="s">
        <v>1500</v>
      </c>
      <c r="B634" s="218" t="s">
        <v>1501</v>
      </c>
      <c r="C634" s="223">
        <v>1</v>
      </c>
      <c r="D634" s="218" t="s">
        <v>1488</v>
      </c>
      <c r="E634" s="240">
        <v>3</v>
      </c>
      <c r="F634" s="226">
        <v>4992.3554979999999</v>
      </c>
      <c r="G634" s="223">
        <v>1984</v>
      </c>
      <c r="H634" s="223">
        <v>1</v>
      </c>
      <c r="I634" s="223">
        <v>0</v>
      </c>
      <c r="J634" s="223"/>
      <c r="K634" s="228">
        <v>117769.66620000001</v>
      </c>
      <c r="L634" s="241">
        <v>80</v>
      </c>
      <c r="M634" s="229">
        <v>23553.933239999998</v>
      </c>
      <c r="N634" s="230">
        <v>23.59</v>
      </c>
      <c r="O634" s="231">
        <v>0</v>
      </c>
      <c r="P634" s="314"/>
      <c r="Q634" s="276">
        <f t="shared" si="21"/>
        <v>4992.3599999999997</v>
      </c>
      <c r="R634" s="275">
        <f>(SUMIFS('Dec 31 2018 OFFS'!$AG:$AG,'Dec 31 2018 OFFS'!$AI:$AI,'T1 2019 Pipeline Data Lagasco'!$A634,'Dec 31 2018 OFFS'!$U:$U,'T1 2019 Pipeline Data Lagasco'!$E634,'Dec 31 2018 OFFS'!$AK:$AK,'T1 2019 Pipeline Data Lagasco'!$Q634,'Dec 31 2018 OFFS'!$W:$W,'T1 2019 Pipeline Data Lagasco'!$G634))/(MAX(COUNTIFS('Dec 31 2018 OFFS'!$AI:$AI,'T1 2019 Pipeline Data Lagasco'!$A634,'Dec 31 2018 OFFS'!$U:$U,'T1 2019 Pipeline Data Lagasco'!$E634,'Dec 31 2018 OFFS'!$AK:$AK,'T1 2019 Pipeline Data Lagasco'!$Q634,'Dec 31 2018 OFFS'!$W:$W,'T1 2019 Pipeline Data Lagasco'!$G634),1))</f>
        <v>0</v>
      </c>
      <c r="S634" s="275">
        <f t="shared" si="22"/>
        <v>0</v>
      </c>
    </row>
    <row r="635" spans="1:19" s="217" customFormat="1" ht="14.1" customHeight="1">
      <c r="A635" s="224" t="s">
        <v>1500</v>
      </c>
      <c r="B635" s="218" t="s">
        <v>1501</v>
      </c>
      <c r="C635" s="223">
        <v>1</v>
      </c>
      <c r="D635" s="218" t="s">
        <v>1488</v>
      </c>
      <c r="E635" s="240">
        <v>3</v>
      </c>
      <c r="F635" s="236">
        <v>16861.613679999999</v>
      </c>
      <c r="G635" s="223">
        <v>1980</v>
      </c>
      <c r="H635" s="223">
        <v>1</v>
      </c>
      <c r="I635" s="223">
        <v>0</v>
      </c>
      <c r="J635" s="223"/>
      <c r="K635" s="228">
        <v>397765.46679999999</v>
      </c>
      <c r="L635" s="241">
        <v>80</v>
      </c>
      <c r="M635" s="229">
        <v>79553.093370000002</v>
      </c>
      <c r="N635" s="230">
        <v>23.59</v>
      </c>
      <c r="O635" s="231">
        <v>0</v>
      </c>
      <c r="P635" s="314"/>
      <c r="Q635" s="276">
        <f t="shared" si="21"/>
        <v>16861.61</v>
      </c>
      <c r="R635" s="275">
        <f>(SUMIFS('Dec 31 2018 OFFS'!$AG:$AG,'Dec 31 2018 OFFS'!$AI:$AI,'T1 2019 Pipeline Data Lagasco'!$A635,'Dec 31 2018 OFFS'!$U:$U,'T1 2019 Pipeline Data Lagasco'!$E635,'Dec 31 2018 OFFS'!$AK:$AK,'T1 2019 Pipeline Data Lagasco'!$Q635,'Dec 31 2018 OFFS'!$W:$W,'T1 2019 Pipeline Data Lagasco'!$G635))/(MAX(COUNTIFS('Dec 31 2018 OFFS'!$AI:$AI,'T1 2019 Pipeline Data Lagasco'!$A635,'Dec 31 2018 OFFS'!$U:$U,'T1 2019 Pipeline Data Lagasco'!$E635,'Dec 31 2018 OFFS'!$AK:$AK,'T1 2019 Pipeline Data Lagasco'!$Q635,'Dec 31 2018 OFFS'!$W:$W,'T1 2019 Pipeline Data Lagasco'!$G635),1))</f>
        <v>0</v>
      </c>
      <c r="S635" s="275">
        <f t="shared" si="22"/>
        <v>0</v>
      </c>
    </row>
    <row r="636" spans="1:19" s="217" customFormat="1" ht="14.1" customHeight="1">
      <c r="A636" s="224" t="s">
        <v>1500</v>
      </c>
      <c r="B636" s="218" t="s">
        <v>1501</v>
      </c>
      <c r="C636" s="223">
        <v>1</v>
      </c>
      <c r="D636" s="218" t="s">
        <v>1488</v>
      </c>
      <c r="E636" s="240">
        <v>3</v>
      </c>
      <c r="F636" s="223">
        <v>13038</v>
      </c>
      <c r="G636" s="223">
        <v>2006</v>
      </c>
      <c r="H636" s="223">
        <v>1</v>
      </c>
      <c r="I636" s="223">
        <v>1</v>
      </c>
      <c r="J636" s="223"/>
      <c r="K636" s="238">
        <v>307566.42</v>
      </c>
      <c r="L636" s="241">
        <v>52</v>
      </c>
      <c r="M636" s="228">
        <v>147631.88159999999</v>
      </c>
      <c r="N636" s="230">
        <v>23.59</v>
      </c>
      <c r="O636" s="231">
        <v>147631</v>
      </c>
      <c r="P636" s="314"/>
      <c r="Q636" s="276">
        <f t="shared" si="21"/>
        <v>13038</v>
      </c>
      <c r="R636" s="275">
        <f>(SUMIFS('Dec 31 2018 OFFS'!$AG:$AG,'Dec 31 2018 OFFS'!$AI:$AI,'T1 2019 Pipeline Data Lagasco'!$A636,'Dec 31 2018 OFFS'!$U:$U,'T1 2019 Pipeline Data Lagasco'!$E636,'Dec 31 2018 OFFS'!$AK:$AK,'T1 2019 Pipeline Data Lagasco'!$Q636,'Dec 31 2018 OFFS'!$W:$W,'T1 2019 Pipeline Data Lagasco'!$G636))/(MAX(COUNTIFS('Dec 31 2018 OFFS'!$AI:$AI,'T1 2019 Pipeline Data Lagasco'!$A636,'Dec 31 2018 OFFS'!$U:$U,'T1 2019 Pipeline Data Lagasco'!$E636,'Dec 31 2018 OFFS'!$AK:$AK,'T1 2019 Pipeline Data Lagasco'!$Q636,'Dec 31 2018 OFFS'!$W:$W,'T1 2019 Pipeline Data Lagasco'!$G636),1))</f>
        <v>147631</v>
      </c>
      <c r="S636" s="275">
        <f t="shared" si="22"/>
        <v>0</v>
      </c>
    </row>
    <row r="637" spans="1:19" s="217" customFormat="1" ht="14.1" customHeight="1">
      <c r="A637" s="224" t="s">
        <v>1500</v>
      </c>
      <c r="B637" s="218" t="s">
        <v>1501</v>
      </c>
      <c r="C637" s="223">
        <v>1</v>
      </c>
      <c r="D637" s="218" t="s">
        <v>1488</v>
      </c>
      <c r="E637" s="240">
        <v>3</v>
      </c>
      <c r="F637" s="226">
        <v>8363.1887339999994</v>
      </c>
      <c r="G637" s="223">
        <v>1984</v>
      </c>
      <c r="H637" s="223">
        <v>1</v>
      </c>
      <c r="I637" s="223">
        <v>0</v>
      </c>
      <c r="J637" s="223"/>
      <c r="K637" s="228">
        <v>197287.62220000001</v>
      </c>
      <c r="L637" s="241">
        <v>80</v>
      </c>
      <c r="M637" s="229">
        <v>39457.524449999997</v>
      </c>
      <c r="N637" s="230">
        <v>23.59</v>
      </c>
      <c r="O637" s="231">
        <v>0</v>
      </c>
      <c r="P637" s="314"/>
      <c r="Q637" s="276">
        <f t="shared" si="21"/>
        <v>8363.19</v>
      </c>
      <c r="R637" s="275">
        <f>(SUMIFS('Dec 31 2018 OFFS'!$AG:$AG,'Dec 31 2018 OFFS'!$AI:$AI,'T1 2019 Pipeline Data Lagasco'!$A637,'Dec 31 2018 OFFS'!$U:$U,'T1 2019 Pipeline Data Lagasco'!$E637,'Dec 31 2018 OFFS'!$AK:$AK,'T1 2019 Pipeline Data Lagasco'!$Q637,'Dec 31 2018 OFFS'!$W:$W,'T1 2019 Pipeline Data Lagasco'!$G637))/(MAX(COUNTIFS('Dec 31 2018 OFFS'!$AI:$AI,'T1 2019 Pipeline Data Lagasco'!$A637,'Dec 31 2018 OFFS'!$U:$U,'T1 2019 Pipeline Data Lagasco'!$E637,'Dec 31 2018 OFFS'!$AK:$AK,'T1 2019 Pipeline Data Lagasco'!$Q637,'Dec 31 2018 OFFS'!$W:$W,'T1 2019 Pipeline Data Lagasco'!$G637),1))</f>
        <v>0</v>
      </c>
      <c r="S637" s="275">
        <f t="shared" si="22"/>
        <v>0</v>
      </c>
    </row>
    <row r="638" spans="1:19" s="217" customFormat="1" ht="14.1" customHeight="1">
      <c r="A638" s="224" t="s">
        <v>1500</v>
      </c>
      <c r="B638" s="218" t="s">
        <v>1501</v>
      </c>
      <c r="C638" s="223">
        <v>1</v>
      </c>
      <c r="D638" s="218" t="s">
        <v>1488</v>
      </c>
      <c r="E638" s="240">
        <v>3</v>
      </c>
      <c r="F638" s="226">
        <v>1991.896268</v>
      </c>
      <c r="G638" s="223">
        <v>1991</v>
      </c>
      <c r="H638" s="223">
        <v>1</v>
      </c>
      <c r="I638" s="223">
        <v>0</v>
      </c>
      <c r="J638" s="223"/>
      <c r="K638" s="229">
        <v>46988.83296</v>
      </c>
      <c r="L638" s="241">
        <v>72</v>
      </c>
      <c r="M638" s="229">
        <v>13156.873229999999</v>
      </c>
      <c r="N638" s="230">
        <v>23.59</v>
      </c>
      <c r="O638" s="231">
        <v>0</v>
      </c>
      <c r="P638" s="314"/>
      <c r="Q638" s="276">
        <f t="shared" si="21"/>
        <v>1991.90</v>
      </c>
      <c r="R638" s="275">
        <f>(SUMIFS('Dec 31 2018 OFFS'!$AG:$AG,'Dec 31 2018 OFFS'!$AI:$AI,'T1 2019 Pipeline Data Lagasco'!$A638,'Dec 31 2018 OFFS'!$U:$U,'T1 2019 Pipeline Data Lagasco'!$E638,'Dec 31 2018 OFFS'!$AK:$AK,'T1 2019 Pipeline Data Lagasco'!$Q638,'Dec 31 2018 OFFS'!$W:$W,'T1 2019 Pipeline Data Lagasco'!$G638))/(MAX(COUNTIFS('Dec 31 2018 OFFS'!$AI:$AI,'T1 2019 Pipeline Data Lagasco'!$A638,'Dec 31 2018 OFFS'!$U:$U,'T1 2019 Pipeline Data Lagasco'!$E638,'Dec 31 2018 OFFS'!$AK:$AK,'T1 2019 Pipeline Data Lagasco'!$Q638,'Dec 31 2018 OFFS'!$W:$W,'T1 2019 Pipeline Data Lagasco'!$G638),1))</f>
        <v>0</v>
      </c>
      <c r="S638" s="275">
        <f t="shared" si="22"/>
        <v>0</v>
      </c>
    </row>
    <row r="639" spans="1:19" s="217" customFormat="1" ht="14.1" customHeight="1">
      <c r="A639" s="224" t="s">
        <v>1500</v>
      </c>
      <c r="B639" s="218" t="s">
        <v>1501</v>
      </c>
      <c r="C639" s="223">
        <v>1</v>
      </c>
      <c r="D639" s="218" t="s">
        <v>1488</v>
      </c>
      <c r="E639" s="240">
        <v>3</v>
      </c>
      <c r="F639" s="226">
        <v>3146.0300929999999</v>
      </c>
      <c r="G639" s="223">
        <v>1980</v>
      </c>
      <c r="H639" s="223">
        <v>1</v>
      </c>
      <c r="I639" s="223">
        <v>0</v>
      </c>
      <c r="J639" s="223"/>
      <c r="K639" s="229">
        <v>74214.849879999994</v>
      </c>
      <c r="L639" s="241">
        <v>80</v>
      </c>
      <c r="M639" s="229">
        <v>14842.96998</v>
      </c>
      <c r="N639" s="230">
        <v>23.59</v>
      </c>
      <c r="O639" s="231">
        <v>0</v>
      </c>
      <c r="P639" s="314"/>
      <c r="Q639" s="276">
        <f t="shared" si="21"/>
        <v>3146.03</v>
      </c>
      <c r="R639" s="275">
        <f>(SUMIFS('Dec 31 2018 OFFS'!$AG:$AG,'Dec 31 2018 OFFS'!$AI:$AI,'T1 2019 Pipeline Data Lagasco'!$A639,'Dec 31 2018 OFFS'!$U:$U,'T1 2019 Pipeline Data Lagasco'!$E639,'Dec 31 2018 OFFS'!$AK:$AK,'T1 2019 Pipeline Data Lagasco'!$Q639,'Dec 31 2018 OFFS'!$W:$W,'T1 2019 Pipeline Data Lagasco'!$G639))/(MAX(COUNTIFS('Dec 31 2018 OFFS'!$AI:$AI,'T1 2019 Pipeline Data Lagasco'!$A639,'Dec 31 2018 OFFS'!$U:$U,'T1 2019 Pipeline Data Lagasco'!$E639,'Dec 31 2018 OFFS'!$AK:$AK,'T1 2019 Pipeline Data Lagasco'!$Q639,'Dec 31 2018 OFFS'!$W:$W,'T1 2019 Pipeline Data Lagasco'!$G639),1))</f>
        <v>0</v>
      </c>
      <c r="S639" s="275">
        <f t="shared" si="22"/>
        <v>0</v>
      </c>
    </row>
    <row r="640" spans="1:19" s="217" customFormat="1" ht="14.1" customHeight="1">
      <c r="A640" s="224" t="s">
        <v>1500</v>
      </c>
      <c r="B640" s="218" t="s">
        <v>1501</v>
      </c>
      <c r="C640" s="223">
        <v>1</v>
      </c>
      <c r="D640" s="218" t="s">
        <v>1488</v>
      </c>
      <c r="E640" s="240">
        <v>3</v>
      </c>
      <c r="F640" s="230">
        <v>2648.95</v>
      </c>
      <c r="G640" s="223">
        <v>1962</v>
      </c>
      <c r="H640" s="223">
        <v>1</v>
      </c>
      <c r="I640" s="223">
        <v>0</v>
      </c>
      <c r="J640" s="223"/>
      <c r="K640" s="228">
        <v>62488.730499999998</v>
      </c>
      <c r="L640" s="241">
        <v>80</v>
      </c>
      <c r="M640" s="228">
        <v>12497.7461</v>
      </c>
      <c r="N640" s="230">
        <v>23.59</v>
      </c>
      <c r="O640" s="231">
        <v>0</v>
      </c>
      <c r="P640" s="314"/>
      <c r="Q640" s="276">
        <f t="shared" si="21"/>
        <v>2648.95</v>
      </c>
      <c r="R640" s="275">
        <f>(SUMIFS('Dec 31 2018 OFFS'!$AG:$AG,'Dec 31 2018 OFFS'!$AI:$AI,'T1 2019 Pipeline Data Lagasco'!$A640,'Dec 31 2018 OFFS'!$U:$U,'T1 2019 Pipeline Data Lagasco'!$E640,'Dec 31 2018 OFFS'!$AK:$AK,'T1 2019 Pipeline Data Lagasco'!$Q640,'Dec 31 2018 OFFS'!$W:$W,'T1 2019 Pipeline Data Lagasco'!$G640))/(MAX(COUNTIFS('Dec 31 2018 OFFS'!$AI:$AI,'T1 2019 Pipeline Data Lagasco'!$A640,'Dec 31 2018 OFFS'!$U:$U,'T1 2019 Pipeline Data Lagasco'!$E640,'Dec 31 2018 OFFS'!$AK:$AK,'T1 2019 Pipeline Data Lagasco'!$Q640,'Dec 31 2018 OFFS'!$W:$W,'T1 2019 Pipeline Data Lagasco'!$G640),1))</f>
        <v>0</v>
      </c>
      <c r="S640" s="275">
        <f t="shared" si="22"/>
        <v>0</v>
      </c>
    </row>
    <row r="641" spans="1:19" s="217" customFormat="1" ht="14.1" customHeight="1">
      <c r="A641" s="224" t="s">
        <v>1500</v>
      </c>
      <c r="B641" s="218" t="s">
        <v>1501</v>
      </c>
      <c r="C641" s="223">
        <v>1</v>
      </c>
      <c r="D641" s="218" t="s">
        <v>1488</v>
      </c>
      <c r="E641" s="240">
        <v>3</v>
      </c>
      <c r="F641" s="230">
        <v>2026.08</v>
      </c>
      <c r="G641" s="223">
        <v>1979</v>
      </c>
      <c r="H641" s="223">
        <v>1</v>
      </c>
      <c r="I641" s="223">
        <v>0</v>
      </c>
      <c r="J641" s="223"/>
      <c r="K641" s="228">
        <v>47795.227200000001</v>
      </c>
      <c r="L641" s="241">
        <v>80</v>
      </c>
      <c r="M641" s="229">
        <v>9559.0454399999999</v>
      </c>
      <c r="N641" s="230">
        <v>23.59</v>
      </c>
      <c r="O641" s="231">
        <v>0</v>
      </c>
      <c r="P641" s="314"/>
      <c r="Q641" s="276">
        <f t="shared" si="21"/>
        <v>2026.08</v>
      </c>
      <c r="R641" s="275">
        <f>(SUMIFS('Dec 31 2018 OFFS'!$AG:$AG,'Dec 31 2018 OFFS'!$AI:$AI,'T1 2019 Pipeline Data Lagasco'!$A641,'Dec 31 2018 OFFS'!$U:$U,'T1 2019 Pipeline Data Lagasco'!$E641,'Dec 31 2018 OFFS'!$AK:$AK,'T1 2019 Pipeline Data Lagasco'!$Q641,'Dec 31 2018 OFFS'!$W:$W,'T1 2019 Pipeline Data Lagasco'!$G641))/(MAX(COUNTIFS('Dec 31 2018 OFFS'!$AI:$AI,'T1 2019 Pipeline Data Lagasco'!$A641,'Dec 31 2018 OFFS'!$U:$U,'T1 2019 Pipeline Data Lagasco'!$E641,'Dec 31 2018 OFFS'!$AK:$AK,'T1 2019 Pipeline Data Lagasco'!$Q641,'Dec 31 2018 OFFS'!$W:$W,'T1 2019 Pipeline Data Lagasco'!$G641),1))</f>
        <v>0</v>
      </c>
      <c r="S641" s="275">
        <f t="shared" si="22"/>
        <v>0</v>
      </c>
    </row>
    <row r="642" spans="1:19" s="217" customFormat="1" ht="14.1" customHeight="1">
      <c r="A642" s="224" t="s">
        <v>1500</v>
      </c>
      <c r="B642" s="218" t="s">
        <v>1501</v>
      </c>
      <c r="C642" s="223">
        <v>1</v>
      </c>
      <c r="D642" s="218" t="s">
        <v>1488</v>
      </c>
      <c r="E642" s="240">
        <v>3</v>
      </c>
      <c r="F642" s="230">
        <v>2696.69</v>
      </c>
      <c r="G642" s="223">
        <v>1978</v>
      </c>
      <c r="H642" s="223">
        <v>1</v>
      </c>
      <c r="I642" s="223">
        <v>0</v>
      </c>
      <c r="J642" s="223"/>
      <c r="K642" s="228">
        <v>63614.917099999999</v>
      </c>
      <c r="L642" s="241">
        <v>80</v>
      </c>
      <c r="M642" s="229">
        <v>12722.98342</v>
      </c>
      <c r="N642" s="230">
        <v>23.59</v>
      </c>
      <c r="O642" s="231">
        <v>0</v>
      </c>
      <c r="P642" s="314"/>
      <c r="Q642" s="276">
        <f t="shared" si="21"/>
        <v>2696.69</v>
      </c>
      <c r="R642" s="275">
        <f>(SUMIFS('Dec 31 2018 OFFS'!$AG:$AG,'Dec 31 2018 OFFS'!$AI:$AI,'T1 2019 Pipeline Data Lagasco'!$A642,'Dec 31 2018 OFFS'!$U:$U,'T1 2019 Pipeline Data Lagasco'!$E642,'Dec 31 2018 OFFS'!$AK:$AK,'T1 2019 Pipeline Data Lagasco'!$Q642,'Dec 31 2018 OFFS'!$W:$W,'T1 2019 Pipeline Data Lagasco'!$G642))/(MAX(COUNTIFS('Dec 31 2018 OFFS'!$AI:$AI,'T1 2019 Pipeline Data Lagasco'!$A642,'Dec 31 2018 OFFS'!$U:$U,'T1 2019 Pipeline Data Lagasco'!$E642,'Dec 31 2018 OFFS'!$AK:$AK,'T1 2019 Pipeline Data Lagasco'!$Q642,'Dec 31 2018 OFFS'!$W:$W,'T1 2019 Pipeline Data Lagasco'!$G642),1))</f>
        <v>0</v>
      </c>
      <c r="S642" s="275">
        <f t="shared" si="22"/>
        <v>0</v>
      </c>
    </row>
    <row r="643" spans="1:19" s="217" customFormat="1" ht="15" customHeight="1">
      <c r="A643" s="224" t="s">
        <v>1500</v>
      </c>
      <c r="B643" s="218" t="s">
        <v>1501</v>
      </c>
      <c r="C643" s="223">
        <v>1</v>
      </c>
      <c r="D643" s="218" t="s">
        <v>1488</v>
      </c>
      <c r="E643" s="240">
        <v>3</v>
      </c>
      <c r="F643" s="230">
        <v>2571.33</v>
      </c>
      <c r="G643" s="223">
        <v>1962</v>
      </c>
      <c r="H643" s="223">
        <v>1</v>
      </c>
      <c r="I643" s="223">
        <v>0</v>
      </c>
      <c r="J643" s="223"/>
      <c r="K643" s="228">
        <v>60657.674700000003</v>
      </c>
      <c r="L643" s="241">
        <v>80</v>
      </c>
      <c r="M643" s="229">
        <v>12131.53494</v>
      </c>
      <c r="N643" s="230">
        <v>23.59</v>
      </c>
      <c r="O643" s="231">
        <v>0</v>
      </c>
      <c r="P643" s="314"/>
      <c r="Q643" s="276">
        <f t="shared" si="21"/>
        <v>2571.33</v>
      </c>
      <c r="R643" s="275">
        <f>(SUMIFS('Dec 31 2018 OFFS'!$AG:$AG,'Dec 31 2018 OFFS'!$AI:$AI,'T1 2019 Pipeline Data Lagasco'!$A643,'Dec 31 2018 OFFS'!$U:$U,'T1 2019 Pipeline Data Lagasco'!$E643,'Dec 31 2018 OFFS'!$AK:$AK,'T1 2019 Pipeline Data Lagasco'!$Q643,'Dec 31 2018 OFFS'!$W:$W,'T1 2019 Pipeline Data Lagasco'!$G643))/(MAX(COUNTIFS('Dec 31 2018 OFFS'!$AI:$AI,'T1 2019 Pipeline Data Lagasco'!$A643,'Dec 31 2018 OFFS'!$U:$U,'T1 2019 Pipeline Data Lagasco'!$E643,'Dec 31 2018 OFFS'!$AK:$AK,'T1 2019 Pipeline Data Lagasco'!$Q643,'Dec 31 2018 OFFS'!$W:$W,'T1 2019 Pipeline Data Lagasco'!$G643),1))</f>
        <v>0</v>
      </c>
      <c r="S643" s="275">
        <f t="shared" si="22"/>
        <v>0</v>
      </c>
    </row>
    <row r="644" spans="1:19" s="217" customFormat="1" ht="15" customHeight="1">
      <c r="A644" s="224" t="s">
        <v>1500</v>
      </c>
      <c r="B644" s="218" t="s">
        <v>1501</v>
      </c>
      <c r="C644" s="223">
        <v>1</v>
      </c>
      <c r="D644" s="218" t="s">
        <v>1488</v>
      </c>
      <c r="E644" s="240">
        <v>3</v>
      </c>
      <c r="F644" s="236">
        <v>14337.007460000001</v>
      </c>
      <c r="G644" s="223">
        <v>1980</v>
      </c>
      <c r="H644" s="223">
        <v>1</v>
      </c>
      <c r="I644" s="223">
        <v>0</v>
      </c>
      <c r="J644" s="223"/>
      <c r="K644" s="239">
        <v>338210.00599999999</v>
      </c>
      <c r="L644" s="241">
        <v>80</v>
      </c>
      <c r="M644" s="229">
        <v>67642.001189999995</v>
      </c>
      <c r="N644" s="230">
        <v>23.59</v>
      </c>
      <c r="O644" s="231">
        <v>0</v>
      </c>
      <c r="P644" s="314"/>
      <c r="Q644" s="276">
        <f t="shared" si="21"/>
        <v>14337.01</v>
      </c>
      <c r="R644" s="275">
        <f>(SUMIFS('Dec 31 2018 OFFS'!$AG:$AG,'Dec 31 2018 OFFS'!$AI:$AI,'T1 2019 Pipeline Data Lagasco'!$A644,'Dec 31 2018 OFFS'!$U:$U,'T1 2019 Pipeline Data Lagasco'!$E644,'Dec 31 2018 OFFS'!$AK:$AK,'T1 2019 Pipeline Data Lagasco'!$Q644,'Dec 31 2018 OFFS'!$W:$W,'T1 2019 Pipeline Data Lagasco'!$G644))/(MAX(COUNTIFS('Dec 31 2018 OFFS'!$AI:$AI,'T1 2019 Pipeline Data Lagasco'!$A644,'Dec 31 2018 OFFS'!$U:$U,'T1 2019 Pipeline Data Lagasco'!$E644,'Dec 31 2018 OFFS'!$AK:$AK,'T1 2019 Pipeline Data Lagasco'!$Q644,'Dec 31 2018 OFFS'!$W:$W,'T1 2019 Pipeline Data Lagasco'!$G644),1))</f>
        <v>0</v>
      </c>
      <c r="S644" s="275">
        <f t="shared" si="22"/>
        <v>0</v>
      </c>
    </row>
    <row r="645" spans="1:19" s="217" customFormat="1" ht="14.1" customHeight="1">
      <c r="A645" s="224" t="s">
        <v>1500</v>
      </c>
      <c r="B645" s="218" t="s">
        <v>1501</v>
      </c>
      <c r="C645" s="223">
        <v>1</v>
      </c>
      <c r="D645" s="218" t="s">
        <v>1488</v>
      </c>
      <c r="E645" s="240">
        <v>3</v>
      </c>
      <c r="F645" s="236">
        <v>9696.2923699999992</v>
      </c>
      <c r="G645" s="223">
        <v>1985</v>
      </c>
      <c r="H645" s="223">
        <v>1</v>
      </c>
      <c r="I645" s="223">
        <v>1</v>
      </c>
      <c r="J645" s="223"/>
      <c r="K645" s="239">
        <v>228735.53700000001</v>
      </c>
      <c r="L645" s="241">
        <v>80</v>
      </c>
      <c r="M645" s="228">
        <v>45747.107400000001</v>
      </c>
      <c r="N645" s="230">
        <v>23.59</v>
      </c>
      <c r="O645" s="231">
        <v>45747</v>
      </c>
      <c r="P645" s="314"/>
      <c r="Q645" s="276">
        <f t="shared" si="21"/>
        <v>9696.2900000000009</v>
      </c>
      <c r="R645" s="275">
        <f>(SUMIFS('Dec 31 2018 OFFS'!$AG:$AG,'Dec 31 2018 OFFS'!$AI:$AI,'T1 2019 Pipeline Data Lagasco'!$A645,'Dec 31 2018 OFFS'!$U:$U,'T1 2019 Pipeline Data Lagasco'!$E645,'Dec 31 2018 OFFS'!$AK:$AK,'T1 2019 Pipeline Data Lagasco'!$Q645,'Dec 31 2018 OFFS'!$W:$W,'T1 2019 Pipeline Data Lagasco'!$G645))/(MAX(COUNTIFS('Dec 31 2018 OFFS'!$AI:$AI,'T1 2019 Pipeline Data Lagasco'!$A645,'Dec 31 2018 OFFS'!$U:$U,'T1 2019 Pipeline Data Lagasco'!$E645,'Dec 31 2018 OFFS'!$AK:$AK,'T1 2019 Pipeline Data Lagasco'!$Q645,'Dec 31 2018 OFFS'!$W:$W,'T1 2019 Pipeline Data Lagasco'!$G645),1))</f>
        <v>45747</v>
      </c>
      <c r="S645" s="275">
        <f t="shared" si="22"/>
        <v>0</v>
      </c>
    </row>
    <row r="646" spans="1:19" s="217" customFormat="1" ht="14.1" customHeight="1">
      <c r="A646" s="224" t="s">
        <v>1500</v>
      </c>
      <c r="B646" s="218" t="s">
        <v>1501</v>
      </c>
      <c r="C646" s="223">
        <v>1</v>
      </c>
      <c r="D646" s="218" t="s">
        <v>1488</v>
      </c>
      <c r="E646" s="240">
        <v>3</v>
      </c>
      <c r="F646" s="226">
        <v>4859.2190190000001</v>
      </c>
      <c r="G646" s="223">
        <v>1994</v>
      </c>
      <c r="H646" s="223">
        <v>1</v>
      </c>
      <c r="I646" s="223">
        <v>1</v>
      </c>
      <c r="J646" s="223"/>
      <c r="K646" s="228">
        <v>114628.9767</v>
      </c>
      <c r="L646" s="241">
        <v>68</v>
      </c>
      <c r="M646" s="229">
        <v>36681.272530000002</v>
      </c>
      <c r="N646" s="230">
        <v>23.59</v>
      </c>
      <c r="O646" s="231">
        <v>36681</v>
      </c>
      <c r="P646" s="314"/>
      <c r="Q646" s="276">
        <f t="shared" si="21"/>
        <v>4859.22</v>
      </c>
      <c r="R646" s="275">
        <f>(SUMIFS('Dec 31 2018 OFFS'!$AG:$AG,'Dec 31 2018 OFFS'!$AI:$AI,'T1 2019 Pipeline Data Lagasco'!$A646,'Dec 31 2018 OFFS'!$U:$U,'T1 2019 Pipeline Data Lagasco'!$E646,'Dec 31 2018 OFFS'!$AK:$AK,'T1 2019 Pipeline Data Lagasco'!$Q646,'Dec 31 2018 OFFS'!$W:$W,'T1 2019 Pipeline Data Lagasco'!$G646))/(MAX(COUNTIFS('Dec 31 2018 OFFS'!$AI:$AI,'T1 2019 Pipeline Data Lagasco'!$A646,'Dec 31 2018 OFFS'!$U:$U,'T1 2019 Pipeline Data Lagasco'!$E646,'Dec 31 2018 OFFS'!$AK:$AK,'T1 2019 Pipeline Data Lagasco'!$Q646,'Dec 31 2018 OFFS'!$W:$W,'T1 2019 Pipeline Data Lagasco'!$G646),1))</f>
        <v>36681</v>
      </c>
      <c r="S646" s="275">
        <f t="shared" si="22"/>
        <v>0</v>
      </c>
    </row>
    <row r="647" spans="1:19" s="217" customFormat="1" ht="14.1" customHeight="1">
      <c r="A647" s="224" t="s">
        <v>1500</v>
      </c>
      <c r="B647" s="218" t="s">
        <v>1501</v>
      </c>
      <c r="C647" s="223">
        <v>1</v>
      </c>
      <c r="D647" s="218" t="s">
        <v>1488</v>
      </c>
      <c r="E647" s="240">
        <v>3</v>
      </c>
      <c r="F647" s="223">
        <v>4331</v>
      </c>
      <c r="G647" s="223">
        <v>1994</v>
      </c>
      <c r="H647" s="223">
        <v>1</v>
      </c>
      <c r="I647" s="223">
        <v>0</v>
      </c>
      <c r="J647" s="223"/>
      <c r="K647" s="238">
        <v>102168.29</v>
      </c>
      <c r="L647" s="241">
        <v>68</v>
      </c>
      <c r="M647" s="228">
        <v>32693.852800000001</v>
      </c>
      <c r="N647" s="230">
        <v>23.59</v>
      </c>
      <c r="O647" s="231">
        <v>0</v>
      </c>
      <c r="P647" s="314"/>
      <c r="Q647" s="276">
        <f t="shared" si="21"/>
        <v>4331</v>
      </c>
      <c r="R647" s="275">
        <f>(SUMIFS('Dec 31 2018 OFFS'!$AG:$AG,'Dec 31 2018 OFFS'!$AI:$AI,'T1 2019 Pipeline Data Lagasco'!$A647,'Dec 31 2018 OFFS'!$U:$U,'T1 2019 Pipeline Data Lagasco'!$E647,'Dec 31 2018 OFFS'!$AK:$AK,'T1 2019 Pipeline Data Lagasco'!$Q647,'Dec 31 2018 OFFS'!$W:$W,'T1 2019 Pipeline Data Lagasco'!$G647))/(MAX(COUNTIFS('Dec 31 2018 OFFS'!$AI:$AI,'T1 2019 Pipeline Data Lagasco'!$A647,'Dec 31 2018 OFFS'!$U:$U,'T1 2019 Pipeline Data Lagasco'!$E647,'Dec 31 2018 OFFS'!$AK:$AK,'T1 2019 Pipeline Data Lagasco'!$Q647,'Dec 31 2018 OFFS'!$W:$W,'T1 2019 Pipeline Data Lagasco'!$G647),1))</f>
        <v>0</v>
      </c>
      <c r="S647" s="275">
        <f t="shared" si="22"/>
        <v>0</v>
      </c>
    </row>
    <row r="648" spans="1:19" s="217" customFormat="1" ht="14.1" customHeight="1">
      <c r="A648" s="224" t="s">
        <v>1500</v>
      </c>
      <c r="B648" s="218" t="s">
        <v>1501</v>
      </c>
      <c r="C648" s="223">
        <v>1</v>
      </c>
      <c r="D648" s="218" t="s">
        <v>1488</v>
      </c>
      <c r="E648" s="240">
        <v>3</v>
      </c>
      <c r="F648" s="236">
        <v>24304.887750000002</v>
      </c>
      <c r="G648" s="223">
        <v>1985</v>
      </c>
      <c r="H648" s="223">
        <v>1</v>
      </c>
      <c r="I648" s="223">
        <v>1</v>
      </c>
      <c r="J648" s="223"/>
      <c r="K648" s="239">
        <v>573352.30200000003</v>
      </c>
      <c r="L648" s="241">
        <v>80</v>
      </c>
      <c r="M648" s="228">
        <v>114670.4604</v>
      </c>
      <c r="N648" s="230">
        <v>23.59</v>
      </c>
      <c r="O648" s="231">
        <v>114670</v>
      </c>
      <c r="P648" s="314"/>
      <c r="Q648" s="276">
        <f t="shared" si="21"/>
        <v>24304.89</v>
      </c>
      <c r="R648" s="275">
        <f>(SUMIFS('Dec 31 2018 OFFS'!$AG:$AG,'Dec 31 2018 OFFS'!$AI:$AI,'T1 2019 Pipeline Data Lagasco'!$A648,'Dec 31 2018 OFFS'!$U:$U,'T1 2019 Pipeline Data Lagasco'!$E648,'Dec 31 2018 OFFS'!$AK:$AK,'T1 2019 Pipeline Data Lagasco'!$Q648,'Dec 31 2018 OFFS'!$W:$W,'T1 2019 Pipeline Data Lagasco'!$G648))/(MAX(COUNTIFS('Dec 31 2018 OFFS'!$AI:$AI,'T1 2019 Pipeline Data Lagasco'!$A648,'Dec 31 2018 OFFS'!$U:$U,'T1 2019 Pipeline Data Lagasco'!$E648,'Dec 31 2018 OFFS'!$AK:$AK,'T1 2019 Pipeline Data Lagasco'!$Q648,'Dec 31 2018 OFFS'!$W:$W,'T1 2019 Pipeline Data Lagasco'!$G648),1))</f>
        <v>114670</v>
      </c>
      <c r="S648" s="275">
        <f t="shared" si="22"/>
        <v>0</v>
      </c>
    </row>
    <row r="649" spans="1:19" s="217" customFormat="1" ht="14.1" customHeight="1">
      <c r="A649" s="224" t="s">
        <v>1500</v>
      </c>
      <c r="B649" s="218" t="s">
        <v>1501</v>
      </c>
      <c r="C649" s="223">
        <v>1</v>
      </c>
      <c r="D649" s="218" t="s">
        <v>1488</v>
      </c>
      <c r="E649" s="240">
        <v>3</v>
      </c>
      <c r="F649" s="226">
        <v>5236.3515539999999</v>
      </c>
      <c r="G649" s="223">
        <v>1995</v>
      </c>
      <c r="H649" s="223">
        <v>1</v>
      </c>
      <c r="I649" s="223">
        <v>0</v>
      </c>
      <c r="J649" s="223"/>
      <c r="K649" s="228">
        <v>123525.53320000001</v>
      </c>
      <c r="L649" s="241">
        <v>67</v>
      </c>
      <c r="M649" s="229">
        <v>40763.425949999997</v>
      </c>
      <c r="N649" s="230">
        <v>23.59</v>
      </c>
      <c r="O649" s="231">
        <v>0</v>
      </c>
      <c r="P649" s="314"/>
      <c r="Q649" s="276">
        <f t="shared" si="21"/>
        <v>5236.3500000000004</v>
      </c>
      <c r="R649" s="275">
        <f>(SUMIFS('Dec 31 2018 OFFS'!$AG:$AG,'Dec 31 2018 OFFS'!$AI:$AI,'T1 2019 Pipeline Data Lagasco'!$A649,'Dec 31 2018 OFFS'!$U:$U,'T1 2019 Pipeline Data Lagasco'!$E649,'Dec 31 2018 OFFS'!$AK:$AK,'T1 2019 Pipeline Data Lagasco'!$Q649,'Dec 31 2018 OFFS'!$W:$W,'T1 2019 Pipeline Data Lagasco'!$G649))/(MAX(COUNTIFS('Dec 31 2018 OFFS'!$AI:$AI,'T1 2019 Pipeline Data Lagasco'!$A649,'Dec 31 2018 OFFS'!$U:$U,'T1 2019 Pipeline Data Lagasco'!$E649,'Dec 31 2018 OFFS'!$AK:$AK,'T1 2019 Pipeline Data Lagasco'!$Q649,'Dec 31 2018 OFFS'!$W:$W,'T1 2019 Pipeline Data Lagasco'!$G649),1))</f>
        <v>0</v>
      </c>
      <c r="S649" s="275">
        <f t="shared" si="22"/>
        <v>0</v>
      </c>
    </row>
    <row r="650" spans="1:19" s="217" customFormat="1" ht="14.1" customHeight="1">
      <c r="A650" s="224" t="s">
        <v>1500</v>
      </c>
      <c r="B650" s="218" t="s">
        <v>1501</v>
      </c>
      <c r="C650" s="223">
        <v>1</v>
      </c>
      <c r="D650" s="218" t="s">
        <v>1488</v>
      </c>
      <c r="E650" s="240">
        <v>3</v>
      </c>
      <c r="F650" s="226">
        <v>3668.6678729999999</v>
      </c>
      <c r="G650" s="223">
        <v>1984</v>
      </c>
      <c r="H650" s="223">
        <v>1</v>
      </c>
      <c r="I650" s="223">
        <v>1</v>
      </c>
      <c r="J650" s="223"/>
      <c r="K650" s="229">
        <v>86543.875119999997</v>
      </c>
      <c r="L650" s="241">
        <v>80</v>
      </c>
      <c r="M650" s="229">
        <v>17308.775020000001</v>
      </c>
      <c r="N650" s="230">
        <v>23.59</v>
      </c>
      <c r="O650" s="231">
        <v>17308</v>
      </c>
      <c r="P650" s="314"/>
      <c r="Q650" s="276">
        <f t="shared" si="21"/>
        <v>3668.67</v>
      </c>
      <c r="R650" s="275">
        <f>(SUMIFS('Dec 31 2018 OFFS'!$AG:$AG,'Dec 31 2018 OFFS'!$AI:$AI,'T1 2019 Pipeline Data Lagasco'!$A650,'Dec 31 2018 OFFS'!$U:$U,'T1 2019 Pipeline Data Lagasco'!$E650,'Dec 31 2018 OFFS'!$AK:$AK,'T1 2019 Pipeline Data Lagasco'!$Q650,'Dec 31 2018 OFFS'!$W:$W,'T1 2019 Pipeline Data Lagasco'!$G650))/(MAX(COUNTIFS('Dec 31 2018 OFFS'!$AI:$AI,'T1 2019 Pipeline Data Lagasco'!$A650,'Dec 31 2018 OFFS'!$U:$U,'T1 2019 Pipeline Data Lagasco'!$E650,'Dec 31 2018 OFFS'!$AK:$AK,'T1 2019 Pipeline Data Lagasco'!$Q650,'Dec 31 2018 OFFS'!$W:$W,'T1 2019 Pipeline Data Lagasco'!$G650),1))</f>
        <v>17308</v>
      </c>
      <c r="S650" s="275">
        <f t="shared" si="22"/>
        <v>0</v>
      </c>
    </row>
    <row r="651" spans="1:19" s="217" customFormat="1" ht="14.1" customHeight="1">
      <c r="A651" s="224" t="s">
        <v>1500</v>
      </c>
      <c r="B651" s="218" t="s">
        <v>1501</v>
      </c>
      <c r="C651" s="223">
        <v>1</v>
      </c>
      <c r="D651" s="218" t="s">
        <v>1488</v>
      </c>
      <c r="E651" s="240">
        <v>3</v>
      </c>
      <c r="F651" s="226">
        <v>4926.1481510000003</v>
      </c>
      <c r="G651" s="223">
        <v>1995</v>
      </c>
      <c r="H651" s="223">
        <v>1</v>
      </c>
      <c r="I651" s="223">
        <v>1</v>
      </c>
      <c r="J651" s="223"/>
      <c r="K651" s="228">
        <v>116207.8349</v>
      </c>
      <c r="L651" s="241">
        <v>67</v>
      </c>
      <c r="M651" s="229">
        <v>38348.585509999997</v>
      </c>
      <c r="N651" s="230">
        <v>23.59</v>
      </c>
      <c r="O651" s="231">
        <v>38348</v>
      </c>
      <c r="P651" s="314"/>
      <c r="Q651" s="276">
        <f t="shared" si="21"/>
        <v>4926.1499999999996</v>
      </c>
      <c r="R651" s="275">
        <f>(SUMIFS('Dec 31 2018 OFFS'!$AG:$AG,'Dec 31 2018 OFFS'!$AI:$AI,'T1 2019 Pipeline Data Lagasco'!$A651,'Dec 31 2018 OFFS'!$U:$U,'T1 2019 Pipeline Data Lagasco'!$E651,'Dec 31 2018 OFFS'!$AK:$AK,'T1 2019 Pipeline Data Lagasco'!$Q651,'Dec 31 2018 OFFS'!$W:$W,'T1 2019 Pipeline Data Lagasco'!$G651))/(MAX(COUNTIFS('Dec 31 2018 OFFS'!$AI:$AI,'T1 2019 Pipeline Data Lagasco'!$A651,'Dec 31 2018 OFFS'!$U:$U,'T1 2019 Pipeline Data Lagasco'!$E651,'Dec 31 2018 OFFS'!$AK:$AK,'T1 2019 Pipeline Data Lagasco'!$Q651,'Dec 31 2018 OFFS'!$W:$W,'T1 2019 Pipeline Data Lagasco'!$G651),1))</f>
        <v>38348</v>
      </c>
      <c r="S651" s="275">
        <f t="shared" si="22"/>
        <v>0</v>
      </c>
    </row>
    <row r="652" spans="1:19" s="217" customFormat="1" ht="14.1" customHeight="1">
      <c r="A652" s="224" t="s">
        <v>1500</v>
      </c>
      <c r="B652" s="218" t="s">
        <v>1501</v>
      </c>
      <c r="C652" s="223">
        <v>1</v>
      </c>
      <c r="D652" s="218" t="s">
        <v>1488</v>
      </c>
      <c r="E652" s="240">
        <v>3</v>
      </c>
      <c r="F652" s="236">
        <v>10791.66635</v>
      </c>
      <c r="G652" s="223">
        <v>1995</v>
      </c>
      <c r="H652" s="223">
        <v>1</v>
      </c>
      <c r="I652" s="223">
        <v>1</v>
      </c>
      <c r="J652" s="223"/>
      <c r="K652" s="228">
        <v>254575.4093</v>
      </c>
      <c r="L652" s="241">
        <v>67</v>
      </c>
      <c r="M652" s="229">
        <v>84009.885070000004</v>
      </c>
      <c r="N652" s="230">
        <v>23.59</v>
      </c>
      <c r="O652" s="231">
        <v>84009</v>
      </c>
      <c r="P652" s="314"/>
      <c r="Q652" s="276">
        <f t="shared" si="21"/>
        <v>10791.67</v>
      </c>
      <c r="R652" s="275">
        <f>(SUMIFS('Dec 31 2018 OFFS'!$AG:$AG,'Dec 31 2018 OFFS'!$AI:$AI,'T1 2019 Pipeline Data Lagasco'!$A652,'Dec 31 2018 OFFS'!$U:$U,'T1 2019 Pipeline Data Lagasco'!$E652,'Dec 31 2018 OFFS'!$AK:$AK,'T1 2019 Pipeline Data Lagasco'!$Q652,'Dec 31 2018 OFFS'!$W:$W,'T1 2019 Pipeline Data Lagasco'!$G652))/(MAX(COUNTIFS('Dec 31 2018 OFFS'!$AI:$AI,'T1 2019 Pipeline Data Lagasco'!$A652,'Dec 31 2018 OFFS'!$U:$U,'T1 2019 Pipeline Data Lagasco'!$E652,'Dec 31 2018 OFFS'!$AK:$AK,'T1 2019 Pipeline Data Lagasco'!$Q652,'Dec 31 2018 OFFS'!$W:$W,'T1 2019 Pipeline Data Lagasco'!$G652),1))</f>
        <v>84009</v>
      </c>
      <c r="S652" s="275">
        <f t="shared" si="22"/>
        <v>0</v>
      </c>
    </row>
    <row r="653" spans="1:19" s="217" customFormat="1" ht="14.1" customHeight="1">
      <c r="A653" s="224" t="s">
        <v>1500</v>
      </c>
      <c r="B653" s="218" t="s">
        <v>1501</v>
      </c>
      <c r="C653" s="223">
        <v>1</v>
      </c>
      <c r="D653" s="218" t="s">
        <v>1488</v>
      </c>
      <c r="E653" s="240">
        <v>3</v>
      </c>
      <c r="F653" s="223">
        <v>21464</v>
      </c>
      <c r="G653" s="223">
        <v>2006</v>
      </c>
      <c r="H653" s="230">
        <v>0.75</v>
      </c>
      <c r="I653" s="223">
        <v>1</v>
      </c>
      <c r="J653" s="223"/>
      <c r="K653" s="238">
        <v>506335.76</v>
      </c>
      <c r="L653" s="241">
        <v>52</v>
      </c>
      <c r="M653" s="228">
        <v>243041.1648</v>
      </c>
      <c r="N653" s="230">
        <v>23.59</v>
      </c>
      <c r="O653" s="231">
        <v>182280</v>
      </c>
      <c r="P653" s="314"/>
      <c r="Q653" s="276">
        <f t="shared" si="21"/>
        <v>21464</v>
      </c>
      <c r="R653" s="275">
        <f>(SUMIFS('Dec 31 2018 OFFS'!$AG:$AG,'Dec 31 2018 OFFS'!$AI:$AI,'T1 2019 Pipeline Data Lagasco'!$A653,'Dec 31 2018 OFFS'!$U:$U,'T1 2019 Pipeline Data Lagasco'!$E653,'Dec 31 2018 OFFS'!$AK:$AK,'T1 2019 Pipeline Data Lagasco'!$Q653,'Dec 31 2018 OFFS'!$W:$W,'T1 2019 Pipeline Data Lagasco'!$G653))/(MAX(COUNTIFS('Dec 31 2018 OFFS'!$AI:$AI,'T1 2019 Pipeline Data Lagasco'!$A653,'Dec 31 2018 OFFS'!$U:$U,'T1 2019 Pipeline Data Lagasco'!$E653,'Dec 31 2018 OFFS'!$AK:$AK,'T1 2019 Pipeline Data Lagasco'!$Q653,'Dec 31 2018 OFFS'!$W:$W,'T1 2019 Pipeline Data Lagasco'!$G653),1))</f>
        <v>182280</v>
      </c>
      <c r="S653" s="275">
        <f t="shared" si="22"/>
        <v>0</v>
      </c>
    </row>
    <row r="654" spans="1:19" s="217" customFormat="1" ht="14.1" customHeight="1">
      <c r="A654" s="224" t="s">
        <v>1500</v>
      </c>
      <c r="B654" s="218" t="s">
        <v>1501</v>
      </c>
      <c r="C654" s="223">
        <v>1</v>
      </c>
      <c r="D654" s="218" t="s">
        <v>1488</v>
      </c>
      <c r="E654" s="240">
        <v>3</v>
      </c>
      <c r="F654" s="223">
        <v>6117</v>
      </c>
      <c r="G654" s="223">
        <v>2005</v>
      </c>
      <c r="H654" s="223">
        <v>1</v>
      </c>
      <c r="I654" s="223">
        <v>0</v>
      </c>
      <c r="J654" s="223"/>
      <c r="K654" s="238">
        <v>144300.03</v>
      </c>
      <c r="L654" s="241">
        <v>54</v>
      </c>
      <c r="M654" s="228">
        <v>66378.013800000001</v>
      </c>
      <c r="N654" s="230">
        <v>23.59</v>
      </c>
      <c r="O654" s="231">
        <v>0</v>
      </c>
      <c r="P654" s="314"/>
      <c r="Q654" s="276">
        <f t="shared" si="21"/>
        <v>6117</v>
      </c>
      <c r="R654" s="275">
        <f>(SUMIFS('Dec 31 2018 OFFS'!$AG:$AG,'Dec 31 2018 OFFS'!$AI:$AI,'T1 2019 Pipeline Data Lagasco'!$A654,'Dec 31 2018 OFFS'!$U:$U,'T1 2019 Pipeline Data Lagasco'!$E654,'Dec 31 2018 OFFS'!$AK:$AK,'T1 2019 Pipeline Data Lagasco'!$Q654,'Dec 31 2018 OFFS'!$W:$W,'T1 2019 Pipeline Data Lagasco'!$G654))/(MAX(COUNTIFS('Dec 31 2018 OFFS'!$AI:$AI,'T1 2019 Pipeline Data Lagasco'!$A654,'Dec 31 2018 OFFS'!$U:$U,'T1 2019 Pipeline Data Lagasco'!$E654,'Dec 31 2018 OFFS'!$AK:$AK,'T1 2019 Pipeline Data Lagasco'!$Q654,'Dec 31 2018 OFFS'!$W:$W,'T1 2019 Pipeline Data Lagasco'!$G654),1))</f>
        <v>0</v>
      </c>
      <c r="S654" s="275">
        <f t="shared" si="22"/>
        <v>0</v>
      </c>
    </row>
    <row r="655" spans="1:19" s="217" customFormat="1" ht="14.1" customHeight="1">
      <c r="A655" s="224" t="s">
        <v>1500</v>
      </c>
      <c r="B655" s="218" t="s">
        <v>1501</v>
      </c>
      <c r="C655" s="223">
        <v>1</v>
      </c>
      <c r="D655" s="218" t="s">
        <v>1488</v>
      </c>
      <c r="E655" s="240">
        <v>3</v>
      </c>
      <c r="F655" s="223">
        <v>5082</v>
      </c>
      <c r="G655" s="223">
        <v>2006</v>
      </c>
      <c r="H655" s="223">
        <v>1</v>
      </c>
      <c r="I655" s="223">
        <v>0</v>
      </c>
      <c r="J655" s="223"/>
      <c r="K655" s="238">
        <v>119884.38</v>
      </c>
      <c r="L655" s="241">
        <v>52</v>
      </c>
      <c r="M655" s="228">
        <v>57544.502399999998</v>
      </c>
      <c r="N655" s="230">
        <v>23.59</v>
      </c>
      <c r="O655" s="231">
        <v>0</v>
      </c>
      <c r="P655" s="314"/>
      <c r="Q655" s="276">
        <f t="shared" si="21"/>
        <v>5082</v>
      </c>
      <c r="R655" s="275">
        <f>(SUMIFS('Dec 31 2018 OFFS'!$AG:$AG,'Dec 31 2018 OFFS'!$AI:$AI,'T1 2019 Pipeline Data Lagasco'!$A655,'Dec 31 2018 OFFS'!$U:$U,'T1 2019 Pipeline Data Lagasco'!$E655,'Dec 31 2018 OFFS'!$AK:$AK,'T1 2019 Pipeline Data Lagasco'!$Q655,'Dec 31 2018 OFFS'!$W:$W,'T1 2019 Pipeline Data Lagasco'!$G655))/(MAX(COUNTIFS('Dec 31 2018 OFFS'!$AI:$AI,'T1 2019 Pipeline Data Lagasco'!$A655,'Dec 31 2018 OFFS'!$U:$U,'T1 2019 Pipeline Data Lagasco'!$E655,'Dec 31 2018 OFFS'!$AK:$AK,'T1 2019 Pipeline Data Lagasco'!$Q655,'Dec 31 2018 OFFS'!$W:$W,'T1 2019 Pipeline Data Lagasco'!$G655),1))</f>
        <v>0</v>
      </c>
      <c r="S655" s="275">
        <f t="shared" si="22"/>
        <v>0</v>
      </c>
    </row>
    <row r="656" spans="1:19" s="217" customFormat="1" ht="14.1" customHeight="1">
      <c r="A656" s="224" t="s">
        <v>1500</v>
      </c>
      <c r="B656" s="218" t="s">
        <v>1501</v>
      </c>
      <c r="C656" s="223">
        <v>1</v>
      </c>
      <c r="D656" s="218" t="s">
        <v>1488</v>
      </c>
      <c r="E656" s="240">
        <v>3</v>
      </c>
      <c r="F656" s="223">
        <v>4163</v>
      </c>
      <c r="G656" s="223">
        <v>1967</v>
      </c>
      <c r="H656" s="223">
        <v>1</v>
      </c>
      <c r="I656" s="223">
        <v>0</v>
      </c>
      <c r="J656" s="223"/>
      <c r="K656" s="238">
        <v>98205.17</v>
      </c>
      <c r="L656" s="241">
        <v>80</v>
      </c>
      <c r="M656" s="239">
        <v>19641.034</v>
      </c>
      <c r="N656" s="230">
        <v>23.59</v>
      </c>
      <c r="O656" s="231">
        <v>0</v>
      </c>
      <c r="P656" s="314"/>
      <c r="Q656" s="276">
        <f t="shared" si="21"/>
        <v>4163</v>
      </c>
      <c r="R656" s="275">
        <f>(SUMIFS('Dec 31 2018 OFFS'!$AG:$AG,'Dec 31 2018 OFFS'!$AI:$AI,'T1 2019 Pipeline Data Lagasco'!$A656,'Dec 31 2018 OFFS'!$U:$U,'T1 2019 Pipeline Data Lagasco'!$E656,'Dec 31 2018 OFFS'!$AK:$AK,'T1 2019 Pipeline Data Lagasco'!$Q656,'Dec 31 2018 OFFS'!$W:$W,'T1 2019 Pipeline Data Lagasco'!$G656))/(MAX(COUNTIFS('Dec 31 2018 OFFS'!$AI:$AI,'T1 2019 Pipeline Data Lagasco'!$A656,'Dec 31 2018 OFFS'!$U:$U,'T1 2019 Pipeline Data Lagasco'!$E656,'Dec 31 2018 OFFS'!$AK:$AK,'T1 2019 Pipeline Data Lagasco'!$Q656,'Dec 31 2018 OFFS'!$W:$W,'T1 2019 Pipeline Data Lagasco'!$G656),1))</f>
        <v>0</v>
      </c>
      <c r="S656" s="275">
        <f t="shared" si="22"/>
        <v>0</v>
      </c>
    </row>
    <row r="657" spans="1:20" ht="14.1" customHeight="1">
      <c r="A657" s="224" t="s">
        <v>1500</v>
      </c>
      <c r="B657" s="218" t="s">
        <v>1501</v>
      </c>
      <c r="C657" s="223">
        <v>1</v>
      </c>
      <c r="D657" s="218" t="s">
        <v>1488</v>
      </c>
      <c r="E657" s="240">
        <v>3</v>
      </c>
      <c r="F657" s="223">
        <v>4925</v>
      </c>
      <c r="G657" s="223">
        <v>2008</v>
      </c>
      <c r="H657" s="223">
        <v>1</v>
      </c>
      <c r="I657" s="223">
        <v>0</v>
      </c>
      <c r="J657" s="223"/>
      <c r="K657" s="238">
        <v>116180.75</v>
      </c>
      <c r="L657" s="241">
        <v>49</v>
      </c>
      <c r="M657" s="228">
        <v>59252.182500000003</v>
      </c>
      <c r="N657" s="230">
        <v>23.59</v>
      </c>
      <c r="O657" s="231">
        <v>0</v>
      </c>
      <c r="P657" s="314"/>
      <c r="Q657" s="276">
        <f t="shared" si="21"/>
        <v>4925</v>
      </c>
      <c r="R657" s="275">
        <f>(SUMIFS('Dec 31 2018 OFFS'!$AG:$AG,'Dec 31 2018 OFFS'!$AI:$AI,'T1 2019 Pipeline Data Lagasco'!$A657,'Dec 31 2018 OFFS'!$U:$U,'T1 2019 Pipeline Data Lagasco'!$E657,'Dec 31 2018 OFFS'!$AK:$AK,'T1 2019 Pipeline Data Lagasco'!$Q657,'Dec 31 2018 OFFS'!$W:$W,'T1 2019 Pipeline Data Lagasco'!$G657))/(MAX(COUNTIFS('Dec 31 2018 OFFS'!$AI:$AI,'T1 2019 Pipeline Data Lagasco'!$A657,'Dec 31 2018 OFFS'!$U:$U,'T1 2019 Pipeline Data Lagasco'!$E657,'Dec 31 2018 OFFS'!$AK:$AK,'T1 2019 Pipeline Data Lagasco'!$Q657,'Dec 31 2018 OFFS'!$W:$W,'T1 2019 Pipeline Data Lagasco'!$G657),1))</f>
        <v>0</v>
      </c>
      <c r="S657" s="275">
        <f t="shared" si="22"/>
        <v>0</v>
      </c>
      <c r="T657" s="217"/>
    </row>
    <row r="658" spans="1:20" ht="14.1" customHeight="1">
      <c r="A658" s="224" t="s">
        <v>1500</v>
      </c>
      <c r="B658" s="218" t="s">
        <v>1501</v>
      </c>
      <c r="C658" s="223">
        <v>1</v>
      </c>
      <c r="D658" s="218" t="s">
        <v>1488</v>
      </c>
      <c r="E658" s="240">
        <v>3</v>
      </c>
      <c r="F658" s="223">
        <v>3912</v>
      </c>
      <c r="G658" s="223">
        <v>2009</v>
      </c>
      <c r="H658" s="223">
        <v>1</v>
      </c>
      <c r="I658" s="223">
        <v>0</v>
      </c>
      <c r="J658" s="223"/>
      <c r="K658" s="238">
        <v>92284.08</v>
      </c>
      <c r="L658" s="241">
        <v>44</v>
      </c>
      <c r="M658" s="228">
        <v>51679.084799999997</v>
      </c>
      <c r="N658" s="230">
        <v>23.59</v>
      </c>
      <c r="O658" s="231">
        <v>0</v>
      </c>
      <c r="P658" s="314"/>
      <c r="Q658" s="276">
        <f t="shared" si="21"/>
        <v>3912</v>
      </c>
      <c r="R658" s="275">
        <f>(SUMIFS('Dec 31 2018 OFFS'!$AG:$AG,'Dec 31 2018 OFFS'!$AI:$AI,'T1 2019 Pipeline Data Lagasco'!$A658,'Dec 31 2018 OFFS'!$U:$U,'T1 2019 Pipeline Data Lagasco'!$E658,'Dec 31 2018 OFFS'!$AK:$AK,'T1 2019 Pipeline Data Lagasco'!$Q658,'Dec 31 2018 OFFS'!$W:$W,'T1 2019 Pipeline Data Lagasco'!$G658))/(MAX(COUNTIFS('Dec 31 2018 OFFS'!$AI:$AI,'T1 2019 Pipeline Data Lagasco'!$A658,'Dec 31 2018 OFFS'!$U:$U,'T1 2019 Pipeline Data Lagasco'!$E658,'Dec 31 2018 OFFS'!$AK:$AK,'T1 2019 Pipeline Data Lagasco'!$Q658,'Dec 31 2018 OFFS'!$W:$W,'T1 2019 Pipeline Data Lagasco'!$G658),1))</f>
        <v>0</v>
      </c>
      <c r="S658" s="275">
        <f t="shared" si="22"/>
        <v>0</v>
      </c>
      <c r="T658" s="217"/>
    </row>
    <row r="659" spans="1:20" ht="14.1" customHeight="1">
      <c r="A659" s="224" t="s">
        <v>1500</v>
      </c>
      <c r="B659" s="218" t="s">
        <v>1501</v>
      </c>
      <c r="C659" s="223">
        <v>1</v>
      </c>
      <c r="D659" s="218" t="s">
        <v>1488</v>
      </c>
      <c r="E659" s="240">
        <v>3</v>
      </c>
      <c r="F659" s="230">
        <v>3091.63</v>
      </c>
      <c r="G659" s="223">
        <v>2002</v>
      </c>
      <c r="H659" s="223">
        <v>1</v>
      </c>
      <c r="I659" s="223">
        <v>0</v>
      </c>
      <c r="J659" s="223"/>
      <c r="K659" s="228">
        <v>72931.551699999996</v>
      </c>
      <c r="L659" s="241">
        <v>57</v>
      </c>
      <c r="M659" s="229">
        <v>31360.567230000001</v>
      </c>
      <c r="N659" s="230">
        <v>23.59</v>
      </c>
      <c r="O659" s="231">
        <v>0</v>
      </c>
      <c r="P659" s="314"/>
      <c r="Q659" s="276">
        <f t="shared" si="21"/>
        <v>3091.63</v>
      </c>
      <c r="R659" s="275">
        <f>(SUMIFS('Dec 31 2018 OFFS'!$AG:$AG,'Dec 31 2018 OFFS'!$AI:$AI,'T1 2019 Pipeline Data Lagasco'!$A659,'Dec 31 2018 OFFS'!$U:$U,'T1 2019 Pipeline Data Lagasco'!$E659,'Dec 31 2018 OFFS'!$AK:$AK,'T1 2019 Pipeline Data Lagasco'!$Q659,'Dec 31 2018 OFFS'!$W:$W,'T1 2019 Pipeline Data Lagasco'!$G659))/(MAX(COUNTIFS('Dec 31 2018 OFFS'!$AI:$AI,'T1 2019 Pipeline Data Lagasco'!$A659,'Dec 31 2018 OFFS'!$U:$U,'T1 2019 Pipeline Data Lagasco'!$E659,'Dec 31 2018 OFFS'!$AK:$AK,'T1 2019 Pipeline Data Lagasco'!$Q659,'Dec 31 2018 OFFS'!$W:$W,'T1 2019 Pipeline Data Lagasco'!$G659),1))</f>
        <v>0</v>
      </c>
      <c r="S659" s="275">
        <f t="shared" si="22"/>
        <v>0</v>
      </c>
      <c r="T659" s="217"/>
    </row>
    <row r="660" spans="1:20" ht="14.1" customHeight="1">
      <c r="A660" s="224" t="s">
        <v>1500</v>
      </c>
      <c r="B660" s="218" t="s">
        <v>1501</v>
      </c>
      <c r="C660" s="223">
        <v>1</v>
      </c>
      <c r="D660" s="218" t="s">
        <v>1488</v>
      </c>
      <c r="E660" s="240">
        <v>3</v>
      </c>
      <c r="F660" s="223">
        <v>3750</v>
      </c>
      <c r="G660" s="223">
        <v>2010</v>
      </c>
      <c r="H660" s="223">
        <v>1</v>
      </c>
      <c r="I660" s="223">
        <v>1</v>
      </c>
      <c r="J660" s="223"/>
      <c r="K660" s="237">
        <v>88462.50</v>
      </c>
      <c r="L660" s="241">
        <v>39</v>
      </c>
      <c r="M660" s="239">
        <v>53962.125</v>
      </c>
      <c r="N660" s="230">
        <v>23.59</v>
      </c>
      <c r="O660" s="231">
        <v>53962</v>
      </c>
      <c r="P660" s="314"/>
      <c r="Q660" s="276">
        <f t="shared" si="23" ref="Q660:Q723">ROUND(F660,2)</f>
        <v>3750</v>
      </c>
      <c r="R660" s="275">
        <f>(SUMIFS('Dec 31 2018 OFFS'!$AG:$AG,'Dec 31 2018 OFFS'!$AI:$AI,'T1 2019 Pipeline Data Lagasco'!$A660,'Dec 31 2018 OFFS'!$U:$U,'T1 2019 Pipeline Data Lagasco'!$E660,'Dec 31 2018 OFFS'!$AK:$AK,'T1 2019 Pipeline Data Lagasco'!$Q660,'Dec 31 2018 OFFS'!$W:$W,'T1 2019 Pipeline Data Lagasco'!$G660))/(MAX(COUNTIFS('Dec 31 2018 OFFS'!$AI:$AI,'T1 2019 Pipeline Data Lagasco'!$A660,'Dec 31 2018 OFFS'!$U:$U,'T1 2019 Pipeline Data Lagasco'!$E660,'Dec 31 2018 OFFS'!$AK:$AK,'T1 2019 Pipeline Data Lagasco'!$Q660,'Dec 31 2018 OFFS'!$W:$W,'T1 2019 Pipeline Data Lagasco'!$G660),1))</f>
        <v>53962</v>
      </c>
      <c r="S660" s="275">
        <f t="shared" si="24" ref="S660:S723">O660-R660</f>
        <v>0</v>
      </c>
      <c r="T660" s="217"/>
    </row>
    <row r="661" spans="1:20" ht="14.1" customHeight="1">
      <c r="A661" s="224" t="s">
        <v>1500</v>
      </c>
      <c r="B661" s="218" t="s">
        <v>1501</v>
      </c>
      <c r="C661" s="223">
        <v>1</v>
      </c>
      <c r="D661" s="218" t="s">
        <v>1488</v>
      </c>
      <c r="E661" s="240">
        <v>3</v>
      </c>
      <c r="F661" s="223">
        <v>7262</v>
      </c>
      <c r="G661" s="223">
        <v>2006</v>
      </c>
      <c r="H661" s="223">
        <v>1</v>
      </c>
      <c r="I661" s="223">
        <v>1</v>
      </c>
      <c r="J661" s="223"/>
      <c r="K661" s="238">
        <v>171310.58</v>
      </c>
      <c r="L661" s="241">
        <v>52</v>
      </c>
      <c r="M661" s="228">
        <v>82229.078399999999</v>
      </c>
      <c r="N661" s="230">
        <v>23.59</v>
      </c>
      <c r="O661" s="231">
        <v>82229</v>
      </c>
      <c r="P661" s="314"/>
      <c r="Q661" s="276">
        <f t="shared" si="23"/>
        <v>7262</v>
      </c>
      <c r="R661" s="275">
        <f>(SUMIFS('Dec 31 2018 OFFS'!$AG:$AG,'Dec 31 2018 OFFS'!$AI:$AI,'T1 2019 Pipeline Data Lagasco'!$A661,'Dec 31 2018 OFFS'!$U:$U,'T1 2019 Pipeline Data Lagasco'!$E661,'Dec 31 2018 OFFS'!$AK:$AK,'T1 2019 Pipeline Data Lagasco'!$Q661,'Dec 31 2018 OFFS'!$W:$W,'T1 2019 Pipeline Data Lagasco'!$G661))/(MAX(COUNTIFS('Dec 31 2018 OFFS'!$AI:$AI,'T1 2019 Pipeline Data Lagasco'!$A661,'Dec 31 2018 OFFS'!$U:$U,'T1 2019 Pipeline Data Lagasco'!$E661,'Dec 31 2018 OFFS'!$AK:$AK,'T1 2019 Pipeline Data Lagasco'!$Q661,'Dec 31 2018 OFFS'!$W:$W,'T1 2019 Pipeline Data Lagasco'!$G661),1))</f>
        <v>82229</v>
      </c>
      <c r="S661" s="275">
        <f t="shared" si="24"/>
        <v>0</v>
      </c>
      <c r="T661" s="217"/>
    </row>
    <row r="662" spans="1:20" ht="14.1" customHeight="1">
      <c r="A662" s="224" t="s">
        <v>1500</v>
      </c>
      <c r="B662" s="218" t="s">
        <v>1501</v>
      </c>
      <c r="C662" s="223">
        <v>1</v>
      </c>
      <c r="D662" s="218" t="s">
        <v>1488</v>
      </c>
      <c r="E662" s="240">
        <v>3</v>
      </c>
      <c r="F662" s="223">
        <v>9087</v>
      </c>
      <c r="G662" s="223">
        <v>2006</v>
      </c>
      <c r="H662" s="223">
        <v>1</v>
      </c>
      <c r="I662" s="223">
        <v>1</v>
      </c>
      <c r="J662" s="223"/>
      <c r="K662" s="238">
        <v>214362.33</v>
      </c>
      <c r="L662" s="241">
        <v>52</v>
      </c>
      <c r="M662" s="228">
        <v>102893.9184</v>
      </c>
      <c r="N662" s="230">
        <v>23.59</v>
      </c>
      <c r="O662" s="231">
        <v>102893</v>
      </c>
      <c r="P662" s="314"/>
      <c r="Q662" s="276">
        <f t="shared" si="23"/>
        <v>9087</v>
      </c>
      <c r="R662" s="275">
        <f>(SUMIFS('Dec 31 2018 OFFS'!$AG:$AG,'Dec 31 2018 OFFS'!$AI:$AI,'T1 2019 Pipeline Data Lagasco'!$A662,'Dec 31 2018 OFFS'!$U:$U,'T1 2019 Pipeline Data Lagasco'!$E662,'Dec 31 2018 OFFS'!$AK:$AK,'T1 2019 Pipeline Data Lagasco'!$Q662,'Dec 31 2018 OFFS'!$W:$W,'T1 2019 Pipeline Data Lagasco'!$G662))/(MAX(COUNTIFS('Dec 31 2018 OFFS'!$AI:$AI,'T1 2019 Pipeline Data Lagasco'!$A662,'Dec 31 2018 OFFS'!$U:$U,'T1 2019 Pipeline Data Lagasco'!$E662,'Dec 31 2018 OFFS'!$AK:$AK,'T1 2019 Pipeline Data Lagasco'!$Q662,'Dec 31 2018 OFFS'!$W:$W,'T1 2019 Pipeline Data Lagasco'!$G662),1))</f>
        <v>102893</v>
      </c>
      <c r="S662" s="275">
        <f t="shared" si="24"/>
        <v>0</v>
      </c>
      <c r="T662" s="217"/>
    </row>
    <row r="663" spans="1:20" ht="14.1" customHeight="1">
      <c r="A663" s="224" t="s">
        <v>1500</v>
      </c>
      <c r="B663" s="218" t="s">
        <v>1501</v>
      </c>
      <c r="C663" s="223">
        <v>1</v>
      </c>
      <c r="D663" s="218" t="s">
        <v>1488</v>
      </c>
      <c r="E663" s="240">
        <v>3</v>
      </c>
      <c r="F663" s="223">
        <v>5172</v>
      </c>
      <c r="G663" s="223">
        <v>2006</v>
      </c>
      <c r="H663" s="223">
        <v>1</v>
      </c>
      <c r="I663" s="223">
        <v>1</v>
      </c>
      <c r="J663" s="223"/>
      <c r="K663" s="238">
        <v>122007.48</v>
      </c>
      <c r="L663" s="241">
        <v>52</v>
      </c>
      <c r="M663" s="228">
        <v>58563.590400000001</v>
      </c>
      <c r="N663" s="230">
        <v>23.59</v>
      </c>
      <c r="O663" s="231">
        <v>58563</v>
      </c>
      <c r="P663" s="314"/>
      <c r="Q663" s="276">
        <f t="shared" si="23"/>
        <v>5172</v>
      </c>
      <c r="R663" s="275">
        <f>(SUMIFS('Dec 31 2018 OFFS'!$AG:$AG,'Dec 31 2018 OFFS'!$AI:$AI,'T1 2019 Pipeline Data Lagasco'!$A663,'Dec 31 2018 OFFS'!$U:$U,'T1 2019 Pipeline Data Lagasco'!$E663,'Dec 31 2018 OFFS'!$AK:$AK,'T1 2019 Pipeline Data Lagasco'!$Q663,'Dec 31 2018 OFFS'!$W:$W,'T1 2019 Pipeline Data Lagasco'!$G663))/(MAX(COUNTIFS('Dec 31 2018 OFFS'!$AI:$AI,'T1 2019 Pipeline Data Lagasco'!$A663,'Dec 31 2018 OFFS'!$U:$U,'T1 2019 Pipeline Data Lagasco'!$E663,'Dec 31 2018 OFFS'!$AK:$AK,'T1 2019 Pipeline Data Lagasco'!$Q663,'Dec 31 2018 OFFS'!$W:$W,'T1 2019 Pipeline Data Lagasco'!$G663),1))</f>
        <v>58563</v>
      </c>
      <c r="S663" s="275">
        <f t="shared" si="24"/>
        <v>0</v>
      </c>
      <c r="T663" s="217"/>
    </row>
    <row r="664" spans="1:20" ht="14.1" customHeight="1">
      <c r="A664" s="224" t="s">
        <v>1500</v>
      </c>
      <c r="B664" s="218" t="s">
        <v>1501</v>
      </c>
      <c r="C664" s="223">
        <v>1</v>
      </c>
      <c r="D664" s="218" t="s">
        <v>1488</v>
      </c>
      <c r="E664" s="240">
        <v>4</v>
      </c>
      <c r="F664" s="223">
        <v>7480</v>
      </c>
      <c r="G664" s="223">
        <v>2005</v>
      </c>
      <c r="H664" s="223">
        <v>1</v>
      </c>
      <c r="I664" s="223">
        <v>1</v>
      </c>
      <c r="J664" s="223"/>
      <c r="K664" s="240">
        <v>197846</v>
      </c>
      <c r="L664" s="241">
        <v>54</v>
      </c>
      <c r="M664" s="238">
        <v>91009.16</v>
      </c>
      <c r="N664" s="230">
        <v>26.45</v>
      </c>
      <c r="O664" s="231">
        <v>91009</v>
      </c>
      <c r="P664" s="314"/>
      <c r="Q664" s="279">
        <f t="shared" si="23"/>
        <v>7480</v>
      </c>
      <c r="R664" s="275">
        <f>(SUMIFS('Dec 31 2018 OFFS'!$AG:$AG,'Dec 31 2018 OFFS'!$AI:$AI,'T1 2019 Pipeline Data Lagasco'!$A664,'Dec 31 2018 OFFS'!$U:$U,'T1 2019 Pipeline Data Lagasco'!$E664,'Dec 31 2018 OFFS'!$AK:$AK,'T1 2019 Pipeline Data Lagasco'!$Q664,'Dec 31 2018 OFFS'!$W:$W,'T1 2019 Pipeline Data Lagasco'!$G664))/(MAX(COUNTIFS('Dec 31 2018 OFFS'!$AI:$AI,'T1 2019 Pipeline Data Lagasco'!$A664,'Dec 31 2018 OFFS'!$U:$U,'T1 2019 Pipeline Data Lagasco'!$E664,'Dec 31 2018 OFFS'!$AK:$AK,'T1 2019 Pipeline Data Lagasco'!$Q664,'Dec 31 2018 OFFS'!$W:$W,'T1 2019 Pipeline Data Lagasco'!$G664),1))</f>
        <v>91009</v>
      </c>
      <c r="S664" s="275">
        <f t="shared" si="24"/>
        <v>0</v>
      </c>
      <c r="T664" s="278">
        <f>R664/O664</f>
        <v>1</v>
      </c>
    </row>
    <row r="665" spans="1:20" ht="14.1" customHeight="1">
      <c r="A665" s="224" t="s">
        <v>1500</v>
      </c>
      <c r="B665" s="218" t="s">
        <v>1501</v>
      </c>
      <c r="C665" s="223">
        <v>1</v>
      </c>
      <c r="D665" s="218" t="s">
        <v>1488</v>
      </c>
      <c r="E665" s="240">
        <v>4</v>
      </c>
      <c r="F665" s="230">
        <v>2781.79</v>
      </c>
      <c r="G665" s="223">
        <v>1971</v>
      </c>
      <c r="H665" s="223">
        <v>1</v>
      </c>
      <c r="I665" s="223">
        <v>0</v>
      </c>
      <c r="J665" s="223"/>
      <c r="K665" s="228">
        <v>73578.345499999996</v>
      </c>
      <c r="L665" s="241">
        <v>80</v>
      </c>
      <c r="M665" s="228">
        <v>14715.669099999999</v>
      </c>
      <c r="N665" s="230">
        <v>26.45</v>
      </c>
      <c r="O665" s="231">
        <v>0</v>
      </c>
      <c r="P665" s="314"/>
      <c r="Q665" s="276">
        <f t="shared" si="23"/>
        <v>2781.79</v>
      </c>
      <c r="R665" s="275">
        <f>(SUMIFS('Dec 31 2018 OFFS'!$AG:$AG,'Dec 31 2018 OFFS'!$AI:$AI,'T1 2019 Pipeline Data Lagasco'!$A665,'Dec 31 2018 OFFS'!$U:$U,'T1 2019 Pipeline Data Lagasco'!$E665,'Dec 31 2018 OFFS'!$AK:$AK,'T1 2019 Pipeline Data Lagasco'!$Q665,'Dec 31 2018 OFFS'!$W:$W,'T1 2019 Pipeline Data Lagasco'!$G665))/(MAX(COUNTIFS('Dec 31 2018 OFFS'!$AI:$AI,'T1 2019 Pipeline Data Lagasco'!$A665,'Dec 31 2018 OFFS'!$U:$U,'T1 2019 Pipeline Data Lagasco'!$E665,'Dec 31 2018 OFFS'!$AK:$AK,'T1 2019 Pipeline Data Lagasco'!$Q665,'Dec 31 2018 OFFS'!$W:$W,'T1 2019 Pipeline Data Lagasco'!$G665),1))</f>
        <v>0</v>
      </c>
      <c r="S665" s="275">
        <f t="shared" si="24"/>
        <v>0</v>
      </c>
      <c r="T665" s="217"/>
    </row>
    <row r="666" spans="1:20" ht="14.1" customHeight="1">
      <c r="A666" s="224" t="s">
        <v>1500</v>
      </c>
      <c r="B666" s="218" t="s">
        <v>1501</v>
      </c>
      <c r="C666" s="223">
        <v>1</v>
      </c>
      <c r="D666" s="218" t="s">
        <v>1488</v>
      </c>
      <c r="E666" s="240">
        <v>4</v>
      </c>
      <c r="F666" s="230">
        <v>8651.41</v>
      </c>
      <c r="G666" s="223">
        <v>1971</v>
      </c>
      <c r="H666" s="223">
        <v>1</v>
      </c>
      <c r="I666" s="223">
        <v>0</v>
      </c>
      <c r="J666" s="223"/>
      <c r="K666" s="228">
        <v>228829.79449999999</v>
      </c>
      <c r="L666" s="241">
        <v>80</v>
      </c>
      <c r="M666" s="228">
        <v>45765.958899999998</v>
      </c>
      <c r="N666" s="230">
        <v>26.45</v>
      </c>
      <c r="O666" s="231">
        <v>0</v>
      </c>
      <c r="P666" s="314"/>
      <c r="Q666" s="276">
        <f t="shared" si="23"/>
        <v>8651.41</v>
      </c>
      <c r="R666" s="275">
        <f>(SUMIFS('Dec 31 2018 OFFS'!$AG:$AG,'Dec 31 2018 OFFS'!$AI:$AI,'T1 2019 Pipeline Data Lagasco'!$A666,'Dec 31 2018 OFFS'!$U:$U,'T1 2019 Pipeline Data Lagasco'!$E666,'Dec 31 2018 OFFS'!$AK:$AK,'T1 2019 Pipeline Data Lagasco'!$Q666,'Dec 31 2018 OFFS'!$W:$W,'T1 2019 Pipeline Data Lagasco'!$G666))/(MAX(COUNTIFS('Dec 31 2018 OFFS'!$AI:$AI,'T1 2019 Pipeline Data Lagasco'!$A666,'Dec 31 2018 OFFS'!$U:$U,'T1 2019 Pipeline Data Lagasco'!$E666,'Dec 31 2018 OFFS'!$AK:$AK,'T1 2019 Pipeline Data Lagasco'!$Q666,'Dec 31 2018 OFFS'!$W:$W,'T1 2019 Pipeline Data Lagasco'!$G666),1))</f>
        <v>0</v>
      </c>
      <c r="S666" s="275">
        <f t="shared" si="24"/>
        <v>0</v>
      </c>
      <c r="T666" s="217"/>
    </row>
    <row r="667" spans="1:20" ht="14.1" customHeight="1">
      <c r="A667" s="224" t="s">
        <v>1500</v>
      </c>
      <c r="B667" s="218" t="s">
        <v>1501</v>
      </c>
      <c r="C667" s="223">
        <v>1</v>
      </c>
      <c r="D667" s="218" t="s">
        <v>1488</v>
      </c>
      <c r="E667" s="240">
        <v>4</v>
      </c>
      <c r="F667" s="230">
        <v>4251.38</v>
      </c>
      <c r="G667" s="223">
        <v>1971</v>
      </c>
      <c r="H667" s="223">
        <v>1</v>
      </c>
      <c r="I667" s="223">
        <v>0</v>
      </c>
      <c r="J667" s="223"/>
      <c r="K667" s="239">
        <v>112449.001</v>
      </c>
      <c r="L667" s="241">
        <v>80</v>
      </c>
      <c r="M667" s="228">
        <v>22489.800200000001</v>
      </c>
      <c r="N667" s="230">
        <v>26.45</v>
      </c>
      <c r="O667" s="231">
        <v>0</v>
      </c>
      <c r="P667" s="314"/>
      <c r="Q667" s="276">
        <f t="shared" si="23"/>
        <v>4251.38</v>
      </c>
      <c r="R667" s="275">
        <f>(SUMIFS('Dec 31 2018 OFFS'!$AG:$AG,'Dec 31 2018 OFFS'!$AI:$AI,'T1 2019 Pipeline Data Lagasco'!$A667,'Dec 31 2018 OFFS'!$U:$U,'T1 2019 Pipeline Data Lagasco'!$E667,'Dec 31 2018 OFFS'!$AK:$AK,'T1 2019 Pipeline Data Lagasco'!$Q667,'Dec 31 2018 OFFS'!$W:$W,'T1 2019 Pipeline Data Lagasco'!$G667))/(MAX(COUNTIFS('Dec 31 2018 OFFS'!$AI:$AI,'T1 2019 Pipeline Data Lagasco'!$A667,'Dec 31 2018 OFFS'!$U:$U,'T1 2019 Pipeline Data Lagasco'!$E667,'Dec 31 2018 OFFS'!$AK:$AK,'T1 2019 Pipeline Data Lagasco'!$Q667,'Dec 31 2018 OFFS'!$W:$W,'T1 2019 Pipeline Data Lagasco'!$G667),1))</f>
        <v>0</v>
      </c>
      <c r="S667" s="275">
        <f t="shared" si="24"/>
        <v>0</v>
      </c>
      <c r="T667" s="217"/>
    </row>
    <row r="668" spans="1:20" ht="14.1" customHeight="1">
      <c r="A668" s="224" t="s">
        <v>1500</v>
      </c>
      <c r="B668" s="218" t="s">
        <v>1501</v>
      </c>
      <c r="C668" s="223">
        <v>1</v>
      </c>
      <c r="D668" s="218" t="s">
        <v>1488</v>
      </c>
      <c r="E668" s="240">
        <v>4</v>
      </c>
      <c r="F668" s="230">
        <v>2748.79</v>
      </c>
      <c r="G668" s="223">
        <v>1971</v>
      </c>
      <c r="H668" s="223">
        <v>1</v>
      </c>
      <c r="I668" s="223">
        <v>0</v>
      </c>
      <c r="J668" s="223"/>
      <c r="K668" s="228">
        <v>72705.495500000005</v>
      </c>
      <c r="L668" s="241">
        <v>80</v>
      </c>
      <c r="M668" s="228">
        <v>14541.099099999999</v>
      </c>
      <c r="N668" s="230">
        <v>26.45</v>
      </c>
      <c r="O668" s="231">
        <v>0</v>
      </c>
      <c r="P668" s="314"/>
      <c r="Q668" s="276">
        <f t="shared" si="23"/>
        <v>2748.79</v>
      </c>
      <c r="R668" s="275">
        <f>(SUMIFS('Dec 31 2018 OFFS'!$AG:$AG,'Dec 31 2018 OFFS'!$AI:$AI,'T1 2019 Pipeline Data Lagasco'!$A668,'Dec 31 2018 OFFS'!$U:$U,'T1 2019 Pipeline Data Lagasco'!$E668,'Dec 31 2018 OFFS'!$AK:$AK,'T1 2019 Pipeline Data Lagasco'!$Q668,'Dec 31 2018 OFFS'!$W:$W,'T1 2019 Pipeline Data Lagasco'!$G668))/(MAX(COUNTIFS('Dec 31 2018 OFFS'!$AI:$AI,'T1 2019 Pipeline Data Lagasco'!$A668,'Dec 31 2018 OFFS'!$U:$U,'T1 2019 Pipeline Data Lagasco'!$E668,'Dec 31 2018 OFFS'!$AK:$AK,'T1 2019 Pipeline Data Lagasco'!$Q668,'Dec 31 2018 OFFS'!$W:$W,'T1 2019 Pipeline Data Lagasco'!$G668),1))</f>
        <v>0</v>
      </c>
      <c r="S668" s="275">
        <f t="shared" si="24"/>
        <v>0</v>
      </c>
      <c r="T668" s="217"/>
    </row>
    <row r="669" spans="1:20" ht="14.1" customHeight="1">
      <c r="A669" s="224" t="s">
        <v>1500</v>
      </c>
      <c r="B669" s="218" t="s">
        <v>1501</v>
      </c>
      <c r="C669" s="223">
        <v>1</v>
      </c>
      <c r="D669" s="218" t="s">
        <v>1488</v>
      </c>
      <c r="E669" s="240">
        <v>4</v>
      </c>
      <c r="F669" s="223">
        <v>4006</v>
      </c>
      <c r="G669" s="223">
        <v>1968</v>
      </c>
      <c r="H669" s="223">
        <v>1</v>
      </c>
      <c r="I669" s="223">
        <v>0</v>
      </c>
      <c r="J669" s="223"/>
      <c r="K669" s="237">
        <v>105958.70</v>
      </c>
      <c r="L669" s="241">
        <v>80</v>
      </c>
      <c r="M669" s="238">
        <v>21191.74</v>
      </c>
      <c r="N669" s="230">
        <v>26.45</v>
      </c>
      <c r="O669" s="231">
        <v>0</v>
      </c>
      <c r="P669" s="314"/>
      <c r="Q669" s="276">
        <f t="shared" si="23"/>
        <v>4006</v>
      </c>
      <c r="R669" s="275">
        <f>(SUMIFS('Dec 31 2018 OFFS'!$AG:$AG,'Dec 31 2018 OFFS'!$AI:$AI,'T1 2019 Pipeline Data Lagasco'!$A669,'Dec 31 2018 OFFS'!$U:$U,'T1 2019 Pipeline Data Lagasco'!$E669,'Dec 31 2018 OFFS'!$AK:$AK,'T1 2019 Pipeline Data Lagasco'!$Q669,'Dec 31 2018 OFFS'!$W:$W,'T1 2019 Pipeline Data Lagasco'!$G669))/(MAX(COUNTIFS('Dec 31 2018 OFFS'!$AI:$AI,'T1 2019 Pipeline Data Lagasco'!$A669,'Dec 31 2018 OFFS'!$U:$U,'T1 2019 Pipeline Data Lagasco'!$E669,'Dec 31 2018 OFFS'!$AK:$AK,'T1 2019 Pipeline Data Lagasco'!$Q669,'Dec 31 2018 OFFS'!$W:$W,'T1 2019 Pipeline Data Lagasco'!$G669),1))</f>
        <v>0</v>
      </c>
      <c r="S669" s="275">
        <f t="shared" si="24"/>
        <v>0</v>
      </c>
      <c r="T669" s="217"/>
    </row>
    <row r="670" spans="1:20" ht="14.1" customHeight="1">
      <c r="A670" s="224" t="s">
        <v>1500</v>
      </c>
      <c r="B670" s="218" t="s">
        <v>1501</v>
      </c>
      <c r="C670" s="223">
        <v>1</v>
      </c>
      <c r="D670" s="218" t="s">
        <v>1488</v>
      </c>
      <c r="E670" s="240">
        <v>4</v>
      </c>
      <c r="F670" s="223">
        <v>4984</v>
      </c>
      <c r="G670" s="223">
        <v>1975</v>
      </c>
      <c r="H670" s="223">
        <v>1</v>
      </c>
      <c r="I670" s="223">
        <v>0</v>
      </c>
      <c r="J670" s="223"/>
      <c r="K670" s="237">
        <v>131826.79999999999</v>
      </c>
      <c r="L670" s="241">
        <v>80</v>
      </c>
      <c r="M670" s="238">
        <v>26365.36</v>
      </c>
      <c r="N670" s="230">
        <v>26.45</v>
      </c>
      <c r="O670" s="231">
        <v>0</v>
      </c>
      <c r="P670" s="314"/>
      <c r="Q670" s="276">
        <f t="shared" si="23"/>
        <v>4984</v>
      </c>
      <c r="R670" s="275">
        <f>(SUMIFS('Dec 31 2018 OFFS'!$AG:$AG,'Dec 31 2018 OFFS'!$AI:$AI,'T1 2019 Pipeline Data Lagasco'!$A670,'Dec 31 2018 OFFS'!$U:$U,'T1 2019 Pipeline Data Lagasco'!$E670,'Dec 31 2018 OFFS'!$AK:$AK,'T1 2019 Pipeline Data Lagasco'!$Q670,'Dec 31 2018 OFFS'!$W:$W,'T1 2019 Pipeline Data Lagasco'!$G670))/(MAX(COUNTIFS('Dec 31 2018 OFFS'!$AI:$AI,'T1 2019 Pipeline Data Lagasco'!$A670,'Dec 31 2018 OFFS'!$U:$U,'T1 2019 Pipeline Data Lagasco'!$E670,'Dec 31 2018 OFFS'!$AK:$AK,'T1 2019 Pipeline Data Lagasco'!$Q670,'Dec 31 2018 OFFS'!$W:$W,'T1 2019 Pipeline Data Lagasco'!$G670),1))</f>
        <v>0</v>
      </c>
      <c r="S670" s="275">
        <f t="shared" si="24"/>
        <v>0</v>
      </c>
      <c r="T670" s="217"/>
    </row>
    <row r="671" spans="1:20" ht="14.1" customHeight="1">
      <c r="A671" s="224" t="s">
        <v>1500</v>
      </c>
      <c r="B671" s="218" t="s">
        <v>1501</v>
      </c>
      <c r="C671" s="223">
        <v>1</v>
      </c>
      <c r="D671" s="218" t="s">
        <v>1488</v>
      </c>
      <c r="E671" s="240">
        <v>4</v>
      </c>
      <c r="F671" s="223">
        <v>7480</v>
      </c>
      <c r="G671" s="223">
        <v>2005</v>
      </c>
      <c r="H671" s="223">
        <v>1</v>
      </c>
      <c r="I671" s="223">
        <v>1</v>
      </c>
      <c r="J671" s="223"/>
      <c r="K671" s="240">
        <v>197846</v>
      </c>
      <c r="L671" s="241">
        <v>54</v>
      </c>
      <c r="M671" s="238">
        <v>91009.16</v>
      </c>
      <c r="N671" s="230">
        <v>26.45</v>
      </c>
      <c r="O671" s="231">
        <v>91009</v>
      </c>
      <c r="P671" s="314"/>
      <c r="Q671" s="279">
        <f t="shared" si="23"/>
        <v>7480</v>
      </c>
      <c r="R671" s="275">
        <f>(SUMIFS('Dec 31 2018 OFFS'!$AG:$AG,'Dec 31 2018 OFFS'!$AI:$AI,'T1 2019 Pipeline Data Lagasco'!$A671,'Dec 31 2018 OFFS'!$U:$U,'T1 2019 Pipeline Data Lagasco'!$E671,'Dec 31 2018 OFFS'!$AK:$AK,'T1 2019 Pipeline Data Lagasco'!$Q671,'Dec 31 2018 OFFS'!$W:$W,'T1 2019 Pipeline Data Lagasco'!$G671))/(MAX(COUNTIFS('Dec 31 2018 OFFS'!$AI:$AI,'T1 2019 Pipeline Data Lagasco'!$A671,'Dec 31 2018 OFFS'!$U:$U,'T1 2019 Pipeline Data Lagasco'!$E671,'Dec 31 2018 OFFS'!$AK:$AK,'T1 2019 Pipeline Data Lagasco'!$Q671,'Dec 31 2018 OFFS'!$W:$W,'T1 2019 Pipeline Data Lagasco'!$G671),1))</f>
        <v>91009</v>
      </c>
      <c r="S671" s="275">
        <f t="shared" si="24"/>
        <v>0</v>
      </c>
      <c r="T671" s="278">
        <f>R671/O671</f>
        <v>1</v>
      </c>
    </row>
    <row r="672" spans="1:20" ht="14.1" customHeight="1">
      <c r="A672" s="224" t="s">
        <v>1500</v>
      </c>
      <c r="B672" s="218" t="s">
        <v>1501</v>
      </c>
      <c r="C672" s="223">
        <v>1</v>
      </c>
      <c r="D672" s="218" t="s">
        <v>1488</v>
      </c>
      <c r="E672" s="240">
        <v>4</v>
      </c>
      <c r="F672" s="230">
        <v>8942.91</v>
      </c>
      <c r="G672" s="223">
        <v>1975</v>
      </c>
      <c r="H672" s="223">
        <v>1</v>
      </c>
      <c r="I672" s="223">
        <v>0</v>
      </c>
      <c r="J672" s="223"/>
      <c r="K672" s="228">
        <v>236539.96950000001</v>
      </c>
      <c r="L672" s="241">
        <v>80</v>
      </c>
      <c r="M672" s="228">
        <v>47307.993900000001</v>
      </c>
      <c r="N672" s="230">
        <v>26.45</v>
      </c>
      <c r="O672" s="231">
        <v>0</v>
      </c>
      <c r="P672" s="314"/>
      <c r="Q672" s="276">
        <f t="shared" si="23"/>
        <v>8942.91</v>
      </c>
      <c r="R672" s="275">
        <f>(SUMIFS('Dec 31 2018 OFFS'!$AG:$AG,'Dec 31 2018 OFFS'!$AI:$AI,'T1 2019 Pipeline Data Lagasco'!$A672,'Dec 31 2018 OFFS'!$U:$U,'T1 2019 Pipeline Data Lagasco'!$E672,'Dec 31 2018 OFFS'!$AK:$AK,'T1 2019 Pipeline Data Lagasco'!$Q672,'Dec 31 2018 OFFS'!$W:$W,'T1 2019 Pipeline Data Lagasco'!$G672))/(MAX(COUNTIFS('Dec 31 2018 OFFS'!$AI:$AI,'T1 2019 Pipeline Data Lagasco'!$A672,'Dec 31 2018 OFFS'!$U:$U,'T1 2019 Pipeline Data Lagasco'!$E672,'Dec 31 2018 OFFS'!$AK:$AK,'T1 2019 Pipeline Data Lagasco'!$Q672,'Dec 31 2018 OFFS'!$W:$W,'T1 2019 Pipeline Data Lagasco'!$G672),1))</f>
        <v>0</v>
      </c>
      <c r="S672" s="275">
        <f t="shared" si="24"/>
        <v>0</v>
      </c>
      <c r="T672" s="217"/>
    </row>
    <row r="673" spans="1:20" ht="14.1" customHeight="1">
      <c r="A673" s="224" t="s">
        <v>1500</v>
      </c>
      <c r="B673" s="218" t="s">
        <v>1501</v>
      </c>
      <c r="C673" s="223">
        <v>1</v>
      </c>
      <c r="D673" s="218" t="s">
        <v>1488</v>
      </c>
      <c r="E673" s="240">
        <v>4</v>
      </c>
      <c r="F673" s="230">
        <v>1049.05</v>
      </c>
      <c r="G673" s="223">
        <v>1968</v>
      </c>
      <c r="H673" s="223">
        <v>1</v>
      </c>
      <c r="I673" s="223">
        <v>0</v>
      </c>
      <c r="J673" s="223"/>
      <c r="K673" s="228">
        <v>27747.372500000001</v>
      </c>
      <c r="L673" s="241">
        <v>80</v>
      </c>
      <c r="M673" s="228">
        <v>5549.4745000000003</v>
      </c>
      <c r="N673" s="230">
        <v>26.45</v>
      </c>
      <c r="O673" s="231">
        <v>0</v>
      </c>
      <c r="P673" s="314"/>
      <c r="Q673" s="276">
        <f t="shared" si="23"/>
        <v>1049.05</v>
      </c>
      <c r="R673" s="275">
        <f>(SUMIFS('Dec 31 2018 OFFS'!$AG:$AG,'Dec 31 2018 OFFS'!$AI:$AI,'T1 2019 Pipeline Data Lagasco'!$A673,'Dec 31 2018 OFFS'!$U:$U,'T1 2019 Pipeline Data Lagasco'!$E673,'Dec 31 2018 OFFS'!$AK:$AK,'T1 2019 Pipeline Data Lagasco'!$Q673,'Dec 31 2018 OFFS'!$W:$W,'T1 2019 Pipeline Data Lagasco'!$G673))/(MAX(COUNTIFS('Dec 31 2018 OFFS'!$AI:$AI,'T1 2019 Pipeline Data Lagasco'!$A673,'Dec 31 2018 OFFS'!$U:$U,'T1 2019 Pipeline Data Lagasco'!$E673,'Dec 31 2018 OFFS'!$AK:$AK,'T1 2019 Pipeline Data Lagasco'!$Q673,'Dec 31 2018 OFFS'!$W:$W,'T1 2019 Pipeline Data Lagasco'!$G673),1))</f>
        <v>0</v>
      </c>
      <c r="S673" s="275">
        <f t="shared" si="24"/>
        <v>0</v>
      </c>
      <c r="T673" s="217"/>
    </row>
    <row r="674" spans="1:20" ht="14.1" customHeight="1">
      <c r="A674" s="224" t="s">
        <v>1500</v>
      </c>
      <c r="B674" s="218" t="s">
        <v>1501</v>
      </c>
      <c r="C674" s="223">
        <v>1</v>
      </c>
      <c r="D674" s="218" t="s">
        <v>1488</v>
      </c>
      <c r="E674" s="240">
        <v>4</v>
      </c>
      <c r="F674" s="223">
        <v>7480</v>
      </c>
      <c r="G674" s="223">
        <v>2005</v>
      </c>
      <c r="H674" s="223">
        <v>1</v>
      </c>
      <c r="I674" s="223">
        <v>1</v>
      </c>
      <c r="J674" s="223"/>
      <c r="K674" s="240">
        <v>197846</v>
      </c>
      <c r="L674" s="241">
        <v>54</v>
      </c>
      <c r="M674" s="238">
        <v>91009.16</v>
      </c>
      <c r="N674" s="230">
        <v>26.45</v>
      </c>
      <c r="O674" s="231">
        <v>91009</v>
      </c>
      <c r="P674" s="314"/>
      <c r="Q674" s="279">
        <f t="shared" si="23"/>
        <v>7480</v>
      </c>
      <c r="R674" s="275">
        <f>(SUMIFS('Dec 31 2018 OFFS'!$AG:$AG,'Dec 31 2018 OFFS'!$AI:$AI,'T1 2019 Pipeline Data Lagasco'!$A674,'Dec 31 2018 OFFS'!$U:$U,'T1 2019 Pipeline Data Lagasco'!$E674,'Dec 31 2018 OFFS'!$AK:$AK,'T1 2019 Pipeline Data Lagasco'!$Q674,'Dec 31 2018 OFFS'!$W:$W,'T1 2019 Pipeline Data Lagasco'!$G674))/(MAX(COUNTIFS('Dec 31 2018 OFFS'!$AI:$AI,'T1 2019 Pipeline Data Lagasco'!$A674,'Dec 31 2018 OFFS'!$U:$U,'T1 2019 Pipeline Data Lagasco'!$E674,'Dec 31 2018 OFFS'!$AK:$AK,'T1 2019 Pipeline Data Lagasco'!$Q674,'Dec 31 2018 OFFS'!$W:$W,'T1 2019 Pipeline Data Lagasco'!$G674),1))</f>
        <v>91009</v>
      </c>
      <c r="S674" s="275">
        <f t="shared" si="24"/>
        <v>0</v>
      </c>
      <c r="T674" s="278">
        <f>R674/O674</f>
        <v>1</v>
      </c>
    </row>
    <row r="675" spans="1:20" ht="14.1" customHeight="1">
      <c r="A675" s="224" t="s">
        <v>1500</v>
      </c>
      <c r="B675" s="218" t="s">
        <v>1501</v>
      </c>
      <c r="C675" s="223">
        <v>1</v>
      </c>
      <c r="D675" s="218" t="s">
        <v>1488</v>
      </c>
      <c r="E675" s="240">
        <v>4</v>
      </c>
      <c r="F675" s="242">
        <v>10287.40</v>
      </c>
      <c r="G675" s="223">
        <v>1968</v>
      </c>
      <c r="H675" s="223">
        <v>1</v>
      </c>
      <c r="I675" s="223">
        <v>0</v>
      </c>
      <c r="J675" s="223"/>
      <c r="K675" s="238">
        <v>272101.73</v>
      </c>
      <c r="L675" s="241">
        <v>80</v>
      </c>
      <c r="M675" s="239">
        <v>54420.345999999998</v>
      </c>
      <c r="N675" s="230">
        <v>26.45</v>
      </c>
      <c r="O675" s="231">
        <v>0</v>
      </c>
      <c r="P675" s="314"/>
      <c r="Q675" s="276">
        <f t="shared" si="23"/>
        <v>10287.40</v>
      </c>
      <c r="R675" s="275">
        <f>(SUMIFS('Dec 31 2018 OFFS'!$AG:$AG,'Dec 31 2018 OFFS'!$AI:$AI,'T1 2019 Pipeline Data Lagasco'!$A675,'Dec 31 2018 OFFS'!$U:$U,'T1 2019 Pipeline Data Lagasco'!$E675,'Dec 31 2018 OFFS'!$AK:$AK,'T1 2019 Pipeline Data Lagasco'!$Q675,'Dec 31 2018 OFFS'!$W:$W,'T1 2019 Pipeline Data Lagasco'!$G675))/(MAX(COUNTIFS('Dec 31 2018 OFFS'!$AI:$AI,'T1 2019 Pipeline Data Lagasco'!$A675,'Dec 31 2018 OFFS'!$U:$U,'T1 2019 Pipeline Data Lagasco'!$E675,'Dec 31 2018 OFFS'!$AK:$AK,'T1 2019 Pipeline Data Lagasco'!$Q675,'Dec 31 2018 OFFS'!$W:$W,'T1 2019 Pipeline Data Lagasco'!$G675),1))</f>
        <v>0</v>
      </c>
      <c r="S675" s="275">
        <f t="shared" si="24"/>
        <v>0</v>
      </c>
      <c r="T675" s="217"/>
    </row>
    <row r="676" spans="1:20" ht="14.1" customHeight="1">
      <c r="A676" s="224" t="s">
        <v>1500</v>
      </c>
      <c r="B676" s="218" t="s">
        <v>1501</v>
      </c>
      <c r="C676" s="223">
        <v>1</v>
      </c>
      <c r="D676" s="218" t="s">
        <v>1488</v>
      </c>
      <c r="E676" s="240">
        <v>4</v>
      </c>
      <c r="F676" s="226">
        <v>4693.1429090000001</v>
      </c>
      <c r="G676" s="223">
        <v>1971</v>
      </c>
      <c r="H676" s="223">
        <v>1</v>
      </c>
      <c r="I676" s="223">
        <v>0</v>
      </c>
      <c r="J676" s="223"/>
      <c r="K676" s="228">
        <v>124133.6299</v>
      </c>
      <c r="L676" s="241">
        <v>80</v>
      </c>
      <c r="M676" s="229">
        <v>24826.725989999999</v>
      </c>
      <c r="N676" s="230">
        <v>26.45</v>
      </c>
      <c r="O676" s="231">
        <v>0</v>
      </c>
      <c r="P676" s="314"/>
      <c r="Q676" s="276">
        <f t="shared" si="23"/>
        <v>4693.1400000000003</v>
      </c>
      <c r="R676" s="275">
        <f>(SUMIFS('Dec 31 2018 OFFS'!$AG:$AG,'Dec 31 2018 OFFS'!$AI:$AI,'T1 2019 Pipeline Data Lagasco'!$A676,'Dec 31 2018 OFFS'!$U:$U,'T1 2019 Pipeline Data Lagasco'!$E676,'Dec 31 2018 OFFS'!$AK:$AK,'T1 2019 Pipeline Data Lagasco'!$Q676,'Dec 31 2018 OFFS'!$W:$W,'T1 2019 Pipeline Data Lagasco'!$G676))/(MAX(COUNTIFS('Dec 31 2018 OFFS'!$AI:$AI,'T1 2019 Pipeline Data Lagasco'!$A676,'Dec 31 2018 OFFS'!$U:$U,'T1 2019 Pipeline Data Lagasco'!$E676,'Dec 31 2018 OFFS'!$AK:$AK,'T1 2019 Pipeline Data Lagasco'!$Q676,'Dec 31 2018 OFFS'!$W:$W,'T1 2019 Pipeline Data Lagasco'!$G676),1))</f>
        <v>0</v>
      </c>
      <c r="S676" s="275">
        <f t="shared" si="24"/>
        <v>0</v>
      </c>
      <c r="T676" s="217"/>
    </row>
    <row r="677" spans="1:20" ht="14.1" customHeight="1">
      <c r="A677" s="224" t="s">
        <v>1500</v>
      </c>
      <c r="B677" s="218" t="s">
        <v>1501</v>
      </c>
      <c r="C677" s="223">
        <v>1</v>
      </c>
      <c r="D677" s="218" t="s">
        <v>1488</v>
      </c>
      <c r="E677" s="240">
        <v>4</v>
      </c>
      <c r="F677" s="230">
        <v>5253.64</v>
      </c>
      <c r="G677" s="223">
        <v>1971</v>
      </c>
      <c r="H677" s="223">
        <v>1</v>
      </c>
      <c r="I677" s="223">
        <v>0</v>
      </c>
      <c r="J677" s="223"/>
      <c r="K677" s="239">
        <v>138958.77799999999</v>
      </c>
      <c r="L677" s="241">
        <v>80</v>
      </c>
      <c r="M677" s="228">
        <v>27791.7556</v>
      </c>
      <c r="N677" s="230">
        <v>26.45</v>
      </c>
      <c r="O677" s="231">
        <v>0</v>
      </c>
      <c r="P677" s="314"/>
      <c r="Q677" s="276">
        <f t="shared" si="23"/>
        <v>5253.64</v>
      </c>
      <c r="R677" s="275">
        <f>(SUMIFS('Dec 31 2018 OFFS'!$AG:$AG,'Dec 31 2018 OFFS'!$AI:$AI,'T1 2019 Pipeline Data Lagasco'!$A677,'Dec 31 2018 OFFS'!$U:$U,'T1 2019 Pipeline Data Lagasco'!$E677,'Dec 31 2018 OFFS'!$AK:$AK,'T1 2019 Pipeline Data Lagasco'!$Q677,'Dec 31 2018 OFFS'!$W:$W,'T1 2019 Pipeline Data Lagasco'!$G677))/(MAX(COUNTIFS('Dec 31 2018 OFFS'!$AI:$AI,'T1 2019 Pipeline Data Lagasco'!$A677,'Dec 31 2018 OFFS'!$U:$U,'T1 2019 Pipeline Data Lagasco'!$E677,'Dec 31 2018 OFFS'!$AK:$AK,'T1 2019 Pipeline Data Lagasco'!$Q677,'Dec 31 2018 OFFS'!$W:$W,'T1 2019 Pipeline Data Lagasco'!$G677),1))</f>
        <v>0</v>
      </c>
      <c r="S677" s="275">
        <f t="shared" si="24"/>
        <v>0</v>
      </c>
      <c r="T677" s="217"/>
    </row>
    <row r="678" spans="1:20" ht="14.1" customHeight="1">
      <c r="A678" s="224" t="s">
        <v>1500</v>
      </c>
      <c r="B678" s="218" t="s">
        <v>1501</v>
      </c>
      <c r="C678" s="223">
        <v>1</v>
      </c>
      <c r="D678" s="218" t="s">
        <v>1488</v>
      </c>
      <c r="E678" s="240">
        <v>4</v>
      </c>
      <c r="F678" s="230">
        <v>4430.25</v>
      </c>
      <c r="G678" s="223">
        <v>1985</v>
      </c>
      <c r="H678" s="223">
        <v>1</v>
      </c>
      <c r="I678" s="223">
        <v>0</v>
      </c>
      <c r="J678" s="223"/>
      <c r="K678" s="228">
        <v>117180.1125</v>
      </c>
      <c r="L678" s="241">
        <v>80</v>
      </c>
      <c r="M678" s="228">
        <v>23436.022499999999</v>
      </c>
      <c r="N678" s="230">
        <v>26.45</v>
      </c>
      <c r="O678" s="231">
        <v>0</v>
      </c>
      <c r="P678" s="314"/>
      <c r="Q678" s="276">
        <f t="shared" si="23"/>
        <v>4430.25</v>
      </c>
      <c r="R678" s="275">
        <f>(SUMIFS('Dec 31 2018 OFFS'!$AG:$AG,'Dec 31 2018 OFFS'!$AI:$AI,'T1 2019 Pipeline Data Lagasco'!$A678,'Dec 31 2018 OFFS'!$U:$U,'T1 2019 Pipeline Data Lagasco'!$E678,'Dec 31 2018 OFFS'!$AK:$AK,'T1 2019 Pipeline Data Lagasco'!$Q678,'Dec 31 2018 OFFS'!$W:$W,'T1 2019 Pipeline Data Lagasco'!$G678))/(MAX(COUNTIFS('Dec 31 2018 OFFS'!$AI:$AI,'T1 2019 Pipeline Data Lagasco'!$A678,'Dec 31 2018 OFFS'!$U:$U,'T1 2019 Pipeline Data Lagasco'!$E678,'Dec 31 2018 OFFS'!$AK:$AK,'T1 2019 Pipeline Data Lagasco'!$Q678,'Dec 31 2018 OFFS'!$W:$W,'T1 2019 Pipeline Data Lagasco'!$G678),1))</f>
        <v>0</v>
      </c>
      <c r="S678" s="275">
        <f t="shared" si="24"/>
        <v>0</v>
      </c>
      <c r="T678" s="217"/>
    </row>
    <row r="679" spans="1:20" ht="14.1" customHeight="1">
      <c r="A679" s="224" t="s">
        <v>1500</v>
      </c>
      <c r="B679" s="218" t="s">
        <v>1501</v>
      </c>
      <c r="C679" s="223">
        <v>1</v>
      </c>
      <c r="D679" s="218" t="s">
        <v>1488</v>
      </c>
      <c r="E679" s="240">
        <v>4</v>
      </c>
      <c r="F679" s="226">
        <v>5420.0129660000002</v>
      </c>
      <c r="G679" s="223">
        <v>1988</v>
      </c>
      <c r="H679" s="223">
        <v>1</v>
      </c>
      <c r="I679" s="223">
        <v>0</v>
      </c>
      <c r="J679" s="223"/>
      <c r="K679" s="239">
        <v>143359.34299999999</v>
      </c>
      <c r="L679" s="241">
        <v>76</v>
      </c>
      <c r="M679" s="229">
        <v>34406.242310000001</v>
      </c>
      <c r="N679" s="230">
        <v>26.45</v>
      </c>
      <c r="O679" s="231">
        <v>0</v>
      </c>
      <c r="P679" s="314"/>
      <c r="Q679" s="276">
        <f t="shared" si="23"/>
        <v>5420.01</v>
      </c>
      <c r="R679" s="275">
        <f>(SUMIFS('Dec 31 2018 OFFS'!$AG:$AG,'Dec 31 2018 OFFS'!$AI:$AI,'T1 2019 Pipeline Data Lagasco'!$A679,'Dec 31 2018 OFFS'!$U:$U,'T1 2019 Pipeline Data Lagasco'!$E679,'Dec 31 2018 OFFS'!$AK:$AK,'T1 2019 Pipeline Data Lagasco'!$Q679,'Dec 31 2018 OFFS'!$W:$W,'T1 2019 Pipeline Data Lagasco'!$G679))/(MAX(COUNTIFS('Dec 31 2018 OFFS'!$AI:$AI,'T1 2019 Pipeline Data Lagasco'!$A679,'Dec 31 2018 OFFS'!$U:$U,'T1 2019 Pipeline Data Lagasco'!$E679,'Dec 31 2018 OFFS'!$AK:$AK,'T1 2019 Pipeline Data Lagasco'!$Q679,'Dec 31 2018 OFFS'!$W:$W,'T1 2019 Pipeline Data Lagasco'!$G679),1))</f>
        <v>0</v>
      </c>
      <c r="S679" s="275">
        <f t="shared" si="24"/>
        <v>0</v>
      </c>
      <c r="T679" s="217"/>
    </row>
    <row r="680" spans="1:20" ht="14.1" customHeight="1">
      <c r="A680" s="224" t="s">
        <v>1500</v>
      </c>
      <c r="B680" s="218" t="s">
        <v>1501</v>
      </c>
      <c r="C680" s="223">
        <v>1</v>
      </c>
      <c r="D680" s="218" t="s">
        <v>1488</v>
      </c>
      <c r="E680" s="240">
        <v>4</v>
      </c>
      <c r="F680" s="223">
        <v>5993</v>
      </c>
      <c r="G680" s="223">
        <v>1984</v>
      </c>
      <c r="H680" s="223">
        <v>1</v>
      </c>
      <c r="I680" s="223">
        <v>0</v>
      </c>
      <c r="J680" s="223"/>
      <c r="K680" s="238">
        <v>158514.85</v>
      </c>
      <c r="L680" s="241">
        <v>80</v>
      </c>
      <c r="M680" s="238">
        <v>31702.97</v>
      </c>
      <c r="N680" s="230">
        <v>26.45</v>
      </c>
      <c r="O680" s="231">
        <v>0</v>
      </c>
      <c r="P680" s="314"/>
      <c r="Q680" s="276">
        <f t="shared" si="23"/>
        <v>5993</v>
      </c>
      <c r="R680" s="275">
        <f>(SUMIFS('Dec 31 2018 OFFS'!$AG:$AG,'Dec 31 2018 OFFS'!$AI:$AI,'T1 2019 Pipeline Data Lagasco'!$A680,'Dec 31 2018 OFFS'!$U:$U,'T1 2019 Pipeline Data Lagasco'!$E680,'Dec 31 2018 OFFS'!$AK:$AK,'T1 2019 Pipeline Data Lagasco'!$Q680,'Dec 31 2018 OFFS'!$W:$W,'T1 2019 Pipeline Data Lagasco'!$G680))/(MAX(COUNTIFS('Dec 31 2018 OFFS'!$AI:$AI,'T1 2019 Pipeline Data Lagasco'!$A680,'Dec 31 2018 OFFS'!$U:$U,'T1 2019 Pipeline Data Lagasco'!$E680,'Dec 31 2018 OFFS'!$AK:$AK,'T1 2019 Pipeline Data Lagasco'!$Q680,'Dec 31 2018 OFFS'!$W:$W,'T1 2019 Pipeline Data Lagasco'!$G680),1))</f>
        <v>0</v>
      </c>
      <c r="S680" s="275">
        <f t="shared" si="24"/>
        <v>0</v>
      </c>
      <c r="T680" s="217"/>
    </row>
    <row r="681" spans="1:20" ht="14.1" customHeight="1">
      <c r="A681" s="224" t="s">
        <v>1500</v>
      </c>
      <c r="B681" s="218" t="s">
        <v>1501</v>
      </c>
      <c r="C681" s="223">
        <v>1</v>
      </c>
      <c r="D681" s="218" t="s">
        <v>1488</v>
      </c>
      <c r="E681" s="240">
        <v>4</v>
      </c>
      <c r="F681" s="223">
        <v>11935</v>
      </c>
      <c r="G681" s="223">
        <v>1999</v>
      </c>
      <c r="H681" s="223">
        <v>1</v>
      </c>
      <c r="I681" s="246">
        <v>0</v>
      </c>
      <c r="J681" s="223"/>
      <c r="K681" s="238">
        <v>315680.75</v>
      </c>
      <c r="L681" s="241">
        <v>62</v>
      </c>
      <c r="M681" s="239">
        <v>119958.685</v>
      </c>
      <c r="N681" s="230">
        <v>26.45</v>
      </c>
      <c r="O681" s="248">
        <f>119958*0</f>
        <v>0</v>
      </c>
      <c r="P681" s="319" t="s">
        <v>1565</v>
      </c>
      <c r="Q681" s="276">
        <f t="shared" si="23"/>
        <v>11935</v>
      </c>
      <c r="R681" s="275">
        <f>(SUMIFS('Dec 31 2018 OFFS'!$AG:$AG,'Dec 31 2018 OFFS'!$AI:$AI,'T1 2019 Pipeline Data Lagasco'!$A681,'Dec 31 2018 OFFS'!$U:$U,'T1 2019 Pipeline Data Lagasco'!$E681,'Dec 31 2018 OFFS'!$AK:$AK,'T1 2019 Pipeline Data Lagasco'!$Q681,'Dec 31 2018 OFFS'!$W:$W,'T1 2019 Pipeline Data Lagasco'!$G681))/(MAX(COUNTIFS('Dec 31 2018 OFFS'!$AI:$AI,'T1 2019 Pipeline Data Lagasco'!$A681,'Dec 31 2018 OFFS'!$U:$U,'T1 2019 Pipeline Data Lagasco'!$E681,'Dec 31 2018 OFFS'!$AK:$AK,'T1 2019 Pipeline Data Lagasco'!$Q681,'Dec 31 2018 OFFS'!$W:$W,'T1 2019 Pipeline Data Lagasco'!$G681),1))</f>
        <v>0</v>
      </c>
      <c r="S681" s="275">
        <f t="shared" si="24"/>
        <v>0</v>
      </c>
      <c r="T681" s="278" t="e">
        <f>R681/O681</f>
        <v>#DIV/0!</v>
      </c>
    </row>
    <row r="682" spans="1:20" ht="14.1" customHeight="1">
      <c r="A682" s="224" t="s">
        <v>1500</v>
      </c>
      <c r="B682" s="218" t="s">
        <v>1501</v>
      </c>
      <c r="C682" s="223">
        <v>1</v>
      </c>
      <c r="D682" s="218" t="s">
        <v>1488</v>
      </c>
      <c r="E682" s="240">
        <v>4</v>
      </c>
      <c r="F682" s="226">
        <v>4263.8450210000001</v>
      </c>
      <c r="G682" s="223">
        <v>1981</v>
      </c>
      <c r="H682" s="223">
        <v>1</v>
      </c>
      <c r="I682" s="223">
        <v>1</v>
      </c>
      <c r="J682" s="223"/>
      <c r="K682" s="228">
        <v>112778.70080000001</v>
      </c>
      <c r="L682" s="241">
        <v>80</v>
      </c>
      <c r="M682" s="229">
        <v>22555.740160000001</v>
      </c>
      <c r="N682" s="230">
        <v>26.45</v>
      </c>
      <c r="O682" s="231">
        <v>22555</v>
      </c>
      <c r="P682" s="314"/>
      <c r="Q682" s="276">
        <f t="shared" si="23"/>
        <v>4263.8500000000004</v>
      </c>
      <c r="R682" s="275">
        <f>(SUMIFS('Dec 31 2018 OFFS'!$AG:$AG,'Dec 31 2018 OFFS'!$AI:$AI,'T1 2019 Pipeline Data Lagasco'!$A682,'Dec 31 2018 OFFS'!$U:$U,'T1 2019 Pipeline Data Lagasco'!$E682,'Dec 31 2018 OFFS'!$AK:$AK,'T1 2019 Pipeline Data Lagasco'!$Q682,'Dec 31 2018 OFFS'!$W:$W,'T1 2019 Pipeline Data Lagasco'!$G682))/(MAX(COUNTIFS('Dec 31 2018 OFFS'!$AI:$AI,'T1 2019 Pipeline Data Lagasco'!$A682,'Dec 31 2018 OFFS'!$U:$U,'T1 2019 Pipeline Data Lagasco'!$E682,'Dec 31 2018 OFFS'!$AK:$AK,'T1 2019 Pipeline Data Lagasco'!$Q682,'Dec 31 2018 OFFS'!$W:$W,'T1 2019 Pipeline Data Lagasco'!$G682),1))</f>
        <v>22555</v>
      </c>
      <c r="S682" s="275">
        <f t="shared" si="24"/>
        <v>0</v>
      </c>
      <c r="T682" s="217"/>
    </row>
    <row r="683" spans="1:20" ht="14.1" customHeight="1">
      <c r="A683" s="224" t="s">
        <v>1500</v>
      </c>
      <c r="B683" s="218" t="s">
        <v>1501</v>
      </c>
      <c r="C683" s="223">
        <v>1</v>
      </c>
      <c r="D683" s="218" t="s">
        <v>1488</v>
      </c>
      <c r="E683" s="240">
        <v>4</v>
      </c>
      <c r="F683" s="230">
        <v>6992.26</v>
      </c>
      <c r="G683" s="223">
        <v>1981</v>
      </c>
      <c r="H683" s="223">
        <v>1</v>
      </c>
      <c r="I683" s="223">
        <v>0</v>
      </c>
      <c r="J683" s="223"/>
      <c r="K683" s="239">
        <v>184945.277</v>
      </c>
      <c r="L683" s="241">
        <v>80</v>
      </c>
      <c r="M683" s="228">
        <v>36989.055399999997</v>
      </c>
      <c r="N683" s="230">
        <v>26.45</v>
      </c>
      <c r="O683" s="231">
        <v>0</v>
      </c>
      <c r="P683" s="314"/>
      <c r="Q683" s="276">
        <f t="shared" si="23"/>
        <v>6992.26</v>
      </c>
      <c r="R683" s="275">
        <f>(SUMIFS('Dec 31 2018 OFFS'!$AG:$AG,'Dec 31 2018 OFFS'!$AI:$AI,'T1 2019 Pipeline Data Lagasco'!$A683,'Dec 31 2018 OFFS'!$U:$U,'T1 2019 Pipeline Data Lagasco'!$E683,'Dec 31 2018 OFFS'!$AK:$AK,'T1 2019 Pipeline Data Lagasco'!$Q683,'Dec 31 2018 OFFS'!$W:$W,'T1 2019 Pipeline Data Lagasco'!$G683))/(MAX(COUNTIFS('Dec 31 2018 OFFS'!$AI:$AI,'T1 2019 Pipeline Data Lagasco'!$A683,'Dec 31 2018 OFFS'!$U:$U,'T1 2019 Pipeline Data Lagasco'!$E683,'Dec 31 2018 OFFS'!$AK:$AK,'T1 2019 Pipeline Data Lagasco'!$Q683,'Dec 31 2018 OFFS'!$W:$W,'T1 2019 Pipeline Data Lagasco'!$G683),1))</f>
        <v>0</v>
      </c>
      <c r="S683" s="275">
        <f t="shared" si="24"/>
        <v>0</v>
      </c>
      <c r="T683" s="217"/>
    </row>
    <row r="684" spans="1:20" ht="14.1" customHeight="1">
      <c r="A684" s="224" t="s">
        <v>1500</v>
      </c>
      <c r="B684" s="218" t="s">
        <v>1501</v>
      </c>
      <c r="C684" s="223">
        <v>1</v>
      </c>
      <c r="D684" s="218" t="s">
        <v>1488</v>
      </c>
      <c r="E684" s="240">
        <v>4</v>
      </c>
      <c r="F684" s="226">
        <v>5952.722925</v>
      </c>
      <c r="G684" s="223">
        <v>1984</v>
      </c>
      <c r="H684" s="223">
        <v>1</v>
      </c>
      <c r="I684" s="223">
        <v>0</v>
      </c>
      <c r="J684" s="223"/>
      <c r="K684" s="228">
        <v>157449.5214</v>
      </c>
      <c r="L684" s="241">
        <v>80</v>
      </c>
      <c r="M684" s="229">
        <v>31489.904269999999</v>
      </c>
      <c r="N684" s="230">
        <v>26.45</v>
      </c>
      <c r="O684" s="231">
        <v>0</v>
      </c>
      <c r="P684" s="314"/>
      <c r="Q684" s="276">
        <f t="shared" si="23"/>
        <v>5952.72</v>
      </c>
      <c r="R684" s="275">
        <f>(SUMIFS('Dec 31 2018 OFFS'!$AG:$AG,'Dec 31 2018 OFFS'!$AI:$AI,'T1 2019 Pipeline Data Lagasco'!$A684,'Dec 31 2018 OFFS'!$U:$U,'T1 2019 Pipeline Data Lagasco'!$E684,'Dec 31 2018 OFFS'!$AK:$AK,'T1 2019 Pipeline Data Lagasco'!$Q684,'Dec 31 2018 OFFS'!$W:$W,'T1 2019 Pipeline Data Lagasco'!$G684))/(MAX(COUNTIFS('Dec 31 2018 OFFS'!$AI:$AI,'T1 2019 Pipeline Data Lagasco'!$A684,'Dec 31 2018 OFFS'!$U:$U,'T1 2019 Pipeline Data Lagasco'!$E684,'Dec 31 2018 OFFS'!$AK:$AK,'T1 2019 Pipeline Data Lagasco'!$Q684,'Dec 31 2018 OFFS'!$W:$W,'T1 2019 Pipeline Data Lagasco'!$G684),1))</f>
        <v>0</v>
      </c>
      <c r="S684" s="275">
        <f t="shared" si="24"/>
        <v>0</v>
      </c>
      <c r="T684" s="217"/>
    </row>
    <row r="685" spans="1:20" ht="14.1" customHeight="1">
      <c r="A685" s="224" t="s">
        <v>1500</v>
      </c>
      <c r="B685" s="218" t="s">
        <v>1501</v>
      </c>
      <c r="C685" s="223">
        <v>1</v>
      </c>
      <c r="D685" s="218" t="s">
        <v>1488</v>
      </c>
      <c r="E685" s="240">
        <v>4</v>
      </c>
      <c r="F685" s="223">
        <v>7480</v>
      </c>
      <c r="G685" s="223">
        <v>2005</v>
      </c>
      <c r="H685" s="223">
        <v>1</v>
      </c>
      <c r="I685" s="223">
        <v>1</v>
      </c>
      <c r="J685" s="223"/>
      <c r="K685" s="240">
        <v>197846</v>
      </c>
      <c r="L685" s="241">
        <v>54</v>
      </c>
      <c r="M685" s="238">
        <v>91009.16</v>
      </c>
      <c r="N685" s="230">
        <v>26.45</v>
      </c>
      <c r="O685" s="231">
        <v>91009</v>
      </c>
      <c r="P685" s="314"/>
      <c r="Q685" s="279">
        <f t="shared" si="23"/>
        <v>7480</v>
      </c>
      <c r="R685" s="275">
        <f>(SUMIFS('Dec 31 2018 OFFS'!$AG:$AG,'Dec 31 2018 OFFS'!$AI:$AI,'T1 2019 Pipeline Data Lagasco'!$A685,'Dec 31 2018 OFFS'!$U:$U,'T1 2019 Pipeline Data Lagasco'!$E685,'Dec 31 2018 OFFS'!$AK:$AK,'T1 2019 Pipeline Data Lagasco'!$Q685,'Dec 31 2018 OFFS'!$W:$W,'T1 2019 Pipeline Data Lagasco'!$G685))/(MAX(COUNTIFS('Dec 31 2018 OFFS'!$AI:$AI,'T1 2019 Pipeline Data Lagasco'!$A685,'Dec 31 2018 OFFS'!$U:$U,'T1 2019 Pipeline Data Lagasco'!$E685,'Dec 31 2018 OFFS'!$AK:$AK,'T1 2019 Pipeline Data Lagasco'!$Q685,'Dec 31 2018 OFFS'!$W:$W,'T1 2019 Pipeline Data Lagasco'!$G685),1))</f>
        <v>91009</v>
      </c>
      <c r="S685" s="275">
        <f t="shared" si="24"/>
        <v>0</v>
      </c>
      <c r="T685" s="278">
        <f>R685/O685</f>
        <v>1</v>
      </c>
    </row>
    <row r="686" spans="1:20" ht="15" customHeight="1">
      <c r="A686" s="224" t="s">
        <v>1500</v>
      </c>
      <c r="B686" s="218" t="s">
        <v>1501</v>
      </c>
      <c r="C686" s="223">
        <v>1</v>
      </c>
      <c r="D686" s="218" t="s">
        <v>1488</v>
      </c>
      <c r="E686" s="240">
        <v>4</v>
      </c>
      <c r="F686" s="230">
        <v>10887.11</v>
      </c>
      <c r="G686" s="223">
        <v>1981</v>
      </c>
      <c r="H686" s="223">
        <v>1</v>
      </c>
      <c r="I686" s="223">
        <v>0</v>
      </c>
      <c r="J686" s="223"/>
      <c r="K686" s="228">
        <v>287964.05949999997</v>
      </c>
      <c r="L686" s="241">
        <v>80</v>
      </c>
      <c r="M686" s="228">
        <v>57592.811900000001</v>
      </c>
      <c r="N686" s="230">
        <v>26.45</v>
      </c>
      <c r="O686" s="231">
        <v>0</v>
      </c>
      <c r="P686" s="314"/>
      <c r="Q686" s="276">
        <f t="shared" si="23"/>
        <v>10887.11</v>
      </c>
      <c r="R686" s="275">
        <f>(SUMIFS('Dec 31 2018 OFFS'!$AG:$AG,'Dec 31 2018 OFFS'!$AI:$AI,'T1 2019 Pipeline Data Lagasco'!$A686,'Dec 31 2018 OFFS'!$U:$U,'T1 2019 Pipeline Data Lagasco'!$E686,'Dec 31 2018 OFFS'!$AK:$AK,'T1 2019 Pipeline Data Lagasco'!$Q686,'Dec 31 2018 OFFS'!$W:$W,'T1 2019 Pipeline Data Lagasco'!$G686))/(MAX(COUNTIFS('Dec 31 2018 OFFS'!$AI:$AI,'T1 2019 Pipeline Data Lagasco'!$A686,'Dec 31 2018 OFFS'!$U:$U,'T1 2019 Pipeline Data Lagasco'!$E686,'Dec 31 2018 OFFS'!$AK:$AK,'T1 2019 Pipeline Data Lagasco'!$Q686,'Dec 31 2018 OFFS'!$W:$W,'T1 2019 Pipeline Data Lagasco'!$G686),1))</f>
        <v>0</v>
      </c>
      <c r="S686" s="275">
        <f t="shared" si="24"/>
        <v>0</v>
      </c>
      <c r="T686" s="217"/>
    </row>
    <row r="687" spans="1:20" ht="15" customHeight="1">
      <c r="A687" s="224" t="s">
        <v>1500</v>
      </c>
      <c r="B687" s="218" t="s">
        <v>1501</v>
      </c>
      <c r="C687" s="223">
        <v>1</v>
      </c>
      <c r="D687" s="218" t="s">
        <v>1488</v>
      </c>
      <c r="E687" s="240">
        <v>4</v>
      </c>
      <c r="F687" s="223">
        <v>8976</v>
      </c>
      <c r="G687" s="223">
        <v>2005</v>
      </c>
      <c r="H687" s="223">
        <v>1</v>
      </c>
      <c r="I687" s="223">
        <v>1</v>
      </c>
      <c r="J687" s="223"/>
      <c r="K687" s="237">
        <v>237415.20</v>
      </c>
      <c r="L687" s="241">
        <v>54</v>
      </c>
      <c r="M687" s="239">
        <v>109210.992</v>
      </c>
      <c r="N687" s="230">
        <v>26.45</v>
      </c>
      <c r="O687" s="231">
        <v>109210</v>
      </c>
      <c r="P687" s="314"/>
      <c r="Q687" s="279">
        <f t="shared" si="23"/>
        <v>8976</v>
      </c>
      <c r="R687" s="275">
        <f>(SUMIFS('Dec 31 2018 OFFS'!$AG:$AG,'Dec 31 2018 OFFS'!$AI:$AI,'T1 2019 Pipeline Data Lagasco'!$A687,'Dec 31 2018 OFFS'!$U:$U,'T1 2019 Pipeline Data Lagasco'!$E687,'Dec 31 2018 OFFS'!$AK:$AK,'T1 2019 Pipeline Data Lagasco'!$Q687,'Dec 31 2018 OFFS'!$W:$W,'T1 2019 Pipeline Data Lagasco'!$G687))/(MAX(COUNTIFS('Dec 31 2018 OFFS'!$AI:$AI,'T1 2019 Pipeline Data Lagasco'!$A687,'Dec 31 2018 OFFS'!$U:$U,'T1 2019 Pipeline Data Lagasco'!$E687,'Dec 31 2018 OFFS'!$AK:$AK,'T1 2019 Pipeline Data Lagasco'!$Q687,'Dec 31 2018 OFFS'!$W:$W,'T1 2019 Pipeline Data Lagasco'!$G687),1))</f>
        <v>109210</v>
      </c>
      <c r="S687" s="275">
        <f t="shared" si="24"/>
        <v>0</v>
      </c>
      <c r="T687" s="278">
        <f>R687/O687</f>
        <v>1</v>
      </c>
    </row>
    <row r="688" spans="1:20" ht="14.1" customHeight="1">
      <c r="A688" s="224" t="s">
        <v>1500</v>
      </c>
      <c r="B688" s="218" t="s">
        <v>1501</v>
      </c>
      <c r="C688" s="223">
        <v>1</v>
      </c>
      <c r="D688" s="218" t="s">
        <v>1488</v>
      </c>
      <c r="E688" s="240">
        <v>4</v>
      </c>
      <c r="F688" s="223">
        <v>10824</v>
      </c>
      <c r="G688" s="223">
        <v>1981</v>
      </c>
      <c r="H688" s="223">
        <v>1</v>
      </c>
      <c r="I688" s="223">
        <v>0</v>
      </c>
      <c r="J688" s="223"/>
      <c r="K688" s="237">
        <v>286294.80</v>
      </c>
      <c r="L688" s="241">
        <v>80</v>
      </c>
      <c r="M688" s="238">
        <v>57258.96</v>
      </c>
      <c r="N688" s="230">
        <v>26.45</v>
      </c>
      <c r="O688" s="231">
        <v>0</v>
      </c>
      <c r="P688" s="314"/>
      <c r="Q688" s="276">
        <f t="shared" si="23"/>
        <v>10824</v>
      </c>
      <c r="R688" s="275">
        <f>(SUMIFS('Dec 31 2018 OFFS'!$AG:$AG,'Dec 31 2018 OFFS'!$AI:$AI,'T1 2019 Pipeline Data Lagasco'!$A688,'Dec 31 2018 OFFS'!$U:$U,'T1 2019 Pipeline Data Lagasco'!$E688,'Dec 31 2018 OFFS'!$AK:$AK,'T1 2019 Pipeline Data Lagasco'!$Q688,'Dec 31 2018 OFFS'!$W:$W,'T1 2019 Pipeline Data Lagasco'!$G688))/(MAX(COUNTIFS('Dec 31 2018 OFFS'!$AI:$AI,'T1 2019 Pipeline Data Lagasco'!$A688,'Dec 31 2018 OFFS'!$U:$U,'T1 2019 Pipeline Data Lagasco'!$E688,'Dec 31 2018 OFFS'!$AK:$AK,'T1 2019 Pipeline Data Lagasco'!$Q688,'Dec 31 2018 OFFS'!$W:$W,'T1 2019 Pipeline Data Lagasco'!$G688),1))</f>
        <v>0</v>
      </c>
      <c r="S688" s="275">
        <f t="shared" si="24"/>
        <v>0</v>
      </c>
      <c r="T688" s="217"/>
    </row>
    <row r="689" spans="1:20" ht="14.1" customHeight="1">
      <c r="A689" s="224" t="s">
        <v>1500</v>
      </c>
      <c r="B689" s="218" t="s">
        <v>1501</v>
      </c>
      <c r="C689" s="223">
        <v>1</v>
      </c>
      <c r="D689" s="218" t="s">
        <v>1488</v>
      </c>
      <c r="E689" s="240">
        <v>4</v>
      </c>
      <c r="F689" s="242">
        <v>6264.30</v>
      </c>
      <c r="G689" s="223">
        <v>1981</v>
      </c>
      <c r="H689" s="223">
        <v>1</v>
      </c>
      <c r="I689" s="223">
        <v>0</v>
      </c>
      <c r="J689" s="223"/>
      <c r="K689" s="239">
        <v>165690.73499999999</v>
      </c>
      <c r="L689" s="241">
        <v>80</v>
      </c>
      <c r="M689" s="239">
        <v>33138.146999999997</v>
      </c>
      <c r="N689" s="230">
        <v>26.45</v>
      </c>
      <c r="O689" s="231">
        <v>0</v>
      </c>
      <c r="P689" s="314"/>
      <c r="Q689" s="276">
        <f t="shared" si="23"/>
        <v>6264.30</v>
      </c>
      <c r="R689" s="275">
        <f>(SUMIFS('Dec 31 2018 OFFS'!$AG:$AG,'Dec 31 2018 OFFS'!$AI:$AI,'T1 2019 Pipeline Data Lagasco'!$A689,'Dec 31 2018 OFFS'!$U:$U,'T1 2019 Pipeline Data Lagasco'!$E689,'Dec 31 2018 OFFS'!$AK:$AK,'T1 2019 Pipeline Data Lagasco'!$Q689,'Dec 31 2018 OFFS'!$W:$W,'T1 2019 Pipeline Data Lagasco'!$G689))/(MAX(COUNTIFS('Dec 31 2018 OFFS'!$AI:$AI,'T1 2019 Pipeline Data Lagasco'!$A689,'Dec 31 2018 OFFS'!$U:$U,'T1 2019 Pipeline Data Lagasco'!$E689,'Dec 31 2018 OFFS'!$AK:$AK,'T1 2019 Pipeline Data Lagasco'!$Q689,'Dec 31 2018 OFFS'!$W:$W,'T1 2019 Pipeline Data Lagasco'!$G689),1))</f>
        <v>0</v>
      </c>
      <c r="S689" s="275">
        <f t="shared" si="24"/>
        <v>0</v>
      </c>
      <c r="T689" s="217"/>
    </row>
    <row r="690" spans="1:20" ht="14.1" customHeight="1">
      <c r="A690" s="224" t="s">
        <v>1500</v>
      </c>
      <c r="B690" s="218" t="s">
        <v>1501</v>
      </c>
      <c r="C690" s="223">
        <v>1</v>
      </c>
      <c r="D690" s="218" t="s">
        <v>1488</v>
      </c>
      <c r="E690" s="240">
        <v>4</v>
      </c>
      <c r="F690" s="230">
        <v>5244.55</v>
      </c>
      <c r="G690" s="223">
        <v>1971</v>
      </c>
      <c r="H690" s="223">
        <v>1</v>
      </c>
      <c r="I690" s="223">
        <v>0</v>
      </c>
      <c r="J690" s="223"/>
      <c r="K690" s="228">
        <v>138718.3475</v>
      </c>
      <c r="L690" s="241">
        <v>80</v>
      </c>
      <c r="M690" s="228">
        <v>27743.6695</v>
      </c>
      <c r="N690" s="230">
        <v>26.45</v>
      </c>
      <c r="O690" s="231">
        <v>0</v>
      </c>
      <c r="P690" s="314"/>
      <c r="Q690" s="276">
        <f t="shared" si="23"/>
        <v>5244.55</v>
      </c>
      <c r="R690" s="275">
        <f>(SUMIFS('Dec 31 2018 OFFS'!$AG:$AG,'Dec 31 2018 OFFS'!$AI:$AI,'T1 2019 Pipeline Data Lagasco'!$A690,'Dec 31 2018 OFFS'!$U:$U,'T1 2019 Pipeline Data Lagasco'!$E690,'Dec 31 2018 OFFS'!$AK:$AK,'T1 2019 Pipeline Data Lagasco'!$Q690,'Dec 31 2018 OFFS'!$W:$W,'T1 2019 Pipeline Data Lagasco'!$G690))/(MAX(COUNTIFS('Dec 31 2018 OFFS'!$AI:$AI,'T1 2019 Pipeline Data Lagasco'!$A690,'Dec 31 2018 OFFS'!$U:$U,'T1 2019 Pipeline Data Lagasco'!$E690,'Dec 31 2018 OFFS'!$AK:$AK,'T1 2019 Pipeline Data Lagasco'!$Q690,'Dec 31 2018 OFFS'!$W:$W,'T1 2019 Pipeline Data Lagasco'!$G690),1))</f>
        <v>0</v>
      </c>
      <c r="S690" s="275">
        <f t="shared" si="24"/>
        <v>0</v>
      </c>
      <c r="T690" s="217"/>
    </row>
    <row r="691" spans="1:20" ht="14.1" customHeight="1">
      <c r="A691" s="224" t="s">
        <v>1500</v>
      </c>
      <c r="B691" s="218" t="s">
        <v>1501</v>
      </c>
      <c r="C691" s="223">
        <v>1</v>
      </c>
      <c r="D691" s="218" t="s">
        <v>1488</v>
      </c>
      <c r="E691" s="240">
        <v>4</v>
      </c>
      <c r="F691" s="223">
        <v>6022</v>
      </c>
      <c r="G691" s="223">
        <v>1981</v>
      </c>
      <c r="H691" s="223">
        <v>1</v>
      </c>
      <c r="I691" s="223">
        <v>0</v>
      </c>
      <c r="J691" s="223"/>
      <c r="K691" s="237">
        <v>159281.90</v>
      </c>
      <c r="L691" s="241">
        <v>80</v>
      </c>
      <c r="M691" s="238">
        <v>31856.38</v>
      </c>
      <c r="N691" s="230">
        <v>26.45</v>
      </c>
      <c r="O691" s="231">
        <v>0</v>
      </c>
      <c r="P691" s="314"/>
      <c r="Q691" s="276">
        <f t="shared" si="23"/>
        <v>6022</v>
      </c>
      <c r="R691" s="275">
        <f>(SUMIFS('Dec 31 2018 OFFS'!$AG:$AG,'Dec 31 2018 OFFS'!$AI:$AI,'T1 2019 Pipeline Data Lagasco'!$A691,'Dec 31 2018 OFFS'!$U:$U,'T1 2019 Pipeline Data Lagasco'!$E691,'Dec 31 2018 OFFS'!$AK:$AK,'T1 2019 Pipeline Data Lagasco'!$Q691,'Dec 31 2018 OFFS'!$W:$W,'T1 2019 Pipeline Data Lagasco'!$G691))/(MAX(COUNTIFS('Dec 31 2018 OFFS'!$AI:$AI,'T1 2019 Pipeline Data Lagasco'!$A691,'Dec 31 2018 OFFS'!$U:$U,'T1 2019 Pipeline Data Lagasco'!$E691,'Dec 31 2018 OFFS'!$AK:$AK,'T1 2019 Pipeline Data Lagasco'!$Q691,'Dec 31 2018 OFFS'!$W:$W,'T1 2019 Pipeline Data Lagasco'!$G691),1))</f>
        <v>0</v>
      </c>
      <c r="S691" s="275">
        <f t="shared" si="24"/>
        <v>0</v>
      </c>
      <c r="T691" s="217"/>
    </row>
    <row r="692" spans="1:20" ht="14.1" customHeight="1">
      <c r="A692" s="224" t="s">
        <v>1500</v>
      </c>
      <c r="B692" s="218" t="s">
        <v>1501</v>
      </c>
      <c r="C692" s="223">
        <v>1</v>
      </c>
      <c r="D692" s="218" t="s">
        <v>1488</v>
      </c>
      <c r="E692" s="240">
        <v>4</v>
      </c>
      <c r="F692" s="236">
        <v>18839.402340000001</v>
      </c>
      <c r="G692" s="223">
        <v>1981</v>
      </c>
      <c r="H692" s="223">
        <v>1</v>
      </c>
      <c r="I692" s="223">
        <v>1</v>
      </c>
      <c r="J692" s="223"/>
      <c r="K692" s="228">
        <v>498302.19189999998</v>
      </c>
      <c r="L692" s="241">
        <v>80</v>
      </c>
      <c r="M692" s="229">
        <v>99660.438389999996</v>
      </c>
      <c r="N692" s="230">
        <v>26.45</v>
      </c>
      <c r="O692" s="231">
        <v>99660</v>
      </c>
      <c r="P692" s="314"/>
      <c r="Q692" s="276">
        <f t="shared" si="23"/>
        <v>18839.40</v>
      </c>
      <c r="R692" s="275">
        <f>(SUMIFS('Dec 31 2018 OFFS'!$AG:$AG,'Dec 31 2018 OFFS'!$AI:$AI,'T1 2019 Pipeline Data Lagasco'!$A692,'Dec 31 2018 OFFS'!$U:$U,'T1 2019 Pipeline Data Lagasco'!$E692,'Dec 31 2018 OFFS'!$AK:$AK,'T1 2019 Pipeline Data Lagasco'!$Q692,'Dec 31 2018 OFFS'!$W:$W,'T1 2019 Pipeline Data Lagasco'!$G692))/(MAX(COUNTIFS('Dec 31 2018 OFFS'!$AI:$AI,'T1 2019 Pipeline Data Lagasco'!$A692,'Dec 31 2018 OFFS'!$U:$U,'T1 2019 Pipeline Data Lagasco'!$E692,'Dec 31 2018 OFFS'!$AK:$AK,'T1 2019 Pipeline Data Lagasco'!$Q692,'Dec 31 2018 OFFS'!$W:$W,'T1 2019 Pipeline Data Lagasco'!$G692),1))</f>
        <v>99660</v>
      </c>
      <c r="S692" s="275">
        <f t="shared" si="24"/>
        <v>0</v>
      </c>
      <c r="T692" s="217"/>
    </row>
    <row r="693" spans="1:20" ht="14.1" customHeight="1">
      <c r="A693" s="224" t="s">
        <v>1500</v>
      </c>
      <c r="B693" s="218" t="s">
        <v>1501</v>
      </c>
      <c r="C693" s="223">
        <v>1</v>
      </c>
      <c r="D693" s="218" t="s">
        <v>1488</v>
      </c>
      <c r="E693" s="240">
        <v>4</v>
      </c>
      <c r="F693" s="235">
        <v>11592.3225</v>
      </c>
      <c r="G693" s="223">
        <v>1981</v>
      </c>
      <c r="H693" s="223">
        <v>1</v>
      </c>
      <c r="I693" s="223">
        <v>1</v>
      </c>
      <c r="J693" s="223"/>
      <c r="K693" s="228">
        <v>306616.9301</v>
      </c>
      <c r="L693" s="241">
        <v>80</v>
      </c>
      <c r="M693" s="229">
        <v>61323.386019999998</v>
      </c>
      <c r="N693" s="230">
        <v>26.45</v>
      </c>
      <c r="O693" s="231">
        <v>61323</v>
      </c>
      <c r="P693" s="314"/>
      <c r="Q693" s="276">
        <f t="shared" si="23"/>
        <v>11592.32</v>
      </c>
      <c r="R693" s="275">
        <f>(SUMIFS('Dec 31 2018 OFFS'!$AG:$AG,'Dec 31 2018 OFFS'!$AI:$AI,'T1 2019 Pipeline Data Lagasco'!$A693,'Dec 31 2018 OFFS'!$U:$U,'T1 2019 Pipeline Data Lagasco'!$E693,'Dec 31 2018 OFFS'!$AK:$AK,'T1 2019 Pipeline Data Lagasco'!$Q693,'Dec 31 2018 OFFS'!$W:$W,'T1 2019 Pipeline Data Lagasco'!$G693))/(MAX(COUNTIFS('Dec 31 2018 OFFS'!$AI:$AI,'T1 2019 Pipeline Data Lagasco'!$A693,'Dec 31 2018 OFFS'!$U:$U,'T1 2019 Pipeline Data Lagasco'!$E693,'Dec 31 2018 OFFS'!$AK:$AK,'T1 2019 Pipeline Data Lagasco'!$Q693,'Dec 31 2018 OFFS'!$W:$W,'T1 2019 Pipeline Data Lagasco'!$G693),1))</f>
        <v>61323</v>
      </c>
      <c r="S693" s="275">
        <f t="shared" si="24"/>
        <v>0</v>
      </c>
      <c r="T693" s="217"/>
    </row>
    <row r="694" spans="1:20" ht="14.1" customHeight="1">
      <c r="A694" s="224" t="s">
        <v>1500</v>
      </c>
      <c r="B694" s="218" t="s">
        <v>1501</v>
      </c>
      <c r="C694" s="223">
        <v>1</v>
      </c>
      <c r="D694" s="218" t="s">
        <v>1488</v>
      </c>
      <c r="E694" s="240">
        <v>4</v>
      </c>
      <c r="F694" s="226">
        <v>4367.4539420000001</v>
      </c>
      <c r="G694" s="223">
        <v>1983</v>
      </c>
      <c r="H694" s="223">
        <v>1</v>
      </c>
      <c r="I694" s="223">
        <v>0</v>
      </c>
      <c r="J694" s="223"/>
      <c r="K694" s="228">
        <v>115519.1568</v>
      </c>
      <c r="L694" s="241">
        <v>80</v>
      </c>
      <c r="M694" s="229">
        <v>23103.83135</v>
      </c>
      <c r="N694" s="230">
        <v>26.45</v>
      </c>
      <c r="O694" s="231">
        <v>0</v>
      </c>
      <c r="P694" s="314"/>
      <c r="Q694" s="276">
        <f t="shared" si="23"/>
        <v>4367.45</v>
      </c>
      <c r="R694" s="275">
        <f>(SUMIFS('Dec 31 2018 OFFS'!$AG:$AG,'Dec 31 2018 OFFS'!$AI:$AI,'T1 2019 Pipeline Data Lagasco'!$A694,'Dec 31 2018 OFFS'!$U:$U,'T1 2019 Pipeline Data Lagasco'!$E694,'Dec 31 2018 OFFS'!$AK:$AK,'T1 2019 Pipeline Data Lagasco'!$Q694,'Dec 31 2018 OFFS'!$W:$W,'T1 2019 Pipeline Data Lagasco'!$G694))/(MAX(COUNTIFS('Dec 31 2018 OFFS'!$AI:$AI,'T1 2019 Pipeline Data Lagasco'!$A694,'Dec 31 2018 OFFS'!$U:$U,'T1 2019 Pipeline Data Lagasco'!$E694,'Dec 31 2018 OFFS'!$AK:$AK,'T1 2019 Pipeline Data Lagasco'!$Q694,'Dec 31 2018 OFFS'!$W:$W,'T1 2019 Pipeline Data Lagasco'!$G694),1))</f>
        <v>0</v>
      </c>
      <c r="S694" s="275">
        <f t="shared" si="24"/>
        <v>0</v>
      </c>
      <c r="T694" s="217"/>
    </row>
    <row r="695" spans="1:20" ht="14.1" customHeight="1">
      <c r="A695" s="224" t="s">
        <v>1500</v>
      </c>
      <c r="B695" s="218" t="s">
        <v>1501</v>
      </c>
      <c r="C695" s="223">
        <v>1</v>
      </c>
      <c r="D695" s="218" t="s">
        <v>1488</v>
      </c>
      <c r="E695" s="240">
        <v>4</v>
      </c>
      <c r="F695" s="226">
        <v>4336.6468560000003</v>
      </c>
      <c r="G695" s="223">
        <v>1981</v>
      </c>
      <c r="H695" s="223">
        <v>1</v>
      </c>
      <c r="I695" s="223">
        <v>0</v>
      </c>
      <c r="J695" s="223"/>
      <c r="K695" s="228">
        <v>114704.30929999999</v>
      </c>
      <c r="L695" s="241">
        <v>80</v>
      </c>
      <c r="M695" s="229">
        <v>22940.861870000001</v>
      </c>
      <c r="N695" s="230">
        <v>26.45</v>
      </c>
      <c r="O695" s="231">
        <v>0</v>
      </c>
      <c r="P695" s="314"/>
      <c r="Q695" s="276">
        <f t="shared" si="23"/>
        <v>4336.6499999999996</v>
      </c>
      <c r="R695" s="275">
        <f>(SUMIFS('Dec 31 2018 OFFS'!$AG:$AG,'Dec 31 2018 OFFS'!$AI:$AI,'T1 2019 Pipeline Data Lagasco'!$A695,'Dec 31 2018 OFFS'!$U:$U,'T1 2019 Pipeline Data Lagasco'!$E695,'Dec 31 2018 OFFS'!$AK:$AK,'T1 2019 Pipeline Data Lagasco'!$Q695,'Dec 31 2018 OFFS'!$W:$W,'T1 2019 Pipeline Data Lagasco'!$G695))/(MAX(COUNTIFS('Dec 31 2018 OFFS'!$AI:$AI,'T1 2019 Pipeline Data Lagasco'!$A695,'Dec 31 2018 OFFS'!$U:$U,'T1 2019 Pipeline Data Lagasco'!$E695,'Dec 31 2018 OFFS'!$AK:$AK,'T1 2019 Pipeline Data Lagasco'!$Q695,'Dec 31 2018 OFFS'!$W:$W,'T1 2019 Pipeline Data Lagasco'!$G695),1))</f>
        <v>0</v>
      </c>
      <c r="S695" s="275">
        <f t="shared" si="24"/>
        <v>0</v>
      </c>
      <c r="T695" s="217"/>
    </row>
    <row r="696" spans="1:20" ht="14.1" customHeight="1">
      <c r="A696" s="224" t="s">
        <v>1500</v>
      </c>
      <c r="B696" s="218" t="s">
        <v>1501</v>
      </c>
      <c r="C696" s="223">
        <v>1</v>
      </c>
      <c r="D696" s="218" t="s">
        <v>1488</v>
      </c>
      <c r="E696" s="240">
        <v>4</v>
      </c>
      <c r="F696" s="226">
        <v>9534.9734769999995</v>
      </c>
      <c r="G696" s="223">
        <v>1981</v>
      </c>
      <c r="H696" s="223">
        <v>1</v>
      </c>
      <c r="I696" s="246">
        <v>0</v>
      </c>
      <c r="J696" s="223"/>
      <c r="K696" s="228">
        <v>252200.0485</v>
      </c>
      <c r="L696" s="241">
        <v>80</v>
      </c>
      <c r="M696" s="229">
        <v>50440.009689999999</v>
      </c>
      <c r="N696" s="230">
        <v>26.45</v>
      </c>
      <c r="O696" s="248">
        <v>0</v>
      </c>
      <c r="P696" s="319" t="s">
        <v>1560</v>
      </c>
      <c r="Q696" s="276">
        <f t="shared" si="23"/>
        <v>9534.9699999999993</v>
      </c>
      <c r="R696" s="275">
        <f>(SUMIFS('Dec 31 2018 OFFS'!$AG:$AG,'Dec 31 2018 OFFS'!$AI:$AI,'T1 2019 Pipeline Data Lagasco'!$A696,'Dec 31 2018 OFFS'!$U:$U,'T1 2019 Pipeline Data Lagasco'!$E696,'Dec 31 2018 OFFS'!$AK:$AK,'T1 2019 Pipeline Data Lagasco'!$Q696,'Dec 31 2018 OFFS'!$W:$W,'T1 2019 Pipeline Data Lagasco'!$G696))/(MAX(COUNTIFS('Dec 31 2018 OFFS'!$AI:$AI,'T1 2019 Pipeline Data Lagasco'!$A696,'Dec 31 2018 OFFS'!$U:$U,'T1 2019 Pipeline Data Lagasco'!$E696,'Dec 31 2018 OFFS'!$AK:$AK,'T1 2019 Pipeline Data Lagasco'!$Q696,'Dec 31 2018 OFFS'!$W:$W,'T1 2019 Pipeline Data Lagasco'!$G696),1))</f>
        <v>0</v>
      </c>
      <c r="S696" s="275">
        <f t="shared" si="24"/>
        <v>0</v>
      </c>
      <c r="T696" s="278" t="e">
        <f>R696/O696</f>
        <v>#DIV/0!</v>
      </c>
    </row>
    <row r="697" spans="1:20" ht="14.1" customHeight="1">
      <c r="A697" s="224" t="s">
        <v>1500</v>
      </c>
      <c r="B697" s="218" t="s">
        <v>1501</v>
      </c>
      <c r="C697" s="223">
        <v>1</v>
      </c>
      <c r="D697" s="218" t="s">
        <v>1488</v>
      </c>
      <c r="E697" s="240">
        <v>4</v>
      </c>
      <c r="F697" s="236">
        <v>5492.6507600000004</v>
      </c>
      <c r="G697" s="223">
        <v>1968</v>
      </c>
      <c r="H697" s="223">
        <v>1</v>
      </c>
      <c r="I697" s="223">
        <v>0</v>
      </c>
      <c r="J697" s="223"/>
      <c r="K697" s="228">
        <v>145280.61259999999</v>
      </c>
      <c r="L697" s="241">
        <v>80</v>
      </c>
      <c r="M697" s="229">
        <v>29056.122520000001</v>
      </c>
      <c r="N697" s="230">
        <v>26.45</v>
      </c>
      <c r="O697" s="231">
        <v>0</v>
      </c>
      <c r="P697" s="314"/>
      <c r="Q697" s="276">
        <f t="shared" si="23"/>
        <v>5492.65</v>
      </c>
      <c r="R697" s="275">
        <f>(SUMIFS('Dec 31 2018 OFFS'!$AG:$AG,'Dec 31 2018 OFFS'!$AI:$AI,'T1 2019 Pipeline Data Lagasco'!$A697,'Dec 31 2018 OFFS'!$U:$U,'T1 2019 Pipeline Data Lagasco'!$E697,'Dec 31 2018 OFFS'!$AK:$AK,'T1 2019 Pipeline Data Lagasco'!$Q697,'Dec 31 2018 OFFS'!$W:$W,'T1 2019 Pipeline Data Lagasco'!$G697))/(MAX(COUNTIFS('Dec 31 2018 OFFS'!$AI:$AI,'T1 2019 Pipeline Data Lagasco'!$A697,'Dec 31 2018 OFFS'!$U:$U,'T1 2019 Pipeline Data Lagasco'!$E697,'Dec 31 2018 OFFS'!$AK:$AK,'T1 2019 Pipeline Data Lagasco'!$Q697,'Dec 31 2018 OFFS'!$W:$W,'T1 2019 Pipeline Data Lagasco'!$G697),1))</f>
        <v>0</v>
      </c>
      <c r="S697" s="275">
        <f t="shared" si="24"/>
        <v>0</v>
      </c>
      <c r="T697" s="217"/>
    </row>
    <row r="698" spans="1:20" ht="14.1" customHeight="1">
      <c r="A698" s="224" t="s">
        <v>1500</v>
      </c>
      <c r="B698" s="218" t="s">
        <v>1501</v>
      </c>
      <c r="C698" s="223">
        <v>1</v>
      </c>
      <c r="D698" s="218" t="s">
        <v>1488</v>
      </c>
      <c r="E698" s="240">
        <v>4</v>
      </c>
      <c r="F698" s="236">
        <v>10916.53512</v>
      </c>
      <c r="G698" s="223">
        <v>1968</v>
      </c>
      <c r="H698" s="223">
        <v>1</v>
      </c>
      <c r="I698" s="223">
        <v>0</v>
      </c>
      <c r="J698" s="223"/>
      <c r="K698" s="228">
        <v>288742.35379999998</v>
      </c>
      <c r="L698" s="241">
        <v>80</v>
      </c>
      <c r="M698" s="229">
        <v>57748.47077</v>
      </c>
      <c r="N698" s="230">
        <v>26.45</v>
      </c>
      <c r="O698" s="231">
        <v>0</v>
      </c>
      <c r="P698" s="314"/>
      <c r="Q698" s="276">
        <f t="shared" si="23"/>
        <v>10916.54</v>
      </c>
      <c r="R698" s="275">
        <f>(SUMIFS('Dec 31 2018 OFFS'!$AG:$AG,'Dec 31 2018 OFFS'!$AI:$AI,'T1 2019 Pipeline Data Lagasco'!$A698,'Dec 31 2018 OFFS'!$U:$U,'T1 2019 Pipeline Data Lagasco'!$E698,'Dec 31 2018 OFFS'!$AK:$AK,'T1 2019 Pipeline Data Lagasco'!$Q698,'Dec 31 2018 OFFS'!$W:$W,'T1 2019 Pipeline Data Lagasco'!$G698))/(MAX(COUNTIFS('Dec 31 2018 OFFS'!$AI:$AI,'T1 2019 Pipeline Data Lagasco'!$A698,'Dec 31 2018 OFFS'!$U:$U,'T1 2019 Pipeline Data Lagasco'!$E698,'Dec 31 2018 OFFS'!$AK:$AK,'T1 2019 Pipeline Data Lagasco'!$Q698,'Dec 31 2018 OFFS'!$W:$W,'T1 2019 Pipeline Data Lagasco'!$G698),1))</f>
        <v>0</v>
      </c>
      <c r="S698" s="275">
        <f t="shared" si="24"/>
        <v>0</v>
      </c>
      <c r="T698" s="217"/>
    </row>
    <row r="699" spans="1:20" ht="14.1" customHeight="1">
      <c r="A699" s="224" t="s">
        <v>1500</v>
      </c>
      <c r="B699" s="218" t="s">
        <v>1501</v>
      </c>
      <c r="C699" s="223">
        <v>1</v>
      </c>
      <c r="D699" s="218" t="s">
        <v>1488</v>
      </c>
      <c r="E699" s="240">
        <v>4</v>
      </c>
      <c r="F699" s="226">
        <v>7653.346235</v>
      </c>
      <c r="G699" s="223">
        <v>1981</v>
      </c>
      <c r="H699" s="223">
        <v>1</v>
      </c>
      <c r="I699" s="246">
        <v>0</v>
      </c>
      <c r="J699" s="223"/>
      <c r="K699" s="228">
        <v>202431.0079</v>
      </c>
      <c r="L699" s="241">
        <v>80</v>
      </c>
      <c r="M699" s="229">
        <v>40486.201580000001</v>
      </c>
      <c r="N699" s="230">
        <v>26.45</v>
      </c>
      <c r="O699" s="248">
        <v>0</v>
      </c>
      <c r="P699" s="319" t="s">
        <v>1560</v>
      </c>
      <c r="Q699" s="276">
        <f t="shared" si="23"/>
        <v>7653.35</v>
      </c>
      <c r="R699" s="275">
        <f>(SUMIFS('Dec 31 2018 OFFS'!$AG:$AG,'Dec 31 2018 OFFS'!$AI:$AI,'T1 2019 Pipeline Data Lagasco'!$A699,'Dec 31 2018 OFFS'!$U:$U,'T1 2019 Pipeline Data Lagasco'!$E699,'Dec 31 2018 OFFS'!$AK:$AK,'T1 2019 Pipeline Data Lagasco'!$Q699,'Dec 31 2018 OFFS'!$W:$W,'T1 2019 Pipeline Data Lagasco'!$G699))/(MAX(COUNTIFS('Dec 31 2018 OFFS'!$AI:$AI,'T1 2019 Pipeline Data Lagasco'!$A699,'Dec 31 2018 OFFS'!$U:$U,'T1 2019 Pipeline Data Lagasco'!$E699,'Dec 31 2018 OFFS'!$AK:$AK,'T1 2019 Pipeline Data Lagasco'!$Q699,'Dec 31 2018 OFFS'!$W:$W,'T1 2019 Pipeline Data Lagasco'!$G699),1))</f>
        <v>0</v>
      </c>
      <c r="S699" s="275">
        <f t="shared" si="24"/>
        <v>0</v>
      </c>
      <c r="T699" s="278" t="e">
        <f t="shared" si="25" ref="T699:T701">R699/O699</f>
        <v>#DIV/0!</v>
      </c>
    </row>
    <row r="700" spans="1:20" ht="14.1" customHeight="1">
      <c r="A700" s="224" t="s">
        <v>1500</v>
      </c>
      <c r="B700" s="218" t="s">
        <v>1501</v>
      </c>
      <c r="C700" s="223">
        <v>1</v>
      </c>
      <c r="D700" s="218" t="s">
        <v>1488</v>
      </c>
      <c r="E700" s="240">
        <v>4</v>
      </c>
      <c r="F700" s="226">
        <v>9888.2871149999992</v>
      </c>
      <c r="G700" s="223">
        <v>1981</v>
      </c>
      <c r="H700" s="223">
        <v>1</v>
      </c>
      <c r="I700" s="246">
        <v>0</v>
      </c>
      <c r="J700" s="223"/>
      <c r="K700" s="228">
        <v>261545.1942</v>
      </c>
      <c r="L700" s="241">
        <v>80</v>
      </c>
      <c r="M700" s="229">
        <v>52309.038840000001</v>
      </c>
      <c r="N700" s="230">
        <v>26.45</v>
      </c>
      <c r="O700" s="248">
        <v>0</v>
      </c>
      <c r="P700" s="319" t="s">
        <v>1560</v>
      </c>
      <c r="Q700" s="276">
        <f t="shared" si="23"/>
        <v>9888.2900000000009</v>
      </c>
      <c r="R700" s="275">
        <f>(SUMIFS('Dec 31 2018 OFFS'!$AG:$AG,'Dec 31 2018 OFFS'!$AI:$AI,'T1 2019 Pipeline Data Lagasco'!$A700,'Dec 31 2018 OFFS'!$U:$U,'T1 2019 Pipeline Data Lagasco'!$E700,'Dec 31 2018 OFFS'!$AK:$AK,'T1 2019 Pipeline Data Lagasco'!$Q700,'Dec 31 2018 OFFS'!$W:$W,'T1 2019 Pipeline Data Lagasco'!$G700))/(MAX(COUNTIFS('Dec 31 2018 OFFS'!$AI:$AI,'T1 2019 Pipeline Data Lagasco'!$A700,'Dec 31 2018 OFFS'!$U:$U,'T1 2019 Pipeline Data Lagasco'!$E700,'Dec 31 2018 OFFS'!$AK:$AK,'T1 2019 Pipeline Data Lagasco'!$Q700,'Dec 31 2018 OFFS'!$W:$W,'T1 2019 Pipeline Data Lagasco'!$G700),1))</f>
        <v>0</v>
      </c>
      <c r="S700" s="275">
        <f t="shared" si="24"/>
        <v>0</v>
      </c>
      <c r="T700" s="278" t="e">
        <f t="shared" si="25"/>
        <v>#DIV/0!</v>
      </c>
    </row>
    <row r="701" spans="1:20" ht="14.1" customHeight="1">
      <c r="A701" s="224" t="s">
        <v>1500</v>
      </c>
      <c r="B701" s="218" t="s">
        <v>1501</v>
      </c>
      <c r="C701" s="223">
        <v>1</v>
      </c>
      <c r="D701" s="218" t="s">
        <v>1488</v>
      </c>
      <c r="E701" s="240">
        <v>4</v>
      </c>
      <c r="F701" s="226">
        <v>5028.0510350000004</v>
      </c>
      <c r="G701" s="223">
        <v>1982</v>
      </c>
      <c r="H701" s="223">
        <v>1</v>
      </c>
      <c r="I701" s="246">
        <v>0</v>
      </c>
      <c r="J701" s="223"/>
      <c r="K701" s="228">
        <v>132991.94990000001</v>
      </c>
      <c r="L701" s="241">
        <v>80</v>
      </c>
      <c r="M701" s="229">
        <v>26598.38998</v>
      </c>
      <c r="N701" s="230">
        <v>26.45</v>
      </c>
      <c r="O701" s="248">
        <v>0</v>
      </c>
      <c r="P701" s="319" t="s">
        <v>1560</v>
      </c>
      <c r="Q701" s="276">
        <f t="shared" si="23"/>
        <v>5028.05</v>
      </c>
      <c r="R701" s="275">
        <f>(SUMIFS('Dec 31 2018 OFFS'!$AG:$AG,'Dec 31 2018 OFFS'!$AI:$AI,'T1 2019 Pipeline Data Lagasco'!$A701,'Dec 31 2018 OFFS'!$U:$U,'T1 2019 Pipeline Data Lagasco'!$E701,'Dec 31 2018 OFFS'!$AK:$AK,'T1 2019 Pipeline Data Lagasco'!$Q701,'Dec 31 2018 OFFS'!$W:$W,'T1 2019 Pipeline Data Lagasco'!$G701))/(MAX(COUNTIFS('Dec 31 2018 OFFS'!$AI:$AI,'T1 2019 Pipeline Data Lagasco'!$A701,'Dec 31 2018 OFFS'!$U:$U,'T1 2019 Pipeline Data Lagasco'!$E701,'Dec 31 2018 OFFS'!$AK:$AK,'T1 2019 Pipeline Data Lagasco'!$Q701,'Dec 31 2018 OFFS'!$W:$W,'T1 2019 Pipeline Data Lagasco'!$G701),1))</f>
        <v>0</v>
      </c>
      <c r="S701" s="275">
        <f t="shared" si="24"/>
        <v>0</v>
      </c>
      <c r="T701" s="278" t="e">
        <f t="shared" si="25"/>
        <v>#DIV/0!</v>
      </c>
    </row>
    <row r="702" spans="1:20" ht="14.1" customHeight="1">
      <c r="A702" s="224" t="s">
        <v>1500</v>
      </c>
      <c r="B702" s="218" t="s">
        <v>1501</v>
      </c>
      <c r="C702" s="223">
        <v>1</v>
      </c>
      <c r="D702" s="218" t="s">
        <v>1488</v>
      </c>
      <c r="E702" s="240">
        <v>4</v>
      </c>
      <c r="F702" s="236">
        <v>15288.12292</v>
      </c>
      <c r="G702" s="223">
        <v>1965</v>
      </c>
      <c r="H702" s="223">
        <v>1</v>
      </c>
      <c r="I702" s="223">
        <v>1</v>
      </c>
      <c r="J702" s="223"/>
      <c r="K702" s="228">
        <v>404370.85119999998</v>
      </c>
      <c r="L702" s="241">
        <v>80</v>
      </c>
      <c r="M702" s="229">
        <v>80874.170230000003</v>
      </c>
      <c r="N702" s="230">
        <v>26.45</v>
      </c>
      <c r="O702" s="231">
        <v>80874</v>
      </c>
      <c r="P702" s="314"/>
      <c r="Q702" s="276">
        <f t="shared" si="23"/>
        <v>15288.12</v>
      </c>
      <c r="R702" s="275">
        <f>(SUMIFS('Dec 31 2018 OFFS'!$AG:$AG,'Dec 31 2018 OFFS'!$AI:$AI,'T1 2019 Pipeline Data Lagasco'!$A702,'Dec 31 2018 OFFS'!$U:$U,'T1 2019 Pipeline Data Lagasco'!$E702,'Dec 31 2018 OFFS'!$AK:$AK,'T1 2019 Pipeline Data Lagasco'!$Q702,'Dec 31 2018 OFFS'!$W:$W,'T1 2019 Pipeline Data Lagasco'!$G702))/(MAX(COUNTIFS('Dec 31 2018 OFFS'!$AI:$AI,'T1 2019 Pipeline Data Lagasco'!$A702,'Dec 31 2018 OFFS'!$U:$U,'T1 2019 Pipeline Data Lagasco'!$E702,'Dec 31 2018 OFFS'!$AK:$AK,'T1 2019 Pipeline Data Lagasco'!$Q702,'Dec 31 2018 OFFS'!$W:$W,'T1 2019 Pipeline Data Lagasco'!$G702),1))</f>
        <v>80874</v>
      </c>
      <c r="S702" s="275">
        <f t="shared" si="24"/>
        <v>0</v>
      </c>
      <c r="T702" s="217"/>
    </row>
    <row r="703" spans="1:20" ht="14.1" customHeight="1">
      <c r="A703" s="224" t="s">
        <v>1500</v>
      </c>
      <c r="B703" s="218" t="s">
        <v>1501</v>
      </c>
      <c r="C703" s="223">
        <v>1</v>
      </c>
      <c r="D703" s="218" t="s">
        <v>1488</v>
      </c>
      <c r="E703" s="240">
        <v>4</v>
      </c>
      <c r="F703" s="226">
        <v>4200.2295370000002</v>
      </c>
      <c r="G703" s="223">
        <v>1988</v>
      </c>
      <c r="H703" s="223">
        <v>1</v>
      </c>
      <c r="I703" s="223">
        <v>0</v>
      </c>
      <c r="J703" s="223"/>
      <c r="K703" s="228">
        <v>111096.0713</v>
      </c>
      <c r="L703" s="241">
        <v>76</v>
      </c>
      <c r="M703" s="228">
        <v>26663.057100000002</v>
      </c>
      <c r="N703" s="230">
        <v>26.45</v>
      </c>
      <c r="O703" s="231">
        <v>0</v>
      </c>
      <c r="P703" s="314"/>
      <c r="Q703" s="276">
        <f t="shared" si="23"/>
        <v>4200.2299999999996</v>
      </c>
      <c r="R703" s="275">
        <f>(SUMIFS('Dec 31 2018 OFFS'!$AG:$AG,'Dec 31 2018 OFFS'!$AI:$AI,'T1 2019 Pipeline Data Lagasco'!$A703,'Dec 31 2018 OFFS'!$U:$U,'T1 2019 Pipeline Data Lagasco'!$E703,'Dec 31 2018 OFFS'!$AK:$AK,'T1 2019 Pipeline Data Lagasco'!$Q703,'Dec 31 2018 OFFS'!$W:$W,'T1 2019 Pipeline Data Lagasco'!$G703))/(MAX(COUNTIFS('Dec 31 2018 OFFS'!$AI:$AI,'T1 2019 Pipeline Data Lagasco'!$A703,'Dec 31 2018 OFFS'!$U:$U,'T1 2019 Pipeline Data Lagasco'!$E703,'Dec 31 2018 OFFS'!$AK:$AK,'T1 2019 Pipeline Data Lagasco'!$Q703,'Dec 31 2018 OFFS'!$W:$W,'T1 2019 Pipeline Data Lagasco'!$G703),1))</f>
        <v>0</v>
      </c>
      <c r="S703" s="275">
        <f t="shared" si="24"/>
        <v>0</v>
      </c>
      <c r="T703" s="217"/>
    </row>
    <row r="704" spans="1:20" ht="14.1" customHeight="1">
      <c r="A704" s="224" t="s">
        <v>1500</v>
      </c>
      <c r="B704" s="218" t="s">
        <v>1501</v>
      </c>
      <c r="C704" s="223">
        <v>1</v>
      </c>
      <c r="D704" s="218" t="s">
        <v>1488</v>
      </c>
      <c r="E704" s="240">
        <v>4</v>
      </c>
      <c r="F704" s="226">
        <v>4613.5825439999999</v>
      </c>
      <c r="G704" s="223">
        <v>1988</v>
      </c>
      <c r="H704" s="223">
        <v>1</v>
      </c>
      <c r="I704" s="223">
        <v>0</v>
      </c>
      <c r="J704" s="223"/>
      <c r="K704" s="228">
        <v>122029.2583</v>
      </c>
      <c r="L704" s="241">
        <v>76</v>
      </c>
      <c r="M704" s="229">
        <v>29287.021990000001</v>
      </c>
      <c r="N704" s="230">
        <v>26.45</v>
      </c>
      <c r="O704" s="231">
        <v>0</v>
      </c>
      <c r="P704" s="314"/>
      <c r="Q704" s="276">
        <f t="shared" si="23"/>
        <v>4613.58</v>
      </c>
      <c r="R704" s="275">
        <f>(SUMIFS('Dec 31 2018 OFFS'!$AG:$AG,'Dec 31 2018 OFFS'!$AI:$AI,'T1 2019 Pipeline Data Lagasco'!$A704,'Dec 31 2018 OFFS'!$U:$U,'T1 2019 Pipeline Data Lagasco'!$E704,'Dec 31 2018 OFFS'!$AK:$AK,'T1 2019 Pipeline Data Lagasco'!$Q704,'Dec 31 2018 OFFS'!$W:$W,'T1 2019 Pipeline Data Lagasco'!$G704))/(MAX(COUNTIFS('Dec 31 2018 OFFS'!$AI:$AI,'T1 2019 Pipeline Data Lagasco'!$A704,'Dec 31 2018 OFFS'!$U:$U,'T1 2019 Pipeline Data Lagasco'!$E704,'Dec 31 2018 OFFS'!$AK:$AK,'T1 2019 Pipeline Data Lagasco'!$Q704,'Dec 31 2018 OFFS'!$W:$W,'T1 2019 Pipeline Data Lagasco'!$G704),1))</f>
        <v>0</v>
      </c>
      <c r="S704" s="275">
        <f t="shared" si="24"/>
        <v>0</v>
      </c>
      <c r="T704" s="217"/>
    </row>
    <row r="705" spans="1:20" ht="14.1" customHeight="1">
      <c r="A705" s="224" t="s">
        <v>1500</v>
      </c>
      <c r="B705" s="218" t="s">
        <v>1501</v>
      </c>
      <c r="C705" s="223">
        <v>1</v>
      </c>
      <c r="D705" s="218" t="s">
        <v>1488</v>
      </c>
      <c r="E705" s="240">
        <v>4</v>
      </c>
      <c r="F705" s="223">
        <v>8976</v>
      </c>
      <c r="G705" s="223">
        <v>2005</v>
      </c>
      <c r="H705" s="223">
        <v>1</v>
      </c>
      <c r="I705" s="223">
        <v>1</v>
      </c>
      <c r="J705" s="223"/>
      <c r="K705" s="237">
        <v>237415.20</v>
      </c>
      <c r="L705" s="241">
        <v>54</v>
      </c>
      <c r="M705" s="239">
        <v>109210.992</v>
      </c>
      <c r="N705" s="230">
        <v>26.45</v>
      </c>
      <c r="O705" s="231">
        <v>109210</v>
      </c>
      <c r="P705" s="314"/>
      <c r="Q705" s="279">
        <f t="shared" si="23"/>
        <v>8976</v>
      </c>
      <c r="R705" s="275">
        <f>(SUMIFS('Dec 31 2018 OFFS'!$AG:$AG,'Dec 31 2018 OFFS'!$AI:$AI,'T1 2019 Pipeline Data Lagasco'!$A705,'Dec 31 2018 OFFS'!$U:$U,'T1 2019 Pipeline Data Lagasco'!$E705,'Dec 31 2018 OFFS'!$AK:$AK,'T1 2019 Pipeline Data Lagasco'!$Q705,'Dec 31 2018 OFFS'!$W:$W,'T1 2019 Pipeline Data Lagasco'!$G705))/(MAX(COUNTIFS('Dec 31 2018 OFFS'!$AI:$AI,'T1 2019 Pipeline Data Lagasco'!$A705,'Dec 31 2018 OFFS'!$U:$U,'T1 2019 Pipeline Data Lagasco'!$E705,'Dec 31 2018 OFFS'!$AK:$AK,'T1 2019 Pipeline Data Lagasco'!$Q705,'Dec 31 2018 OFFS'!$W:$W,'T1 2019 Pipeline Data Lagasco'!$G705),1))</f>
        <v>109210</v>
      </c>
      <c r="S705" s="275">
        <f t="shared" si="24"/>
        <v>0</v>
      </c>
      <c r="T705" s="278">
        <f>R705/O705</f>
        <v>1</v>
      </c>
    </row>
    <row r="706" spans="1:20" ht="14.1" customHeight="1">
      <c r="A706" s="224" t="s">
        <v>1500</v>
      </c>
      <c r="B706" s="218" t="s">
        <v>1501</v>
      </c>
      <c r="C706" s="223">
        <v>1</v>
      </c>
      <c r="D706" s="218" t="s">
        <v>1488</v>
      </c>
      <c r="E706" s="240">
        <v>6</v>
      </c>
      <c r="F706" s="223">
        <v>11795</v>
      </c>
      <c r="G706" s="223">
        <v>2010</v>
      </c>
      <c r="H706" s="223">
        <v>1</v>
      </c>
      <c r="I706" s="223">
        <v>0</v>
      </c>
      <c r="J706" s="223"/>
      <c r="K706" s="238">
        <v>408460.85</v>
      </c>
      <c r="L706" s="241">
        <v>39</v>
      </c>
      <c r="M706" s="228">
        <v>249161.11850000001</v>
      </c>
      <c r="N706" s="230">
        <v>34.630000000000003</v>
      </c>
      <c r="O706" s="231">
        <v>0</v>
      </c>
      <c r="P706" s="314"/>
      <c r="Q706" s="276">
        <f t="shared" si="23"/>
        <v>11795</v>
      </c>
      <c r="R706" s="275">
        <f>(SUMIFS('Dec 31 2018 OFFS'!$AG:$AG,'Dec 31 2018 OFFS'!$AI:$AI,'T1 2019 Pipeline Data Lagasco'!$A706,'Dec 31 2018 OFFS'!$U:$U,'T1 2019 Pipeline Data Lagasco'!$E706,'Dec 31 2018 OFFS'!$AK:$AK,'T1 2019 Pipeline Data Lagasco'!$Q706,'Dec 31 2018 OFFS'!$W:$W,'T1 2019 Pipeline Data Lagasco'!$G706))/(MAX(COUNTIFS('Dec 31 2018 OFFS'!$AI:$AI,'T1 2019 Pipeline Data Lagasco'!$A706,'Dec 31 2018 OFFS'!$U:$U,'T1 2019 Pipeline Data Lagasco'!$E706,'Dec 31 2018 OFFS'!$AK:$AK,'T1 2019 Pipeline Data Lagasco'!$Q706,'Dec 31 2018 OFFS'!$W:$W,'T1 2019 Pipeline Data Lagasco'!$G706),1))</f>
        <v>0</v>
      </c>
      <c r="S706" s="275">
        <f t="shared" si="24"/>
        <v>0</v>
      </c>
      <c r="T706" s="217"/>
    </row>
    <row r="707" spans="1:20" ht="14.1" customHeight="1">
      <c r="A707" s="224" t="s">
        <v>1500</v>
      </c>
      <c r="B707" s="218" t="s">
        <v>1501</v>
      </c>
      <c r="C707" s="223">
        <v>1</v>
      </c>
      <c r="D707" s="218" t="s">
        <v>1488</v>
      </c>
      <c r="E707" s="240">
        <v>6</v>
      </c>
      <c r="F707" s="223">
        <v>12097</v>
      </c>
      <c r="G707" s="223">
        <v>2000</v>
      </c>
      <c r="H707" s="223">
        <v>1</v>
      </c>
      <c r="I707" s="223">
        <v>1</v>
      </c>
      <c r="J707" s="223"/>
      <c r="K707" s="238">
        <v>418919.11</v>
      </c>
      <c r="L707" s="241">
        <v>61</v>
      </c>
      <c r="M707" s="228">
        <v>163378.4529</v>
      </c>
      <c r="N707" s="230">
        <v>34.630000000000003</v>
      </c>
      <c r="O707" s="231">
        <v>163378</v>
      </c>
      <c r="P707" s="314"/>
      <c r="Q707" s="276">
        <f t="shared" si="23"/>
        <v>12097</v>
      </c>
      <c r="R707" s="275">
        <f>(SUMIFS('Dec 31 2018 OFFS'!$AG:$AG,'Dec 31 2018 OFFS'!$AI:$AI,'T1 2019 Pipeline Data Lagasco'!$A707,'Dec 31 2018 OFFS'!$U:$U,'T1 2019 Pipeline Data Lagasco'!$E707,'Dec 31 2018 OFFS'!$AK:$AK,'T1 2019 Pipeline Data Lagasco'!$Q707,'Dec 31 2018 OFFS'!$W:$W,'T1 2019 Pipeline Data Lagasco'!$G707))/(MAX(COUNTIFS('Dec 31 2018 OFFS'!$AI:$AI,'T1 2019 Pipeline Data Lagasco'!$A707,'Dec 31 2018 OFFS'!$U:$U,'T1 2019 Pipeline Data Lagasco'!$E707,'Dec 31 2018 OFFS'!$AK:$AK,'T1 2019 Pipeline Data Lagasco'!$Q707,'Dec 31 2018 OFFS'!$W:$W,'T1 2019 Pipeline Data Lagasco'!$G707),1))</f>
        <v>163378</v>
      </c>
      <c r="S707" s="275">
        <f t="shared" si="24"/>
        <v>0</v>
      </c>
      <c r="T707" s="217"/>
    </row>
    <row r="708" spans="1:20" ht="14.1" customHeight="1">
      <c r="A708" s="224" t="s">
        <v>1500</v>
      </c>
      <c r="B708" s="218" t="s">
        <v>1501</v>
      </c>
      <c r="C708" s="223">
        <v>1</v>
      </c>
      <c r="D708" s="218" t="s">
        <v>1488</v>
      </c>
      <c r="E708" s="240">
        <v>6</v>
      </c>
      <c r="F708" s="226">
        <v>5685.5969480000003</v>
      </c>
      <c r="G708" s="223">
        <v>1972</v>
      </c>
      <c r="H708" s="223">
        <v>1</v>
      </c>
      <c r="I708" s="223">
        <v>1</v>
      </c>
      <c r="J708" s="223"/>
      <c r="K708" s="228">
        <v>196892.22229999999</v>
      </c>
      <c r="L708" s="241">
        <v>80</v>
      </c>
      <c r="M708" s="229">
        <v>39378.444459999999</v>
      </c>
      <c r="N708" s="230">
        <v>34.630000000000003</v>
      </c>
      <c r="O708" s="231">
        <v>39378</v>
      </c>
      <c r="P708" s="314"/>
      <c r="Q708" s="276">
        <f t="shared" si="23"/>
        <v>5685.60</v>
      </c>
      <c r="R708" s="275">
        <f>(SUMIFS('Dec 31 2018 OFFS'!$AG:$AG,'Dec 31 2018 OFFS'!$AI:$AI,'T1 2019 Pipeline Data Lagasco'!$A708,'Dec 31 2018 OFFS'!$U:$U,'T1 2019 Pipeline Data Lagasco'!$E708,'Dec 31 2018 OFFS'!$AK:$AK,'T1 2019 Pipeline Data Lagasco'!$Q708,'Dec 31 2018 OFFS'!$W:$W,'T1 2019 Pipeline Data Lagasco'!$G708))/(MAX(COUNTIFS('Dec 31 2018 OFFS'!$AI:$AI,'T1 2019 Pipeline Data Lagasco'!$A708,'Dec 31 2018 OFFS'!$U:$U,'T1 2019 Pipeline Data Lagasco'!$E708,'Dec 31 2018 OFFS'!$AK:$AK,'T1 2019 Pipeline Data Lagasco'!$Q708,'Dec 31 2018 OFFS'!$W:$W,'T1 2019 Pipeline Data Lagasco'!$G708),1))</f>
        <v>39378</v>
      </c>
      <c r="S708" s="275">
        <f t="shared" si="24"/>
        <v>0</v>
      </c>
      <c r="T708" s="217"/>
    </row>
    <row r="709" spans="1:20" ht="14.1" customHeight="1">
      <c r="A709" s="224" t="s">
        <v>1500</v>
      </c>
      <c r="B709" s="218" t="s">
        <v>1501</v>
      </c>
      <c r="C709" s="223">
        <v>1</v>
      </c>
      <c r="D709" s="218" t="s">
        <v>1488</v>
      </c>
      <c r="E709" s="240">
        <v>6</v>
      </c>
      <c r="F709" s="223">
        <v>11380</v>
      </c>
      <c r="G709" s="223">
        <v>2000</v>
      </c>
      <c r="H709" s="223">
        <v>1</v>
      </c>
      <c r="I709" s="223">
        <v>1</v>
      </c>
      <c r="J709" s="223"/>
      <c r="K709" s="237">
        <v>394089.40</v>
      </c>
      <c r="L709" s="241">
        <v>61</v>
      </c>
      <c r="M709" s="239">
        <v>153694.86600000001</v>
      </c>
      <c r="N709" s="230">
        <v>34.630000000000003</v>
      </c>
      <c r="O709" s="231">
        <v>153694</v>
      </c>
      <c r="P709" s="314"/>
      <c r="Q709" s="276">
        <f t="shared" si="23"/>
        <v>11380</v>
      </c>
      <c r="R709" s="275">
        <f>(SUMIFS('Dec 31 2018 OFFS'!$AG:$AG,'Dec 31 2018 OFFS'!$AI:$AI,'T1 2019 Pipeline Data Lagasco'!$A709,'Dec 31 2018 OFFS'!$U:$U,'T1 2019 Pipeline Data Lagasco'!$E709,'Dec 31 2018 OFFS'!$AK:$AK,'T1 2019 Pipeline Data Lagasco'!$Q709,'Dec 31 2018 OFFS'!$W:$W,'T1 2019 Pipeline Data Lagasco'!$G709))/(MAX(COUNTIFS('Dec 31 2018 OFFS'!$AI:$AI,'T1 2019 Pipeline Data Lagasco'!$A709,'Dec 31 2018 OFFS'!$U:$U,'T1 2019 Pipeline Data Lagasco'!$E709,'Dec 31 2018 OFFS'!$AK:$AK,'T1 2019 Pipeline Data Lagasco'!$Q709,'Dec 31 2018 OFFS'!$W:$W,'T1 2019 Pipeline Data Lagasco'!$G709),1))</f>
        <v>153694</v>
      </c>
      <c r="S709" s="275">
        <f t="shared" si="24"/>
        <v>0</v>
      </c>
      <c r="T709" s="217"/>
    </row>
    <row r="710" spans="1:20" ht="14.1" customHeight="1">
      <c r="A710" s="224" t="s">
        <v>1500</v>
      </c>
      <c r="B710" s="218" t="s">
        <v>1501</v>
      </c>
      <c r="C710" s="223">
        <v>1</v>
      </c>
      <c r="D710" s="218" t="s">
        <v>1488</v>
      </c>
      <c r="E710" s="240">
        <v>6</v>
      </c>
      <c r="F710" s="223">
        <v>9987</v>
      </c>
      <c r="G710" s="223">
        <v>2000</v>
      </c>
      <c r="H710" s="223">
        <v>1</v>
      </c>
      <c r="I710" s="223">
        <v>1</v>
      </c>
      <c r="J710" s="223"/>
      <c r="K710" s="238">
        <v>345849.81</v>
      </c>
      <c r="L710" s="241">
        <v>61</v>
      </c>
      <c r="M710" s="228">
        <v>134881.4259</v>
      </c>
      <c r="N710" s="230">
        <v>34.630000000000003</v>
      </c>
      <c r="O710" s="231">
        <v>134881</v>
      </c>
      <c r="P710" s="314"/>
      <c r="Q710" s="276">
        <f t="shared" si="23"/>
        <v>9987</v>
      </c>
      <c r="R710" s="275">
        <f>(SUMIFS('Dec 31 2018 OFFS'!$AG:$AG,'Dec 31 2018 OFFS'!$AI:$AI,'T1 2019 Pipeline Data Lagasco'!$A710,'Dec 31 2018 OFFS'!$U:$U,'T1 2019 Pipeline Data Lagasco'!$E710,'Dec 31 2018 OFFS'!$AK:$AK,'T1 2019 Pipeline Data Lagasco'!$Q710,'Dec 31 2018 OFFS'!$W:$W,'T1 2019 Pipeline Data Lagasco'!$G710))/(MAX(COUNTIFS('Dec 31 2018 OFFS'!$AI:$AI,'T1 2019 Pipeline Data Lagasco'!$A710,'Dec 31 2018 OFFS'!$U:$U,'T1 2019 Pipeline Data Lagasco'!$E710,'Dec 31 2018 OFFS'!$AK:$AK,'T1 2019 Pipeline Data Lagasco'!$Q710,'Dec 31 2018 OFFS'!$W:$W,'T1 2019 Pipeline Data Lagasco'!$G710),1))</f>
        <v>134881</v>
      </c>
      <c r="S710" s="275">
        <f t="shared" si="24"/>
        <v>0</v>
      </c>
      <c r="T710" s="217"/>
    </row>
    <row r="711" spans="1:20" ht="14.1" customHeight="1">
      <c r="A711" s="224" t="s">
        <v>1500</v>
      </c>
      <c r="B711" s="218" t="s">
        <v>1501</v>
      </c>
      <c r="C711" s="223">
        <v>1</v>
      </c>
      <c r="D711" s="218" t="s">
        <v>1488</v>
      </c>
      <c r="E711" s="240">
        <v>6</v>
      </c>
      <c r="F711" s="246">
        <f>8952-744</f>
        <v>8208</v>
      </c>
      <c r="G711" s="223">
        <v>2000</v>
      </c>
      <c r="H711" s="223">
        <v>1</v>
      </c>
      <c r="I711" s="223">
        <v>1</v>
      </c>
      <c r="J711" s="223"/>
      <c r="K711" s="310">
        <f>310007.76*8208/8952</f>
        <v>284243.03999999998</v>
      </c>
      <c r="L711" s="241">
        <v>61</v>
      </c>
      <c r="M711" s="311">
        <f>120903.0264*8208/8952</f>
        <v>110854.7856</v>
      </c>
      <c r="N711" s="230">
        <v>34.630000000000003</v>
      </c>
      <c r="O711" s="248">
        <f>ROUNDDOWN(120903*8208/8952,0)</f>
        <v>110854</v>
      </c>
      <c r="P711" s="319" t="s">
        <v>1561</v>
      </c>
      <c r="Q711" s="276">
        <f t="shared" si="23"/>
        <v>8208</v>
      </c>
      <c r="R711" s="275">
        <f>(SUMIFS('Dec 31 2018 OFFS'!$AG:$AG,'Dec 31 2018 OFFS'!$AI:$AI,'T1 2019 Pipeline Data Lagasco'!$A711,'Dec 31 2018 OFFS'!$U:$U,'T1 2019 Pipeline Data Lagasco'!$E711,'Dec 31 2018 OFFS'!$AK:$AK,'T1 2019 Pipeline Data Lagasco'!$Q711,'Dec 31 2018 OFFS'!$W:$W,'T1 2019 Pipeline Data Lagasco'!$G711))/(MAX(COUNTIFS('Dec 31 2018 OFFS'!$AI:$AI,'T1 2019 Pipeline Data Lagasco'!$A711,'Dec 31 2018 OFFS'!$U:$U,'T1 2019 Pipeline Data Lagasco'!$E711,'Dec 31 2018 OFFS'!$AK:$AK,'T1 2019 Pipeline Data Lagasco'!$Q711,'Dec 31 2018 OFFS'!$W:$W,'T1 2019 Pipeline Data Lagasco'!$G711),1))</f>
        <v>110854</v>
      </c>
      <c r="S711" s="275">
        <f t="shared" si="24"/>
        <v>0</v>
      </c>
      <c r="T711" s="278">
        <f>R711/O711</f>
        <v>1</v>
      </c>
    </row>
    <row r="712" spans="1:20" ht="14.1" customHeight="1">
      <c r="A712" s="224" t="s">
        <v>1500</v>
      </c>
      <c r="B712" s="218" t="s">
        <v>1501</v>
      </c>
      <c r="C712" s="223">
        <v>1</v>
      </c>
      <c r="D712" s="218" t="s">
        <v>1488</v>
      </c>
      <c r="E712" s="240">
        <v>6</v>
      </c>
      <c r="F712" s="226">
        <v>5133.8581190000004</v>
      </c>
      <c r="G712" s="223">
        <v>1983</v>
      </c>
      <c r="H712" s="223">
        <v>1</v>
      </c>
      <c r="I712" s="223">
        <v>0</v>
      </c>
      <c r="J712" s="223"/>
      <c r="K712" s="228">
        <v>177785.5067</v>
      </c>
      <c r="L712" s="241">
        <v>80</v>
      </c>
      <c r="M712" s="229">
        <v>35557.101329999998</v>
      </c>
      <c r="N712" s="230">
        <v>34.630000000000003</v>
      </c>
      <c r="O712" s="231">
        <v>0</v>
      </c>
      <c r="P712" s="314"/>
      <c r="Q712" s="276">
        <f t="shared" si="23"/>
        <v>5133.8599999999997</v>
      </c>
      <c r="R712" s="275">
        <f>(SUMIFS('Dec 31 2018 OFFS'!$AG:$AG,'Dec 31 2018 OFFS'!$AI:$AI,'T1 2019 Pipeline Data Lagasco'!$A712,'Dec 31 2018 OFFS'!$U:$U,'T1 2019 Pipeline Data Lagasco'!$E712,'Dec 31 2018 OFFS'!$AK:$AK,'T1 2019 Pipeline Data Lagasco'!$Q712,'Dec 31 2018 OFFS'!$W:$W,'T1 2019 Pipeline Data Lagasco'!$G712))/(MAX(COUNTIFS('Dec 31 2018 OFFS'!$AI:$AI,'T1 2019 Pipeline Data Lagasco'!$A712,'Dec 31 2018 OFFS'!$U:$U,'T1 2019 Pipeline Data Lagasco'!$E712,'Dec 31 2018 OFFS'!$AK:$AK,'T1 2019 Pipeline Data Lagasco'!$Q712,'Dec 31 2018 OFFS'!$W:$W,'T1 2019 Pipeline Data Lagasco'!$G712),1))</f>
        <v>0</v>
      </c>
      <c r="S712" s="275">
        <f t="shared" si="24"/>
        <v>0</v>
      </c>
      <c r="T712" s="217"/>
    </row>
    <row r="713" spans="1:20" ht="14.1" customHeight="1">
      <c r="A713" s="224" t="s">
        <v>1500</v>
      </c>
      <c r="B713" s="218" t="s">
        <v>1501</v>
      </c>
      <c r="C713" s="223">
        <v>1</v>
      </c>
      <c r="D713" s="218" t="s">
        <v>1488</v>
      </c>
      <c r="E713" s="240">
        <v>6</v>
      </c>
      <c r="F713" s="230">
        <v>5794.36</v>
      </c>
      <c r="G713" s="223">
        <v>1983</v>
      </c>
      <c r="H713" s="223">
        <v>1</v>
      </c>
      <c r="I713" s="223">
        <v>0</v>
      </c>
      <c r="J713" s="223"/>
      <c r="K713" s="228">
        <v>200658.6868</v>
      </c>
      <c r="L713" s="241">
        <v>80</v>
      </c>
      <c r="M713" s="229">
        <v>40131.737359999999</v>
      </c>
      <c r="N713" s="230">
        <v>34.630000000000003</v>
      </c>
      <c r="O713" s="231">
        <v>0</v>
      </c>
      <c r="P713" s="314"/>
      <c r="Q713" s="276">
        <f t="shared" si="23"/>
        <v>5794.36</v>
      </c>
      <c r="R713" s="275">
        <f>(SUMIFS('Dec 31 2018 OFFS'!$AG:$AG,'Dec 31 2018 OFFS'!$AI:$AI,'T1 2019 Pipeline Data Lagasco'!$A713,'Dec 31 2018 OFFS'!$U:$U,'T1 2019 Pipeline Data Lagasco'!$E713,'Dec 31 2018 OFFS'!$AK:$AK,'T1 2019 Pipeline Data Lagasco'!$Q713,'Dec 31 2018 OFFS'!$W:$W,'T1 2019 Pipeline Data Lagasco'!$G713))/(MAX(COUNTIFS('Dec 31 2018 OFFS'!$AI:$AI,'T1 2019 Pipeline Data Lagasco'!$A713,'Dec 31 2018 OFFS'!$U:$U,'T1 2019 Pipeline Data Lagasco'!$E713,'Dec 31 2018 OFFS'!$AK:$AK,'T1 2019 Pipeline Data Lagasco'!$Q713,'Dec 31 2018 OFFS'!$W:$W,'T1 2019 Pipeline Data Lagasco'!$G713),1))</f>
        <v>0</v>
      </c>
      <c r="S713" s="275">
        <f t="shared" si="24"/>
        <v>0</v>
      </c>
      <c r="T713" s="217"/>
    </row>
    <row r="714" spans="1:20" ht="14.1" customHeight="1">
      <c r="A714" s="224" t="s">
        <v>1500</v>
      </c>
      <c r="B714" s="218" t="s">
        <v>1501</v>
      </c>
      <c r="C714" s="223">
        <v>1</v>
      </c>
      <c r="D714" s="218" t="s">
        <v>1488</v>
      </c>
      <c r="E714" s="240">
        <v>6</v>
      </c>
      <c r="F714" s="226">
        <v>6751.8042660000001</v>
      </c>
      <c r="G714" s="223">
        <v>1983</v>
      </c>
      <c r="H714" s="223">
        <v>1</v>
      </c>
      <c r="I714" s="223">
        <v>0</v>
      </c>
      <c r="J714" s="223"/>
      <c r="K714" s="228">
        <v>233814.9817</v>
      </c>
      <c r="L714" s="241">
        <v>80</v>
      </c>
      <c r="M714" s="229">
        <v>46762.996350000001</v>
      </c>
      <c r="N714" s="230">
        <v>34.630000000000003</v>
      </c>
      <c r="O714" s="231">
        <v>0</v>
      </c>
      <c r="P714" s="314"/>
      <c r="Q714" s="276">
        <f t="shared" si="23"/>
        <v>6751.80</v>
      </c>
      <c r="R714" s="275">
        <f>(SUMIFS('Dec 31 2018 OFFS'!$AG:$AG,'Dec 31 2018 OFFS'!$AI:$AI,'T1 2019 Pipeline Data Lagasco'!$A714,'Dec 31 2018 OFFS'!$U:$U,'T1 2019 Pipeline Data Lagasco'!$E714,'Dec 31 2018 OFFS'!$AK:$AK,'T1 2019 Pipeline Data Lagasco'!$Q714,'Dec 31 2018 OFFS'!$W:$W,'T1 2019 Pipeline Data Lagasco'!$G714))/(MAX(COUNTIFS('Dec 31 2018 OFFS'!$AI:$AI,'T1 2019 Pipeline Data Lagasco'!$A714,'Dec 31 2018 OFFS'!$U:$U,'T1 2019 Pipeline Data Lagasco'!$E714,'Dec 31 2018 OFFS'!$AK:$AK,'T1 2019 Pipeline Data Lagasco'!$Q714,'Dec 31 2018 OFFS'!$W:$W,'T1 2019 Pipeline Data Lagasco'!$G714),1))</f>
        <v>0</v>
      </c>
      <c r="S714" s="275">
        <f t="shared" si="24"/>
        <v>0</v>
      </c>
      <c r="T714" s="217"/>
    </row>
    <row r="715" spans="1:20" ht="14.1" customHeight="1">
      <c r="A715" s="224" t="s">
        <v>1500</v>
      </c>
      <c r="B715" s="218" t="s">
        <v>1501</v>
      </c>
      <c r="C715" s="223">
        <v>1</v>
      </c>
      <c r="D715" s="218" t="s">
        <v>1488</v>
      </c>
      <c r="E715" s="240">
        <v>6</v>
      </c>
      <c r="F715" s="236">
        <v>2783.7925700000001</v>
      </c>
      <c r="G715" s="223">
        <v>1983</v>
      </c>
      <c r="H715" s="223">
        <v>1</v>
      </c>
      <c r="I715" s="223">
        <v>1</v>
      </c>
      <c r="J715" s="223"/>
      <c r="K715" s="229">
        <v>96402.736709999997</v>
      </c>
      <c r="L715" s="241">
        <v>80</v>
      </c>
      <c r="M715" s="229">
        <v>19280.547340000001</v>
      </c>
      <c r="N715" s="230">
        <v>34.630000000000003</v>
      </c>
      <c r="O715" s="231">
        <v>19280</v>
      </c>
      <c r="P715" s="314"/>
      <c r="Q715" s="276">
        <f t="shared" si="23"/>
        <v>2783.79</v>
      </c>
      <c r="R715" s="275">
        <f>(SUMIFS('Dec 31 2018 OFFS'!$AG:$AG,'Dec 31 2018 OFFS'!$AI:$AI,'T1 2019 Pipeline Data Lagasco'!$A715,'Dec 31 2018 OFFS'!$U:$U,'T1 2019 Pipeline Data Lagasco'!$E715,'Dec 31 2018 OFFS'!$AK:$AK,'T1 2019 Pipeline Data Lagasco'!$Q715,'Dec 31 2018 OFFS'!$W:$W,'T1 2019 Pipeline Data Lagasco'!$G715))/(MAX(COUNTIFS('Dec 31 2018 OFFS'!$AI:$AI,'T1 2019 Pipeline Data Lagasco'!$A715,'Dec 31 2018 OFFS'!$U:$U,'T1 2019 Pipeline Data Lagasco'!$E715,'Dec 31 2018 OFFS'!$AK:$AK,'T1 2019 Pipeline Data Lagasco'!$Q715,'Dec 31 2018 OFFS'!$W:$W,'T1 2019 Pipeline Data Lagasco'!$G715),1))</f>
        <v>19280</v>
      </c>
      <c r="S715" s="275">
        <f t="shared" si="24"/>
        <v>0</v>
      </c>
      <c r="T715" s="217"/>
    </row>
    <row r="716" spans="1:20" ht="14.1" customHeight="1">
      <c r="A716" s="224" t="s">
        <v>1500</v>
      </c>
      <c r="B716" s="218" t="s">
        <v>1501</v>
      </c>
      <c r="C716" s="223">
        <v>1</v>
      </c>
      <c r="D716" s="218" t="s">
        <v>1488</v>
      </c>
      <c r="E716" s="240">
        <v>6</v>
      </c>
      <c r="F716" s="226">
        <v>7517.6507009999996</v>
      </c>
      <c r="G716" s="223">
        <v>1983</v>
      </c>
      <c r="H716" s="223">
        <v>1</v>
      </c>
      <c r="I716" s="223">
        <v>1</v>
      </c>
      <c r="J716" s="223"/>
      <c r="K716" s="228">
        <v>260336.2438</v>
      </c>
      <c r="L716" s="241">
        <v>80</v>
      </c>
      <c r="M716" s="229">
        <v>52067.248749999999</v>
      </c>
      <c r="N716" s="230">
        <v>34.630000000000003</v>
      </c>
      <c r="O716" s="231">
        <v>52067</v>
      </c>
      <c r="P716" s="314"/>
      <c r="Q716" s="276">
        <f t="shared" si="23"/>
        <v>7517.65</v>
      </c>
      <c r="R716" s="275">
        <f>(SUMIFS('Dec 31 2018 OFFS'!$AG:$AG,'Dec 31 2018 OFFS'!$AI:$AI,'T1 2019 Pipeline Data Lagasco'!$A716,'Dec 31 2018 OFFS'!$U:$U,'T1 2019 Pipeline Data Lagasco'!$E716,'Dec 31 2018 OFFS'!$AK:$AK,'T1 2019 Pipeline Data Lagasco'!$Q716,'Dec 31 2018 OFFS'!$W:$W,'T1 2019 Pipeline Data Lagasco'!$G716))/(MAX(COUNTIFS('Dec 31 2018 OFFS'!$AI:$AI,'T1 2019 Pipeline Data Lagasco'!$A716,'Dec 31 2018 OFFS'!$U:$U,'T1 2019 Pipeline Data Lagasco'!$E716,'Dec 31 2018 OFFS'!$AK:$AK,'T1 2019 Pipeline Data Lagasco'!$Q716,'Dec 31 2018 OFFS'!$W:$W,'T1 2019 Pipeline Data Lagasco'!$G716),1))</f>
        <v>52067</v>
      </c>
      <c r="S716" s="275">
        <f t="shared" si="24"/>
        <v>0</v>
      </c>
      <c r="T716" s="217"/>
    </row>
    <row r="717" spans="1:20" ht="14.1" customHeight="1">
      <c r="A717" s="224" t="s">
        <v>1500</v>
      </c>
      <c r="B717" s="218" t="s">
        <v>1501</v>
      </c>
      <c r="C717" s="223">
        <v>1</v>
      </c>
      <c r="D717" s="218" t="s">
        <v>1488</v>
      </c>
      <c r="E717" s="240">
        <v>6</v>
      </c>
      <c r="F717" s="223">
        <v>10432</v>
      </c>
      <c r="G717" s="223">
        <v>1983</v>
      </c>
      <c r="H717" s="223">
        <v>1</v>
      </c>
      <c r="I717" s="223">
        <v>1</v>
      </c>
      <c r="J717" s="223"/>
      <c r="K717" s="238">
        <v>361260.16</v>
      </c>
      <c r="L717" s="241">
        <v>80</v>
      </c>
      <c r="M717" s="239">
        <v>72252.032000000007</v>
      </c>
      <c r="N717" s="230">
        <v>34.630000000000003</v>
      </c>
      <c r="O717" s="231">
        <v>72252</v>
      </c>
      <c r="P717" s="314"/>
      <c r="Q717" s="276">
        <f t="shared" si="23"/>
        <v>10432</v>
      </c>
      <c r="R717" s="275">
        <f>(SUMIFS('Dec 31 2018 OFFS'!$AG:$AG,'Dec 31 2018 OFFS'!$AI:$AI,'T1 2019 Pipeline Data Lagasco'!$A717,'Dec 31 2018 OFFS'!$U:$U,'T1 2019 Pipeline Data Lagasco'!$E717,'Dec 31 2018 OFFS'!$AK:$AK,'T1 2019 Pipeline Data Lagasco'!$Q717,'Dec 31 2018 OFFS'!$W:$W,'T1 2019 Pipeline Data Lagasco'!$G717))/(MAX(COUNTIFS('Dec 31 2018 OFFS'!$AI:$AI,'T1 2019 Pipeline Data Lagasco'!$A717,'Dec 31 2018 OFFS'!$U:$U,'T1 2019 Pipeline Data Lagasco'!$E717,'Dec 31 2018 OFFS'!$AK:$AK,'T1 2019 Pipeline Data Lagasco'!$Q717,'Dec 31 2018 OFFS'!$W:$W,'T1 2019 Pipeline Data Lagasco'!$G717),1))</f>
        <v>72252</v>
      </c>
      <c r="S717" s="275">
        <f t="shared" si="24"/>
        <v>0</v>
      </c>
      <c r="T717" s="217"/>
    </row>
    <row r="718" spans="1:20" ht="14.1" customHeight="1">
      <c r="A718" s="224" t="s">
        <v>1500</v>
      </c>
      <c r="B718" s="218" t="s">
        <v>1501</v>
      </c>
      <c r="C718" s="223">
        <v>1</v>
      </c>
      <c r="D718" s="218" t="s">
        <v>1488</v>
      </c>
      <c r="E718" s="240">
        <v>6</v>
      </c>
      <c r="F718" s="226">
        <v>8536.7779680000003</v>
      </c>
      <c r="G718" s="223">
        <v>1983</v>
      </c>
      <c r="H718" s="223">
        <v>1</v>
      </c>
      <c r="I718" s="223">
        <v>0</v>
      </c>
      <c r="J718" s="223"/>
      <c r="K718" s="239">
        <v>295628.62099999998</v>
      </c>
      <c r="L718" s="241">
        <v>80</v>
      </c>
      <c r="M718" s="229">
        <v>59125.72421</v>
      </c>
      <c r="N718" s="230">
        <v>34.630000000000003</v>
      </c>
      <c r="O718" s="231">
        <v>0</v>
      </c>
      <c r="P718" s="314"/>
      <c r="Q718" s="276">
        <f t="shared" si="23"/>
        <v>8536.7800000000007</v>
      </c>
      <c r="R718" s="275">
        <f>(SUMIFS('Dec 31 2018 OFFS'!$AG:$AG,'Dec 31 2018 OFFS'!$AI:$AI,'T1 2019 Pipeline Data Lagasco'!$A718,'Dec 31 2018 OFFS'!$U:$U,'T1 2019 Pipeline Data Lagasco'!$E718,'Dec 31 2018 OFFS'!$AK:$AK,'T1 2019 Pipeline Data Lagasco'!$Q718,'Dec 31 2018 OFFS'!$W:$W,'T1 2019 Pipeline Data Lagasco'!$G718))/(MAX(COUNTIFS('Dec 31 2018 OFFS'!$AI:$AI,'T1 2019 Pipeline Data Lagasco'!$A718,'Dec 31 2018 OFFS'!$U:$U,'T1 2019 Pipeline Data Lagasco'!$E718,'Dec 31 2018 OFFS'!$AK:$AK,'T1 2019 Pipeline Data Lagasco'!$Q718,'Dec 31 2018 OFFS'!$W:$W,'T1 2019 Pipeline Data Lagasco'!$G718),1))</f>
        <v>0</v>
      </c>
      <c r="S718" s="275">
        <f t="shared" si="24"/>
        <v>0</v>
      </c>
      <c r="T718" s="217"/>
    </row>
    <row r="719" spans="1:20" ht="14.1" customHeight="1">
      <c r="A719" s="224" t="s">
        <v>1500</v>
      </c>
      <c r="B719" s="218" t="s">
        <v>1501</v>
      </c>
      <c r="C719" s="223">
        <v>1</v>
      </c>
      <c r="D719" s="218" t="s">
        <v>1488</v>
      </c>
      <c r="E719" s="240">
        <v>6</v>
      </c>
      <c r="F719" s="223">
        <v>12118</v>
      </c>
      <c r="G719" s="223">
        <v>1980</v>
      </c>
      <c r="H719" s="223">
        <v>1</v>
      </c>
      <c r="I719" s="223">
        <v>1</v>
      </c>
      <c r="J719" s="223"/>
      <c r="K719" s="238">
        <v>419646.34</v>
      </c>
      <c r="L719" s="241">
        <v>80</v>
      </c>
      <c r="M719" s="239">
        <v>83929.267999999996</v>
      </c>
      <c r="N719" s="230">
        <v>34.630000000000003</v>
      </c>
      <c r="O719" s="231">
        <v>83929</v>
      </c>
      <c r="P719" s="314"/>
      <c r="Q719" s="276">
        <f t="shared" si="23"/>
        <v>12118</v>
      </c>
      <c r="R719" s="275">
        <f>(SUMIFS('Dec 31 2018 OFFS'!$AG:$AG,'Dec 31 2018 OFFS'!$AI:$AI,'T1 2019 Pipeline Data Lagasco'!$A719,'Dec 31 2018 OFFS'!$U:$U,'T1 2019 Pipeline Data Lagasco'!$E719,'Dec 31 2018 OFFS'!$AK:$AK,'T1 2019 Pipeline Data Lagasco'!$Q719,'Dec 31 2018 OFFS'!$W:$W,'T1 2019 Pipeline Data Lagasco'!$G719))/(MAX(COUNTIFS('Dec 31 2018 OFFS'!$AI:$AI,'T1 2019 Pipeline Data Lagasco'!$A719,'Dec 31 2018 OFFS'!$U:$U,'T1 2019 Pipeline Data Lagasco'!$E719,'Dec 31 2018 OFFS'!$AK:$AK,'T1 2019 Pipeline Data Lagasco'!$Q719,'Dec 31 2018 OFFS'!$W:$W,'T1 2019 Pipeline Data Lagasco'!$G719),1))</f>
        <v>83929</v>
      </c>
      <c r="S719" s="275">
        <f t="shared" si="24"/>
        <v>0</v>
      </c>
      <c r="T719" s="217"/>
    </row>
    <row r="720" spans="1:20" ht="14.1" customHeight="1">
      <c r="A720" s="224" t="s">
        <v>1500</v>
      </c>
      <c r="B720" s="218" t="s">
        <v>1501</v>
      </c>
      <c r="C720" s="223">
        <v>1</v>
      </c>
      <c r="D720" s="218" t="s">
        <v>1488</v>
      </c>
      <c r="E720" s="240">
        <v>6</v>
      </c>
      <c r="F720" s="223">
        <v>4307</v>
      </c>
      <c r="G720" s="223">
        <v>1983</v>
      </c>
      <c r="H720" s="223">
        <v>1</v>
      </c>
      <c r="I720" s="223">
        <v>1</v>
      </c>
      <c r="J720" s="223"/>
      <c r="K720" s="238">
        <v>149151.41</v>
      </c>
      <c r="L720" s="241">
        <v>80</v>
      </c>
      <c r="M720" s="239">
        <v>29830.281999999999</v>
      </c>
      <c r="N720" s="230">
        <v>34.630000000000003</v>
      </c>
      <c r="O720" s="231">
        <v>29830</v>
      </c>
      <c r="P720" s="314"/>
      <c r="Q720" s="276">
        <f t="shared" si="23"/>
        <v>4307</v>
      </c>
      <c r="R720" s="275">
        <f>(SUMIFS('Dec 31 2018 OFFS'!$AG:$AG,'Dec 31 2018 OFFS'!$AI:$AI,'T1 2019 Pipeline Data Lagasco'!$A720,'Dec 31 2018 OFFS'!$U:$U,'T1 2019 Pipeline Data Lagasco'!$E720,'Dec 31 2018 OFFS'!$AK:$AK,'T1 2019 Pipeline Data Lagasco'!$Q720,'Dec 31 2018 OFFS'!$W:$W,'T1 2019 Pipeline Data Lagasco'!$G720))/(MAX(COUNTIFS('Dec 31 2018 OFFS'!$AI:$AI,'T1 2019 Pipeline Data Lagasco'!$A720,'Dec 31 2018 OFFS'!$U:$U,'T1 2019 Pipeline Data Lagasco'!$E720,'Dec 31 2018 OFFS'!$AK:$AK,'T1 2019 Pipeline Data Lagasco'!$Q720,'Dec 31 2018 OFFS'!$W:$W,'T1 2019 Pipeline Data Lagasco'!$G720),1))</f>
        <v>29830</v>
      </c>
      <c r="S720" s="275">
        <f t="shared" si="24"/>
        <v>0</v>
      </c>
      <c r="T720" s="217"/>
    </row>
    <row r="721" spans="1:19" s="217" customFormat="1" ht="14.1" customHeight="1">
      <c r="A721" s="224" t="s">
        <v>1500</v>
      </c>
      <c r="B721" s="218" t="s">
        <v>1501</v>
      </c>
      <c r="C721" s="223">
        <v>1</v>
      </c>
      <c r="D721" s="218" t="s">
        <v>1488</v>
      </c>
      <c r="E721" s="240">
        <v>6</v>
      </c>
      <c r="F721" s="236">
        <v>19742.026989999998</v>
      </c>
      <c r="G721" s="223">
        <v>1980</v>
      </c>
      <c r="H721" s="223">
        <v>1</v>
      </c>
      <c r="I721" s="223">
        <v>0</v>
      </c>
      <c r="J721" s="223"/>
      <c r="K721" s="228">
        <v>683666.3946</v>
      </c>
      <c r="L721" s="241">
        <v>80</v>
      </c>
      <c r="M721" s="228">
        <v>136733.2789</v>
      </c>
      <c r="N721" s="230">
        <v>34.630000000000003</v>
      </c>
      <c r="O721" s="231">
        <v>0</v>
      </c>
      <c r="P721" s="314"/>
      <c r="Q721" s="276">
        <f t="shared" si="23"/>
        <v>19742.03</v>
      </c>
      <c r="R721" s="275">
        <f>(SUMIFS('Dec 31 2018 OFFS'!$AG:$AG,'Dec 31 2018 OFFS'!$AI:$AI,'T1 2019 Pipeline Data Lagasco'!$A721,'Dec 31 2018 OFFS'!$U:$U,'T1 2019 Pipeline Data Lagasco'!$E721,'Dec 31 2018 OFFS'!$AK:$AK,'T1 2019 Pipeline Data Lagasco'!$Q721,'Dec 31 2018 OFFS'!$W:$W,'T1 2019 Pipeline Data Lagasco'!$G721))/(MAX(COUNTIFS('Dec 31 2018 OFFS'!$AI:$AI,'T1 2019 Pipeline Data Lagasco'!$A721,'Dec 31 2018 OFFS'!$U:$U,'T1 2019 Pipeline Data Lagasco'!$E721,'Dec 31 2018 OFFS'!$AK:$AK,'T1 2019 Pipeline Data Lagasco'!$Q721,'Dec 31 2018 OFFS'!$W:$W,'T1 2019 Pipeline Data Lagasco'!$G721),1))</f>
        <v>0</v>
      </c>
      <c r="S721" s="275">
        <f t="shared" si="24"/>
        <v>0</v>
      </c>
    </row>
    <row r="722" spans="1:19" s="217" customFormat="1" ht="14.1" customHeight="1">
      <c r="A722" s="224" t="s">
        <v>1500</v>
      </c>
      <c r="B722" s="218" t="s">
        <v>1501</v>
      </c>
      <c r="C722" s="223">
        <v>1</v>
      </c>
      <c r="D722" s="218" t="s">
        <v>1488</v>
      </c>
      <c r="E722" s="240">
        <v>6</v>
      </c>
      <c r="F722" s="226">
        <v>6113.6153089999998</v>
      </c>
      <c r="G722" s="223">
        <v>1980</v>
      </c>
      <c r="H722" s="223">
        <v>1</v>
      </c>
      <c r="I722" s="223">
        <v>0</v>
      </c>
      <c r="J722" s="223"/>
      <c r="K722" s="228">
        <v>211714.4981</v>
      </c>
      <c r="L722" s="241">
        <v>80</v>
      </c>
      <c r="M722" s="229">
        <v>42342.89963</v>
      </c>
      <c r="N722" s="230">
        <v>34.630000000000003</v>
      </c>
      <c r="O722" s="231">
        <v>0</v>
      </c>
      <c r="P722" s="314"/>
      <c r="Q722" s="276">
        <f t="shared" si="23"/>
        <v>6113.62</v>
      </c>
      <c r="R722" s="275">
        <f>(SUMIFS('Dec 31 2018 OFFS'!$AG:$AG,'Dec 31 2018 OFFS'!$AI:$AI,'T1 2019 Pipeline Data Lagasco'!$A722,'Dec 31 2018 OFFS'!$U:$U,'T1 2019 Pipeline Data Lagasco'!$E722,'Dec 31 2018 OFFS'!$AK:$AK,'T1 2019 Pipeline Data Lagasco'!$Q722,'Dec 31 2018 OFFS'!$W:$W,'T1 2019 Pipeline Data Lagasco'!$G722))/(MAX(COUNTIFS('Dec 31 2018 OFFS'!$AI:$AI,'T1 2019 Pipeline Data Lagasco'!$A722,'Dec 31 2018 OFFS'!$U:$U,'T1 2019 Pipeline Data Lagasco'!$E722,'Dec 31 2018 OFFS'!$AK:$AK,'T1 2019 Pipeline Data Lagasco'!$Q722,'Dec 31 2018 OFFS'!$W:$W,'T1 2019 Pipeline Data Lagasco'!$G722),1))</f>
        <v>0</v>
      </c>
      <c r="S722" s="275">
        <f t="shared" si="24"/>
        <v>0</v>
      </c>
    </row>
    <row r="723" spans="1:19" s="217" customFormat="1" ht="14.1" customHeight="1">
      <c r="A723" s="224" t="s">
        <v>1500</v>
      </c>
      <c r="B723" s="218" t="s">
        <v>1501</v>
      </c>
      <c r="C723" s="223">
        <v>1</v>
      </c>
      <c r="D723" s="218" t="s">
        <v>1488</v>
      </c>
      <c r="E723" s="240">
        <v>6</v>
      </c>
      <c r="F723" s="235">
        <v>2832.7426999999998</v>
      </c>
      <c r="G723" s="223">
        <v>1980</v>
      </c>
      <c r="H723" s="223">
        <v>1</v>
      </c>
      <c r="I723" s="223">
        <v>0</v>
      </c>
      <c r="J723" s="223"/>
      <c r="K723" s="229">
        <v>98097.879709999994</v>
      </c>
      <c r="L723" s="241">
        <v>80</v>
      </c>
      <c r="M723" s="229">
        <v>19619.575939999999</v>
      </c>
      <c r="N723" s="230">
        <v>34.630000000000003</v>
      </c>
      <c r="O723" s="231">
        <v>0</v>
      </c>
      <c r="P723" s="314"/>
      <c r="Q723" s="276">
        <f t="shared" si="23"/>
        <v>2832.74</v>
      </c>
      <c r="R723" s="275">
        <f>(SUMIFS('Dec 31 2018 OFFS'!$AG:$AG,'Dec 31 2018 OFFS'!$AI:$AI,'T1 2019 Pipeline Data Lagasco'!$A723,'Dec 31 2018 OFFS'!$U:$U,'T1 2019 Pipeline Data Lagasco'!$E723,'Dec 31 2018 OFFS'!$AK:$AK,'T1 2019 Pipeline Data Lagasco'!$Q723,'Dec 31 2018 OFFS'!$W:$W,'T1 2019 Pipeline Data Lagasco'!$G723))/(MAX(COUNTIFS('Dec 31 2018 OFFS'!$AI:$AI,'T1 2019 Pipeline Data Lagasco'!$A723,'Dec 31 2018 OFFS'!$U:$U,'T1 2019 Pipeline Data Lagasco'!$E723,'Dec 31 2018 OFFS'!$AK:$AK,'T1 2019 Pipeline Data Lagasco'!$Q723,'Dec 31 2018 OFFS'!$W:$W,'T1 2019 Pipeline Data Lagasco'!$G723),1))</f>
        <v>0</v>
      </c>
      <c r="S723" s="275">
        <f t="shared" si="24"/>
        <v>0</v>
      </c>
    </row>
    <row r="724" spans="1:19" s="217" customFormat="1" ht="14.1" customHeight="1">
      <c r="A724" s="224" t="s">
        <v>1500</v>
      </c>
      <c r="B724" s="218" t="s">
        <v>1501</v>
      </c>
      <c r="C724" s="223">
        <v>1</v>
      </c>
      <c r="D724" s="218" t="s">
        <v>1488</v>
      </c>
      <c r="E724" s="240">
        <v>6</v>
      </c>
      <c r="F724" s="226">
        <v>8294.1926729999996</v>
      </c>
      <c r="G724" s="223">
        <v>1980</v>
      </c>
      <c r="H724" s="223">
        <v>1</v>
      </c>
      <c r="I724" s="223">
        <v>0</v>
      </c>
      <c r="J724" s="223"/>
      <c r="K724" s="228">
        <v>287227.89230000001</v>
      </c>
      <c r="L724" s="241">
        <v>80</v>
      </c>
      <c r="M724" s="229">
        <v>57445.578450000001</v>
      </c>
      <c r="N724" s="230">
        <v>34.630000000000003</v>
      </c>
      <c r="O724" s="231">
        <v>0</v>
      </c>
      <c r="P724" s="314"/>
      <c r="Q724" s="276">
        <f t="shared" si="26" ref="Q724:Q787">ROUND(F724,2)</f>
        <v>8294.19</v>
      </c>
      <c r="R724" s="275">
        <f>(SUMIFS('Dec 31 2018 OFFS'!$AG:$AG,'Dec 31 2018 OFFS'!$AI:$AI,'T1 2019 Pipeline Data Lagasco'!$A724,'Dec 31 2018 OFFS'!$U:$U,'T1 2019 Pipeline Data Lagasco'!$E724,'Dec 31 2018 OFFS'!$AK:$AK,'T1 2019 Pipeline Data Lagasco'!$Q724,'Dec 31 2018 OFFS'!$W:$W,'T1 2019 Pipeline Data Lagasco'!$G724))/(MAX(COUNTIFS('Dec 31 2018 OFFS'!$AI:$AI,'T1 2019 Pipeline Data Lagasco'!$A724,'Dec 31 2018 OFFS'!$U:$U,'T1 2019 Pipeline Data Lagasco'!$E724,'Dec 31 2018 OFFS'!$AK:$AK,'T1 2019 Pipeline Data Lagasco'!$Q724,'Dec 31 2018 OFFS'!$W:$W,'T1 2019 Pipeline Data Lagasco'!$G724),1))</f>
        <v>0</v>
      </c>
      <c r="S724" s="275">
        <f t="shared" si="27" ref="S724:S787">O724-R724</f>
        <v>0</v>
      </c>
    </row>
    <row r="725" spans="1:19" s="217" customFormat="1" ht="14.1" customHeight="1">
      <c r="A725" s="224" t="s">
        <v>1500</v>
      </c>
      <c r="B725" s="218" t="s">
        <v>1501</v>
      </c>
      <c r="C725" s="223">
        <v>1</v>
      </c>
      <c r="D725" s="218" t="s">
        <v>1488</v>
      </c>
      <c r="E725" s="240">
        <v>6</v>
      </c>
      <c r="F725" s="235">
        <v>11797.8343</v>
      </c>
      <c r="G725" s="223">
        <v>1980</v>
      </c>
      <c r="H725" s="223">
        <v>1</v>
      </c>
      <c r="I725" s="223">
        <v>0</v>
      </c>
      <c r="J725" s="223"/>
      <c r="K725" s="228">
        <v>408559.00189999997</v>
      </c>
      <c r="L725" s="241">
        <v>80</v>
      </c>
      <c r="M725" s="229">
        <v>81711.800390000004</v>
      </c>
      <c r="N725" s="230">
        <v>34.630000000000003</v>
      </c>
      <c r="O725" s="231">
        <v>0</v>
      </c>
      <c r="P725" s="314"/>
      <c r="Q725" s="276">
        <f t="shared" si="26"/>
        <v>11797.83</v>
      </c>
      <c r="R725" s="275">
        <f>(SUMIFS('Dec 31 2018 OFFS'!$AG:$AG,'Dec 31 2018 OFFS'!$AI:$AI,'T1 2019 Pipeline Data Lagasco'!$A725,'Dec 31 2018 OFFS'!$U:$U,'T1 2019 Pipeline Data Lagasco'!$E725,'Dec 31 2018 OFFS'!$AK:$AK,'T1 2019 Pipeline Data Lagasco'!$Q725,'Dec 31 2018 OFFS'!$W:$W,'T1 2019 Pipeline Data Lagasco'!$G725))/(MAX(COUNTIFS('Dec 31 2018 OFFS'!$AI:$AI,'T1 2019 Pipeline Data Lagasco'!$A725,'Dec 31 2018 OFFS'!$U:$U,'T1 2019 Pipeline Data Lagasco'!$E725,'Dec 31 2018 OFFS'!$AK:$AK,'T1 2019 Pipeline Data Lagasco'!$Q725,'Dec 31 2018 OFFS'!$W:$W,'T1 2019 Pipeline Data Lagasco'!$G725),1))</f>
        <v>0</v>
      </c>
      <c r="S725" s="275">
        <f t="shared" si="27"/>
        <v>0</v>
      </c>
    </row>
    <row r="726" spans="1:19" s="217" customFormat="1" ht="14.1" customHeight="1">
      <c r="A726" s="224" t="s">
        <v>1500</v>
      </c>
      <c r="B726" s="218" t="s">
        <v>1501</v>
      </c>
      <c r="C726" s="223">
        <v>1</v>
      </c>
      <c r="D726" s="218" t="s">
        <v>1488</v>
      </c>
      <c r="E726" s="240">
        <v>6</v>
      </c>
      <c r="F726" s="236">
        <v>12337.532450000001</v>
      </c>
      <c r="G726" s="223">
        <v>1980</v>
      </c>
      <c r="H726" s="223">
        <v>1</v>
      </c>
      <c r="I726" s="223">
        <v>0</v>
      </c>
      <c r="J726" s="223"/>
      <c r="K726" s="228">
        <v>427248.7488</v>
      </c>
      <c r="L726" s="241">
        <v>80</v>
      </c>
      <c r="M726" s="229">
        <v>85449.749760000006</v>
      </c>
      <c r="N726" s="230">
        <v>34.630000000000003</v>
      </c>
      <c r="O726" s="231">
        <v>0</v>
      </c>
      <c r="P726" s="314"/>
      <c r="Q726" s="276">
        <f t="shared" si="26"/>
        <v>12337.53</v>
      </c>
      <c r="R726" s="275">
        <f>(SUMIFS('Dec 31 2018 OFFS'!$AG:$AG,'Dec 31 2018 OFFS'!$AI:$AI,'T1 2019 Pipeline Data Lagasco'!$A726,'Dec 31 2018 OFFS'!$U:$U,'T1 2019 Pipeline Data Lagasco'!$E726,'Dec 31 2018 OFFS'!$AK:$AK,'T1 2019 Pipeline Data Lagasco'!$Q726,'Dec 31 2018 OFFS'!$W:$W,'T1 2019 Pipeline Data Lagasco'!$G726))/(MAX(COUNTIFS('Dec 31 2018 OFFS'!$AI:$AI,'T1 2019 Pipeline Data Lagasco'!$A726,'Dec 31 2018 OFFS'!$U:$U,'T1 2019 Pipeline Data Lagasco'!$E726,'Dec 31 2018 OFFS'!$AK:$AK,'T1 2019 Pipeline Data Lagasco'!$Q726,'Dec 31 2018 OFFS'!$W:$W,'T1 2019 Pipeline Data Lagasco'!$G726),1))</f>
        <v>0</v>
      </c>
      <c r="S726" s="275">
        <f t="shared" si="27"/>
        <v>0</v>
      </c>
    </row>
    <row r="727" spans="1:19" s="217" customFormat="1" ht="14.1" customHeight="1">
      <c r="A727" s="224" t="s">
        <v>1500</v>
      </c>
      <c r="B727" s="218" t="s">
        <v>1501</v>
      </c>
      <c r="C727" s="223">
        <v>1</v>
      </c>
      <c r="D727" s="218" t="s">
        <v>1488</v>
      </c>
      <c r="E727" s="240">
        <v>6</v>
      </c>
      <c r="F727" s="226">
        <v>9150.6887110000007</v>
      </c>
      <c r="G727" s="223">
        <v>1980</v>
      </c>
      <c r="H727" s="223">
        <v>1</v>
      </c>
      <c r="I727" s="223">
        <v>0</v>
      </c>
      <c r="J727" s="223"/>
      <c r="K727" s="228">
        <v>316888.35009999998</v>
      </c>
      <c r="L727" s="241">
        <v>80</v>
      </c>
      <c r="M727" s="229">
        <v>63377.670010000002</v>
      </c>
      <c r="N727" s="230">
        <v>34.630000000000003</v>
      </c>
      <c r="O727" s="231">
        <v>0</v>
      </c>
      <c r="P727" s="314"/>
      <c r="Q727" s="276">
        <f t="shared" si="26"/>
        <v>9150.69</v>
      </c>
      <c r="R727" s="275">
        <f>(SUMIFS('Dec 31 2018 OFFS'!$AG:$AG,'Dec 31 2018 OFFS'!$AI:$AI,'T1 2019 Pipeline Data Lagasco'!$A727,'Dec 31 2018 OFFS'!$U:$U,'T1 2019 Pipeline Data Lagasco'!$E727,'Dec 31 2018 OFFS'!$AK:$AK,'T1 2019 Pipeline Data Lagasco'!$Q727,'Dec 31 2018 OFFS'!$W:$W,'T1 2019 Pipeline Data Lagasco'!$G727))/(MAX(COUNTIFS('Dec 31 2018 OFFS'!$AI:$AI,'T1 2019 Pipeline Data Lagasco'!$A727,'Dec 31 2018 OFFS'!$U:$U,'T1 2019 Pipeline Data Lagasco'!$E727,'Dec 31 2018 OFFS'!$AK:$AK,'T1 2019 Pipeline Data Lagasco'!$Q727,'Dec 31 2018 OFFS'!$W:$W,'T1 2019 Pipeline Data Lagasco'!$G727),1))</f>
        <v>0</v>
      </c>
      <c r="S727" s="275">
        <f t="shared" si="27"/>
        <v>0</v>
      </c>
    </row>
    <row r="728" spans="1:19" s="217" customFormat="1" ht="14.1" customHeight="1">
      <c r="A728" s="224" t="s">
        <v>1500</v>
      </c>
      <c r="B728" s="218" t="s">
        <v>1501</v>
      </c>
      <c r="C728" s="223">
        <v>1</v>
      </c>
      <c r="D728" s="218" t="s">
        <v>1488</v>
      </c>
      <c r="E728" s="240">
        <v>6</v>
      </c>
      <c r="F728" s="226">
        <v>9873.1952519999995</v>
      </c>
      <c r="G728" s="223">
        <v>1980</v>
      </c>
      <c r="H728" s="223">
        <v>1</v>
      </c>
      <c r="I728" s="223">
        <v>0</v>
      </c>
      <c r="J728" s="223"/>
      <c r="K728" s="228">
        <v>341908.75160000002</v>
      </c>
      <c r="L728" s="241">
        <v>80</v>
      </c>
      <c r="M728" s="229">
        <v>68381.750320000006</v>
      </c>
      <c r="N728" s="230">
        <v>34.630000000000003</v>
      </c>
      <c r="O728" s="231">
        <v>0</v>
      </c>
      <c r="P728" s="314"/>
      <c r="Q728" s="276">
        <f t="shared" si="26"/>
        <v>9873.2000000000007</v>
      </c>
      <c r="R728" s="275">
        <f>(SUMIFS('Dec 31 2018 OFFS'!$AG:$AG,'Dec 31 2018 OFFS'!$AI:$AI,'T1 2019 Pipeline Data Lagasco'!$A728,'Dec 31 2018 OFFS'!$U:$U,'T1 2019 Pipeline Data Lagasco'!$E728,'Dec 31 2018 OFFS'!$AK:$AK,'T1 2019 Pipeline Data Lagasco'!$Q728,'Dec 31 2018 OFFS'!$W:$W,'T1 2019 Pipeline Data Lagasco'!$G728))/(MAX(COUNTIFS('Dec 31 2018 OFFS'!$AI:$AI,'T1 2019 Pipeline Data Lagasco'!$A728,'Dec 31 2018 OFFS'!$U:$U,'T1 2019 Pipeline Data Lagasco'!$E728,'Dec 31 2018 OFFS'!$AK:$AK,'T1 2019 Pipeline Data Lagasco'!$Q728,'Dec 31 2018 OFFS'!$W:$W,'T1 2019 Pipeline Data Lagasco'!$G728),1))</f>
        <v>0</v>
      </c>
      <c r="S728" s="275">
        <f t="shared" si="27"/>
        <v>0</v>
      </c>
    </row>
    <row r="729" spans="1:19" s="217" customFormat="1" ht="15" customHeight="1">
      <c r="A729" s="224" t="s">
        <v>1500</v>
      </c>
      <c r="B729" s="218" t="s">
        <v>1501</v>
      </c>
      <c r="C729" s="223">
        <v>1</v>
      </c>
      <c r="D729" s="218" t="s">
        <v>1488</v>
      </c>
      <c r="E729" s="240">
        <v>6</v>
      </c>
      <c r="F729" s="226">
        <v>9941.2726779999994</v>
      </c>
      <c r="G729" s="223">
        <v>1980</v>
      </c>
      <c r="H729" s="223">
        <v>1</v>
      </c>
      <c r="I729" s="223">
        <v>0</v>
      </c>
      <c r="J729" s="223"/>
      <c r="K729" s="228">
        <v>344266.27279999998</v>
      </c>
      <c r="L729" s="241">
        <v>80</v>
      </c>
      <c r="M729" s="229">
        <v>68853.254570000005</v>
      </c>
      <c r="N729" s="230">
        <v>34.630000000000003</v>
      </c>
      <c r="O729" s="231">
        <v>0</v>
      </c>
      <c r="P729" s="314"/>
      <c r="Q729" s="276">
        <f t="shared" si="26"/>
        <v>9941.27</v>
      </c>
      <c r="R729" s="275">
        <f>(SUMIFS('Dec 31 2018 OFFS'!$AG:$AG,'Dec 31 2018 OFFS'!$AI:$AI,'T1 2019 Pipeline Data Lagasco'!$A729,'Dec 31 2018 OFFS'!$U:$U,'T1 2019 Pipeline Data Lagasco'!$E729,'Dec 31 2018 OFFS'!$AK:$AK,'T1 2019 Pipeline Data Lagasco'!$Q729,'Dec 31 2018 OFFS'!$W:$W,'T1 2019 Pipeline Data Lagasco'!$G729))/(MAX(COUNTIFS('Dec 31 2018 OFFS'!$AI:$AI,'T1 2019 Pipeline Data Lagasco'!$A729,'Dec 31 2018 OFFS'!$U:$U,'T1 2019 Pipeline Data Lagasco'!$E729,'Dec 31 2018 OFFS'!$AK:$AK,'T1 2019 Pipeline Data Lagasco'!$Q729,'Dec 31 2018 OFFS'!$W:$W,'T1 2019 Pipeline Data Lagasco'!$G729),1))</f>
        <v>0</v>
      </c>
      <c r="S729" s="275">
        <f t="shared" si="27"/>
        <v>0</v>
      </c>
    </row>
    <row r="730" spans="1:19" s="217" customFormat="1" ht="15" customHeight="1">
      <c r="A730" s="224" t="s">
        <v>1500</v>
      </c>
      <c r="B730" s="218" t="s">
        <v>1501</v>
      </c>
      <c r="C730" s="223">
        <v>1</v>
      </c>
      <c r="D730" s="218" t="s">
        <v>1488</v>
      </c>
      <c r="E730" s="240">
        <v>6</v>
      </c>
      <c r="F730" s="236">
        <v>16658.59532</v>
      </c>
      <c r="G730" s="223">
        <v>1980</v>
      </c>
      <c r="H730" s="223">
        <v>1</v>
      </c>
      <c r="I730" s="223">
        <v>0</v>
      </c>
      <c r="J730" s="223"/>
      <c r="K730" s="228">
        <v>576887.15590000001</v>
      </c>
      <c r="L730" s="241">
        <v>80</v>
      </c>
      <c r="M730" s="228">
        <v>115377.43120000001</v>
      </c>
      <c r="N730" s="230">
        <v>34.630000000000003</v>
      </c>
      <c r="O730" s="231">
        <v>0</v>
      </c>
      <c r="P730" s="314"/>
      <c r="Q730" s="276">
        <f t="shared" si="26"/>
        <v>16658.60</v>
      </c>
      <c r="R730" s="275">
        <f>(SUMIFS('Dec 31 2018 OFFS'!$AG:$AG,'Dec 31 2018 OFFS'!$AI:$AI,'T1 2019 Pipeline Data Lagasco'!$A730,'Dec 31 2018 OFFS'!$U:$U,'T1 2019 Pipeline Data Lagasco'!$E730,'Dec 31 2018 OFFS'!$AK:$AK,'T1 2019 Pipeline Data Lagasco'!$Q730,'Dec 31 2018 OFFS'!$W:$W,'T1 2019 Pipeline Data Lagasco'!$G730))/(MAX(COUNTIFS('Dec 31 2018 OFFS'!$AI:$AI,'T1 2019 Pipeline Data Lagasco'!$A730,'Dec 31 2018 OFFS'!$U:$U,'T1 2019 Pipeline Data Lagasco'!$E730,'Dec 31 2018 OFFS'!$AK:$AK,'T1 2019 Pipeline Data Lagasco'!$Q730,'Dec 31 2018 OFFS'!$W:$W,'T1 2019 Pipeline Data Lagasco'!$G730),1))</f>
        <v>0</v>
      </c>
      <c r="S730" s="275">
        <f t="shared" si="27"/>
        <v>0</v>
      </c>
    </row>
    <row r="731" spans="1:19" s="217" customFormat="1" ht="14.1" customHeight="1">
      <c r="A731" s="224" t="s">
        <v>1502</v>
      </c>
      <c r="B731" s="218" t="s">
        <v>1503</v>
      </c>
      <c r="C731" s="223">
        <v>1</v>
      </c>
      <c r="D731" s="218" t="s">
        <v>1488</v>
      </c>
      <c r="E731" s="240">
        <v>2</v>
      </c>
      <c r="F731" s="236">
        <v>12321.06264</v>
      </c>
      <c r="G731" s="223">
        <v>1978</v>
      </c>
      <c r="H731" s="223">
        <v>1</v>
      </c>
      <c r="I731" s="223">
        <v>0</v>
      </c>
      <c r="J731" s="223"/>
      <c r="K731" s="228">
        <v>200094.05720000001</v>
      </c>
      <c r="L731" s="241">
        <v>80</v>
      </c>
      <c r="M731" s="229">
        <v>40018.811439999998</v>
      </c>
      <c r="N731" s="230">
        <v>16.239999999999998</v>
      </c>
      <c r="O731" s="231">
        <v>0</v>
      </c>
      <c r="P731" s="314"/>
      <c r="Q731" s="276">
        <f t="shared" si="26"/>
        <v>12321.06</v>
      </c>
      <c r="R731" s="275">
        <f>(SUMIFS('Dec 31 2018 OFFS'!$AG:$AG,'Dec 31 2018 OFFS'!$AI:$AI,'T1 2019 Pipeline Data Lagasco'!$A731,'Dec 31 2018 OFFS'!$U:$U,'T1 2019 Pipeline Data Lagasco'!$E731,'Dec 31 2018 OFFS'!$AK:$AK,'T1 2019 Pipeline Data Lagasco'!$Q731,'Dec 31 2018 OFFS'!$W:$W,'T1 2019 Pipeline Data Lagasco'!$G731))/(MAX(COUNTIFS('Dec 31 2018 OFFS'!$AI:$AI,'T1 2019 Pipeline Data Lagasco'!$A731,'Dec 31 2018 OFFS'!$U:$U,'T1 2019 Pipeline Data Lagasco'!$E731,'Dec 31 2018 OFFS'!$AK:$AK,'T1 2019 Pipeline Data Lagasco'!$Q731,'Dec 31 2018 OFFS'!$W:$W,'T1 2019 Pipeline Data Lagasco'!$G731),1))</f>
        <v>0</v>
      </c>
      <c r="S731" s="275">
        <f t="shared" si="27"/>
        <v>0</v>
      </c>
    </row>
    <row r="732" spans="1:19" s="217" customFormat="1" ht="14.1" customHeight="1">
      <c r="A732" s="224" t="s">
        <v>1502</v>
      </c>
      <c r="B732" s="218" t="s">
        <v>1503</v>
      </c>
      <c r="C732" s="223">
        <v>1</v>
      </c>
      <c r="D732" s="218" t="s">
        <v>1488</v>
      </c>
      <c r="E732" s="240">
        <v>2</v>
      </c>
      <c r="F732" s="226">
        <v>6635.7281540000004</v>
      </c>
      <c r="G732" s="223">
        <v>1986</v>
      </c>
      <c r="H732" s="223">
        <v>1</v>
      </c>
      <c r="I732" s="223">
        <v>1</v>
      </c>
      <c r="J732" s="223"/>
      <c r="K732" s="228">
        <v>107764.2252</v>
      </c>
      <c r="L732" s="241">
        <v>79</v>
      </c>
      <c r="M732" s="228">
        <v>22630.487300000001</v>
      </c>
      <c r="N732" s="230">
        <v>16.239999999999998</v>
      </c>
      <c r="O732" s="231">
        <v>22630</v>
      </c>
      <c r="P732" s="314"/>
      <c r="Q732" s="276">
        <f t="shared" si="26"/>
        <v>6635.73</v>
      </c>
      <c r="R732" s="275">
        <f>(SUMIFS('Dec 31 2018 OFFS'!$AG:$AG,'Dec 31 2018 OFFS'!$AI:$AI,'T1 2019 Pipeline Data Lagasco'!$A732,'Dec 31 2018 OFFS'!$U:$U,'T1 2019 Pipeline Data Lagasco'!$E732,'Dec 31 2018 OFFS'!$AK:$AK,'T1 2019 Pipeline Data Lagasco'!$Q732,'Dec 31 2018 OFFS'!$W:$W,'T1 2019 Pipeline Data Lagasco'!$G732))/(MAX(COUNTIFS('Dec 31 2018 OFFS'!$AI:$AI,'T1 2019 Pipeline Data Lagasco'!$A732,'Dec 31 2018 OFFS'!$U:$U,'T1 2019 Pipeline Data Lagasco'!$E732,'Dec 31 2018 OFFS'!$AK:$AK,'T1 2019 Pipeline Data Lagasco'!$Q732,'Dec 31 2018 OFFS'!$W:$W,'T1 2019 Pipeline Data Lagasco'!$G732),1))</f>
        <v>22630</v>
      </c>
      <c r="S732" s="275">
        <f t="shared" si="27"/>
        <v>0</v>
      </c>
    </row>
    <row r="733" spans="1:19" s="217" customFormat="1" ht="14.1" customHeight="1">
      <c r="A733" s="224" t="s">
        <v>1502</v>
      </c>
      <c r="B733" s="218" t="s">
        <v>1503</v>
      </c>
      <c r="C733" s="223">
        <v>1</v>
      </c>
      <c r="D733" s="218" t="s">
        <v>1488</v>
      </c>
      <c r="E733" s="240">
        <v>2</v>
      </c>
      <c r="F733" s="230">
        <v>5413.29</v>
      </c>
      <c r="G733" s="223">
        <v>1986</v>
      </c>
      <c r="H733" s="223">
        <v>1</v>
      </c>
      <c r="I733" s="223">
        <v>0</v>
      </c>
      <c r="J733" s="223"/>
      <c r="K733" s="228">
        <v>87911.829599999997</v>
      </c>
      <c r="L733" s="241">
        <v>79</v>
      </c>
      <c r="M733" s="229">
        <v>18461.484219999998</v>
      </c>
      <c r="N733" s="230">
        <v>16.239999999999998</v>
      </c>
      <c r="O733" s="231">
        <v>0</v>
      </c>
      <c r="P733" s="314"/>
      <c r="Q733" s="276">
        <f t="shared" si="26"/>
        <v>5413.29</v>
      </c>
      <c r="R733" s="275">
        <f>(SUMIFS('Dec 31 2018 OFFS'!$AG:$AG,'Dec 31 2018 OFFS'!$AI:$AI,'T1 2019 Pipeline Data Lagasco'!$A733,'Dec 31 2018 OFFS'!$U:$U,'T1 2019 Pipeline Data Lagasco'!$E733,'Dec 31 2018 OFFS'!$AK:$AK,'T1 2019 Pipeline Data Lagasco'!$Q733,'Dec 31 2018 OFFS'!$W:$W,'T1 2019 Pipeline Data Lagasco'!$G733))/(MAX(COUNTIFS('Dec 31 2018 OFFS'!$AI:$AI,'T1 2019 Pipeline Data Lagasco'!$A733,'Dec 31 2018 OFFS'!$U:$U,'T1 2019 Pipeline Data Lagasco'!$E733,'Dec 31 2018 OFFS'!$AK:$AK,'T1 2019 Pipeline Data Lagasco'!$Q733,'Dec 31 2018 OFFS'!$W:$W,'T1 2019 Pipeline Data Lagasco'!$G733),1))</f>
        <v>0</v>
      </c>
      <c r="S733" s="275">
        <f t="shared" si="27"/>
        <v>0</v>
      </c>
    </row>
    <row r="734" spans="1:19" s="217" customFormat="1" ht="14.1" customHeight="1">
      <c r="A734" s="224" t="s">
        <v>1502</v>
      </c>
      <c r="B734" s="218" t="s">
        <v>1503</v>
      </c>
      <c r="C734" s="223">
        <v>1</v>
      </c>
      <c r="D734" s="218" t="s">
        <v>1488</v>
      </c>
      <c r="E734" s="240">
        <v>2</v>
      </c>
      <c r="F734" s="226">
        <v>3288.320115</v>
      </c>
      <c r="G734" s="223">
        <v>1980</v>
      </c>
      <c r="H734" s="223">
        <v>1</v>
      </c>
      <c r="I734" s="223">
        <v>1</v>
      </c>
      <c r="J734" s="223"/>
      <c r="K734" s="229">
        <v>53402.318659999997</v>
      </c>
      <c r="L734" s="241">
        <v>80</v>
      </c>
      <c r="M734" s="229">
        <v>10680.463729999999</v>
      </c>
      <c r="N734" s="230">
        <v>16.239999999999998</v>
      </c>
      <c r="O734" s="231">
        <v>10680</v>
      </c>
      <c r="P734" s="314"/>
      <c r="Q734" s="276">
        <f t="shared" si="26"/>
        <v>3288.32</v>
      </c>
      <c r="R734" s="275">
        <f>(SUMIFS('Dec 31 2018 OFFS'!$AG:$AG,'Dec 31 2018 OFFS'!$AI:$AI,'T1 2019 Pipeline Data Lagasco'!$A734,'Dec 31 2018 OFFS'!$U:$U,'T1 2019 Pipeline Data Lagasco'!$E734,'Dec 31 2018 OFFS'!$AK:$AK,'T1 2019 Pipeline Data Lagasco'!$Q734,'Dec 31 2018 OFFS'!$W:$W,'T1 2019 Pipeline Data Lagasco'!$G734))/(MAX(COUNTIFS('Dec 31 2018 OFFS'!$AI:$AI,'T1 2019 Pipeline Data Lagasco'!$A734,'Dec 31 2018 OFFS'!$U:$U,'T1 2019 Pipeline Data Lagasco'!$E734,'Dec 31 2018 OFFS'!$AK:$AK,'T1 2019 Pipeline Data Lagasco'!$Q734,'Dec 31 2018 OFFS'!$W:$W,'T1 2019 Pipeline Data Lagasco'!$G734),1))</f>
        <v>10680</v>
      </c>
      <c r="S734" s="275">
        <f t="shared" si="27"/>
        <v>0</v>
      </c>
    </row>
    <row r="735" spans="1:19" s="217" customFormat="1" ht="14.1" customHeight="1">
      <c r="A735" s="224" t="s">
        <v>1502</v>
      </c>
      <c r="B735" s="218" t="s">
        <v>1503</v>
      </c>
      <c r="C735" s="223">
        <v>1</v>
      </c>
      <c r="D735" s="218" t="s">
        <v>1488</v>
      </c>
      <c r="E735" s="240">
        <v>2</v>
      </c>
      <c r="F735" s="230">
        <v>2181.36</v>
      </c>
      <c r="G735" s="223">
        <v>1980</v>
      </c>
      <c r="H735" s="223">
        <v>1</v>
      </c>
      <c r="I735" s="223">
        <v>0</v>
      </c>
      <c r="J735" s="223"/>
      <c r="K735" s="228">
        <v>35425.286399999997</v>
      </c>
      <c r="L735" s="241">
        <v>80</v>
      </c>
      <c r="M735" s="229">
        <v>7085.05728</v>
      </c>
      <c r="N735" s="230">
        <v>16.239999999999998</v>
      </c>
      <c r="O735" s="231">
        <v>0</v>
      </c>
      <c r="P735" s="314"/>
      <c r="Q735" s="276">
        <f t="shared" si="26"/>
        <v>2181.36</v>
      </c>
      <c r="R735" s="275">
        <f>(SUMIFS('Dec 31 2018 OFFS'!$AG:$AG,'Dec 31 2018 OFFS'!$AI:$AI,'T1 2019 Pipeline Data Lagasco'!$A735,'Dec 31 2018 OFFS'!$U:$U,'T1 2019 Pipeline Data Lagasco'!$E735,'Dec 31 2018 OFFS'!$AK:$AK,'T1 2019 Pipeline Data Lagasco'!$Q735,'Dec 31 2018 OFFS'!$W:$W,'T1 2019 Pipeline Data Lagasco'!$G735))/(MAX(COUNTIFS('Dec 31 2018 OFFS'!$AI:$AI,'T1 2019 Pipeline Data Lagasco'!$A735,'Dec 31 2018 OFFS'!$U:$U,'T1 2019 Pipeline Data Lagasco'!$E735,'Dec 31 2018 OFFS'!$AK:$AK,'T1 2019 Pipeline Data Lagasco'!$Q735,'Dec 31 2018 OFFS'!$W:$W,'T1 2019 Pipeline Data Lagasco'!$G735),1))</f>
        <v>0</v>
      </c>
      <c r="S735" s="275">
        <f t="shared" si="27"/>
        <v>0</v>
      </c>
    </row>
    <row r="736" spans="1:19" s="217" customFormat="1" ht="14.1" customHeight="1">
      <c r="A736" s="224" t="s">
        <v>1502</v>
      </c>
      <c r="B736" s="218" t="s">
        <v>1503</v>
      </c>
      <c r="C736" s="223">
        <v>1</v>
      </c>
      <c r="D736" s="218" t="s">
        <v>1488</v>
      </c>
      <c r="E736" s="240">
        <v>2</v>
      </c>
      <c r="F736" s="230">
        <v>5265.16</v>
      </c>
      <c r="G736" s="223">
        <v>1973</v>
      </c>
      <c r="H736" s="223">
        <v>1</v>
      </c>
      <c r="I736" s="223">
        <v>0</v>
      </c>
      <c r="J736" s="223"/>
      <c r="K736" s="228">
        <v>85506.198399999994</v>
      </c>
      <c r="L736" s="241">
        <v>80</v>
      </c>
      <c r="M736" s="229">
        <v>17101.239679999999</v>
      </c>
      <c r="N736" s="230">
        <v>16.239999999999998</v>
      </c>
      <c r="O736" s="231">
        <v>0</v>
      </c>
      <c r="P736" s="314"/>
      <c r="Q736" s="276">
        <f t="shared" si="26"/>
        <v>5265.16</v>
      </c>
      <c r="R736" s="275">
        <f>(SUMIFS('Dec 31 2018 OFFS'!$AG:$AG,'Dec 31 2018 OFFS'!$AI:$AI,'T1 2019 Pipeline Data Lagasco'!$A736,'Dec 31 2018 OFFS'!$U:$U,'T1 2019 Pipeline Data Lagasco'!$E736,'Dec 31 2018 OFFS'!$AK:$AK,'T1 2019 Pipeline Data Lagasco'!$Q736,'Dec 31 2018 OFFS'!$W:$W,'T1 2019 Pipeline Data Lagasco'!$G736))/(MAX(COUNTIFS('Dec 31 2018 OFFS'!$AI:$AI,'T1 2019 Pipeline Data Lagasco'!$A736,'Dec 31 2018 OFFS'!$U:$U,'T1 2019 Pipeline Data Lagasco'!$E736,'Dec 31 2018 OFFS'!$AK:$AK,'T1 2019 Pipeline Data Lagasco'!$Q736,'Dec 31 2018 OFFS'!$W:$W,'T1 2019 Pipeline Data Lagasco'!$G736),1))</f>
        <v>0</v>
      </c>
      <c r="S736" s="275">
        <f t="shared" si="27"/>
        <v>0</v>
      </c>
    </row>
    <row r="737" spans="1:19" s="217" customFormat="1" ht="14.1" customHeight="1">
      <c r="A737" s="224" t="s">
        <v>1502</v>
      </c>
      <c r="B737" s="218" t="s">
        <v>1503</v>
      </c>
      <c r="C737" s="223">
        <v>1</v>
      </c>
      <c r="D737" s="218" t="s">
        <v>1488</v>
      </c>
      <c r="E737" s="240">
        <v>2</v>
      </c>
      <c r="F737" s="226">
        <v>1759.9408940000001</v>
      </c>
      <c r="G737" s="223">
        <v>1973</v>
      </c>
      <c r="H737" s="223">
        <v>1</v>
      </c>
      <c r="I737" s="223">
        <v>0</v>
      </c>
      <c r="J737" s="223"/>
      <c r="K737" s="229">
        <v>28581.440119999999</v>
      </c>
      <c r="L737" s="241">
        <v>80</v>
      </c>
      <c r="M737" s="233">
        <v>5716.2880230000001</v>
      </c>
      <c r="N737" s="230">
        <v>16.239999999999998</v>
      </c>
      <c r="O737" s="231">
        <v>0</v>
      </c>
      <c r="P737" s="314"/>
      <c r="Q737" s="276">
        <f t="shared" si="26"/>
        <v>1759.94</v>
      </c>
      <c r="R737" s="275">
        <f>(SUMIFS('Dec 31 2018 OFFS'!$AG:$AG,'Dec 31 2018 OFFS'!$AI:$AI,'T1 2019 Pipeline Data Lagasco'!$A737,'Dec 31 2018 OFFS'!$U:$U,'T1 2019 Pipeline Data Lagasco'!$E737,'Dec 31 2018 OFFS'!$AK:$AK,'T1 2019 Pipeline Data Lagasco'!$Q737,'Dec 31 2018 OFFS'!$W:$W,'T1 2019 Pipeline Data Lagasco'!$G737))/(MAX(COUNTIFS('Dec 31 2018 OFFS'!$AI:$AI,'T1 2019 Pipeline Data Lagasco'!$A737,'Dec 31 2018 OFFS'!$U:$U,'T1 2019 Pipeline Data Lagasco'!$E737,'Dec 31 2018 OFFS'!$AK:$AK,'T1 2019 Pipeline Data Lagasco'!$Q737,'Dec 31 2018 OFFS'!$W:$W,'T1 2019 Pipeline Data Lagasco'!$G737),1))</f>
        <v>0</v>
      </c>
      <c r="S737" s="275">
        <f t="shared" si="27"/>
        <v>0</v>
      </c>
    </row>
    <row r="738" spans="1:19" s="217" customFormat="1" ht="14.1" customHeight="1">
      <c r="A738" s="224" t="s">
        <v>1502</v>
      </c>
      <c r="B738" s="218" t="s">
        <v>1503</v>
      </c>
      <c r="C738" s="223">
        <v>1</v>
      </c>
      <c r="D738" s="218" t="s">
        <v>1488</v>
      </c>
      <c r="E738" s="240">
        <v>2</v>
      </c>
      <c r="F738" s="230">
        <v>652.91999999999996</v>
      </c>
      <c r="G738" s="223">
        <v>1973</v>
      </c>
      <c r="H738" s="223">
        <v>1</v>
      </c>
      <c r="I738" s="223">
        <v>0</v>
      </c>
      <c r="J738" s="223"/>
      <c r="K738" s="228">
        <v>10603.4208</v>
      </c>
      <c r="L738" s="241">
        <v>80</v>
      </c>
      <c r="M738" s="229">
        <v>2120.6841599999998</v>
      </c>
      <c r="N738" s="230">
        <v>16.239999999999998</v>
      </c>
      <c r="O738" s="231">
        <v>0</v>
      </c>
      <c r="P738" s="314"/>
      <c r="Q738" s="276">
        <f t="shared" si="26"/>
        <v>652.91999999999996</v>
      </c>
      <c r="R738" s="275">
        <f>(SUMIFS('Dec 31 2018 OFFS'!$AG:$AG,'Dec 31 2018 OFFS'!$AI:$AI,'T1 2019 Pipeline Data Lagasco'!$A738,'Dec 31 2018 OFFS'!$U:$U,'T1 2019 Pipeline Data Lagasco'!$E738,'Dec 31 2018 OFFS'!$AK:$AK,'T1 2019 Pipeline Data Lagasco'!$Q738,'Dec 31 2018 OFFS'!$W:$W,'T1 2019 Pipeline Data Lagasco'!$G738))/(MAX(COUNTIFS('Dec 31 2018 OFFS'!$AI:$AI,'T1 2019 Pipeline Data Lagasco'!$A738,'Dec 31 2018 OFFS'!$U:$U,'T1 2019 Pipeline Data Lagasco'!$E738,'Dec 31 2018 OFFS'!$AK:$AK,'T1 2019 Pipeline Data Lagasco'!$Q738,'Dec 31 2018 OFFS'!$W:$W,'T1 2019 Pipeline Data Lagasco'!$G738),1))</f>
        <v>0</v>
      </c>
      <c r="S738" s="275">
        <f t="shared" si="27"/>
        <v>0</v>
      </c>
    </row>
    <row r="739" spans="1:19" s="217" customFormat="1" ht="14.1" customHeight="1">
      <c r="A739" s="224" t="s">
        <v>1502</v>
      </c>
      <c r="B739" s="218" t="s">
        <v>1503</v>
      </c>
      <c r="C739" s="223">
        <v>1</v>
      </c>
      <c r="D739" s="218" t="s">
        <v>1488</v>
      </c>
      <c r="E739" s="240">
        <v>2</v>
      </c>
      <c r="F739" s="226">
        <v>3054.921171</v>
      </c>
      <c r="G739" s="223">
        <v>1973</v>
      </c>
      <c r="H739" s="223">
        <v>1</v>
      </c>
      <c r="I739" s="223">
        <v>0</v>
      </c>
      <c r="J739" s="223"/>
      <c r="K739" s="229">
        <v>49611.919820000003</v>
      </c>
      <c r="L739" s="241">
        <v>80</v>
      </c>
      <c r="M739" s="233">
        <v>9922.3839650000009</v>
      </c>
      <c r="N739" s="230">
        <v>16.239999999999998</v>
      </c>
      <c r="O739" s="231">
        <v>0</v>
      </c>
      <c r="P739" s="314"/>
      <c r="Q739" s="276">
        <f t="shared" si="26"/>
        <v>3054.92</v>
      </c>
      <c r="R739" s="275">
        <f>(SUMIFS('Dec 31 2018 OFFS'!$AG:$AG,'Dec 31 2018 OFFS'!$AI:$AI,'T1 2019 Pipeline Data Lagasco'!$A739,'Dec 31 2018 OFFS'!$U:$U,'T1 2019 Pipeline Data Lagasco'!$E739,'Dec 31 2018 OFFS'!$AK:$AK,'T1 2019 Pipeline Data Lagasco'!$Q739,'Dec 31 2018 OFFS'!$W:$W,'T1 2019 Pipeline Data Lagasco'!$G739))/(MAX(COUNTIFS('Dec 31 2018 OFFS'!$AI:$AI,'T1 2019 Pipeline Data Lagasco'!$A739,'Dec 31 2018 OFFS'!$U:$U,'T1 2019 Pipeline Data Lagasco'!$E739,'Dec 31 2018 OFFS'!$AK:$AK,'T1 2019 Pipeline Data Lagasco'!$Q739,'Dec 31 2018 OFFS'!$W:$W,'T1 2019 Pipeline Data Lagasco'!$G739),1))</f>
        <v>0</v>
      </c>
      <c r="S739" s="275">
        <f t="shared" si="27"/>
        <v>0</v>
      </c>
    </row>
    <row r="740" spans="1:19" s="217" customFormat="1" ht="14.1" customHeight="1">
      <c r="A740" s="224" t="s">
        <v>1502</v>
      </c>
      <c r="B740" s="218" t="s">
        <v>1503</v>
      </c>
      <c r="C740" s="223">
        <v>1</v>
      </c>
      <c r="D740" s="218" t="s">
        <v>1488</v>
      </c>
      <c r="E740" s="240">
        <v>2</v>
      </c>
      <c r="F740" s="230">
        <v>4411.97</v>
      </c>
      <c r="G740" s="223">
        <v>1993</v>
      </c>
      <c r="H740" s="223">
        <v>1</v>
      </c>
      <c r="I740" s="223">
        <v>0</v>
      </c>
      <c r="J740" s="223"/>
      <c r="K740" s="228">
        <v>71650.392800000001</v>
      </c>
      <c r="L740" s="241">
        <v>70</v>
      </c>
      <c r="M740" s="229">
        <v>21495.117839999999</v>
      </c>
      <c r="N740" s="230">
        <v>16.239999999999998</v>
      </c>
      <c r="O740" s="231">
        <v>0</v>
      </c>
      <c r="P740" s="314"/>
      <c r="Q740" s="276">
        <f t="shared" si="26"/>
        <v>4411.97</v>
      </c>
      <c r="R740" s="275">
        <f>(SUMIFS('Dec 31 2018 OFFS'!$AG:$AG,'Dec 31 2018 OFFS'!$AI:$AI,'T1 2019 Pipeline Data Lagasco'!$A740,'Dec 31 2018 OFFS'!$U:$U,'T1 2019 Pipeline Data Lagasco'!$E740,'Dec 31 2018 OFFS'!$AK:$AK,'T1 2019 Pipeline Data Lagasco'!$Q740,'Dec 31 2018 OFFS'!$W:$W,'T1 2019 Pipeline Data Lagasco'!$G740))/(MAX(COUNTIFS('Dec 31 2018 OFFS'!$AI:$AI,'T1 2019 Pipeline Data Lagasco'!$A740,'Dec 31 2018 OFFS'!$U:$U,'T1 2019 Pipeline Data Lagasco'!$E740,'Dec 31 2018 OFFS'!$AK:$AK,'T1 2019 Pipeline Data Lagasco'!$Q740,'Dec 31 2018 OFFS'!$W:$W,'T1 2019 Pipeline Data Lagasco'!$G740),1))</f>
        <v>0</v>
      </c>
      <c r="S740" s="275">
        <f t="shared" si="27"/>
        <v>0</v>
      </c>
    </row>
    <row r="741" spans="1:19" s="217" customFormat="1" ht="14.1" customHeight="1">
      <c r="A741" s="224" t="s">
        <v>1502</v>
      </c>
      <c r="B741" s="218" t="s">
        <v>1503</v>
      </c>
      <c r="C741" s="223">
        <v>1</v>
      </c>
      <c r="D741" s="218" t="s">
        <v>1488</v>
      </c>
      <c r="E741" s="240">
        <v>2</v>
      </c>
      <c r="F741" s="226">
        <v>2223.5235579999999</v>
      </c>
      <c r="G741" s="223">
        <v>1974</v>
      </c>
      <c r="H741" s="223">
        <v>1</v>
      </c>
      <c r="I741" s="223">
        <v>0</v>
      </c>
      <c r="J741" s="223"/>
      <c r="K741" s="229">
        <v>36110.022579999997</v>
      </c>
      <c r="L741" s="241">
        <v>80</v>
      </c>
      <c r="M741" s="233">
        <v>7222.0045149999996</v>
      </c>
      <c r="N741" s="230">
        <v>16.239999999999998</v>
      </c>
      <c r="O741" s="231">
        <v>0</v>
      </c>
      <c r="P741" s="314"/>
      <c r="Q741" s="276">
        <f t="shared" si="26"/>
        <v>2223.52</v>
      </c>
      <c r="R741" s="275">
        <f>(SUMIFS('Dec 31 2018 OFFS'!$AG:$AG,'Dec 31 2018 OFFS'!$AI:$AI,'T1 2019 Pipeline Data Lagasco'!$A741,'Dec 31 2018 OFFS'!$U:$U,'T1 2019 Pipeline Data Lagasco'!$E741,'Dec 31 2018 OFFS'!$AK:$AK,'T1 2019 Pipeline Data Lagasco'!$Q741,'Dec 31 2018 OFFS'!$W:$W,'T1 2019 Pipeline Data Lagasco'!$G741))/(MAX(COUNTIFS('Dec 31 2018 OFFS'!$AI:$AI,'T1 2019 Pipeline Data Lagasco'!$A741,'Dec 31 2018 OFFS'!$U:$U,'T1 2019 Pipeline Data Lagasco'!$E741,'Dec 31 2018 OFFS'!$AK:$AK,'T1 2019 Pipeline Data Lagasco'!$Q741,'Dec 31 2018 OFFS'!$W:$W,'T1 2019 Pipeline Data Lagasco'!$G741),1))</f>
        <v>0</v>
      </c>
      <c r="S741" s="275">
        <f t="shared" si="27"/>
        <v>0</v>
      </c>
    </row>
    <row r="742" spans="1:19" s="217" customFormat="1" ht="14.1" customHeight="1">
      <c r="A742" s="224" t="s">
        <v>1502</v>
      </c>
      <c r="B742" s="218" t="s">
        <v>1503</v>
      </c>
      <c r="C742" s="223">
        <v>1</v>
      </c>
      <c r="D742" s="218" t="s">
        <v>1488</v>
      </c>
      <c r="E742" s="240">
        <v>2</v>
      </c>
      <c r="F742" s="226">
        <v>2629.4946749999999</v>
      </c>
      <c r="G742" s="223">
        <v>1978</v>
      </c>
      <c r="H742" s="223">
        <v>1</v>
      </c>
      <c r="I742" s="223">
        <v>0</v>
      </c>
      <c r="J742" s="223"/>
      <c r="K742" s="229">
        <v>42702.99351</v>
      </c>
      <c r="L742" s="241">
        <v>80</v>
      </c>
      <c r="M742" s="233">
        <v>8540.5987029999997</v>
      </c>
      <c r="N742" s="230">
        <v>16.239999999999998</v>
      </c>
      <c r="O742" s="231">
        <v>0</v>
      </c>
      <c r="P742" s="314"/>
      <c r="Q742" s="276">
        <f t="shared" si="26"/>
        <v>2629.49</v>
      </c>
      <c r="R742" s="275">
        <f>(SUMIFS('Dec 31 2018 OFFS'!$AG:$AG,'Dec 31 2018 OFFS'!$AI:$AI,'T1 2019 Pipeline Data Lagasco'!$A742,'Dec 31 2018 OFFS'!$U:$U,'T1 2019 Pipeline Data Lagasco'!$E742,'Dec 31 2018 OFFS'!$AK:$AK,'T1 2019 Pipeline Data Lagasco'!$Q742,'Dec 31 2018 OFFS'!$W:$W,'T1 2019 Pipeline Data Lagasco'!$G742))/(MAX(COUNTIFS('Dec 31 2018 OFFS'!$AI:$AI,'T1 2019 Pipeline Data Lagasco'!$A742,'Dec 31 2018 OFFS'!$U:$U,'T1 2019 Pipeline Data Lagasco'!$E742,'Dec 31 2018 OFFS'!$AK:$AK,'T1 2019 Pipeline Data Lagasco'!$Q742,'Dec 31 2018 OFFS'!$W:$W,'T1 2019 Pipeline Data Lagasco'!$G742),1))</f>
        <v>0</v>
      </c>
      <c r="S742" s="275">
        <f t="shared" si="27"/>
        <v>0</v>
      </c>
    </row>
    <row r="743" spans="1:19" s="217" customFormat="1" ht="14.1" customHeight="1">
      <c r="A743" s="224" t="s">
        <v>1502</v>
      </c>
      <c r="B743" s="218" t="s">
        <v>1503</v>
      </c>
      <c r="C743" s="223">
        <v>1</v>
      </c>
      <c r="D743" s="218" t="s">
        <v>1488</v>
      </c>
      <c r="E743" s="240">
        <v>2</v>
      </c>
      <c r="F743" s="223">
        <v>7590</v>
      </c>
      <c r="G743" s="223">
        <v>1978</v>
      </c>
      <c r="H743" s="223">
        <v>1</v>
      </c>
      <c r="I743" s="223">
        <v>0</v>
      </c>
      <c r="J743" s="223"/>
      <c r="K743" s="237">
        <v>123261.60</v>
      </c>
      <c r="L743" s="241">
        <v>80</v>
      </c>
      <c r="M743" s="238">
        <v>24652.32</v>
      </c>
      <c r="N743" s="230">
        <v>16.239999999999998</v>
      </c>
      <c r="O743" s="231">
        <v>0</v>
      </c>
      <c r="P743" s="314"/>
      <c r="Q743" s="276">
        <f t="shared" si="26"/>
        <v>7590</v>
      </c>
      <c r="R743" s="275">
        <f>(SUMIFS('Dec 31 2018 OFFS'!$AG:$AG,'Dec 31 2018 OFFS'!$AI:$AI,'T1 2019 Pipeline Data Lagasco'!$A743,'Dec 31 2018 OFFS'!$U:$U,'T1 2019 Pipeline Data Lagasco'!$E743,'Dec 31 2018 OFFS'!$AK:$AK,'T1 2019 Pipeline Data Lagasco'!$Q743,'Dec 31 2018 OFFS'!$W:$W,'T1 2019 Pipeline Data Lagasco'!$G743))/(MAX(COUNTIFS('Dec 31 2018 OFFS'!$AI:$AI,'T1 2019 Pipeline Data Lagasco'!$A743,'Dec 31 2018 OFFS'!$U:$U,'T1 2019 Pipeline Data Lagasco'!$E743,'Dec 31 2018 OFFS'!$AK:$AK,'T1 2019 Pipeline Data Lagasco'!$Q743,'Dec 31 2018 OFFS'!$W:$W,'T1 2019 Pipeline Data Lagasco'!$G743),1))</f>
        <v>0</v>
      </c>
      <c r="S743" s="275">
        <f t="shared" si="27"/>
        <v>0</v>
      </c>
    </row>
    <row r="744" spans="1:19" s="217" customFormat="1" ht="14.1" customHeight="1">
      <c r="A744" s="224" t="s">
        <v>1502</v>
      </c>
      <c r="B744" s="218" t="s">
        <v>1503</v>
      </c>
      <c r="C744" s="223">
        <v>1</v>
      </c>
      <c r="D744" s="218" t="s">
        <v>1488</v>
      </c>
      <c r="E744" s="240">
        <v>2</v>
      </c>
      <c r="F744" s="232">
        <v>416.63384619999999</v>
      </c>
      <c r="G744" s="223">
        <v>1986</v>
      </c>
      <c r="H744" s="223">
        <v>1</v>
      </c>
      <c r="I744" s="223">
        <v>1</v>
      </c>
      <c r="J744" s="223"/>
      <c r="K744" s="233">
        <v>6766.1336620000002</v>
      </c>
      <c r="L744" s="241">
        <v>79</v>
      </c>
      <c r="M744" s="233">
        <v>1420.8880690000001</v>
      </c>
      <c r="N744" s="230">
        <v>16.239999999999998</v>
      </c>
      <c r="O744" s="231">
        <v>1420</v>
      </c>
      <c r="P744" s="314"/>
      <c r="Q744" s="276">
        <f t="shared" si="26"/>
        <v>416.63</v>
      </c>
      <c r="R744" s="275">
        <f>(SUMIFS('Dec 31 2018 OFFS'!$AG:$AG,'Dec 31 2018 OFFS'!$AI:$AI,'T1 2019 Pipeline Data Lagasco'!$A744,'Dec 31 2018 OFFS'!$U:$U,'T1 2019 Pipeline Data Lagasco'!$E744,'Dec 31 2018 OFFS'!$AK:$AK,'T1 2019 Pipeline Data Lagasco'!$Q744,'Dec 31 2018 OFFS'!$W:$W,'T1 2019 Pipeline Data Lagasco'!$G744))/(MAX(COUNTIFS('Dec 31 2018 OFFS'!$AI:$AI,'T1 2019 Pipeline Data Lagasco'!$A744,'Dec 31 2018 OFFS'!$U:$U,'T1 2019 Pipeline Data Lagasco'!$E744,'Dec 31 2018 OFFS'!$AK:$AK,'T1 2019 Pipeline Data Lagasco'!$Q744,'Dec 31 2018 OFFS'!$W:$W,'T1 2019 Pipeline Data Lagasco'!$G744),1))</f>
        <v>1420</v>
      </c>
      <c r="S744" s="275">
        <f t="shared" si="27"/>
        <v>0</v>
      </c>
    </row>
    <row r="745" spans="1:19" s="217" customFormat="1" ht="14.1" customHeight="1">
      <c r="A745" s="224" t="s">
        <v>1502</v>
      </c>
      <c r="B745" s="218" t="s">
        <v>1503</v>
      </c>
      <c r="C745" s="223">
        <v>1</v>
      </c>
      <c r="D745" s="218" t="s">
        <v>1488</v>
      </c>
      <c r="E745" s="240">
        <v>2</v>
      </c>
      <c r="F745" s="230">
        <v>5127.13</v>
      </c>
      <c r="G745" s="223">
        <v>1992</v>
      </c>
      <c r="H745" s="223">
        <v>1</v>
      </c>
      <c r="I745" s="223">
        <v>0</v>
      </c>
      <c r="J745" s="223"/>
      <c r="K745" s="228">
        <v>83264.591199999995</v>
      </c>
      <c r="L745" s="241">
        <v>71</v>
      </c>
      <c r="M745" s="229">
        <v>24146.731449999999</v>
      </c>
      <c r="N745" s="230">
        <v>16.239999999999998</v>
      </c>
      <c r="O745" s="231">
        <v>0</v>
      </c>
      <c r="P745" s="314"/>
      <c r="Q745" s="276">
        <f t="shared" si="26"/>
        <v>5127.13</v>
      </c>
      <c r="R745" s="275">
        <f>(SUMIFS('Dec 31 2018 OFFS'!$AG:$AG,'Dec 31 2018 OFFS'!$AI:$AI,'T1 2019 Pipeline Data Lagasco'!$A745,'Dec 31 2018 OFFS'!$U:$U,'T1 2019 Pipeline Data Lagasco'!$E745,'Dec 31 2018 OFFS'!$AK:$AK,'T1 2019 Pipeline Data Lagasco'!$Q745,'Dec 31 2018 OFFS'!$W:$W,'T1 2019 Pipeline Data Lagasco'!$G745))/(MAX(COUNTIFS('Dec 31 2018 OFFS'!$AI:$AI,'T1 2019 Pipeline Data Lagasco'!$A745,'Dec 31 2018 OFFS'!$U:$U,'T1 2019 Pipeline Data Lagasco'!$E745,'Dec 31 2018 OFFS'!$AK:$AK,'T1 2019 Pipeline Data Lagasco'!$Q745,'Dec 31 2018 OFFS'!$W:$W,'T1 2019 Pipeline Data Lagasco'!$G745),1))</f>
        <v>0</v>
      </c>
      <c r="S745" s="275">
        <f t="shared" si="27"/>
        <v>0</v>
      </c>
    </row>
    <row r="746" spans="1:19" s="217" customFormat="1" ht="14.1" customHeight="1">
      <c r="A746" s="224" t="s">
        <v>1502</v>
      </c>
      <c r="B746" s="218" t="s">
        <v>1503</v>
      </c>
      <c r="C746" s="223">
        <v>1</v>
      </c>
      <c r="D746" s="218" t="s">
        <v>1488</v>
      </c>
      <c r="E746" s="240">
        <v>2</v>
      </c>
      <c r="F746" s="223">
        <v>4252</v>
      </c>
      <c r="G746" s="223">
        <v>1984</v>
      </c>
      <c r="H746" s="223">
        <v>1</v>
      </c>
      <c r="I746" s="223">
        <v>0</v>
      </c>
      <c r="J746" s="223"/>
      <c r="K746" s="238">
        <v>69052.48</v>
      </c>
      <c r="L746" s="241">
        <v>80</v>
      </c>
      <c r="M746" s="239">
        <v>13810.495999999999</v>
      </c>
      <c r="N746" s="230">
        <v>16.239999999999998</v>
      </c>
      <c r="O746" s="231">
        <v>0</v>
      </c>
      <c r="P746" s="314"/>
      <c r="Q746" s="276">
        <f t="shared" si="26"/>
        <v>4252</v>
      </c>
      <c r="R746" s="275">
        <f>(SUMIFS('Dec 31 2018 OFFS'!$AG:$AG,'Dec 31 2018 OFFS'!$AI:$AI,'T1 2019 Pipeline Data Lagasco'!$A746,'Dec 31 2018 OFFS'!$U:$U,'T1 2019 Pipeline Data Lagasco'!$E746,'Dec 31 2018 OFFS'!$AK:$AK,'T1 2019 Pipeline Data Lagasco'!$Q746,'Dec 31 2018 OFFS'!$W:$W,'T1 2019 Pipeline Data Lagasco'!$G746))/(MAX(COUNTIFS('Dec 31 2018 OFFS'!$AI:$AI,'T1 2019 Pipeline Data Lagasco'!$A746,'Dec 31 2018 OFFS'!$U:$U,'T1 2019 Pipeline Data Lagasco'!$E746,'Dec 31 2018 OFFS'!$AK:$AK,'T1 2019 Pipeline Data Lagasco'!$Q746,'Dec 31 2018 OFFS'!$W:$W,'T1 2019 Pipeline Data Lagasco'!$G746),1))</f>
        <v>0</v>
      </c>
      <c r="S746" s="275">
        <f t="shared" si="27"/>
        <v>0</v>
      </c>
    </row>
    <row r="747" spans="1:19" s="217" customFormat="1" ht="14.1" customHeight="1">
      <c r="A747" s="224" t="s">
        <v>1502</v>
      </c>
      <c r="B747" s="218" t="s">
        <v>1503</v>
      </c>
      <c r="C747" s="223">
        <v>1</v>
      </c>
      <c r="D747" s="218" t="s">
        <v>1488</v>
      </c>
      <c r="E747" s="240">
        <v>2</v>
      </c>
      <c r="F747" s="230">
        <v>3069.55</v>
      </c>
      <c r="G747" s="223">
        <v>1970</v>
      </c>
      <c r="H747" s="223">
        <v>1</v>
      </c>
      <c r="I747" s="223">
        <v>0</v>
      </c>
      <c r="J747" s="223"/>
      <c r="K747" s="239">
        <v>49849.491999999998</v>
      </c>
      <c r="L747" s="241">
        <v>80</v>
      </c>
      <c r="M747" s="228">
        <v>9969.8984</v>
      </c>
      <c r="N747" s="230">
        <v>16.239999999999998</v>
      </c>
      <c r="O747" s="231">
        <v>0</v>
      </c>
      <c r="P747" s="314"/>
      <c r="Q747" s="276">
        <f t="shared" si="26"/>
        <v>3069.55</v>
      </c>
      <c r="R747" s="275">
        <f>(SUMIFS('Dec 31 2018 OFFS'!$AG:$AG,'Dec 31 2018 OFFS'!$AI:$AI,'T1 2019 Pipeline Data Lagasco'!$A747,'Dec 31 2018 OFFS'!$U:$U,'T1 2019 Pipeline Data Lagasco'!$E747,'Dec 31 2018 OFFS'!$AK:$AK,'T1 2019 Pipeline Data Lagasco'!$Q747,'Dec 31 2018 OFFS'!$W:$W,'T1 2019 Pipeline Data Lagasco'!$G747))/(MAX(COUNTIFS('Dec 31 2018 OFFS'!$AI:$AI,'T1 2019 Pipeline Data Lagasco'!$A747,'Dec 31 2018 OFFS'!$U:$U,'T1 2019 Pipeline Data Lagasco'!$E747,'Dec 31 2018 OFFS'!$AK:$AK,'T1 2019 Pipeline Data Lagasco'!$Q747,'Dec 31 2018 OFFS'!$W:$W,'T1 2019 Pipeline Data Lagasco'!$G747),1))</f>
        <v>0</v>
      </c>
      <c r="S747" s="275">
        <f t="shared" si="27"/>
        <v>0</v>
      </c>
    </row>
    <row r="748" spans="1:19" s="217" customFormat="1" ht="14.1" customHeight="1">
      <c r="A748" s="224" t="s">
        <v>1502</v>
      </c>
      <c r="B748" s="218" t="s">
        <v>1503</v>
      </c>
      <c r="C748" s="223">
        <v>1</v>
      </c>
      <c r="D748" s="218" t="s">
        <v>1488</v>
      </c>
      <c r="E748" s="240">
        <v>2</v>
      </c>
      <c r="F748" s="226">
        <v>2561.5484820000001</v>
      </c>
      <c r="G748" s="223">
        <v>1985</v>
      </c>
      <c r="H748" s="223">
        <v>1</v>
      </c>
      <c r="I748" s="223">
        <v>1</v>
      </c>
      <c r="J748" s="223"/>
      <c r="K748" s="229">
        <v>41599.547350000001</v>
      </c>
      <c r="L748" s="241">
        <v>80</v>
      </c>
      <c r="M748" s="229">
        <v>8319.9094700000005</v>
      </c>
      <c r="N748" s="230">
        <v>16.239999999999998</v>
      </c>
      <c r="O748" s="231">
        <v>8319</v>
      </c>
      <c r="P748" s="314"/>
      <c r="Q748" s="276">
        <f t="shared" si="26"/>
        <v>2561.5500000000002</v>
      </c>
      <c r="R748" s="275">
        <f>(SUMIFS('Dec 31 2018 OFFS'!$AG:$AG,'Dec 31 2018 OFFS'!$AI:$AI,'T1 2019 Pipeline Data Lagasco'!$A748,'Dec 31 2018 OFFS'!$U:$U,'T1 2019 Pipeline Data Lagasco'!$E748,'Dec 31 2018 OFFS'!$AK:$AK,'T1 2019 Pipeline Data Lagasco'!$Q748,'Dec 31 2018 OFFS'!$W:$W,'T1 2019 Pipeline Data Lagasco'!$G748))/(MAX(COUNTIFS('Dec 31 2018 OFFS'!$AI:$AI,'T1 2019 Pipeline Data Lagasco'!$A748,'Dec 31 2018 OFFS'!$U:$U,'T1 2019 Pipeline Data Lagasco'!$E748,'Dec 31 2018 OFFS'!$AK:$AK,'T1 2019 Pipeline Data Lagasco'!$Q748,'Dec 31 2018 OFFS'!$W:$W,'T1 2019 Pipeline Data Lagasco'!$G748),1))</f>
        <v>8319</v>
      </c>
      <c r="S748" s="275">
        <f t="shared" si="27"/>
        <v>0</v>
      </c>
    </row>
    <row r="749" spans="1:19" s="217" customFormat="1" ht="14.1" customHeight="1">
      <c r="A749" s="224" t="s">
        <v>1502</v>
      </c>
      <c r="B749" s="218" t="s">
        <v>1503</v>
      </c>
      <c r="C749" s="223">
        <v>1</v>
      </c>
      <c r="D749" s="218" t="s">
        <v>1488</v>
      </c>
      <c r="E749" s="240">
        <v>2</v>
      </c>
      <c r="F749" s="223">
        <v>4783</v>
      </c>
      <c r="G749" s="223">
        <v>1982</v>
      </c>
      <c r="H749" s="223">
        <v>1</v>
      </c>
      <c r="I749" s="223">
        <v>0</v>
      </c>
      <c r="J749" s="223"/>
      <c r="K749" s="238">
        <v>77675.92</v>
      </c>
      <c r="L749" s="241">
        <v>80</v>
      </c>
      <c r="M749" s="239">
        <v>15535.183999999999</v>
      </c>
      <c r="N749" s="230">
        <v>16.239999999999998</v>
      </c>
      <c r="O749" s="231">
        <v>0</v>
      </c>
      <c r="P749" s="314"/>
      <c r="Q749" s="276">
        <f t="shared" si="26"/>
        <v>4783</v>
      </c>
      <c r="R749" s="275">
        <f>(SUMIFS('Dec 31 2018 OFFS'!$AG:$AG,'Dec 31 2018 OFFS'!$AI:$AI,'T1 2019 Pipeline Data Lagasco'!$A749,'Dec 31 2018 OFFS'!$U:$U,'T1 2019 Pipeline Data Lagasco'!$E749,'Dec 31 2018 OFFS'!$AK:$AK,'T1 2019 Pipeline Data Lagasco'!$Q749,'Dec 31 2018 OFFS'!$W:$W,'T1 2019 Pipeline Data Lagasco'!$G749))/(MAX(COUNTIFS('Dec 31 2018 OFFS'!$AI:$AI,'T1 2019 Pipeline Data Lagasco'!$A749,'Dec 31 2018 OFFS'!$U:$U,'T1 2019 Pipeline Data Lagasco'!$E749,'Dec 31 2018 OFFS'!$AK:$AK,'T1 2019 Pipeline Data Lagasco'!$Q749,'Dec 31 2018 OFFS'!$W:$W,'T1 2019 Pipeline Data Lagasco'!$G749),1))</f>
        <v>0</v>
      </c>
      <c r="S749" s="275">
        <f t="shared" si="27"/>
        <v>0</v>
      </c>
    </row>
    <row r="750" spans="1:19" s="217" customFormat="1" ht="14.1" customHeight="1">
      <c r="A750" s="224" t="s">
        <v>1502</v>
      </c>
      <c r="B750" s="218" t="s">
        <v>1503</v>
      </c>
      <c r="C750" s="223">
        <v>1</v>
      </c>
      <c r="D750" s="218" t="s">
        <v>1488</v>
      </c>
      <c r="E750" s="240">
        <v>2</v>
      </c>
      <c r="F750" s="236">
        <v>12807.44714</v>
      </c>
      <c r="G750" s="223">
        <v>1993</v>
      </c>
      <c r="H750" s="223">
        <v>1</v>
      </c>
      <c r="I750" s="223">
        <v>0</v>
      </c>
      <c r="J750" s="223"/>
      <c r="K750" s="228">
        <v>207992.94149999999</v>
      </c>
      <c r="L750" s="241">
        <v>70</v>
      </c>
      <c r="M750" s="229">
        <v>62397.882440000001</v>
      </c>
      <c r="N750" s="230">
        <v>16.239999999999998</v>
      </c>
      <c r="O750" s="231">
        <v>0</v>
      </c>
      <c r="P750" s="314"/>
      <c r="Q750" s="276">
        <f t="shared" si="26"/>
        <v>12807.45</v>
      </c>
      <c r="R750" s="275">
        <f>(SUMIFS('Dec 31 2018 OFFS'!$AG:$AG,'Dec 31 2018 OFFS'!$AI:$AI,'T1 2019 Pipeline Data Lagasco'!$A750,'Dec 31 2018 OFFS'!$U:$U,'T1 2019 Pipeline Data Lagasco'!$E750,'Dec 31 2018 OFFS'!$AK:$AK,'T1 2019 Pipeline Data Lagasco'!$Q750,'Dec 31 2018 OFFS'!$W:$W,'T1 2019 Pipeline Data Lagasco'!$G750))/(MAX(COUNTIFS('Dec 31 2018 OFFS'!$AI:$AI,'T1 2019 Pipeline Data Lagasco'!$A750,'Dec 31 2018 OFFS'!$U:$U,'T1 2019 Pipeline Data Lagasco'!$E750,'Dec 31 2018 OFFS'!$AK:$AK,'T1 2019 Pipeline Data Lagasco'!$Q750,'Dec 31 2018 OFFS'!$W:$W,'T1 2019 Pipeline Data Lagasco'!$G750),1))</f>
        <v>0</v>
      </c>
      <c r="S750" s="275">
        <f t="shared" si="27"/>
        <v>0</v>
      </c>
    </row>
    <row r="751" spans="1:19" s="217" customFormat="1" ht="14.1" customHeight="1">
      <c r="A751" s="224" t="s">
        <v>1502</v>
      </c>
      <c r="B751" s="218" t="s">
        <v>1503</v>
      </c>
      <c r="C751" s="223">
        <v>1</v>
      </c>
      <c r="D751" s="218" t="s">
        <v>1488</v>
      </c>
      <c r="E751" s="240">
        <v>2</v>
      </c>
      <c r="F751" s="226">
        <v>4805.2163959999998</v>
      </c>
      <c r="G751" s="223">
        <v>1993</v>
      </c>
      <c r="H751" s="223">
        <v>1</v>
      </c>
      <c r="I751" s="223">
        <v>0</v>
      </c>
      <c r="J751" s="223"/>
      <c r="K751" s="229">
        <v>78036.71428</v>
      </c>
      <c r="L751" s="241">
        <v>70</v>
      </c>
      <c r="M751" s="229">
        <v>23411.014279999999</v>
      </c>
      <c r="N751" s="230">
        <v>16.239999999999998</v>
      </c>
      <c r="O751" s="231">
        <v>0</v>
      </c>
      <c r="P751" s="314"/>
      <c r="Q751" s="276">
        <f t="shared" si="26"/>
        <v>4805.22</v>
      </c>
      <c r="R751" s="275">
        <f>(SUMIFS('Dec 31 2018 OFFS'!$AG:$AG,'Dec 31 2018 OFFS'!$AI:$AI,'T1 2019 Pipeline Data Lagasco'!$A751,'Dec 31 2018 OFFS'!$U:$U,'T1 2019 Pipeline Data Lagasco'!$E751,'Dec 31 2018 OFFS'!$AK:$AK,'T1 2019 Pipeline Data Lagasco'!$Q751,'Dec 31 2018 OFFS'!$W:$W,'T1 2019 Pipeline Data Lagasco'!$G751))/(MAX(COUNTIFS('Dec 31 2018 OFFS'!$AI:$AI,'T1 2019 Pipeline Data Lagasco'!$A751,'Dec 31 2018 OFFS'!$U:$U,'T1 2019 Pipeline Data Lagasco'!$E751,'Dec 31 2018 OFFS'!$AK:$AK,'T1 2019 Pipeline Data Lagasco'!$Q751,'Dec 31 2018 OFFS'!$W:$W,'T1 2019 Pipeline Data Lagasco'!$G751),1))</f>
        <v>0</v>
      </c>
      <c r="S751" s="275">
        <f t="shared" si="27"/>
        <v>0</v>
      </c>
    </row>
    <row r="752" spans="1:19" s="217" customFormat="1" ht="14.1" customHeight="1">
      <c r="A752" s="224" t="s">
        <v>1502</v>
      </c>
      <c r="B752" s="218" t="s">
        <v>1503</v>
      </c>
      <c r="C752" s="223">
        <v>1</v>
      </c>
      <c r="D752" s="218" t="s">
        <v>1488</v>
      </c>
      <c r="E752" s="240">
        <v>2</v>
      </c>
      <c r="F752" s="230">
        <v>740.72</v>
      </c>
      <c r="G752" s="223">
        <v>1978</v>
      </c>
      <c r="H752" s="223">
        <v>1</v>
      </c>
      <c r="I752" s="223">
        <v>0</v>
      </c>
      <c r="J752" s="223"/>
      <c r="K752" s="228">
        <v>12029.292799999999</v>
      </c>
      <c r="L752" s="241">
        <v>80</v>
      </c>
      <c r="M752" s="229">
        <v>2405.8585600000001</v>
      </c>
      <c r="N752" s="230">
        <v>16.239999999999998</v>
      </c>
      <c r="O752" s="231">
        <v>0</v>
      </c>
      <c r="P752" s="314"/>
      <c r="Q752" s="276">
        <f t="shared" si="26"/>
        <v>740.72</v>
      </c>
      <c r="R752" s="275">
        <f>(SUMIFS('Dec 31 2018 OFFS'!$AG:$AG,'Dec 31 2018 OFFS'!$AI:$AI,'T1 2019 Pipeline Data Lagasco'!$A752,'Dec 31 2018 OFFS'!$U:$U,'T1 2019 Pipeline Data Lagasco'!$E752,'Dec 31 2018 OFFS'!$AK:$AK,'T1 2019 Pipeline Data Lagasco'!$Q752,'Dec 31 2018 OFFS'!$W:$W,'T1 2019 Pipeline Data Lagasco'!$G752))/(MAX(COUNTIFS('Dec 31 2018 OFFS'!$AI:$AI,'T1 2019 Pipeline Data Lagasco'!$A752,'Dec 31 2018 OFFS'!$U:$U,'T1 2019 Pipeline Data Lagasco'!$E752,'Dec 31 2018 OFFS'!$AK:$AK,'T1 2019 Pipeline Data Lagasco'!$Q752,'Dec 31 2018 OFFS'!$W:$W,'T1 2019 Pipeline Data Lagasco'!$G752),1))</f>
        <v>0</v>
      </c>
      <c r="S752" s="275">
        <f t="shared" si="27"/>
        <v>0</v>
      </c>
    </row>
    <row r="753" spans="1:19" s="217" customFormat="1" ht="14.1" customHeight="1">
      <c r="A753" s="224" t="s">
        <v>1502</v>
      </c>
      <c r="B753" s="218" t="s">
        <v>1503</v>
      </c>
      <c r="C753" s="223">
        <v>1</v>
      </c>
      <c r="D753" s="218" t="s">
        <v>1488</v>
      </c>
      <c r="E753" s="240">
        <v>2</v>
      </c>
      <c r="F753" s="242">
        <v>5810.40</v>
      </c>
      <c r="G753" s="223">
        <v>1978</v>
      </c>
      <c r="H753" s="223">
        <v>1</v>
      </c>
      <c r="I753" s="223">
        <v>0</v>
      </c>
      <c r="J753" s="223"/>
      <c r="K753" s="239">
        <v>94360.895999999993</v>
      </c>
      <c r="L753" s="241">
        <v>80</v>
      </c>
      <c r="M753" s="228">
        <v>18872.179199999999</v>
      </c>
      <c r="N753" s="230">
        <v>16.239999999999998</v>
      </c>
      <c r="O753" s="231">
        <v>0</v>
      </c>
      <c r="P753" s="314"/>
      <c r="Q753" s="276">
        <f t="shared" si="26"/>
        <v>5810.40</v>
      </c>
      <c r="R753" s="275">
        <f>(SUMIFS('Dec 31 2018 OFFS'!$AG:$AG,'Dec 31 2018 OFFS'!$AI:$AI,'T1 2019 Pipeline Data Lagasco'!$A753,'Dec 31 2018 OFFS'!$U:$U,'T1 2019 Pipeline Data Lagasco'!$E753,'Dec 31 2018 OFFS'!$AK:$AK,'T1 2019 Pipeline Data Lagasco'!$Q753,'Dec 31 2018 OFFS'!$W:$W,'T1 2019 Pipeline Data Lagasco'!$G753))/(MAX(COUNTIFS('Dec 31 2018 OFFS'!$AI:$AI,'T1 2019 Pipeline Data Lagasco'!$A753,'Dec 31 2018 OFFS'!$U:$U,'T1 2019 Pipeline Data Lagasco'!$E753,'Dec 31 2018 OFFS'!$AK:$AK,'T1 2019 Pipeline Data Lagasco'!$Q753,'Dec 31 2018 OFFS'!$W:$W,'T1 2019 Pipeline Data Lagasco'!$G753),1))</f>
        <v>0</v>
      </c>
      <c r="S753" s="275">
        <f t="shared" si="27"/>
        <v>0</v>
      </c>
    </row>
    <row r="754" spans="1:19" s="217" customFormat="1" ht="14.1" customHeight="1">
      <c r="A754" s="224" t="s">
        <v>1502</v>
      </c>
      <c r="B754" s="218" t="s">
        <v>1503</v>
      </c>
      <c r="C754" s="223">
        <v>1</v>
      </c>
      <c r="D754" s="218" t="s">
        <v>1488</v>
      </c>
      <c r="E754" s="240">
        <v>2</v>
      </c>
      <c r="F754" s="230">
        <v>3344.16</v>
      </c>
      <c r="G754" s="223">
        <v>1982</v>
      </c>
      <c r="H754" s="223">
        <v>1</v>
      </c>
      <c r="I754" s="223">
        <v>0</v>
      </c>
      <c r="J754" s="223"/>
      <c r="K754" s="228">
        <v>54309.1584</v>
      </c>
      <c r="L754" s="241">
        <v>80</v>
      </c>
      <c r="M754" s="229">
        <v>10861.831679999999</v>
      </c>
      <c r="N754" s="230">
        <v>16.239999999999998</v>
      </c>
      <c r="O754" s="231">
        <v>0</v>
      </c>
      <c r="P754" s="314"/>
      <c r="Q754" s="276">
        <f t="shared" si="26"/>
        <v>3344.16</v>
      </c>
      <c r="R754" s="275">
        <f>(SUMIFS('Dec 31 2018 OFFS'!$AG:$AG,'Dec 31 2018 OFFS'!$AI:$AI,'T1 2019 Pipeline Data Lagasco'!$A754,'Dec 31 2018 OFFS'!$U:$U,'T1 2019 Pipeline Data Lagasco'!$E754,'Dec 31 2018 OFFS'!$AK:$AK,'T1 2019 Pipeline Data Lagasco'!$Q754,'Dec 31 2018 OFFS'!$W:$W,'T1 2019 Pipeline Data Lagasco'!$G754))/(MAX(COUNTIFS('Dec 31 2018 OFFS'!$AI:$AI,'T1 2019 Pipeline Data Lagasco'!$A754,'Dec 31 2018 OFFS'!$U:$U,'T1 2019 Pipeline Data Lagasco'!$E754,'Dec 31 2018 OFFS'!$AK:$AK,'T1 2019 Pipeline Data Lagasco'!$Q754,'Dec 31 2018 OFFS'!$W:$W,'T1 2019 Pipeline Data Lagasco'!$G754),1))</f>
        <v>0</v>
      </c>
      <c r="S754" s="275">
        <f t="shared" si="27"/>
        <v>0</v>
      </c>
    </row>
    <row r="755" spans="1:19" s="217" customFormat="1" ht="14.1" customHeight="1">
      <c r="A755" s="224" t="s">
        <v>1502</v>
      </c>
      <c r="B755" s="218" t="s">
        <v>1503</v>
      </c>
      <c r="C755" s="223">
        <v>1</v>
      </c>
      <c r="D755" s="218" t="s">
        <v>1488</v>
      </c>
      <c r="E755" s="240">
        <v>2</v>
      </c>
      <c r="F755" s="226">
        <v>3426.5418960000002</v>
      </c>
      <c r="G755" s="223">
        <v>1983</v>
      </c>
      <c r="H755" s="223">
        <v>1</v>
      </c>
      <c r="I755" s="223">
        <v>0</v>
      </c>
      <c r="J755" s="223"/>
      <c r="K755" s="229">
        <v>55647.040379999999</v>
      </c>
      <c r="L755" s="241">
        <v>80</v>
      </c>
      <c r="M755" s="229">
        <v>11129.408079999999</v>
      </c>
      <c r="N755" s="230">
        <v>16.239999999999998</v>
      </c>
      <c r="O755" s="231">
        <v>0</v>
      </c>
      <c r="P755" s="314"/>
      <c r="Q755" s="276">
        <f t="shared" si="26"/>
        <v>3426.54</v>
      </c>
      <c r="R755" s="275">
        <f>(SUMIFS('Dec 31 2018 OFFS'!$AG:$AG,'Dec 31 2018 OFFS'!$AI:$AI,'T1 2019 Pipeline Data Lagasco'!$A755,'Dec 31 2018 OFFS'!$U:$U,'T1 2019 Pipeline Data Lagasco'!$E755,'Dec 31 2018 OFFS'!$AK:$AK,'T1 2019 Pipeline Data Lagasco'!$Q755,'Dec 31 2018 OFFS'!$W:$W,'T1 2019 Pipeline Data Lagasco'!$G755))/(MAX(COUNTIFS('Dec 31 2018 OFFS'!$AI:$AI,'T1 2019 Pipeline Data Lagasco'!$A755,'Dec 31 2018 OFFS'!$U:$U,'T1 2019 Pipeline Data Lagasco'!$E755,'Dec 31 2018 OFFS'!$AK:$AK,'T1 2019 Pipeline Data Lagasco'!$Q755,'Dec 31 2018 OFFS'!$W:$W,'T1 2019 Pipeline Data Lagasco'!$G755),1))</f>
        <v>0</v>
      </c>
      <c r="S755" s="275">
        <f t="shared" si="27"/>
        <v>0</v>
      </c>
    </row>
    <row r="756" spans="1:19" s="217" customFormat="1" ht="14.1" customHeight="1">
      <c r="A756" s="224" t="s">
        <v>1502</v>
      </c>
      <c r="B756" s="218" t="s">
        <v>1503</v>
      </c>
      <c r="C756" s="223">
        <v>1</v>
      </c>
      <c r="D756" s="218" t="s">
        <v>1488</v>
      </c>
      <c r="E756" s="240">
        <v>3</v>
      </c>
      <c r="F756" s="223">
        <v>2920</v>
      </c>
      <c r="G756" s="223">
        <v>2002</v>
      </c>
      <c r="H756" s="223">
        <v>1</v>
      </c>
      <c r="I756" s="223">
        <v>1</v>
      </c>
      <c r="J756" s="223"/>
      <c r="K756" s="237">
        <v>68882.80</v>
      </c>
      <c r="L756" s="241">
        <v>57</v>
      </c>
      <c r="M756" s="239">
        <v>29619.603999999999</v>
      </c>
      <c r="N756" s="230">
        <v>23.59</v>
      </c>
      <c r="O756" s="231">
        <v>29619</v>
      </c>
      <c r="P756" s="314"/>
      <c r="Q756" s="276">
        <f t="shared" si="26"/>
        <v>2920</v>
      </c>
      <c r="R756" s="275">
        <f>(SUMIFS('Dec 31 2018 OFFS'!$AG:$AG,'Dec 31 2018 OFFS'!$AI:$AI,'T1 2019 Pipeline Data Lagasco'!$A756,'Dec 31 2018 OFFS'!$U:$U,'T1 2019 Pipeline Data Lagasco'!$E756,'Dec 31 2018 OFFS'!$AK:$AK,'T1 2019 Pipeline Data Lagasco'!$Q756,'Dec 31 2018 OFFS'!$W:$W,'T1 2019 Pipeline Data Lagasco'!$G756))/(MAX(COUNTIFS('Dec 31 2018 OFFS'!$AI:$AI,'T1 2019 Pipeline Data Lagasco'!$A756,'Dec 31 2018 OFFS'!$U:$U,'T1 2019 Pipeline Data Lagasco'!$E756,'Dec 31 2018 OFFS'!$AK:$AK,'T1 2019 Pipeline Data Lagasco'!$Q756,'Dec 31 2018 OFFS'!$W:$W,'T1 2019 Pipeline Data Lagasco'!$G756),1))</f>
        <v>29619</v>
      </c>
      <c r="S756" s="275">
        <f t="shared" si="27"/>
        <v>0</v>
      </c>
    </row>
    <row r="757" spans="1:19" s="217" customFormat="1" ht="14.1" customHeight="1">
      <c r="A757" s="224" t="s">
        <v>1502</v>
      </c>
      <c r="B757" s="218" t="s">
        <v>1503</v>
      </c>
      <c r="C757" s="223">
        <v>1</v>
      </c>
      <c r="D757" s="218" t="s">
        <v>1488</v>
      </c>
      <c r="E757" s="240">
        <v>3</v>
      </c>
      <c r="F757" s="223">
        <v>10327</v>
      </c>
      <c r="G757" s="223">
        <v>2006</v>
      </c>
      <c r="H757" s="230">
        <v>0.75</v>
      </c>
      <c r="I757" s="223">
        <v>1</v>
      </c>
      <c r="J757" s="223"/>
      <c r="K757" s="238">
        <v>243613.93</v>
      </c>
      <c r="L757" s="241">
        <v>52</v>
      </c>
      <c r="M757" s="228">
        <v>116934.68640000001</v>
      </c>
      <c r="N757" s="230">
        <v>23.59</v>
      </c>
      <c r="O757" s="231">
        <v>87701</v>
      </c>
      <c r="P757" s="314"/>
      <c r="Q757" s="276">
        <f t="shared" si="26"/>
        <v>10327</v>
      </c>
      <c r="R757" s="275">
        <f>(SUMIFS('Dec 31 2018 OFFS'!$AG:$AG,'Dec 31 2018 OFFS'!$AI:$AI,'T1 2019 Pipeline Data Lagasco'!$A757,'Dec 31 2018 OFFS'!$U:$U,'T1 2019 Pipeline Data Lagasco'!$E757,'Dec 31 2018 OFFS'!$AK:$AK,'T1 2019 Pipeline Data Lagasco'!$Q757,'Dec 31 2018 OFFS'!$W:$W,'T1 2019 Pipeline Data Lagasco'!$G757))/(MAX(COUNTIFS('Dec 31 2018 OFFS'!$AI:$AI,'T1 2019 Pipeline Data Lagasco'!$A757,'Dec 31 2018 OFFS'!$U:$U,'T1 2019 Pipeline Data Lagasco'!$E757,'Dec 31 2018 OFFS'!$AK:$AK,'T1 2019 Pipeline Data Lagasco'!$Q757,'Dec 31 2018 OFFS'!$W:$W,'T1 2019 Pipeline Data Lagasco'!$G757),1))</f>
        <v>87701</v>
      </c>
      <c r="S757" s="275">
        <f t="shared" si="27"/>
        <v>0</v>
      </c>
    </row>
    <row r="758" spans="1:19" s="217" customFormat="1" ht="14.1" customHeight="1">
      <c r="A758" s="224" t="s">
        <v>1502</v>
      </c>
      <c r="B758" s="218" t="s">
        <v>1503</v>
      </c>
      <c r="C758" s="223">
        <v>1</v>
      </c>
      <c r="D758" s="218" t="s">
        <v>1488</v>
      </c>
      <c r="E758" s="240">
        <v>3</v>
      </c>
      <c r="F758" s="223">
        <v>3091</v>
      </c>
      <c r="G758" s="223">
        <v>2008</v>
      </c>
      <c r="H758" s="223">
        <v>1</v>
      </c>
      <c r="I758" s="223">
        <v>0</v>
      </c>
      <c r="J758" s="223"/>
      <c r="K758" s="238">
        <v>72916.69</v>
      </c>
      <c r="L758" s="241">
        <v>49</v>
      </c>
      <c r="M758" s="228">
        <v>37187.511899999998</v>
      </c>
      <c r="N758" s="230">
        <v>23.59</v>
      </c>
      <c r="O758" s="231">
        <v>0</v>
      </c>
      <c r="P758" s="314"/>
      <c r="Q758" s="276">
        <f t="shared" si="26"/>
        <v>3091</v>
      </c>
      <c r="R758" s="275">
        <f>(SUMIFS('Dec 31 2018 OFFS'!$AG:$AG,'Dec 31 2018 OFFS'!$AI:$AI,'T1 2019 Pipeline Data Lagasco'!$A758,'Dec 31 2018 OFFS'!$U:$U,'T1 2019 Pipeline Data Lagasco'!$E758,'Dec 31 2018 OFFS'!$AK:$AK,'T1 2019 Pipeline Data Lagasco'!$Q758,'Dec 31 2018 OFFS'!$W:$W,'T1 2019 Pipeline Data Lagasco'!$G758))/(MAX(COUNTIFS('Dec 31 2018 OFFS'!$AI:$AI,'T1 2019 Pipeline Data Lagasco'!$A758,'Dec 31 2018 OFFS'!$U:$U,'T1 2019 Pipeline Data Lagasco'!$E758,'Dec 31 2018 OFFS'!$AK:$AK,'T1 2019 Pipeline Data Lagasco'!$Q758,'Dec 31 2018 OFFS'!$W:$W,'T1 2019 Pipeline Data Lagasco'!$G758),1))</f>
        <v>0</v>
      </c>
      <c r="S758" s="275">
        <f t="shared" si="27"/>
        <v>0</v>
      </c>
    </row>
    <row r="759" spans="1:19" s="217" customFormat="1" ht="14.1" customHeight="1">
      <c r="A759" s="224" t="s">
        <v>1502</v>
      </c>
      <c r="B759" s="218" t="s">
        <v>1503</v>
      </c>
      <c r="C759" s="223">
        <v>1</v>
      </c>
      <c r="D759" s="218" t="s">
        <v>1488</v>
      </c>
      <c r="E759" s="240">
        <v>3</v>
      </c>
      <c r="F759" s="223">
        <v>3831</v>
      </c>
      <c r="G759" s="223">
        <v>2008</v>
      </c>
      <c r="H759" s="223">
        <v>1</v>
      </c>
      <c r="I759" s="223">
        <v>1</v>
      </c>
      <c r="J759" s="223"/>
      <c r="K759" s="238">
        <v>90373.29</v>
      </c>
      <c r="L759" s="241">
        <v>49</v>
      </c>
      <c r="M759" s="228">
        <v>46090.377899999999</v>
      </c>
      <c r="N759" s="230">
        <v>23.59</v>
      </c>
      <c r="O759" s="231">
        <v>46090</v>
      </c>
      <c r="P759" s="314"/>
      <c r="Q759" s="276">
        <f t="shared" si="26"/>
        <v>3831</v>
      </c>
      <c r="R759" s="275">
        <f>(SUMIFS('Dec 31 2018 OFFS'!$AG:$AG,'Dec 31 2018 OFFS'!$AI:$AI,'T1 2019 Pipeline Data Lagasco'!$A759,'Dec 31 2018 OFFS'!$U:$U,'T1 2019 Pipeline Data Lagasco'!$E759,'Dec 31 2018 OFFS'!$AK:$AK,'T1 2019 Pipeline Data Lagasco'!$Q759,'Dec 31 2018 OFFS'!$W:$W,'T1 2019 Pipeline Data Lagasco'!$G759))/(MAX(COUNTIFS('Dec 31 2018 OFFS'!$AI:$AI,'T1 2019 Pipeline Data Lagasco'!$A759,'Dec 31 2018 OFFS'!$U:$U,'T1 2019 Pipeline Data Lagasco'!$E759,'Dec 31 2018 OFFS'!$AK:$AK,'T1 2019 Pipeline Data Lagasco'!$Q759,'Dec 31 2018 OFFS'!$W:$W,'T1 2019 Pipeline Data Lagasco'!$G759),1))</f>
        <v>46090</v>
      </c>
      <c r="S759" s="275">
        <f t="shared" si="27"/>
        <v>0</v>
      </c>
    </row>
    <row r="760" spans="1:19" s="217" customFormat="1" ht="14.1" customHeight="1">
      <c r="A760" s="224" t="s">
        <v>1502</v>
      </c>
      <c r="B760" s="218" t="s">
        <v>1503</v>
      </c>
      <c r="C760" s="223">
        <v>1</v>
      </c>
      <c r="D760" s="218" t="s">
        <v>1488</v>
      </c>
      <c r="E760" s="240">
        <v>3</v>
      </c>
      <c r="F760" s="223">
        <v>535</v>
      </c>
      <c r="G760" s="223">
        <v>2010</v>
      </c>
      <c r="H760" s="223">
        <v>1</v>
      </c>
      <c r="I760" s="223">
        <v>1</v>
      </c>
      <c r="J760" s="223"/>
      <c r="K760" s="238">
        <v>12620.65</v>
      </c>
      <c r="L760" s="241">
        <v>39</v>
      </c>
      <c r="M760" s="228">
        <v>7698.5964999999997</v>
      </c>
      <c r="N760" s="230">
        <v>23.59</v>
      </c>
      <c r="O760" s="231">
        <v>7698</v>
      </c>
      <c r="P760" s="314"/>
      <c r="Q760" s="276">
        <f t="shared" si="26"/>
        <v>535</v>
      </c>
      <c r="R760" s="275">
        <f>(SUMIFS('Dec 31 2018 OFFS'!$AG:$AG,'Dec 31 2018 OFFS'!$AI:$AI,'T1 2019 Pipeline Data Lagasco'!$A760,'Dec 31 2018 OFFS'!$U:$U,'T1 2019 Pipeline Data Lagasco'!$E760,'Dec 31 2018 OFFS'!$AK:$AK,'T1 2019 Pipeline Data Lagasco'!$Q760,'Dec 31 2018 OFFS'!$W:$W,'T1 2019 Pipeline Data Lagasco'!$G760))/(MAX(COUNTIFS('Dec 31 2018 OFFS'!$AI:$AI,'T1 2019 Pipeline Data Lagasco'!$A760,'Dec 31 2018 OFFS'!$U:$U,'T1 2019 Pipeline Data Lagasco'!$E760,'Dec 31 2018 OFFS'!$AK:$AK,'T1 2019 Pipeline Data Lagasco'!$Q760,'Dec 31 2018 OFFS'!$W:$W,'T1 2019 Pipeline Data Lagasco'!$G760),1))</f>
        <v>7698</v>
      </c>
      <c r="S760" s="275">
        <f t="shared" si="27"/>
        <v>0</v>
      </c>
    </row>
    <row r="761" spans="1:19" s="217" customFormat="1" ht="14.1" customHeight="1">
      <c r="A761" s="224" t="s">
        <v>1502</v>
      </c>
      <c r="B761" s="218" t="s">
        <v>1503</v>
      </c>
      <c r="C761" s="223">
        <v>1</v>
      </c>
      <c r="D761" s="218" t="s">
        <v>1488</v>
      </c>
      <c r="E761" s="240">
        <v>3</v>
      </c>
      <c r="F761" s="223">
        <v>2596</v>
      </c>
      <c r="G761" s="223">
        <v>2010</v>
      </c>
      <c r="H761" s="223">
        <v>1</v>
      </c>
      <c r="I761" s="223">
        <v>1</v>
      </c>
      <c r="J761" s="223"/>
      <c r="K761" s="238">
        <v>61239.64</v>
      </c>
      <c r="L761" s="241">
        <v>39</v>
      </c>
      <c r="M761" s="228">
        <v>37356.180399999997</v>
      </c>
      <c r="N761" s="230">
        <v>23.59</v>
      </c>
      <c r="O761" s="231">
        <v>37356</v>
      </c>
      <c r="P761" s="314"/>
      <c r="Q761" s="276">
        <f t="shared" si="26"/>
        <v>2596</v>
      </c>
      <c r="R761" s="275">
        <f>(SUMIFS('Dec 31 2018 OFFS'!$AG:$AG,'Dec 31 2018 OFFS'!$AI:$AI,'T1 2019 Pipeline Data Lagasco'!$A761,'Dec 31 2018 OFFS'!$U:$U,'T1 2019 Pipeline Data Lagasco'!$E761,'Dec 31 2018 OFFS'!$AK:$AK,'T1 2019 Pipeline Data Lagasco'!$Q761,'Dec 31 2018 OFFS'!$W:$W,'T1 2019 Pipeline Data Lagasco'!$G761))/(MAX(COUNTIFS('Dec 31 2018 OFFS'!$AI:$AI,'T1 2019 Pipeline Data Lagasco'!$A761,'Dec 31 2018 OFFS'!$U:$U,'T1 2019 Pipeline Data Lagasco'!$E761,'Dec 31 2018 OFFS'!$AK:$AK,'T1 2019 Pipeline Data Lagasco'!$Q761,'Dec 31 2018 OFFS'!$W:$W,'T1 2019 Pipeline Data Lagasco'!$G761),1))</f>
        <v>37356</v>
      </c>
      <c r="S761" s="275">
        <f t="shared" si="27"/>
        <v>0</v>
      </c>
    </row>
    <row r="762" spans="1:19" s="217" customFormat="1" ht="14.1" customHeight="1">
      <c r="A762" s="224" t="s">
        <v>1502</v>
      </c>
      <c r="B762" s="218" t="s">
        <v>1503</v>
      </c>
      <c r="C762" s="223">
        <v>1</v>
      </c>
      <c r="D762" s="218" t="s">
        <v>1488</v>
      </c>
      <c r="E762" s="240">
        <v>3</v>
      </c>
      <c r="F762" s="223">
        <v>6568</v>
      </c>
      <c r="G762" s="223">
        <v>2005</v>
      </c>
      <c r="H762" s="223">
        <v>1</v>
      </c>
      <c r="I762" s="223">
        <v>1</v>
      </c>
      <c r="J762" s="223"/>
      <c r="K762" s="238">
        <v>154939.12</v>
      </c>
      <c r="L762" s="241">
        <v>54</v>
      </c>
      <c r="M762" s="228">
        <v>71271.995200000005</v>
      </c>
      <c r="N762" s="230">
        <v>23.59</v>
      </c>
      <c r="O762" s="231">
        <v>71271</v>
      </c>
      <c r="P762" s="314"/>
      <c r="Q762" s="276">
        <f t="shared" si="26"/>
        <v>6568</v>
      </c>
      <c r="R762" s="275">
        <f>(SUMIFS('Dec 31 2018 OFFS'!$AG:$AG,'Dec 31 2018 OFFS'!$AI:$AI,'T1 2019 Pipeline Data Lagasco'!$A762,'Dec 31 2018 OFFS'!$U:$U,'T1 2019 Pipeline Data Lagasco'!$E762,'Dec 31 2018 OFFS'!$AK:$AK,'T1 2019 Pipeline Data Lagasco'!$Q762,'Dec 31 2018 OFFS'!$W:$W,'T1 2019 Pipeline Data Lagasco'!$G762))/(MAX(COUNTIFS('Dec 31 2018 OFFS'!$AI:$AI,'T1 2019 Pipeline Data Lagasco'!$A762,'Dec 31 2018 OFFS'!$U:$U,'T1 2019 Pipeline Data Lagasco'!$E762,'Dec 31 2018 OFFS'!$AK:$AK,'T1 2019 Pipeline Data Lagasco'!$Q762,'Dec 31 2018 OFFS'!$W:$W,'T1 2019 Pipeline Data Lagasco'!$G762),1))</f>
        <v>71272</v>
      </c>
      <c r="S762" s="275">
        <f t="shared" si="27"/>
        <v>-1</v>
      </c>
    </row>
    <row r="763" spans="1:19" s="217" customFormat="1" ht="14.1" customHeight="1">
      <c r="A763" s="224" t="s">
        <v>1502</v>
      </c>
      <c r="B763" s="218" t="s">
        <v>1503</v>
      </c>
      <c r="C763" s="223">
        <v>1</v>
      </c>
      <c r="D763" s="218" t="s">
        <v>1488</v>
      </c>
      <c r="E763" s="240">
        <v>3</v>
      </c>
      <c r="F763" s="223">
        <v>4978</v>
      </c>
      <c r="G763" s="223">
        <v>2005</v>
      </c>
      <c r="H763" s="223">
        <v>1</v>
      </c>
      <c r="I763" s="223">
        <v>1</v>
      </c>
      <c r="J763" s="223"/>
      <c r="K763" s="238">
        <v>117431.02</v>
      </c>
      <c r="L763" s="241">
        <v>54</v>
      </c>
      <c r="M763" s="228">
        <v>54018.269200000002</v>
      </c>
      <c r="N763" s="230">
        <v>23.59</v>
      </c>
      <c r="O763" s="231">
        <v>54018</v>
      </c>
      <c r="P763" s="314"/>
      <c r="Q763" s="276">
        <f t="shared" si="26"/>
        <v>4978</v>
      </c>
      <c r="R763" s="275">
        <f>(SUMIFS('Dec 31 2018 OFFS'!$AG:$AG,'Dec 31 2018 OFFS'!$AI:$AI,'T1 2019 Pipeline Data Lagasco'!$A763,'Dec 31 2018 OFFS'!$U:$U,'T1 2019 Pipeline Data Lagasco'!$E763,'Dec 31 2018 OFFS'!$AK:$AK,'T1 2019 Pipeline Data Lagasco'!$Q763,'Dec 31 2018 OFFS'!$W:$W,'T1 2019 Pipeline Data Lagasco'!$G763))/(MAX(COUNTIFS('Dec 31 2018 OFFS'!$AI:$AI,'T1 2019 Pipeline Data Lagasco'!$A763,'Dec 31 2018 OFFS'!$U:$U,'T1 2019 Pipeline Data Lagasco'!$E763,'Dec 31 2018 OFFS'!$AK:$AK,'T1 2019 Pipeline Data Lagasco'!$Q763,'Dec 31 2018 OFFS'!$W:$W,'T1 2019 Pipeline Data Lagasco'!$G763),1))</f>
        <v>54018</v>
      </c>
      <c r="S763" s="275">
        <f t="shared" si="27"/>
        <v>0</v>
      </c>
    </row>
    <row r="764" spans="1:19" s="217" customFormat="1" ht="14.1" customHeight="1">
      <c r="A764" s="224" t="s">
        <v>1502</v>
      </c>
      <c r="B764" s="218" t="s">
        <v>1503</v>
      </c>
      <c r="C764" s="223">
        <v>1</v>
      </c>
      <c r="D764" s="218" t="s">
        <v>1488</v>
      </c>
      <c r="E764" s="240">
        <v>3</v>
      </c>
      <c r="F764" s="223">
        <v>2922</v>
      </c>
      <c r="G764" s="223">
        <v>2002</v>
      </c>
      <c r="H764" s="223">
        <v>1</v>
      </c>
      <c r="I764" s="223">
        <v>1</v>
      </c>
      <c r="J764" s="223"/>
      <c r="K764" s="238">
        <v>68929.98</v>
      </c>
      <c r="L764" s="241">
        <v>57</v>
      </c>
      <c r="M764" s="228">
        <v>29639.8914</v>
      </c>
      <c r="N764" s="230">
        <v>23.59</v>
      </c>
      <c r="O764" s="231">
        <v>29639</v>
      </c>
      <c r="P764" s="314"/>
      <c r="Q764" s="276">
        <f t="shared" si="26"/>
        <v>2922</v>
      </c>
      <c r="R764" s="275">
        <f>(SUMIFS('Dec 31 2018 OFFS'!$AG:$AG,'Dec 31 2018 OFFS'!$AI:$AI,'T1 2019 Pipeline Data Lagasco'!$A764,'Dec 31 2018 OFFS'!$U:$U,'T1 2019 Pipeline Data Lagasco'!$E764,'Dec 31 2018 OFFS'!$AK:$AK,'T1 2019 Pipeline Data Lagasco'!$Q764,'Dec 31 2018 OFFS'!$W:$W,'T1 2019 Pipeline Data Lagasco'!$G764))/(MAX(COUNTIFS('Dec 31 2018 OFFS'!$AI:$AI,'T1 2019 Pipeline Data Lagasco'!$A764,'Dec 31 2018 OFFS'!$U:$U,'T1 2019 Pipeline Data Lagasco'!$E764,'Dec 31 2018 OFFS'!$AK:$AK,'T1 2019 Pipeline Data Lagasco'!$Q764,'Dec 31 2018 OFFS'!$W:$W,'T1 2019 Pipeline Data Lagasco'!$G764),1))</f>
        <v>29639</v>
      </c>
      <c r="S764" s="275">
        <f t="shared" si="27"/>
        <v>0</v>
      </c>
    </row>
    <row r="765" spans="1:19" s="217" customFormat="1" ht="14.1" customHeight="1">
      <c r="A765" s="224" t="s">
        <v>1502</v>
      </c>
      <c r="B765" s="218" t="s">
        <v>1503</v>
      </c>
      <c r="C765" s="223">
        <v>1</v>
      </c>
      <c r="D765" s="218" t="s">
        <v>1488</v>
      </c>
      <c r="E765" s="240">
        <v>3</v>
      </c>
      <c r="F765" s="223">
        <v>5294</v>
      </c>
      <c r="G765" s="223">
        <v>2005</v>
      </c>
      <c r="H765" s="223">
        <v>1</v>
      </c>
      <c r="I765" s="223">
        <v>1</v>
      </c>
      <c r="J765" s="223"/>
      <c r="K765" s="238">
        <v>124885.46</v>
      </c>
      <c r="L765" s="241">
        <v>54</v>
      </c>
      <c r="M765" s="228">
        <v>57447.311600000001</v>
      </c>
      <c r="N765" s="230">
        <v>23.59</v>
      </c>
      <c r="O765" s="231">
        <v>57447</v>
      </c>
      <c r="P765" s="314"/>
      <c r="Q765" s="276">
        <f t="shared" si="26"/>
        <v>5294</v>
      </c>
      <c r="R765" s="275">
        <f>(SUMIFS('Dec 31 2018 OFFS'!$AG:$AG,'Dec 31 2018 OFFS'!$AI:$AI,'T1 2019 Pipeline Data Lagasco'!$A765,'Dec 31 2018 OFFS'!$U:$U,'T1 2019 Pipeline Data Lagasco'!$E765,'Dec 31 2018 OFFS'!$AK:$AK,'T1 2019 Pipeline Data Lagasco'!$Q765,'Dec 31 2018 OFFS'!$W:$W,'T1 2019 Pipeline Data Lagasco'!$G765))/(MAX(COUNTIFS('Dec 31 2018 OFFS'!$AI:$AI,'T1 2019 Pipeline Data Lagasco'!$A765,'Dec 31 2018 OFFS'!$U:$U,'T1 2019 Pipeline Data Lagasco'!$E765,'Dec 31 2018 OFFS'!$AK:$AK,'T1 2019 Pipeline Data Lagasco'!$Q765,'Dec 31 2018 OFFS'!$W:$W,'T1 2019 Pipeline Data Lagasco'!$G765),1))</f>
        <v>57447</v>
      </c>
      <c r="S765" s="275">
        <f t="shared" si="27"/>
        <v>0</v>
      </c>
    </row>
    <row r="766" spans="1:19" s="217" customFormat="1" ht="14.1" customHeight="1">
      <c r="A766" s="224" t="s">
        <v>1502</v>
      </c>
      <c r="B766" s="218" t="s">
        <v>1503</v>
      </c>
      <c r="C766" s="223">
        <v>1</v>
      </c>
      <c r="D766" s="218" t="s">
        <v>1488</v>
      </c>
      <c r="E766" s="240">
        <v>3</v>
      </c>
      <c r="F766" s="223">
        <v>3024</v>
      </c>
      <c r="G766" s="223">
        <v>2005</v>
      </c>
      <c r="H766" s="223">
        <v>1</v>
      </c>
      <c r="I766" s="223">
        <v>1</v>
      </c>
      <c r="J766" s="223"/>
      <c r="K766" s="238">
        <v>71336.16</v>
      </c>
      <c r="L766" s="241">
        <v>54</v>
      </c>
      <c r="M766" s="228">
        <v>32814.633600000001</v>
      </c>
      <c r="N766" s="230">
        <v>23.59</v>
      </c>
      <c r="O766" s="231">
        <v>32814</v>
      </c>
      <c r="P766" s="314"/>
      <c r="Q766" s="276">
        <f t="shared" si="26"/>
        <v>3024</v>
      </c>
      <c r="R766" s="275">
        <f>(SUMIFS('Dec 31 2018 OFFS'!$AG:$AG,'Dec 31 2018 OFFS'!$AI:$AI,'T1 2019 Pipeline Data Lagasco'!$A766,'Dec 31 2018 OFFS'!$U:$U,'T1 2019 Pipeline Data Lagasco'!$E766,'Dec 31 2018 OFFS'!$AK:$AK,'T1 2019 Pipeline Data Lagasco'!$Q766,'Dec 31 2018 OFFS'!$W:$W,'T1 2019 Pipeline Data Lagasco'!$G766))/(MAX(COUNTIFS('Dec 31 2018 OFFS'!$AI:$AI,'T1 2019 Pipeline Data Lagasco'!$A766,'Dec 31 2018 OFFS'!$U:$U,'T1 2019 Pipeline Data Lagasco'!$E766,'Dec 31 2018 OFFS'!$AK:$AK,'T1 2019 Pipeline Data Lagasco'!$Q766,'Dec 31 2018 OFFS'!$W:$W,'T1 2019 Pipeline Data Lagasco'!$G766),1))</f>
        <v>32814</v>
      </c>
      <c r="S766" s="275">
        <f t="shared" si="27"/>
        <v>0</v>
      </c>
    </row>
    <row r="767" spans="1:19" s="217" customFormat="1" ht="14.1" customHeight="1">
      <c r="A767" s="224" t="s">
        <v>1502</v>
      </c>
      <c r="B767" s="218" t="s">
        <v>1503</v>
      </c>
      <c r="C767" s="223">
        <v>1</v>
      </c>
      <c r="D767" s="218" t="s">
        <v>1488</v>
      </c>
      <c r="E767" s="240">
        <v>3</v>
      </c>
      <c r="F767" s="223">
        <v>5722</v>
      </c>
      <c r="G767" s="223">
        <v>2005</v>
      </c>
      <c r="H767" s="223">
        <v>1</v>
      </c>
      <c r="I767" s="223">
        <v>1</v>
      </c>
      <c r="J767" s="223"/>
      <c r="K767" s="238">
        <v>134981.98000000001</v>
      </c>
      <c r="L767" s="241">
        <v>54</v>
      </c>
      <c r="M767" s="228">
        <v>62091.710800000001</v>
      </c>
      <c r="N767" s="230">
        <v>23.59</v>
      </c>
      <c r="O767" s="231">
        <v>62091</v>
      </c>
      <c r="P767" s="314"/>
      <c r="Q767" s="276">
        <f t="shared" si="26"/>
        <v>5722</v>
      </c>
      <c r="R767" s="275">
        <f>(SUMIFS('Dec 31 2018 OFFS'!$AG:$AG,'Dec 31 2018 OFFS'!$AI:$AI,'T1 2019 Pipeline Data Lagasco'!$A767,'Dec 31 2018 OFFS'!$U:$U,'T1 2019 Pipeline Data Lagasco'!$E767,'Dec 31 2018 OFFS'!$AK:$AK,'T1 2019 Pipeline Data Lagasco'!$Q767,'Dec 31 2018 OFFS'!$W:$W,'T1 2019 Pipeline Data Lagasco'!$G767))/(MAX(COUNTIFS('Dec 31 2018 OFFS'!$AI:$AI,'T1 2019 Pipeline Data Lagasco'!$A767,'Dec 31 2018 OFFS'!$U:$U,'T1 2019 Pipeline Data Lagasco'!$E767,'Dec 31 2018 OFFS'!$AK:$AK,'T1 2019 Pipeline Data Lagasco'!$Q767,'Dec 31 2018 OFFS'!$W:$W,'T1 2019 Pipeline Data Lagasco'!$G767),1))</f>
        <v>62091</v>
      </c>
      <c r="S767" s="275">
        <f t="shared" si="27"/>
        <v>0</v>
      </c>
    </row>
    <row r="768" spans="1:19" s="217" customFormat="1" ht="14.1" customHeight="1">
      <c r="A768" s="224" t="s">
        <v>1502</v>
      </c>
      <c r="B768" s="218" t="s">
        <v>1503</v>
      </c>
      <c r="C768" s="223">
        <v>1</v>
      </c>
      <c r="D768" s="218" t="s">
        <v>1488</v>
      </c>
      <c r="E768" s="240">
        <v>3</v>
      </c>
      <c r="F768" s="223">
        <v>3753</v>
      </c>
      <c r="G768" s="223">
        <v>2006</v>
      </c>
      <c r="H768" s="223">
        <v>1</v>
      </c>
      <c r="I768" s="223">
        <v>1</v>
      </c>
      <c r="J768" s="223"/>
      <c r="K768" s="238">
        <v>88533.27</v>
      </c>
      <c r="L768" s="241">
        <v>52</v>
      </c>
      <c r="M768" s="228">
        <v>42495.969599999997</v>
      </c>
      <c r="N768" s="230">
        <v>23.59</v>
      </c>
      <c r="O768" s="231">
        <v>42495</v>
      </c>
      <c r="P768" s="314"/>
      <c r="Q768" s="276">
        <f t="shared" si="26"/>
        <v>3753</v>
      </c>
      <c r="R768" s="275">
        <f>(SUMIFS('Dec 31 2018 OFFS'!$AG:$AG,'Dec 31 2018 OFFS'!$AI:$AI,'T1 2019 Pipeline Data Lagasco'!$A768,'Dec 31 2018 OFFS'!$U:$U,'T1 2019 Pipeline Data Lagasco'!$E768,'Dec 31 2018 OFFS'!$AK:$AK,'T1 2019 Pipeline Data Lagasco'!$Q768,'Dec 31 2018 OFFS'!$W:$W,'T1 2019 Pipeline Data Lagasco'!$G768))/(MAX(COUNTIFS('Dec 31 2018 OFFS'!$AI:$AI,'T1 2019 Pipeline Data Lagasco'!$A768,'Dec 31 2018 OFFS'!$U:$U,'T1 2019 Pipeline Data Lagasco'!$E768,'Dec 31 2018 OFFS'!$AK:$AK,'T1 2019 Pipeline Data Lagasco'!$Q768,'Dec 31 2018 OFFS'!$W:$W,'T1 2019 Pipeline Data Lagasco'!$G768),1))</f>
        <v>42495</v>
      </c>
      <c r="S768" s="275">
        <f t="shared" si="27"/>
        <v>0</v>
      </c>
    </row>
    <row r="769" spans="1:20" ht="14.1" customHeight="1">
      <c r="A769" s="224" t="s">
        <v>1502</v>
      </c>
      <c r="B769" s="218" t="s">
        <v>1503</v>
      </c>
      <c r="C769" s="223">
        <v>1</v>
      </c>
      <c r="D769" s="218" t="s">
        <v>1488</v>
      </c>
      <c r="E769" s="240">
        <v>3</v>
      </c>
      <c r="F769" s="223">
        <v>12240</v>
      </c>
      <c r="G769" s="223">
        <v>2010</v>
      </c>
      <c r="H769" s="223">
        <v>1</v>
      </c>
      <c r="I769" s="223">
        <v>1</v>
      </c>
      <c r="J769" s="223"/>
      <c r="K769" s="237">
        <v>288741.59999999998</v>
      </c>
      <c r="L769" s="241">
        <v>39</v>
      </c>
      <c r="M769" s="239">
        <v>176132.37599999999</v>
      </c>
      <c r="N769" s="230">
        <v>23.59</v>
      </c>
      <c r="O769" s="231">
        <v>176132</v>
      </c>
      <c r="P769" s="314"/>
      <c r="Q769" s="276">
        <f t="shared" si="26"/>
        <v>12240</v>
      </c>
      <c r="R769" s="275">
        <f>(SUMIFS('Dec 31 2018 OFFS'!$AG:$AG,'Dec 31 2018 OFFS'!$AI:$AI,'T1 2019 Pipeline Data Lagasco'!$A769,'Dec 31 2018 OFFS'!$U:$U,'T1 2019 Pipeline Data Lagasco'!$E769,'Dec 31 2018 OFFS'!$AK:$AK,'T1 2019 Pipeline Data Lagasco'!$Q769,'Dec 31 2018 OFFS'!$W:$W,'T1 2019 Pipeline Data Lagasco'!$G769))/(MAX(COUNTIFS('Dec 31 2018 OFFS'!$AI:$AI,'T1 2019 Pipeline Data Lagasco'!$A769,'Dec 31 2018 OFFS'!$U:$U,'T1 2019 Pipeline Data Lagasco'!$E769,'Dec 31 2018 OFFS'!$AK:$AK,'T1 2019 Pipeline Data Lagasco'!$Q769,'Dec 31 2018 OFFS'!$W:$W,'T1 2019 Pipeline Data Lagasco'!$G769),1))</f>
        <v>176132</v>
      </c>
      <c r="S769" s="275">
        <f t="shared" si="27"/>
        <v>0</v>
      </c>
      <c r="T769" s="217"/>
    </row>
    <row r="770" spans="1:20" ht="14.1" customHeight="1">
      <c r="A770" s="224" t="s">
        <v>1502</v>
      </c>
      <c r="B770" s="218" t="s">
        <v>1503</v>
      </c>
      <c r="C770" s="223">
        <v>1</v>
      </c>
      <c r="D770" s="218" t="s">
        <v>1488</v>
      </c>
      <c r="E770" s="240">
        <v>3</v>
      </c>
      <c r="F770" s="223">
        <v>512</v>
      </c>
      <c r="G770" s="223">
        <v>2001</v>
      </c>
      <c r="H770" s="223">
        <v>1</v>
      </c>
      <c r="I770" s="246">
        <v>0</v>
      </c>
      <c r="J770" s="223"/>
      <c r="K770" s="238">
        <v>12078.08</v>
      </c>
      <c r="L770" s="241">
        <v>59</v>
      </c>
      <c r="M770" s="228">
        <v>4952.0128000000004</v>
      </c>
      <c r="N770" s="230">
        <v>23.59</v>
      </c>
      <c r="O770" s="248">
        <v>0</v>
      </c>
      <c r="P770" s="317" t="s">
        <v>1560</v>
      </c>
      <c r="Q770" s="276">
        <f t="shared" si="26"/>
        <v>512</v>
      </c>
      <c r="R770" s="275">
        <f>(SUMIFS('Dec 31 2018 OFFS'!$AG:$AG,'Dec 31 2018 OFFS'!$AI:$AI,'T1 2019 Pipeline Data Lagasco'!$A770,'Dec 31 2018 OFFS'!$U:$U,'T1 2019 Pipeline Data Lagasco'!$E770,'Dec 31 2018 OFFS'!$AK:$AK,'T1 2019 Pipeline Data Lagasco'!$Q770,'Dec 31 2018 OFFS'!$W:$W,'T1 2019 Pipeline Data Lagasco'!$G770))/(MAX(COUNTIFS('Dec 31 2018 OFFS'!$AI:$AI,'T1 2019 Pipeline Data Lagasco'!$A770,'Dec 31 2018 OFFS'!$U:$U,'T1 2019 Pipeline Data Lagasco'!$E770,'Dec 31 2018 OFFS'!$AK:$AK,'T1 2019 Pipeline Data Lagasco'!$Q770,'Dec 31 2018 OFFS'!$W:$W,'T1 2019 Pipeline Data Lagasco'!$G770),1))</f>
        <v>0</v>
      </c>
      <c r="S770" s="275">
        <f t="shared" si="27"/>
        <v>0</v>
      </c>
      <c r="T770" s="278" t="e">
        <f>R770/O770</f>
        <v>#DIV/0!</v>
      </c>
    </row>
    <row r="771" spans="1:20" ht="14.1" customHeight="1">
      <c r="A771" s="224" t="s">
        <v>1502</v>
      </c>
      <c r="B771" s="218" t="s">
        <v>1503</v>
      </c>
      <c r="C771" s="223">
        <v>1</v>
      </c>
      <c r="D771" s="218" t="s">
        <v>1488</v>
      </c>
      <c r="E771" s="240">
        <v>3</v>
      </c>
      <c r="F771" s="223">
        <v>4831</v>
      </c>
      <c r="G771" s="223">
        <v>2010</v>
      </c>
      <c r="H771" s="223">
        <v>1</v>
      </c>
      <c r="I771" s="223">
        <v>1</v>
      </c>
      <c r="J771" s="223"/>
      <c r="K771" s="238">
        <v>113963.29</v>
      </c>
      <c r="L771" s="241">
        <v>39</v>
      </c>
      <c r="M771" s="228">
        <v>69517.606899999999</v>
      </c>
      <c r="N771" s="230">
        <v>23.59</v>
      </c>
      <c r="O771" s="231">
        <v>69517</v>
      </c>
      <c r="P771" s="314"/>
      <c r="Q771" s="276">
        <f t="shared" si="26"/>
        <v>4831</v>
      </c>
      <c r="R771" s="275">
        <f>(SUMIFS('Dec 31 2018 OFFS'!$AG:$AG,'Dec 31 2018 OFFS'!$AI:$AI,'T1 2019 Pipeline Data Lagasco'!$A771,'Dec 31 2018 OFFS'!$U:$U,'T1 2019 Pipeline Data Lagasco'!$E771,'Dec 31 2018 OFFS'!$AK:$AK,'T1 2019 Pipeline Data Lagasco'!$Q771,'Dec 31 2018 OFFS'!$W:$W,'T1 2019 Pipeline Data Lagasco'!$G771))/(MAX(COUNTIFS('Dec 31 2018 OFFS'!$AI:$AI,'T1 2019 Pipeline Data Lagasco'!$A771,'Dec 31 2018 OFFS'!$U:$U,'T1 2019 Pipeline Data Lagasco'!$E771,'Dec 31 2018 OFFS'!$AK:$AK,'T1 2019 Pipeline Data Lagasco'!$Q771,'Dec 31 2018 OFFS'!$W:$W,'T1 2019 Pipeline Data Lagasco'!$G771),1))</f>
        <v>69517</v>
      </c>
      <c r="S771" s="275">
        <f t="shared" si="27"/>
        <v>0</v>
      </c>
      <c r="T771" s="217"/>
    </row>
    <row r="772" spans="1:20" ht="15" customHeight="1">
      <c r="A772" s="224" t="s">
        <v>1502</v>
      </c>
      <c r="B772" s="218" t="s">
        <v>1503</v>
      </c>
      <c r="C772" s="223">
        <v>1</v>
      </c>
      <c r="D772" s="218" t="s">
        <v>1488</v>
      </c>
      <c r="E772" s="240">
        <v>3</v>
      </c>
      <c r="F772" s="223">
        <v>3046</v>
      </c>
      <c r="G772" s="223">
        <v>1995</v>
      </c>
      <c r="H772" s="223">
        <v>1</v>
      </c>
      <c r="I772" s="223">
        <v>1</v>
      </c>
      <c r="J772" s="223"/>
      <c r="K772" s="238">
        <v>71855.14</v>
      </c>
      <c r="L772" s="241">
        <v>67</v>
      </c>
      <c r="M772" s="228">
        <v>23712.196199999998</v>
      </c>
      <c r="N772" s="230">
        <v>23.59</v>
      </c>
      <c r="O772" s="231">
        <v>23712</v>
      </c>
      <c r="P772" s="314"/>
      <c r="Q772" s="276">
        <f t="shared" si="26"/>
        <v>3046</v>
      </c>
      <c r="R772" s="275">
        <f>(SUMIFS('Dec 31 2018 OFFS'!$AG:$AG,'Dec 31 2018 OFFS'!$AI:$AI,'T1 2019 Pipeline Data Lagasco'!$A772,'Dec 31 2018 OFFS'!$U:$U,'T1 2019 Pipeline Data Lagasco'!$E772,'Dec 31 2018 OFFS'!$AK:$AK,'T1 2019 Pipeline Data Lagasco'!$Q772,'Dec 31 2018 OFFS'!$W:$W,'T1 2019 Pipeline Data Lagasco'!$G772))/(MAX(COUNTIFS('Dec 31 2018 OFFS'!$AI:$AI,'T1 2019 Pipeline Data Lagasco'!$A772,'Dec 31 2018 OFFS'!$U:$U,'T1 2019 Pipeline Data Lagasco'!$E772,'Dec 31 2018 OFFS'!$AK:$AK,'T1 2019 Pipeline Data Lagasco'!$Q772,'Dec 31 2018 OFFS'!$W:$W,'T1 2019 Pipeline Data Lagasco'!$G772),1))</f>
        <v>23712</v>
      </c>
      <c r="S772" s="275">
        <f t="shared" si="27"/>
        <v>0</v>
      </c>
      <c r="T772" s="217"/>
    </row>
    <row r="773" spans="1:20" ht="15" customHeight="1">
      <c r="A773" s="224" t="s">
        <v>1502</v>
      </c>
      <c r="B773" s="218" t="s">
        <v>1503</v>
      </c>
      <c r="C773" s="223">
        <v>1</v>
      </c>
      <c r="D773" s="218" t="s">
        <v>1488</v>
      </c>
      <c r="E773" s="240">
        <v>4</v>
      </c>
      <c r="F773" s="226">
        <v>5311.6796359999998</v>
      </c>
      <c r="G773" s="223">
        <v>1973</v>
      </c>
      <c r="H773" s="223">
        <v>1</v>
      </c>
      <c r="I773" s="223">
        <v>0</v>
      </c>
      <c r="J773" s="223"/>
      <c r="K773" s="228">
        <v>140493.9264</v>
      </c>
      <c r="L773" s="241">
        <v>80</v>
      </c>
      <c r="M773" s="229">
        <v>28098.78528</v>
      </c>
      <c r="N773" s="230">
        <v>26.45</v>
      </c>
      <c r="O773" s="231">
        <v>0</v>
      </c>
      <c r="P773" s="314"/>
      <c r="Q773" s="276">
        <f t="shared" si="26"/>
        <v>5311.68</v>
      </c>
      <c r="R773" s="275">
        <f>(SUMIFS('Dec 31 2018 OFFS'!$AG:$AG,'Dec 31 2018 OFFS'!$AI:$AI,'T1 2019 Pipeline Data Lagasco'!$A773,'Dec 31 2018 OFFS'!$U:$U,'T1 2019 Pipeline Data Lagasco'!$E773,'Dec 31 2018 OFFS'!$AK:$AK,'T1 2019 Pipeline Data Lagasco'!$Q773,'Dec 31 2018 OFFS'!$W:$W,'T1 2019 Pipeline Data Lagasco'!$G773))/(MAX(COUNTIFS('Dec 31 2018 OFFS'!$AI:$AI,'T1 2019 Pipeline Data Lagasco'!$A773,'Dec 31 2018 OFFS'!$U:$U,'T1 2019 Pipeline Data Lagasco'!$E773,'Dec 31 2018 OFFS'!$AK:$AK,'T1 2019 Pipeline Data Lagasco'!$Q773,'Dec 31 2018 OFFS'!$W:$W,'T1 2019 Pipeline Data Lagasco'!$G773),1))</f>
        <v>0</v>
      </c>
      <c r="S773" s="275">
        <f t="shared" si="27"/>
        <v>0</v>
      </c>
      <c r="T773" s="217"/>
    </row>
    <row r="774" spans="1:20" ht="14.1" customHeight="1">
      <c r="A774" s="224" t="s">
        <v>1502</v>
      </c>
      <c r="B774" s="218" t="s">
        <v>1503</v>
      </c>
      <c r="C774" s="223">
        <v>1</v>
      </c>
      <c r="D774" s="218" t="s">
        <v>1488</v>
      </c>
      <c r="E774" s="240">
        <v>4</v>
      </c>
      <c r="F774" s="226">
        <v>4782.873877</v>
      </c>
      <c r="G774" s="223">
        <v>1973</v>
      </c>
      <c r="H774" s="223">
        <v>1</v>
      </c>
      <c r="I774" s="223">
        <v>0</v>
      </c>
      <c r="J774" s="223"/>
      <c r="K774" s="228">
        <v>126507.0141</v>
      </c>
      <c r="L774" s="241">
        <v>80</v>
      </c>
      <c r="M774" s="229">
        <v>25301.40281</v>
      </c>
      <c r="N774" s="230">
        <v>26.45</v>
      </c>
      <c r="O774" s="231">
        <v>0</v>
      </c>
      <c r="P774" s="314"/>
      <c r="Q774" s="276">
        <f t="shared" si="26"/>
        <v>4782.87</v>
      </c>
      <c r="R774" s="275">
        <f>(SUMIFS('Dec 31 2018 OFFS'!$AG:$AG,'Dec 31 2018 OFFS'!$AI:$AI,'T1 2019 Pipeline Data Lagasco'!$A774,'Dec 31 2018 OFFS'!$U:$U,'T1 2019 Pipeline Data Lagasco'!$E774,'Dec 31 2018 OFFS'!$AK:$AK,'T1 2019 Pipeline Data Lagasco'!$Q774,'Dec 31 2018 OFFS'!$W:$W,'T1 2019 Pipeline Data Lagasco'!$G774))/(MAX(COUNTIFS('Dec 31 2018 OFFS'!$AI:$AI,'T1 2019 Pipeline Data Lagasco'!$A774,'Dec 31 2018 OFFS'!$U:$U,'T1 2019 Pipeline Data Lagasco'!$E774,'Dec 31 2018 OFFS'!$AK:$AK,'T1 2019 Pipeline Data Lagasco'!$Q774,'Dec 31 2018 OFFS'!$W:$W,'T1 2019 Pipeline Data Lagasco'!$G774),1))</f>
        <v>0</v>
      </c>
      <c r="S774" s="275">
        <f t="shared" si="27"/>
        <v>0</v>
      </c>
      <c r="T774" s="217"/>
    </row>
    <row r="775" spans="1:20" ht="14.1" customHeight="1">
      <c r="A775" s="224" t="s">
        <v>1502</v>
      </c>
      <c r="B775" s="218" t="s">
        <v>1503</v>
      </c>
      <c r="C775" s="223">
        <v>1</v>
      </c>
      <c r="D775" s="218" t="s">
        <v>1488</v>
      </c>
      <c r="E775" s="240">
        <v>4</v>
      </c>
      <c r="F775" s="226">
        <v>2567.5524190000001</v>
      </c>
      <c r="G775" s="223">
        <v>1973</v>
      </c>
      <c r="H775" s="223">
        <v>1</v>
      </c>
      <c r="I775" s="223">
        <v>0</v>
      </c>
      <c r="J775" s="223"/>
      <c r="K775" s="229">
        <v>67911.761480000001</v>
      </c>
      <c r="L775" s="241">
        <v>80</v>
      </c>
      <c r="M775" s="228">
        <v>13582.3523</v>
      </c>
      <c r="N775" s="230">
        <v>26.45</v>
      </c>
      <c r="O775" s="231">
        <v>0</v>
      </c>
      <c r="P775" s="314"/>
      <c r="Q775" s="276">
        <f t="shared" si="26"/>
        <v>2567.5500000000002</v>
      </c>
      <c r="R775" s="275">
        <f>(SUMIFS('Dec 31 2018 OFFS'!$AG:$AG,'Dec 31 2018 OFFS'!$AI:$AI,'T1 2019 Pipeline Data Lagasco'!$A775,'Dec 31 2018 OFFS'!$U:$U,'T1 2019 Pipeline Data Lagasco'!$E775,'Dec 31 2018 OFFS'!$AK:$AK,'T1 2019 Pipeline Data Lagasco'!$Q775,'Dec 31 2018 OFFS'!$W:$W,'T1 2019 Pipeline Data Lagasco'!$G775))/(MAX(COUNTIFS('Dec 31 2018 OFFS'!$AI:$AI,'T1 2019 Pipeline Data Lagasco'!$A775,'Dec 31 2018 OFFS'!$U:$U,'T1 2019 Pipeline Data Lagasco'!$E775,'Dec 31 2018 OFFS'!$AK:$AK,'T1 2019 Pipeline Data Lagasco'!$Q775,'Dec 31 2018 OFFS'!$W:$W,'T1 2019 Pipeline Data Lagasco'!$G775),1))</f>
        <v>0</v>
      </c>
      <c r="S775" s="275">
        <f t="shared" si="27"/>
        <v>0</v>
      </c>
      <c r="T775" s="217"/>
    </row>
    <row r="776" spans="1:20" ht="14.1" customHeight="1">
      <c r="A776" s="224" t="s">
        <v>1502</v>
      </c>
      <c r="B776" s="218" t="s">
        <v>1503</v>
      </c>
      <c r="C776" s="223">
        <v>1</v>
      </c>
      <c r="D776" s="218" t="s">
        <v>1488</v>
      </c>
      <c r="E776" s="240">
        <v>4</v>
      </c>
      <c r="F776" s="226">
        <v>7381.2333820000003</v>
      </c>
      <c r="G776" s="223">
        <v>1973</v>
      </c>
      <c r="H776" s="223">
        <v>1</v>
      </c>
      <c r="I776" s="223">
        <v>0</v>
      </c>
      <c r="J776" s="223"/>
      <c r="K776" s="239">
        <v>195233.62299999999</v>
      </c>
      <c r="L776" s="241">
        <v>80</v>
      </c>
      <c r="M776" s="229">
        <v>39046.724589999998</v>
      </c>
      <c r="N776" s="230">
        <v>26.45</v>
      </c>
      <c r="O776" s="231">
        <v>0</v>
      </c>
      <c r="P776" s="314"/>
      <c r="Q776" s="276">
        <f t="shared" si="26"/>
        <v>7381.23</v>
      </c>
      <c r="R776" s="275">
        <f>(SUMIFS('Dec 31 2018 OFFS'!$AG:$AG,'Dec 31 2018 OFFS'!$AI:$AI,'T1 2019 Pipeline Data Lagasco'!$A776,'Dec 31 2018 OFFS'!$U:$U,'T1 2019 Pipeline Data Lagasco'!$E776,'Dec 31 2018 OFFS'!$AK:$AK,'T1 2019 Pipeline Data Lagasco'!$Q776,'Dec 31 2018 OFFS'!$W:$W,'T1 2019 Pipeline Data Lagasco'!$G776))/(MAX(COUNTIFS('Dec 31 2018 OFFS'!$AI:$AI,'T1 2019 Pipeline Data Lagasco'!$A776,'Dec 31 2018 OFFS'!$U:$U,'T1 2019 Pipeline Data Lagasco'!$E776,'Dec 31 2018 OFFS'!$AK:$AK,'T1 2019 Pipeline Data Lagasco'!$Q776,'Dec 31 2018 OFFS'!$W:$W,'T1 2019 Pipeline Data Lagasco'!$G776),1))</f>
        <v>0</v>
      </c>
      <c r="S776" s="275">
        <f t="shared" si="27"/>
        <v>0</v>
      </c>
      <c r="T776" s="217"/>
    </row>
    <row r="777" spans="1:20" ht="14.1" customHeight="1">
      <c r="A777" s="224" t="s">
        <v>1502</v>
      </c>
      <c r="B777" s="218" t="s">
        <v>1503</v>
      </c>
      <c r="C777" s="223">
        <v>1</v>
      </c>
      <c r="D777" s="218" t="s">
        <v>1488</v>
      </c>
      <c r="E777" s="240">
        <v>4</v>
      </c>
      <c r="F777" s="226">
        <v>3028.3135609999999</v>
      </c>
      <c r="G777" s="223">
        <v>1975</v>
      </c>
      <c r="H777" s="223">
        <v>1</v>
      </c>
      <c r="I777" s="223">
        <v>0</v>
      </c>
      <c r="J777" s="223"/>
      <c r="K777" s="229">
        <v>80098.893679999994</v>
      </c>
      <c r="L777" s="241">
        <v>80</v>
      </c>
      <c r="M777" s="229">
        <v>16019.77874</v>
      </c>
      <c r="N777" s="230">
        <v>26.45</v>
      </c>
      <c r="O777" s="231">
        <v>0</v>
      </c>
      <c r="P777" s="314"/>
      <c r="Q777" s="276">
        <f t="shared" si="26"/>
        <v>3028.31</v>
      </c>
      <c r="R777" s="275">
        <f>(SUMIFS('Dec 31 2018 OFFS'!$AG:$AG,'Dec 31 2018 OFFS'!$AI:$AI,'T1 2019 Pipeline Data Lagasco'!$A777,'Dec 31 2018 OFFS'!$U:$U,'T1 2019 Pipeline Data Lagasco'!$E777,'Dec 31 2018 OFFS'!$AK:$AK,'T1 2019 Pipeline Data Lagasco'!$Q777,'Dec 31 2018 OFFS'!$W:$W,'T1 2019 Pipeline Data Lagasco'!$G777))/(MAX(COUNTIFS('Dec 31 2018 OFFS'!$AI:$AI,'T1 2019 Pipeline Data Lagasco'!$A777,'Dec 31 2018 OFFS'!$U:$U,'T1 2019 Pipeline Data Lagasco'!$E777,'Dec 31 2018 OFFS'!$AK:$AK,'T1 2019 Pipeline Data Lagasco'!$Q777,'Dec 31 2018 OFFS'!$W:$W,'T1 2019 Pipeline Data Lagasco'!$G777),1))</f>
        <v>0</v>
      </c>
      <c r="S777" s="275">
        <f t="shared" si="27"/>
        <v>0</v>
      </c>
      <c r="T777" s="217"/>
    </row>
    <row r="778" spans="1:20" ht="14.1" customHeight="1">
      <c r="A778" s="224" t="s">
        <v>1502</v>
      </c>
      <c r="B778" s="218" t="s">
        <v>1503</v>
      </c>
      <c r="C778" s="223">
        <v>1</v>
      </c>
      <c r="D778" s="218" t="s">
        <v>1488</v>
      </c>
      <c r="E778" s="240">
        <v>4</v>
      </c>
      <c r="F778" s="226">
        <v>4280.7741539999997</v>
      </c>
      <c r="G778" s="223">
        <v>1975</v>
      </c>
      <c r="H778" s="223">
        <v>1</v>
      </c>
      <c r="I778" s="246">
        <v>0</v>
      </c>
      <c r="J778" s="223"/>
      <c r="K778" s="228">
        <v>113226.4764</v>
      </c>
      <c r="L778" s="241">
        <v>80</v>
      </c>
      <c r="M778" s="229">
        <v>22645.295279999998</v>
      </c>
      <c r="N778" s="230">
        <v>26.45</v>
      </c>
      <c r="O778" s="248">
        <v>0</v>
      </c>
      <c r="P778" s="317" t="s">
        <v>1560</v>
      </c>
      <c r="Q778" s="276">
        <f t="shared" si="26"/>
        <v>4280.7700000000004</v>
      </c>
      <c r="R778" s="275">
        <f>(SUMIFS('Dec 31 2018 OFFS'!$AG:$AG,'Dec 31 2018 OFFS'!$AI:$AI,'T1 2019 Pipeline Data Lagasco'!$A778,'Dec 31 2018 OFFS'!$U:$U,'T1 2019 Pipeline Data Lagasco'!$E778,'Dec 31 2018 OFFS'!$AK:$AK,'T1 2019 Pipeline Data Lagasco'!$Q778,'Dec 31 2018 OFFS'!$W:$W,'T1 2019 Pipeline Data Lagasco'!$G778))/(MAX(COUNTIFS('Dec 31 2018 OFFS'!$AI:$AI,'T1 2019 Pipeline Data Lagasco'!$A778,'Dec 31 2018 OFFS'!$U:$U,'T1 2019 Pipeline Data Lagasco'!$E778,'Dec 31 2018 OFFS'!$AK:$AK,'T1 2019 Pipeline Data Lagasco'!$Q778,'Dec 31 2018 OFFS'!$W:$W,'T1 2019 Pipeline Data Lagasco'!$G778),1))</f>
        <v>0</v>
      </c>
      <c r="S778" s="275">
        <f t="shared" si="27"/>
        <v>0</v>
      </c>
      <c r="T778" s="278" t="e">
        <f>R778/O778</f>
        <v>#DIV/0!</v>
      </c>
    </row>
    <row r="779" spans="1:20" ht="14.1" customHeight="1">
      <c r="A779" s="224" t="s">
        <v>1502</v>
      </c>
      <c r="B779" s="218" t="s">
        <v>1503</v>
      </c>
      <c r="C779" s="223">
        <v>1</v>
      </c>
      <c r="D779" s="218" t="s">
        <v>1488</v>
      </c>
      <c r="E779" s="240">
        <v>4</v>
      </c>
      <c r="F779" s="226">
        <v>1731.8897139999999</v>
      </c>
      <c r="G779" s="223">
        <v>1975</v>
      </c>
      <c r="H779" s="223">
        <v>1</v>
      </c>
      <c r="I779" s="223">
        <v>0</v>
      </c>
      <c r="J779" s="223"/>
      <c r="K779" s="229">
        <v>45808.482929999998</v>
      </c>
      <c r="L779" s="241">
        <v>80</v>
      </c>
      <c r="M779" s="233">
        <v>9161.6965849999997</v>
      </c>
      <c r="N779" s="230">
        <v>26.45</v>
      </c>
      <c r="O779" s="231">
        <v>0</v>
      </c>
      <c r="P779" s="314"/>
      <c r="Q779" s="276">
        <f t="shared" si="26"/>
        <v>1731.89</v>
      </c>
      <c r="R779" s="275">
        <f>(SUMIFS('Dec 31 2018 OFFS'!$AG:$AG,'Dec 31 2018 OFFS'!$AI:$AI,'T1 2019 Pipeline Data Lagasco'!$A779,'Dec 31 2018 OFFS'!$U:$U,'T1 2019 Pipeline Data Lagasco'!$E779,'Dec 31 2018 OFFS'!$AK:$AK,'T1 2019 Pipeline Data Lagasco'!$Q779,'Dec 31 2018 OFFS'!$W:$W,'T1 2019 Pipeline Data Lagasco'!$G779))/(MAX(COUNTIFS('Dec 31 2018 OFFS'!$AI:$AI,'T1 2019 Pipeline Data Lagasco'!$A779,'Dec 31 2018 OFFS'!$U:$U,'T1 2019 Pipeline Data Lagasco'!$E779,'Dec 31 2018 OFFS'!$AK:$AK,'T1 2019 Pipeline Data Lagasco'!$Q779,'Dec 31 2018 OFFS'!$W:$W,'T1 2019 Pipeline Data Lagasco'!$G779),1))</f>
        <v>0</v>
      </c>
      <c r="S779" s="275">
        <f t="shared" si="27"/>
        <v>0</v>
      </c>
      <c r="T779" s="217"/>
    </row>
    <row r="780" spans="1:20" ht="14.1" customHeight="1">
      <c r="A780" s="224" t="s">
        <v>1502</v>
      </c>
      <c r="B780" s="218" t="s">
        <v>1503</v>
      </c>
      <c r="C780" s="223">
        <v>1</v>
      </c>
      <c r="D780" s="218" t="s">
        <v>1488</v>
      </c>
      <c r="E780" s="240">
        <v>4</v>
      </c>
      <c r="F780" s="230">
        <v>16272.87</v>
      </c>
      <c r="G780" s="223">
        <v>1992</v>
      </c>
      <c r="H780" s="223">
        <v>1</v>
      </c>
      <c r="I780" s="223">
        <v>0</v>
      </c>
      <c r="J780" s="223"/>
      <c r="K780" s="228">
        <v>430417.41149999999</v>
      </c>
      <c r="L780" s="241">
        <v>71</v>
      </c>
      <c r="M780" s="228">
        <v>124821.0493</v>
      </c>
      <c r="N780" s="230">
        <v>26.45</v>
      </c>
      <c r="O780" s="231">
        <v>0</v>
      </c>
      <c r="P780" s="314"/>
      <c r="Q780" s="276">
        <f t="shared" si="26"/>
        <v>16272.87</v>
      </c>
      <c r="R780" s="275">
        <f>(SUMIFS('Dec 31 2018 OFFS'!$AG:$AG,'Dec 31 2018 OFFS'!$AI:$AI,'T1 2019 Pipeline Data Lagasco'!$A780,'Dec 31 2018 OFFS'!$U:$U,'T1 2019 Pipeline Data Lagasco'!$E780,'Dec 31 2018 OFFS'!$AK:$AK,'T1 2019 Pipeline Data Lagasco'!$Q780,'Dec 31 2018 OFFS'!$W:$W,'T1 2019 Pipeline Data Lagasco'!$G780))/(MAX(COUNTIFS('Dec 31 2018 OFFS'!$AI:$AI,'T1 2019 Pipeline Data Lagasco'!$A780,'Dec 31 2018 OFFS'!$U:$U,'T1 2019 Pipeline Data Lagasco'!$E780,'Dec 31 2018 OFFS'!$AK:$AK,'T1 2019 Pipeline Data Lagasco'!$Q780,'Dec 31 2018 OFFS'!$W:$W,'T1 2019 Pipeline Data Lagasco'!$G780),1))</f>
        <v>0</v>
      </c>
      <c r="S780" s="275">
        <f t="shared" si="27"/>
        <v>0</v>
      </c>
      <c r="T780" s="217"/>
    </row>
    <row r="781" spans="1:20" ht="14.1" customHeight="1">
      <c r="A781" s="224" t="s">
        <v>1502</v>
      </c>
      <c r="B781" s="218" t="s">
        <v>1503</v>
      </c>
      <c r="C781" s="223">
        <v>1</v>
      </c>
      <c r="D781" s="218" t="s">
        <v>1488</v>
      </c>
      <c r="E781" s="240">
        <v>4</v>
      </c>
      <c r="F781" s="230">
        <v>5725.87</v>
      </c>
      <c r="G781" s="223">
        <v>1992</v>
      </c>
      <c r="H781" s="223">
        <v>1</v>
      </c>
      <c r="I781" s="223">
        <v>0</v>
      </c>
      <c r="J781" s="223"/>
      <c r="K781" s="228">
        <v>151449.26149999999</v>
      </c>
      <c r="L781" s="241">
        <v>71</v>
      </c>
      <c r="M781" s="229">
        <v>43920.285839999997</v>
      </c>
      <c r="N781" s="230">
        <v>26.45</v>
      </c>
      <c r="O781" s="231">
        <v>0</v>
      </c>
      <c r="P781" s="314"/>
      <c r="Q781" s="276">
        <f t="shared" si="26"/>
        <v>5725.87</v>
      </c>
      <c r="R781" s="275">
        <f>(SUMIFS('Dec 31 2018 OFFS'!$AG:$AG,'Dec 31 2018 OFFS'!$AI:$AI,'T1 2019 Pipeline Data Lagasco'!$A781,'Dec 31 2018 OFFS'!$U:$U,'T1 2019 Pipeline Data Lagasco'!$E781,'Dec 31 2018 OFFS'!$AK:$AK,'T1 2019 Pipeline Data Lagasco'!$Q781,'Dec 31 2018 OFFS'!$W:$W,'T1 2019 Pipeline Data Lagasco'!$G781))/(MAX(COUNTIFS('Dec 31 2018 OFFS'!$AI:$AI,'T1 2019 Pipeline Data Lagasco'!$A781,'Dec 31 2018 OFFS'!$U:$U,'T1 2019 Pipeline Data Lagasco'!$E781,'Dec 31 2018 OFFS'!$AK:$AK,'T1 2019 Pipeline Data Lagasco'!$Q781,'Dec 31 2018 OFFS'!$W:$W,'T1 2019 Pipeline Data Lagasco'!$G781),1))</f>
        <v>0</v>
      </c>
      <c r="S781" s="275">
        <f t="shared" si="27"/>
        <v>0</v>
      </c>
      <c r="T781" s="217"/>
    </row>
    <row r="782" spans="1:20" ht="14.1" customHeight="1">
      <c r="A782" s="224" t="s">
        <v>1502</v>
      </c>
      <c r="B782" s="218" t="s">
        <v>1503</v>
      </c>
      <c r="C782" s="223">
        <v>1</v>
      </c>
      <c r="D782" s="218" t="s">
        <v>1488</v>
      </c>
      <c r="E782" s="240">
        <v>4</v>
      </c>
      <c r="F782" s="226">
        <v>5406.1678220000003</v>
      </c>
      <c r="G782" s="223">
        <v>1970</v>
      </c>
      <c r="H782" s="223">
        <v>1</v>
      </c>
      <c r="I782" s="223">
        <v>0</v>
      </c>
      <c r="J782" s="223"/>
      <c r="K782" s="228">
        <v>142993.13889999999</v>
      </c>
      <c r="L782" s="241">
        <v>80</v>
      </c>
      <c r="M782" s="229">
        <v>28598.627779999999</v>
      </c>
      <c r="N782" s="230">
        <v>26.45</v>
      </c>
      <c r="O782" s="231">
        <v>0</v>
      </c>
      <c r="P782" s="314"/>
      <c r="Q782" s="276">
        <f t="shared" si="26"/>
        <v>5406.17</v>
      </c>
      <c r="R782" s="275">
        <f>(SUMIFS('Dec 31 2018 OFFS'!$AG:$AG,'Dec 31 2018 OFFS'!$AI:$AI,'T1 2019 Pipeline Data Lagasco'!$A782,'Dec 31 2018 OFFS'!$U:$U,'T1 2019 Pipeline Data Lagasco'!$E782,'Dec 31 2018 OFFS'!$AK:$AK,'T1 2019 Pipeline Data Lagasco'!$Q782,'Dec 31 2018 OFFS'!$W:$W,'T1 2019 Pipeline Data Lagasco'!$G782))/(MAX(COUNTIFS('Dec 31 2018 OFFS'!$AI:$AI,'T1 2019 Pipeline Data Lagasco'!$A782,'Dec 31 2018 OFFS'!$U:$U,'T1 2019 Pipeline Data Lagasco'!$E782,'Dec 31 2018 OFFS'!$AK:$AK,'T1 2019 Pipeline Data Lagasco'!$Q782,'Dec 31 2018 OFFS'!$W:$W,'T1 2019 Pipeline Data Lagasco'!$G782),1))</f>
        <v>0</v>
      </c>
      <c r="S782" s="275">
        <f t="shared" si="27"/>
        <v>0</v>
      </c>
      <c r="T782" s="217"/>
    </row>
    <row r="783" spans="1:20" ht="14.1" customHeight="1">
      <c r="A783" s="224" t="s">
        <v>1502</v>
      </c>
      <c r="B783" s="218" t="s">
        <v>1503</v>
      </c>
      <c r="C783" s="223">
        <v>1</v>
      </c>
      <c r="D783" s="218" t="s">
        <v>1488</v>
      </c>
      <c r="E783" s="240">
        <v>4</v>
      </c>
      <c r="F783" s="226">
        <v>5783.3659740000003</v>
      </c>
      <c r="G783" s="223">
        <v>1970</v>
      </c>
      <c r="H783" s="223">
        <v>1</v>
      </c>
      <c r="I783" s="223">
        <v>0</v>
      </c>
      <c r="J783" s="223"/>
      <c r="K783" s="238">
        <v>152970.03</v>
      </c>
      <c r="L783" s="241">
        <v>80</v>
      </c>
      <c r="M783" s="239">
        <v>30594.006000000001</v>
      </c>
      <c r="N783" s="230">
        <v>26.45</v>
      </c>
      <c r="O783" s="231">
        <v>0</v>
      </c>
      <c r="P783" s="314"/>
      <c r="Q783" s="276">
        <f t="shared" si="26"/>
        <v>5783.37</v>
      </c>
      <c r="R783" s="275">
        <f>(SUMIFS('Dec 31 2018 OFFS'!$AG:$AG,'Dec 31 2018 OFFS'!$AI:$AI,'T1 2019 Pipeline Data Lagasco'!$A783,'Dec 31 2018 OFFS'!$U:$U,'T1 2019 Pipeline Data Lagasco'!$E783,'Dec 31 2018 OFFS'!$AK:$AK,'T1 2019 Pipeline Data Lagasco'!$Q783,'Dec 31 2018 OFFS'!$W:$W,'T1 2019 Pipeline Data Lagasco'!$G783))/(MAX(COUNTIFS('Dec 31 2018 OFFS'!$AI:$AI,'T1 2019 Pipeline Data Lagasco'!$A783,'Dec 31 2018 OFFS'!$U:$U,'T1 2019 Pipeline Data Lagasco'!$E783,'Dec 31 2018 OFFS'!$AK:$AK,'T1 2019 Pipeline Data Lagasco'!$Q783,'Dec 31 2018 OFFS'!$W:$W,'T1 2019 Pipeline Data Lagasco'!$G783),1))</f>
        <v>0</v>
      </c>
      <c r="S783" s="275">
        <f t="shared" si="27"/>
        <v>0</v>
      </c>
      <c r="T783" s="217"/>
    </row>
    <row r="784" spans="1:20" ht="14.1" customHeight="1">
      <c r="A784" s="224" t="s">
        <v>1502</v>
      </c>
      <c r="B784" s="218" t="s">
        <v>1503</v>
      </c>
      <c r="C784" s="223">
        <v>1</v>
      </c>
      <c r="D784" s="218" t="s">
        <v>1488</v>
      </c>
      <c r="E784" s="240">
        <v>4</v>
      </c>
      <c r="F784" s="232">
        <v>719.2913178</v>
      </c>
      <c r="G784" s="223">
        <v>1999</v>
      </c>
      <c r="H784" s="223">
        <v>1</v>
      </c>
      <c r="I784" s="223">
        <v>1</v>
      </c>
      <c r="J784" s="223"/>
      <c r="K784" s="229">
        <v>19025.255349999999</v>
      </c>
      <c r="L784" s="241">
        <v>62</v>
      </c>
      <c r="M784" s="233">
        <v>7229.5970349999998</v>
      </c>
      <c r="N784" s="230">
        <v>26.45</v>
      </c>
      <c r="O784" s="231">
        <v>7229</v>
      </c>
      <c r="P784" s="314"/>
      <c r="Q784" s="276">
        <f t="shared" si="26"/>
        <v>719.29</v>
      </c>
      <c r="R784" s="275">
        <f>(SUMIFS('Dec 31 2018 OFFS'!$AG:$AG,'Dec 31 2018 OFFS'!$AI:$AI,'T1 2019 Pipeline Data Lagasco'!$A784,'Dec 31 2018 OFFS'!$U:$U,'T1 2019 Pipeline Data Lagasco'!$E784,'Dec 31 2018 OFFS'!$AK:$AK,'T1 2019 Pipeline Data Lagasco'!$Q784,'Dec 31 2018 OFFS'!$W:$W,'T1 2019 Pipeline Data Lagasco'!$G784))/(MAX(COUNTIFS('Dec 31 2018 OFFS'!$AI:$AI,'T1 2019 Pipeline Data Lagasco'!$A784,'Dec 31 2018 OFFS'!$U:$U,'T1 2019 Pipeline Data Lagasco'!$E784,'Dec 31 2018 OFFS'!$AK:$AK,'T1 2019 Pipeline Data Lagasco'!$Q784,'Dec 31 2018 OFFS'!$W:$W,'T1 2019 Pipeline Data Lagasco'!$G784),1))</f>
        <v>7229</v>
      </c>
      <c r="S784" s="275">
        <f t="shared" si="27"/>
        <v>0</v>
      </c>
      <c r="T784" s="217"/>
    </row>
    <row r="785" spans="1:20" ht="14.1" customHeight="1">
      <c r="A785" s="224" t="s">
        <v>1502</v>
      </c>
      <c r="B785" s="218" t="s">
        <v>1503</v>
      </c>
      <c r="C785" s="223">
        <v>1</v>
      </c>
      <c r="D785" s="218" t="s">
        <v>1488</v>
      </c>
      <c r="E785" s="240">
        <v>4</v>
      </c>
      <c r="F785" s="232">
        <v>719.2913178</v>
      </c>
      <c r="G785" s="223">
        <v>1970</v>
      </c>
      <c r="H785" s="223">
        <v>1</v>
      </c>
      <c r="I785" s="223">
        <v>0</v>
      </c>
      <c r="J785" s="223"/>
      <c r="K785" s="229">
        <v>19025.255349999999</v>
      </c>
      <c r="L785" s="241">
        <v>80</v>
      </c>
      <c r="M785" s="233">
        <v>3805.0510709999999</v>
      </c>
      <c r="N785" s="230">
        <v>26.45</v>
      </c>
      <c r="O785" s="231">
        <v>0</v>
      </c>
      <c r="P785" s="314"/>
      <c r="Q785" s="276">
        <f t="shared" si="26"/>
        <v>719.29</v>
      </c>
      <c r="R785" s="275">
        <f>(SUMIFS('Dec 31 2018 OFFS'!$AG:$AG,'Dec 31 2018 OFFS'!$AI:$AI,'T1 2019 Pipeline Data Lagasco'!$A785,'Dec 31 2018 OFFS'!$U:$U,'T1 2019 Pipeline Data Lagasco'!$E785,'Dec 31 2018 OFFS'!$AK:$AK,'T1 2019 Pipeline Data Lagasco'!$Q785,'Dec 31 2018 OFFS'!$W:$W,'T1 2019 Pipeline Data Lagasco'!$G785))/(MAX(COUNTIFS('Dec 31 2018 OFFS'!$AI:$AI,'T1 2019 Pipeline Data Lagasco'!$A785,'Dec 31 2018 OFFS'!$U:$U,'T1 2019 Pipeline Data Lagasco'!$E785,'Dec 31 2018 OFFS'!$AK:$AK,'T1 2019 Pipeline Data Lagasco'!$Q785,'Dec 31 2018 OFFS'!$W:$W,'T1 2019 Pipeline Data Lagasco'!$G785),1))</f>
        <v>0</v>
      </c>
      <c r="S785" s="275">
        <f t="shared" si="27"/>
        <v>0</v>
      </c>
      <c r="T785" s="217"/>
    </row>
    <row r="786" spans="1:20" ht="14.1" customHeight="1">
      <c r="A786" s="224" t="s">
        <v>1502</v>
      </c>
      <c r="B786" s="218" t="s">
        <v>1503</v>
      </c>
      <c r="C786" s="223">
        <v>1</v>
      </c>
      <c r="D786" s="218" t="s">
        <v>1488</v>
      </c>
      <c r="E786" s="240">
        <v>4</v>
      </c>
      <c r="F786" s="226">
        <v>3447.7689289999998</v>
      </c>
      <c r="G786" s="223">
        <v>1978</v>
      </c>
      <c r="H786" s="223">
        <v>1</v>
      </c>
      <c r="I786" s="246">
        <v>0</v>
      </c>
      <c r="J786" s="223"/>
      <c r="K786" s="229">
        <v>91193.488169999997</v>
      </c>
      <c r="L786" s="241">
        <v>80</v>
      </c>
      <c r="M786" s="229">
        <v>18238.697629999999</v>
      </c>
      <c r="N786" s="230">
        <v>26.45</v>
      </c>
      <c r="O786" s="248">
        <v>0</v>
      </c>
      <c r="P786" s="317" t="s">
        <v>1560</v>
      </c>
      <c r="Q786" s="276">
        <f t="shared" si="26"/>
        <v>3447.77</v>
      </c>
      <c r="R786" s="275">
        <f>(SUMIFS('Dec 31 2018 OFFS'!$AG:$AG,'Dec 31 2018 OFFS'!$AI:$AI,'T1 2019 Pipeline Data Lagasco'!$A786,'Dec 31 2018 OFFS'!$U:$U,'T1 2019 Pipeline Data Lagasco'!$E786,'Dec 31 2018 OFFS'!$AK:$AK,'T1 2019 Pipeline Data Lagasco'!$Q786,'Dec 31 2018 OFFS'!$W:$W,'T1 2019 Pipeline Data Lagasco'!$G786))/(MAX(COUNTIFS('Dec 31 2018 OFFS'!$AI:$AI,'T1 2019 Pipeline Data Lagasco'!$A786,'Dec 31 2018 OFFS'!$U:$U,'T1 2019 Pipeline Data Lagasco'!$E786,'Dec 31 2018 OFFS'!$AK:$AK,'T1 2019 Pipeline Data Lagasco'!$Q786,'Dec 31 2018 OFFS'!$W:$W,'T1 2019 Pipeline Data Lagasco'!$G786),1))</f>
        <v>0</v>
      </c>
      <c r="S786" s="275">
        <f t="shared" si="27"/>
        <v>0</v>
      </c>
      <c r="T786" s="278" t="e">
        <f t="shared" si="28" ref="T786:T788">R786/O786</f>
        <v>#DIV/0!</v>
      </c>
    </row>
    <row r="787" spans="1:20" ht="14.1" customHeight="1">
      <c r="A787" s="224" t="s">
        <v>1502</v>
      </c>
      <c r="B787" s="218" t="s">
        <v>1503</v>
      </c>
      <c r="C787" s="223">
        <v>1</v>
      </c>
      <c r="D787" s="218" t="s">
        <v>1488</v>
      </c>
      <c r="E787" s="240">
        <v>4</v>
      </c>
      <c r="F787" s="226">
        <v>8434.8422750000009</v>
      </c>
      <c r="G787" s="223">
        <v>1982</v>
      </c>
      <c r="H787" s="223">
        <v>1</v>
      </c>
      <c r="I787" s="246">
        <v>0</v>
      </c>
      <c r="J787" s="223"/>
      <c r="K787" s="228">
        <v>223101.57819999999</v>
      </c>
      <c r="L787" s="241">
        <v>80</v>
      </c>
      <c r="M787" s="229">
        <v>44620.315640000001</v>
      </c>
      <c r="N787" s="230">
        <v>26.45</v>
      </c>
      <c r="O787" s="248">
        <v>0</v>
      </c>
      <c r="P787" s="317" t="s">
        <v>1560</v>
      </c>
      <c r="Q787" s="276">
        <f t="shared" si="26"/>
        <v>8434.84</v>
      </c>
      <c r="R787" s="275">
        <f>(SUMIFS('Dec 31 2018 OFFS'!$AG:$AG,'Dec 31 2018 OFFS'!$AI:$AI,'T1 2019 Pipeline Data Lagasco'!$A787,'Dec 31 2018 OFFS'!$U:$U,'T1 2019 Pipeline Data Lagasco'!$E787,'Dec 31 2018 OFFS'!$AK:$AK,'T1 2019 Pipeline Data Lagasco'!$Q787,'Dec 31 2018 OFFS'!$W:$W,'T1 2019 Pipeline Data Lagasco'!$G787))/(MAX(COUNTIFS('Dec 31 2018 OFFS'!$AI:$AI,'T1 2019 Pipeline Data Lagasco'!$A787,'Dec 31 2018 OFFS'!$U:$U,'T1 2019 Pipeline Data Lagasco'!$E787,'Dec 31 2018 OFFS'!$AK:$AK,'T1 2019 Pipeline Data Lagasco'!$Q787,'Dec 31 2018 OFFS'!$W:$W,'T1 2019 Pipeline Data Lagasco'!$G787),1))</f>
        <v>0</v>
      </c>
      <c r="S787" s="275">
        <f t="shared" si="27"/>
        <v>0</v>
      </c>
      <c r="T787" s="278" t="e">
        <f t="shared" si="28"/>
        <v>#DIV/0!</v>
      </c>
    </row>
    <row r="788" spans="1:20" ht="14.1" customHeight="1">
      <c r="A788" s="224" t="s">
        <v>1502</v>
      </c>
      <c r="B788" s="218" t="s">
        <v>1503</v>
      </c>
      <c r="C788" s="223">
        <v>1</v>
      </c>
      <c r="D788" s="218" t="s">
        <v>1488</v>
      </c>
      <c r="E788" s="240">
        <v>4</v>
      </c>
      <c r="F788" s="226">
        <v>6016.0759410000001</v>
      </c>
      <c r="G788" s="223">
        <v>1981</v>
      </c>
      <c r="H788" s="223">
        <v>1</v>
      </c>
      <c r="I788" s="246">
        <v>0</v>
      </c>
      <c r="J788" s="223"/>
      <c r="K788" s="228">
        <v>159125.20860000001</v>
      </c>
      <c r="L788" s="241">
        <v>80</v>
      </c>
      <c r="M788" s="229">
        <v>31825.041730000001</v>
      </c>
      <c r="N788" s="230">
        <v>26.45</v>
      </c>
      <c r="O788" s="248">
        <v>0</v>
      </c>
      <c r="P788" s="317" t="s">
        <v>1560</v>
      </c>
      <c r="Q788" s="276">
        <f t="shared" si="29" ref="Q788:Q851">ROUND(F788,2)</f>
        <v>6016.08</v>
      </c>
      <c r="R788" s="275">
        <f>(SUMIFS('Dec 31 2018 OFFS'!$AG:$AG,'Dec 31 2018 OFFS'!$AI:$AI,'T1 2019 Pipeline Data Lagasco'!$A788,'Dec 31 2018 OFFS'!$U:$U,'T1 2019 Pipeline Data Lagasco'!$E788,'Dec 31 2018 OFFS'!$AK:$AK,'T1 2019 Pipeline Data Lagasco'!$Q788,'Dec 31 2018 OFFS'!$W:$W,'T1 2019 Pipeline Data Lagasco'!$G788))/(MAX(COUNTIFS('Dec 31 2018 OFFS'!$AI:$AI,'T1 2019 Pipeline Data Lagasco'!$A788,'Dec 31 2018 OFFS'!$U:$U,'T1 2019 Pipeline Data Lagasco'!$E788,'Dec 31 2018 OFFS'!$AK:$AK,'T1 2019 Pipeline Data Lagasco'!$Q788,'Dec 31 2018 OFFS'!$W:$W,'T1 2019 Pipeline Data Lagasco'!$G788),1))</f>
        <v>0</v>
      </c>
      <c r="S788" s="275">
        <f t="shared" si="30" ref="S788:S851">O788-R788</f>
        <v>0</v>
      </c>
      <c r="T788" s="278" t="e">
        <f t="shared" si="28"/>
        <v>#DIV/0!</v>
      </c>
    </row>
    <row r="789" spans="1:20" ht="14.1" customHeight="1">
      <c r="A789" s="224" t="s">
        <v>1502</v>
      </c>
      <c r="B789" s="218" t="s">
        <v>1503</v>
      </c>
      <c r="C789" s="223">
        <v>1</v>
      </c>
      <c r="D789" s="218" t="s">
        <v>1488</v>
      </c>
      <c r="E789" s="240">
        <v>4</v>
      </c>
      <c r="F789" s="226">
        <v>4845.8003849999996</v>
      </c>
      <c r="G789" s="223">
        <v>1983</v>
      </c>
      <c r="H789" s="223">
        <v>1</v>
      </c>
      <c r="I789" s="223">
        <v>1</v>
      </c>
      <c r="J789" s="223"/>
      <c r="K789" s="228">
        <v>128171.42019999999</v>
      </c>
      <c r="L789" s="241">
        <v>80</v>
      </c>
      <c r="M789" s="229">
        <v>25634.284029999999</v>
      </c>
      <c r="N789" s="230">
        <v>26.45</v>
      </c>
      <c r="O789" s="231">
        <v>25634</v>
      </c>
      <c r="P789" s="314"/>
      <c r="Q789" s="276">
        <f t="shared" si="29"/>
        <v>4845.80</v>
      </c>
      <c r="R789" s="275">
        <f>(SUMIFS('Dec 31 2018 OFFS'!$AG:$AG,'Dec 31 2018 OFFS'!$AI:$AI,'T1 2019 Pipeline Data Lagasco'!$A789,'Dec 31 2018 OFFS'!$U:$U,'T1 2019 Pipeline Data Lagasco'!$E789,'Dec 31 2018 OFFS'!$AK:$AK,'T1 2019 Pipeline Data Lagasco'!$Q789,'Dec 31 2018 OFFS'!$W:$W,'T1 2019 Pipeline Data Lagasco'!$G789))/(MAX(COUNTIFS('Dec 31 2018 OFFS'!$AI:$AI,'T1 2019 Pipeline Data Lagasco'!$A789,'Dec 31 2018 OFFS'!$U:$U,'T1 2019 Pipeline Data Lagasco'!$E789,'Dec 31 2018 OFFS'!$AK:$AK,'T1 2019 Pipeline Data Lagasco'!$Q789,'Dec 31 2018 OFFS'!$W:$W,'T1 2019 Pipeline Data Lagasco'!$G789),1))</f>
        <v>25634</v>
      </c>
      <c r="S789" s="275">
        <f t="shared" si="30"/>
        <v>0</v>
      </c>
      <c r="T789" s="217"/>
    </row>
    <row r="790" spans="1:20" ht="14.1" customHeight="1">
      <c r="A790" s="224" t="s">
        <v>1502</v>
      </c>
      <c r="B790" s="218" t="s">
        <v>1503</v>
      </c>
      <c r="C790" s="223">
        <v>1</v>
      </c>
      <c r="D790" s="218" t="s">
        <v>1488</v>
      </c>
      <c r="E790" s="240">
        <v>4</v>
      </c>
      <c r="F790" s="226">
        <v>7301.180891</v>
      </c>
      <c r="G790" s="223">
        <v>1983</v>
      </c>
      <c r="H790" s="223">
        <v>1</v>
      </c>
      <c r="I790" s="223">
        <v>1</v>
      </c>
      <c r="J790" s="223"/>
      <c r="K790" s="228">
        <v>193116.2346</v>
      </c>
      <c r="L790" s="241">
        <v>80</v>
      </c>
      <c r="M790" s="229">
        <v>38623.246910000002</v>
      </c>
      <c r="N790" s="230">
        <v>26.45</v>
      </c>
      <c r="O790" s="231">
        <v>38623</v>
      </c>
      <c r="P790" s="314"/>
      <c r="Q790" s="276">
        <f t="shared" si="29"/>
        <v>7301.18</v>
      </c>
      <c r="R790" s="275">
        <f>(SUMIFS('Dec 31 2018 OFFS'!$AG:$AG,'Dec 31 2018 OFFS'!$AI:$AI,'T1 2019 Pipeline Data Lagasco'!$A790,'Dec 31 2018 OFFS'!$U:$U,'T1 2019 Pipeline Data Lagasco'!$E790,'Dec 31 2018 OFFS'!$AK:$AK,'T1 2019 Pipeline Data Lagasco'!$Q790,'Dec 31 2018 OFFS'!$W:$W,'T1 2019 Pipeline Data Lagasco'!$G790))/(MAX(COUNTIFS('Dec 31 2018 OFFS'!$AI:$AI,'T1 2019 Pipeline Data Lagasco'!$A790,'Dec 31 2018 OFFS'!$U:$U,'T1 2019 Pipeline Data Lagasco'!$E790,'Dec 31 2018 OFFS'!$AK:$AK,'T1 2019 Pipeline Data Lagasco'!$Q790,'Dec 31 2018 OFFS'!$W:$W,'T1 2019 Pipeline Data Lagasco'!$G790),1))</f>
        <v>38623</v>
      </c>
      <c r="S790" s="275">
        <f t="shared" si="30"/>
        <v>0</v>
      </c>
      <c r="T790" s="217"/>
    </row>
    <row r="791" spans="1:20" ht="14.1" customHeight="1">
      <c r="A791" s="224" t="s">
        <v>1502</v>
      </c>
      <c r="B791" s="218" t="s">
        <v>1503</v>
      </c>
      <c r="C791" s="223">
        <v>1</v>
      </c>
      <c r="D791" s="218" t="s">
        <v>1488</v>
      </c>
      <c r="E791" s="240">
        <v>4</v>
      </c>
      <c r="F791" s="226">
        <v>3846.5878149999999</v>
      </c>
      <c r="G791" s="223">
        <v>1983</v>
      </c>
      <c r="H791" s="223">
        <v>1</v>
      </c>
      <c r="I791" s="223">
        <v>1</v>
      </c>
      <c r="J791" s="223"/>
      <c r="K791" s="228">
        <v>101742.24770000001</v>
      </c>
      <c r="L791" s="241">
        <v>80</v>
      </c>
      <c r="M791" s="229">
        <v>20348.449540000001</v>
      </c>
      <c r="N791" s="230">
        <v>26.45</v>
      </c>
      <c r="O791" s="231">
        <v>20348</v>
      </c>
      <c r="P791" s="314"/>
      <c r="Q791" s="276">
        <f t="shared" si="29"/>
        <v>3846.59</v>
      </c>
      <c r="R791" s="275">
        <f>(SUMIFS('Dec 31 2018 OFFS'!$AG:$AG,'Dec 31 2018 OFFS'!$AI:$AI,'T1 2019 Pipeline Data Lagasco'!$A791,'Dec 31 2018 OFFS'!$U:$U,'T1 2019 Pipeline Data Lagasco'!$E791,'Dec 31 2018 OFFS'!$AK:$AK,'T1 2019 Pipeline Data Lagasco'!$Q791,'Dec 31 2018 OFFS'!$W:$W,'T1 2019 Pipeline Data Lagasco'!$G791))/(MAX(COUNTIFS('Dec 31 2018 OFFS'!$AI:$AI,'T1 2019 Pipeline Data Lagasco'!$A791,'Dec 31 2018 OFFS'!$U:$U,'T1 2019 Pipeline Data Lagasco'!$E791,'Dec 31 2018 OFFS'!$AK:$AK,'T1 2019 Pipeline Data Lagasco'!$Q791,'Dec 31 2018 OFFS'!$W:$W,'T1 2019 Pipeline Data Lagasco'!$G791),1))</f>
        <v>20348</v>
      </c>
      <c r="S791" s="275">
        <f t="shared" si="30"/>
        <v>0</v>
      </c>
      <c r="T791" s="217"/>
    </row>
    <row r="792" spans="1:20" ht="14.1" customHeight="1">
      <c r="A792" s="224" t="s">
        <v>1502</v>
      </c>
      <c r="B792" s="218" t="s">
        <v>1503</v>
      </c>
      <c r="C792" s="223">
        <v>1</v>
      </c>
      <c r="D792" s="218" t="s">
        <v>1488</v>
      </c>
      <c r="E792" s="240">
        <v>4</v>
      </c>
      <c r="F792" s="226">
        <v>5628.1494430000002</v>
      </c>
      <c r="G792" s="223">
        <v>1983</v>
      </c>
      <c r="H792" s="223">
        <v>1</v>
      </c>
      <c r="I792" s="223">
        <v>1</v>
      </c>
      <c r="J792" s="223"/>
      <c r="K792" s="228">
        <v>148864.5528</v>
      </c>
      <c r="L792" s="241">
        <v>80</v>
      </c>
      <c r="M792" s="229">
        <v>29772.91056</v>
      </c>
      <c r="N792" s="230">
        <v>26.45</v>
      </c>
      <c r="O792" s="231">
        <v>29772</v>
      </c>
      <c r="P792" s="314"/>
      <c r="Q792" s="276">
        <f t="shared" si="29"/>
        <v>5628.15</v>
      </c>
      <c r="R792" s="275">
        <f>(SUMIFS('Dec 31 2018 OFFS'!$AG:$AG,'Dec 31 2018 OFFS'!$AI:$AI,'T1 2019 Pipeline Data Lagasco'!$A792,'Dec 31 2018 OFFS'!$U:$U,'T1 2019 Pipeline Data Lagasco'!$E792,'Dec 31 2018 OFFS'!$AK:$AK,'T1 2019 Pipeline Data Lagasco'!$Q792,'Dec 31 2018 OFFS'!$W:$W,'T1 2019 Pipeline Data Lagasco'!$G792))/(MAX(COUNTIFS('Dec 31 2018 OFFS'!$AI:$AI,'T1 2019 Pipeline Data Lagasco'!$A792,'Dec 31 2018 OFFS'!$U:$U,'T1 2019 Pipeline Data Lagasco'!$E792,'Dec 31 2018 OFFS'!$AK:$AK,'T1 2019 Pipeline Data Lagasco'!$Q792,'Dec 31 2018 OFFS'!$W:$W,'T1 2019 Pipeline Data Lagasco'!$G792),1))</f>
        <v>29772</v>
      </c>
      <c r="S792" s="275">
        <f t="shared" si="30"/>
        <v>0</v>
      </c>
      <c r="T792" s="217"/>
    </row>
    <row r="793" spans="1:20" ht="14.1" customHeight="1">
      <c r="A793" s="224" t="s">
        <v>1502</v>
      </c>
      <c r="B793" s="218" t="s">
        <v>1503</v>
      </c>
      <c r="C793" s="223">
        <v>1</v>
      </c>
      <c r="D793" s="218" t="s">
        <v>1488</v>
      </c>
      <c r="E793" s="240">
        <v>4</v>
      </c>
      <c r="F793" s="226">
        <v>4906.8568130000003</v>
      </c>
      <c r="G793" s="223">
        <v>1983</v>
      </c>
      <c r="H793" s="223">
        <v>1</v>
      </c>
      <c r="I793" s="225">
        <v>0</v>
      </c>
      <c r="J793" s="223"/>
      <c r="K793" s="228">
        <v>129786.3627</v>
      </c>
      <c r="L793" s="241">
        <v>80</v>
      </c>
      <c r="M793" s="229">
        <v>25957.272540000002</v>
      </c>
      <c r="N793" s="230">
        <v>26.45</v>
      </c>
      <c r="O793" s="287">
        <v>0</v>
      </c>
      <c r="P793" s="318" t="s">
        <v>1558</v>
      </c>
      <c r="Q793" s="276">
        <f t="shared" si="29"/>
        <v>4906.8599999999997</v>
      </c>
      <c r="R793" s="275">
        <f>(SUMIFS('Dec 31 2018 OFFS'!$AG:$AG,'Dec 31 2018 OFFS'!$AI:$AI,'T1 2019 Pipeline Data Lagasco'!$A793,'Dec 31 2018 OFFS'!$U:$U,'T1 2019 Pipeline Data Lagasco'!$E793,'Dec 31 2018 OFFS'!$AK:$AK,'T1 2019 Pipeline Data Lagasco'!$Q793,'Dec 31 2018 OFFS'!$W:$W,'T1 2019 Pipeline Data Lagasco'!$G793))/(MAX(COUNTIFS('Dec 31 2018 OFFS'!$AI:$AI,'T1 2019 Pipeline Data Lagasco'!$A793,'Dec 31 2018 OFFS'!$U:$U,'T1 2019 Pipeline Data Lagasco'!$E793,'Dec 31 2018 OFFS'!$AK:$AK,'T1 2019 Pipeline Data Lagasco'!$Q793,'Dec 31 2018 OFFS'!$W:$W,'T1 2019 Pipeline Data Lagasco'!$G793),1))</f>
        <v>0</v>
      </c>
      <c r="S793" s="275">
        <f t="shared" si="30"/>
        <v>0</v>
      </c>
      <c r="T793" s="278" t="e">
        <f t="shared" si="31" ref="T793:T798">R793/O793</f>
        <v>#DIV/0!</v>
      </c>
    </row>
    <row r="794" spans="1:20" ht="14.1" customHeight="1">
      <c r="A794" s="224" t="s">
        <v>1502</v>
      </c>
      <c r="B794" s="218" t="s">
        <v>1503</v>
      </c>
      <c r="C794" s="223">
        <v>1</v>
      </c>
      <c r="D794" s="218" t="s">
        <v>1488</v>
      </c>
      <c r="E794" s="240">
        <v>4</v>
      </c>
      <c r="F794" s="223">
        <v>8976</v>
      </c>
      <c r="G794" s="223">
        <v>2005</v>
      </c>
      <c r="H794" s="223">
        <v>1</v>
      </c>
      <c r="I794" s="223">
        <v>1</v>
      </c>
      <c r="J794" s="223"/>
      <c r="K794" s="237">
        <v>237415.20</v>
      </c>
      <c r="L794" s="241">
        <v>54</v>
      </c>
      <c r="M794" s="239">
        <v>109210.992</v>
      </c>
      <c r="N794" s="230">
        <v>26.45</v>
      </c>
      <c r="O794" s="231">
        <v>109210</v>
      </c>
      <c r="P794" s="314"/>
      <c r="Q794" s="279">
        <f t="shared" si="29"/>
        <v>8976</v>
      </c>
      <c r="R794" s="275">
        <f>(SUMIFS('Dec 31 2018 OFFS'!$AG:$AG,'Dec 31 2018 OFFS'!$AI:$AI,'T1 2019 Pipeline Data Lagasco'!$A794,'Dec 31 2018 OFFS'!$U:$U,'T1 2019 Pipeline Data Lagasco'!$E794,'Dec 31 2018 OFFS'!$AK:$AK,'T1 2019 Pipeline Data Lagasco'!$Q794,'Dec 31 2018 OFFS'!$W:$W,'T1 2019 Pipeline Data Lagasco'!$G794))/(MAX(COUNTIFS('Dec 31 2018 OFFS'!$AI:$AI,'T1 2019 Pipeline Data Lagasco'!$A794,'Dec 31 2018 OFFS'!$U:$U,'T1 2019 Pipeline Data Lagasco'!$E794,'Dec 31 2018 OFFS'!$AK:$AK,'T1 2019 Pipeline Data Lagasco'!$Q794,'Dec 31 2018 OFFS'!$W:$W,'T1 2019 Pipeline Data Lagasco'!$G794),1))</f>
        <v>109210</v>
      </c>
      <c r="S794" s="275">
        <f t="shared" si="30"/>
        <v>0</v>
      </c>
      <c r="T794" s="278">
        <f t="shared" si="31"/>
        <v>1</v>
      </c>
    </row>
    <row r="795" spans="1:20" ht="14.1" customHeight="1">
      <c r="A795" s="224" t="s">
        <v>1502</v>
      </c>
      <c r="B795" s="218" t="s">
        <v>1503</v>
      </c>
      <c r="C795" s="223">
        <v>1</v>
      </c>
      <c r="D795" s="218" t="s">
        <v>1488</v>
      </c>
      <c r="E795" s="240">
        <v>4</v>
      </c>
      <c r="F795" s="223">
        <v>8976</v>
      </c>
      <c r="G795" s="223">
        <v>2005</v>
      </c>
      <c r="H795" s="223">
        <v>1</v>
      </c>
      <c r="I795" s="223">
        <v>1</v>
      </c>
      <c r="J795" s="223"/>
      <c r="K795" s="237">
        <v>237415.20</v>
      </c>
      <c r="L795" s="241">
        <v>54</v>
      </c>
      <c r="M795" s="239">
        <v>109210.992</v>
      </c>
      <c r="N795" s="230">
        <v>26.45</v>
      </c>
      <c r="O795" s="231">
        <v>109210</v>
      </c>
      <c r="P795" s="314"/>
      <c r="Q795" s="279">
        <f t="shared" si="29"/>
        <v>8976</v>
      </c>
      <c r="R795" s="275">
        <f>(SUMIFS('Dec 31 2018 OFFS'!$AG:$AG,'Dec 31 2018 OFFS'!$AI:$AI,'T1 2019 Pipeline Data Lagasco'!$A795,'Dec 31 2018 OFFS'!$U:$U,'T1 2019 Pipeline Data Lagasco'!$E795,'Dec 31 2018 OFFS'!$AK:$AK,'T1 2019 Pipeline Data Lagasco'!$Q795,'Dec 31 2018 OFFS'!$W:$W,'T1 2019 Pipeline Data Lagasco'!$G795))/(MAX(COUNTIFS('Dec 31 2018 OFFS'!$AI:$AI,'T1 2019 Pipeline Data Lagasco'!$A795,'Dec 31 2018 OFFS'!$U:$U,'T1 2019 Pipeline Data Lagasco'!$E795,'Dec 31 2018 OFFS'!$AK:$AK,'T1 2019 Pipeline Data Lagasco'!$Q795,'Dec 31 2018 OFFS'!$W:$W,'T1 2019 Pipeline Data Lagasco'!$G795),1))</f>
        <v>109210</v>
      </c>
      <c r="S795" s="275">
        <f t="shared" si="30"/>
        <v>0</v>
      </c>
      <c r="T795" s="278">
        <f t="shared" si="31"/>
        <v>1</v>
      </c>
    </row>
    <row r="796" spans="1:20" ht="14.1" customHeight="1">
      <c r="A796" s="224" t="s">
        <v>1502</v>
      </c>
      <c r="B796" s="218" t="s">
        <v>1503</v>
      </c>
      <c r="C796" s="223">
        <v>1</v>
      </c>
      <c r="D796" s="218" t="s">
        <v>1488</v>
      </c>
      <c r="E796" s="240">
        <v>4</v>
      </c>
      <c r="F796" s="223">
        <v>7480</v>
      </c>
      <c r="G796" s="223">
        <v>2005</v>
      </c>
      <c r="H796" s="223">
        <v>1</v>
      </c>
      <c r="I796" s="223">
        <v>1</v>
      </c>
      <c r="J796" s="223"/>
      <c r="K796" s="240">
        <v>197846</v>
      </c>
      <c r="L796" s="241">
        <v>54</v>
      </c>
      <c r="M796" s="238">
        <v>91009.16</v>
      </c>
      <c r="N796" s="230">
        <v>26.45</v>
      </c>
      <c r="O796" s="231">
        <v>91009</v>
      </c>
      <c r="P796" s="314"/>
      <c r="Q796" s="279">
        <f t="shared" si="29"/>
        <v>7480</v>
      </c>
      <c r="R796" s="275">
        <f>(SUMIFS('Dec 31 2018 OFFS'!$AG:$AG,'Dec 31 2018 OFFS'!$AI:$AI,'T1 2019 Pipeline Data Lagasco'!$A796,'Dec 31 2018 OFFS'!$U:$U,'T1 2019 Pipeline Data Lagasco'!$E796,'Dec 31 2018 OFFS'!$AK:$AK,'T1 2019 Pipeline Data Lagasco'!$Q796,'Dec 31 2018 OFFS'!$W:$W,'T1 2019 Pipeline Data Lagasco'!$G796))/(MAX(COUNTIFS('Dec 31 2018 OFFS'!$AI:$AI,'T1 2019 Pipeline Data Lagasco'!$A796,'Dec 31 2018 OFFS'!$U:$U,'T1 2019 Pipeline Data Lagasco'!$E796,'Dec 31 2018 OFFS'!$AK:$AK,'T1 2019 Pipeline Data Lagasco'!$Q796,'Dec 31 2018 OFFS'!$W:$W,'T1 2019 Pipeline Data Lagasco'!$G796),1))</f>
        <v>91009</v>
      </c>
      <c r="S796" s="275">
        <f t="shared" si="30"/>
        <v>0</v>
      </c>
      <c r="T796" s="278">
        <f t="shared" si="31"/>
        <v>1</v>
      </c>
    </row>
    <row r="797" spans="1:20" ht="14.1" customHeight="1">
      <c r="A797" s="224" t="s">
        <v>1502</v>
      </c>
      <c r="B797" s="218" t="s">
        <v>1503</v>
      </c>
      <c r="C797" s="223">
        <v>1</v>
      </c>
      <c r="D797" s="218" t="s">
        <v>1488</v>
      </c>
      <c r="E797" s="240">
        <v>4</v>
      </c>
      <c r="F797" s="223">
        <v>8976</v>
      </c>
      <c r="G797" s="223">
        <v>2005</v>
      </c>
      <c r="H797" s="223">
        <v>1</v>
      </c>
      <c r="I797" s="223">
        <v>1</v>
      </c>
      <c r="J797" s="223"/>
      <c r="K797" s="237">
        <v>237415.20</v>
      </c>
      <c r="L797" s="241">
        <v>54</v>
      </c>
      <c r="M797" s="239">
        <v>109210.992</v>
      </c>
      <c r="N797" s="230">
        <v>26.45</v>
      </c>
      <c r="O797" s="231">
        <v>109210</v>
      </c>
      <c r="P797" s="314"/>
      <c r="Q797" s="279">
        <f t="shared" si="29"/>
        <v>8976</v>
      </c>
      <c r="R797" s="275">
        <f>(SUMIFS('Dec 31 2018 OFFS'!$AG:$AG,'Dec 31 2018 OFFS'!$AI:$AI,'T1 2019 Pipeline Data Lagasco'!$A797,'Dec 31 2018 OFFS'!$U:$U,'T1 2019 Pipeline Data Lagasco'!$E797,'Dec 31 2018 OFFS'!$AK:$AK,'T1 2019 Pipeline Data Lagasco'!$Q797,'Dec 31 2018 OFFS'!$W:$W,'T1 2019 Pipeline Data Lagasco'!$G797))/(MAX(COUNTIFS('Dec 31 2018 OFFS'!$AI:$AI,'T1 2019 Pipeline Data Lagasco'!$A797,'Dec 31 2018 OFFS'!$U:$U,'T1 2019 Pipeline Data Lagasco'!$E797,'Dec 31 2018 OFFS'!$AK:$AK,'T1 2019 Pipeline Data Lagasco'!$Q797,'Dec 31 2018 OFFS'!$W:$W,'T1 2019 Pipeline Data Lagasco'!$G797),1))</f>
        <v>109210</v>
      </c>
      <c r="S797" s="275">
        <f t="shared" si="30"/>
        <v>0</v>
      </c>
      <c r="T797" s="278">
        <f t="shared" si="31"/>
        <v>1</v>
      </c>
    </row>
    <row r="798" spans="1:20" ht="14.1" customHeight="1">
      <c r="A798" s="224" t="s">
        <v>1502</v>
      </c>
      <c r="B798" s="218" t="s">
        <v>1503</v>
      </c>
      <c r="C798" s="223">
        <v>1</v>
      </c>
      <c r="D798" s="218" t="s">
        <v>1488</v>
      </c>
      <c r="E798" s="240">
        <v>4</v>
      </c>
      <c r="F798" s="223">
        <v>7480</v>
      </c>
      <c r="G798" s="223">
        <v>2005</v>
      </c>
      <c r="H798" s="223">
        <v>1</v>
      </c>
      <c r="I798" s="223">
        <v>1</v>
      </c>
      <c r="J798" s="223"/>
      <c r="K798" s="240">
        <v>197846</v>
      </c>
      <c r="L798" s="241">
        <v>54</v>
      </c>
      <c r="M798" s="238">
        <v>91009.16</v>
      </c>
      <c r="N798" s="230">
        <v>26.45</v>
      </c>
      <c r="O798" s="231">
        <v>91009</v>
      </c>
      <c r="P798" s="314"/>
      <c r="Q798" s="279">
        <f t="shared" si="29"/>
        <v>7480</v>
      </c>
      <c r="R798" s="275">
        <f>(SUMIFS('Dec 31 2018 OFFS'!$AG:$AG,'Dec 31 2018 OFFS'!$AI:$AI,'T1 2019 Pipeline Data Lagasco'!$A798,'Dec 31 2018 OFFS'!$U:$U,'T1 2019 Pipeline Data Lagasco'!$E798,'Dec 31 2018 OFFS'!$AK:$AK,'T1 2019 Pipeline Data Lagasco'!$Q798,'Dec 31 2018 OFFS'!$W:$W,'T1 2019 Pipeline Data Lagasco'!$G798))/(MAX(COUNTIFS('Dec 31 2018 OFFS'!$AI:$AI,'T1 2019 Pipeline Data Lagasco'!$A798,'Dec 31 2018 OFFS'!$U:$U,'T1 2019 Pipeline Data Lagasco'!$E798,'Dec 31 2018 OFFS'!$AK:$AK,'T1 2019 Pipeline Data Lagasco'!$Q798,'Dec 31 2018 OFFS'!$W:$W,'T1 2019 Pipeline Data Lagasco'!$G798),1))</f>
        <v>91009</v>
      </c>
      <c r="S798" s="275">
        <f t="shared" si="30"/>
        <v>0</v>
      </c>
      <c r="T798" s="278">
        <f t="shared" si="31"/>
        <v>1</v>
      </c>
    </row>
    <row r="799" spans="1:20" ht="14.1" customHeight="1">
      <c r="A799" s="224" t="s">
        <v>1502</v>
      </c>
      <c r="B799" s="218" t="s">
        <v>1503</v>
      </c>
      <c r="C799" s="223">
        <v>1</v>
      </c>
      <c r="D799" s="218" t="s">
        <v>1488</v>
      </c>
      <c r="E799" s="240">
        <v>6</v>
      </c>
      <c r="F799" s="226">
        <v>7157.152024</v>
      </c>
      <c r="G799" s="223">
        <v>1973</v>
      </c>
      <c r="H799" s="223">
        <v>1</v>
      </c>
      <c r="I799" s="223">
        <v>1</v>
      </c>
      <c r="J799" s="223"/>
      <c r="K799" s="228">
        <v>247852.1746</v>
      </c>
      <c r="L799" s="241">
        <v>80</v>
      </c>
      <c r="M799" s="229">
        <v>49570.43492</v>
      </c>
      <c r="N799" s="230">
        <v>34.630000000000003</v>
      </c>
      <c r="O799" s="231">
        <v>49570</v>
      </c>
      <c r="P799" s="314"/>
      <c r="Q799" s="276">
        <f t="shared" si="29"/>
        <v>7157.15</v>
      </c>
      <c r="R799" s="275">
        <f>(SUMIFS('Dec 31 2018 OFFS'!$AG:$AG,'Dec 31 2018 OFFS'!$AI:$AI,'T1 2019 Pipeline Data Lagasco'!$A799,'Dec 31 2018 OFFS'!$U:$U,'T1 2019 Pipeline Data Lagasco'!$E799,'Dec 31 2018 OFFS'!$AK:$AK,'T1 2019 Pipeline Data Lagasco'!$Q799,'Dec 31 2018 OFFS'!$W:$W,'T1 2019 Pipeline Data Lagasco'!$G799))/(MAX(COUNTIFS('Dec 31 2018 OFFS'!$AI:$AI,'T1 2019 Pipeline Data Lagasco'!$A799,'Dec 31 2018 OFFS'!$U:$U,'T1 2019 Pipeline Data Lagasco'!$E799,'Dec 31 2018 OFFS'!$AK:$AK,'T1 2019 Pipeline Data Lagasco'!$Q799,'Dec 31 2018 OFFS'!$W:$W,'T1 2019 Pipeline Data Lagasco'!$G799),1))</f>
        <v>49570</v>
      </c>
      <c r="S799" s="275">
        <f t="shared" si="30"/>
        <v>0</v>
      </c>
      <c r="T799" s="217"/>
    </row>
    <row r="800" spans="1:20" ht="14.1" customHeight="1">
      <c r="A800" s="224" t="s">
        <v>1502</v>
      </c>
      <c r="B800" s="218" t="s">
        <v>1503</v>
      </c>
      <c r="C800" s="223">
        <v>1</v>
      </c>
      <c r="D800" s="218" t="s">
        <v>1488</v>
      </c>
      <c r="E800" s="240">
        <v>6</v>
      </c>
      <c r="F800" s="236">
        <v>22208.857619999999</v>
      </c>
      <c r="G800" s="223">
        <v>1973</v>
      </c>
      <c r="H800" s="223">
        <v>1</v>
      </c>
      <c r="I800" s="223">
        <v>0</v>
      </c>
      <c r="J800" s="223"/>
      <c r="K800" s="228">
        <v>769092.73950000003</v>
      </c>
      <c r="L800" s="241">
        <v>80</v>
      </c>
      <c r="M800" s="228">
        <v>153818.54790000001</v>
      </c>
      <c r="N800" s="230">
        <v>34.630000000000003</v>
      </c>
      <c r="O800" s="231">
        <v>0</v>
      </c>
      <c r="P800" s="314"/>
      <c r="Q800" s="276">
        <f t="shared" si="29"/>
        <v>22208.86</v>
      </c>
      <c r="R800" s="275">
        <f>(SUMIFS('Dec 31 2018 OFFS'!$AG:$AG,'Dec 31 2018 OFFS'!$AI:$AI,'T1 2019 Pipeline Data Lagasco'!$A800,'Dec 31 2018 OFFS'!$U:$U,'T1 2019 Pipeline Data Lagasco'!$E800,'Dec 31 2018 OFFS'!$AK:$AK,'T1 2019 Pipeline Data Lagasco'!$Q800,'Dec 31 2018 OFFS'!$W:$W,'T1 2019 Pipeline Data Lagasco'!$G800))/(MAX(COUNTIFS('Dec 31 2018 OFFS'!$AI:$AI,'T1 2019 Pipeline Data Lagasco'!$A800,'Dec 31 2018 OFFS'!$U:$U,'T1 2019 Pipeline Data Lagasco'!$E800,'Dec 31 2018 OFFS'!$AK:$AK,'T1 2019 Pipeline Data Lagasco'!$Q800,'Dec 31 2018 OFFS'!$W:$W,'T1 2019 Pipeline Data Lagasco'!$G800),1))</f>
        <v>0</v>
      </c>
      <c r="S800" s="275">
        <f t="shared" si="30"/>
        <v>0</v>
      </c>
      <c r="T800" s="217"/>
    </row>
    <row r="801" spans="1:19" s="217" customFormat="1" ht="14.1" customHeight="1">
      <c r="A801" s="224" t="s">
        <v>1502</v>
      </c>
      <c r="B801" s="218" t="s">
        <v>1503</v>
      </c>
      <c r="C801" s="223">
        <v>1</v>
      </c>
      <c r="D801" s="218" t="s">
        <v>1488</v>
      </c>
      <c r="E801" s="240">
        <v>6</v>
      </c>
      <c r="F801" s="226">
        <v>2464.4028159999998</v>
      </c>
      <c r="G801" s="223">
        <v>1973</v>
      </c>
      <c r="H801" s="223">
        <v>1</v>
      </c>
      <c r="I801" s="223">
        <v>0</v>
      </c>
      <c r="J801" s="223"/>
      <c r="K801" s="229">
        <v>85342.269509999998</v>
      </c>
      <c r="L801" s="241">
        <v>80</v>
      </c>
      <c r="M801" s="228">
        <v>17068.4539</v>
      </c>
      <c r="N801" s="230">
        <v>34.630000000000003</v>
      </c>
      <c r="O801" s="231">
        <v>0</v>
      </c>
      <c r="P801" s="314"/>
      <c r="Q801" s="276">
        <f t="shared" si="29"/>
        <v>2464.40</v>
      </c>
      <c r="R801" s="275">
        <f>(SUMIFS('Dec 31 2018 OFFS'!$AG:$AG,'Dec 31 2018 OFFS'!$AI:$AI,'T1 2019 Pipeline Data Lagasco'!$A801,'Dec 31 2018 OFFS'!$U:$U,'T1 2019 Pipeline Data Lagasco'!$E801,'Dec 31 2018 OFFS'!$AK:$AK,'T1 2019 Pipeline Data Lagasco'!$Q801,'Dec 31 2018 OFFS'!$W:$W,'T1 2019 Pipeline Data Lagasco'!$G801))/(MAX(COUNTIFS('Dec 31 2018 OFFS'!$AI:$AI,'T1 2019 Pipeline Data Lagasco'!$A801,'Dec 31 2018 OFFS'!$U:$U,'T1 2019 Pipeline Data Lagasco'!$E801,'Dec 31 2018 OFFS'!$AK:$AK,'T1 2019 Pipeline Data Lagasco'!$Q801,'Dec 31 2018 OFFS'!$W:$W,'T1 2019 Pipeline Data Lagasco'!$G801),1))</f>
        <v>0</v>
      </c>
      <c r="S801" s="275">
        <f t="shared" si="30"/>
        <v>0</v>
      </c>
    </row>
    <row r="802" spans="1:19" s="217" customFormat="1" ht="14.1" customHeight="1">
      <c r="A802" s="224" t="s">
        <v>1502</v>
      </c>
      <c r="B802" s="218" t="s">
        <v>1503</v>
      </c>
      <c r="C802" s="223">
        <v>1</v>
      </c>
      <c r="D802" s="218" t="s">
        <v>1488</v>
      </c>
      <c r="E802" s="240">
        <v>6</v>
      </c>
      <c r="F802" s="226">
        <v>1527.4277770000001</v>
      </c>
      <c r="G802" s="223">
        <v>1973</v>
      </c>
      <c r="H802" s="223">
        <v>1</v>
      </c>
      <c r="I802" s="223">
        <v>0</v>
      </c>
      <c r="J802" s="223"/>
      <c r="K802" s="229">
        <v>52894.823929999999</v>
      </c>
      <c r="L802" s="241">
        <v>80</v>
      </c>
      <c r="M802" s="229">
        <v>10578.96479</v>
      </c>
      <c r="N802" s="230">
        <v>34.630000000000003</v>
      </c>
      <c r="O802" s="231">
        <v>0</v>
      </c>
      <c r="P802" s="314"/>
      <c r="Q802" s="276">
        <f t="shared" si="29"/>
        <v>1527.43</v>
      </c>
      <c r="R802" s="275">
        <f>(SUMIFS('Dec 31 2018 OFFS'!$AG:$AG,'Dec 31 2018 OFFS'!$AI:$AI,'T1 2019 Pipeline Data Lagasco'!$A802,'Dec 31 2018 OFFS'!$U:$U,'T1 2019 Pipeline Data Lagasco'!$E802,'Dec 31 2018 OFFS'!$AK:$AK,'T1 2019 Pipeline Data Lagasco'!$Q802,'Dec 31 2018 OFFS'!$W:$W,'T1 2019 Pipeline Data Lagasco'!$G802))/(MAX(COUNTIFS('Dec 31 2018 OFFS'!$AI:$AI,'T1 2019 Pipeline Data Lagasco'!$A802,'Dec 31 2018 OFFS'!$U:$U,'T1 2019 Pipeline Data Lagasco'!$E802,'Dec 31 2018 OFFS'!$AK:$AK,'T1 2019 Pipeline Data Lagasco'!$Q802,'Dec 31 2018 OFFS'!$W:$W,'T1 2019 Pipeline Data Lagasco'!$G802),1))</f>
        <v>0</v>
      </c>
      <c r="S802" s="275">
        <f t="shared" si="30"/>
        <v>0</v>
      </c>
    </row>
    <row r="803" spans="1:19" s="217" customFormat="1" ht="14.1" customHeight="1">
      <c r="A803" s="224" t="s">
        <v>1502</v>
      </c>
      <c r="B803" s="218" t="s">
        <v>1503</v>
      </c>
      <c r="C803" s="223">
        <v>1</v>
      </c>
      <c r="D803" s="218" t="s">
        <v>1488</v>
      </c>
      <c r="E803" s="240">
        <v>6</v>
      </c>
      <c r="F803" s="226">
        <v>4946.4237409999996</v>
      </c>
      <c r="G803" s="223">
        <v>1973</v>
      </c>
      <c r="H803" s="223">
        <v>1</v>
      </c>
      <c r="I803" s="223">
        <v>0</v>
      </c>
      <c r="J803" s="223"/>
      <c r="K803" s="228">
        <v>171294.65419999999</v>
      </c>
      <c r="L803" s="241">
        <v>80</v>
      </c>
      <c r="M803" s="229">
        <v>34258.930829999998</v>
      </c>
      <c r="N803" s="230">
        <v>34.630000000000003</v>
      </c>
      <c r="O803" s="231">
        <v>0</v>
      </c>
      <c r="P803" s="314"/>
      <c r="Q803" s="276">
        <f t="shared" si="29"/>
        <v>4946.42</v>
      </c>
      <c r="R803" s="275">
        <f>(SUMIFS('Dec 31 2018 OFFS'!$AG:$AG,'Dec 31 2018 OFFS'!$AI:$AI,'T1 2019 Pipeline Data Lagasco'!$A803,'Dec 31 2018 OFFS'!$U:$U,'T1 2019 Pipeline Data Lagasco'!$E803,'Dec 31 2018 OFFS'!$AK:$AK,'T1 2019 Pipeline Data Lagasco'!$Q803,'Dec 31 2018 OFFS'!$W:$W,'T1 2019 Pipeline Data Lagasco'!$G803))/(MAX(COUNTIFS('Dec 31 2018 OFFS'!$AI:$AI,'T1 2019 Pipeline Data Lagasco'!$A803,'Dec 31 2018 OFFS'!$U:$U,'T1 2019 Pipeline Data Lagasco'!$E803,'Dec 31 2018 OFFS'!$AK:$AK,'T1 2019 Pipeline Data Lagasco'!$Q803,'Dec 31 2018 OFFS'!$W:$W,'T1 2019 Pipeline Data Lagasco'!$G803),1))</f>
        <v>0</v>
      </c>
      <c r="S803" s="275">
        <f t="shared" si="30"/>
        <v>0</v>
      </c>
    </row>
    <row r="804" spans="1:19" s="217" customFormat="1" ht="14.1" customHeight="1">
      <c r="A804" s="224" t="s">
        <v>1502</v>
      </c>
      <c r="B804" s="218" t="s">
        <v>1503</v>
      </c>
      <c r="C804" s="223">
        <v>1</v>
      </c>
      <c r="D804" s="218" t="s">
        <v>1488</v>
      </c>
      <c r="E804" s="240">
        <v>6</v>
      </c>
      <c r="F804" s="223">
        <v>38763</v>
      </c>
      <c r="G804" s="223">
        <v>2001</v>
      </c>
      <c r="H804" s="223">
        <v>1</v>
      </c>
      <c r="I804" s="223">
        <v>1</v>
      </c>
      <c r="J804" s="223"/>
      <c r="K804" s="238">
        <v>1342362.69</v>
      </c>
      <c r="L804" s="241">
        <v>59</v>
      </c>
      <c r="M804" s="228">
        <v>550368.70290000003</v>
      </c>
      <c r="N804" s="230">
        <v>34.630000000000003</v>
      </c>
      <c r="O804" s="231">
        <v>550368</v>
      </c>
      <c r="P804" s="314"/>
      <c r="Q804" s="276">
        <f t="shared" si="29"/>
        <v>38763</v>
      </c>
      <c r="R804" s="275">
        <f>(SUMIFS('Dec 31 2018 OFFS'!$AG:$AG,'Dec 31 2018 OFFS'!$AI:$AI,'T1 2019 Pipeline Data Lagasco'!$A804,'Dec 31 2018 OFFS'!$U:$U,'T1 2019 Pipeline Data Lagasco'!$E804,'Dec 31 2018 OFFS'!$AK:$AK,'T1 2019 Pipeline Data Lagasco'!$Q804,'Dec 31 2018 OFFS'!$W:$W,'T1 2019 Pipeline Data Lagasco'!$G804))/(MAX(COUNTIFS('Dec 31 2018 OFFS'!$AI:$AI,'T1 2019 Pipeline Data Lagasco'!$A804,'Dec 31 2018 OFFS'!$U:$U,'T1 2019 Pipeline Data Lagasco'!$E804,'Dec 31 2018 OFFS'!$AK:$AK,'T1 2019 Pipeline Data Lagasco'!$Q804,'Dec 31 2018 OFFS'!$W:$W,'T1 2019 Pipeline Data Lagasco'!$G804),1))</f>
        <v>550368</v>
      </c>
      <c r="S804" s="275">
        <f t="shared" si="30"/>
        <v>0</v>
      </c>
    </row>
    <row r="805" spans="1:19" s="217" customFormat="1" ht="14.1" customHeight="1">
      <c r="A805" s="224" t="s">
        <v>1502</v>
      </c>
      <c r="B805" s="218" t="s">
        <v>1503</v>
      </c>
      <c r="C805" s="223">
        <v>1</v>
      </c>
      <c r="D805" s="218" t="s">
        <v>1488</v>
      </c>
      <c r="E805" s="240">
        <v>6</v>
      </c>
      <c r="F805" s="223">
        <v>5295</v>
      </c>
      <c r="G805" s="223">
        <v>2002</v>
      </c>
      <c r="H805" s="223">
        <v>1</v>
      </c>
      <c r="I805" s="223">
        <v>1</v>
      </c>
      <c r="J805" s="223"/>
      <c r="K805" s="238">
        <v>183365.85</v>
      </c>
      <c r="L805" s="241">
        <v>57</v>
      </c>
      <c r="M805" s="228">
        <v>78847.315499999997</v>
      </c>
      <c r="N805" s="230">
        <v>34.630000000000003</v>
      </c>
      <c r="O805" s="231">
        <v>78847</v>
      </c>
      <c r="P805" s="314"/>
      <c r="Q805" s="276">
        <f t="shared" si="29"/>
        <v>5295</v>
      </c>
      <c r="R805" s="275">
        <f>(SUMIFS('Dec 31 2018 OFFS'!$AG:$AG,'Dec 31 2018 OFFS'!$AI:$AI,'T1 2019 Pipeline Data Lagasco'!$A805,'Dec 31 2018 OFFS'!$U:$U,'T1 2019 Pipeline Data Lagasco'!$E805,'Dec 31 2018 OFFS'!$AK:$AK,'T1 2019 Pipeline Data Lagasco'!$Q805,'Dec 31 2018 OFFS'!$W:$W,'T1 2019 Pipeline Data Lagasco'!$G805))/(MAX(COUNTIFS('Dec 31 2018 OFFS'!$AI:$AI,'T1 2019 Pipeline Data Lagasco'!$A805,'Dec 31 2018 OFFS'!$U:$U,'T1 2019 Pipeline Data Lagasco'!$E805,'Dec 31 2018 OFFS'!$AK:$AK,'T1 2019 Pipeline Data Lagasco'!$Q805,'Dec 31 2018 OFFS'!$W:$W,'T1 2019 Pipeline Data Lagasco'!$G805),1))</f>
        <v>78847</v>
      </c>
      <c r="S805" s="275">
        <f t="shared" si="30"/>
        <v>0</v>
      </c>
    </row>
    <row r="806" spans="1:19" s="217" customFormat="1" ht="14.1" customHeight="1">
      <c r="A806" s="224" t="s">
        <v>1502</v>
      </c>
      <c r="B806" s="218" t="s">
        <v>1503</v>
      </c>
      <c r="C806" s="223">
        <v>1</v>
      </c>
      <c r="D806" s="218" t="s">
        <v>1488</v>
      </c>
      <c r="E806" s="240">
        <v>6</v>
      </c>
      <c r="F806" s="223">
        <v>5941</v>
      </c>
      <c r="G806" s="223">
        <v>2002</v>
      </c>
      <c r="H806" s="223">
        <v>1</v>
      </c>
      <c r="I806" s="223">
        <v>1</v>
      </c>
      <c r="J806" s="223"/>
      <c r="K806" s="238">
        <v>205736.83</v>
      </c>
      <c r="L806" s="241">
        <v>57</v>
      </c>
      <c r="M806" s="228">
        <v>88466.836899999995</v>
      </c>
      <c r="N806" s="230">
        <v>34.630000000000003</v>
      </c>
      <c r="O806" s="231">
        <v>88466</v>
      </c>
      <c r="P806" s="314"/>
      <c r="Q806" s="276">
        <f t="shared" si="29"/>
        <v>5941</v>
      </c>
      <c r="R806" s="275">
        <f>(SUMIFS('Dec 31 2018 OFFS'!$AG:$AG,'Dec 31 2018 OFFS'!$AI:$AI,'T1 2019 Pipeline Data Lagasco'!$A806,'Dec 31 2018 OFFS'!$U:$U,'T1 2019 Pipeline Data Lagasco'!$E806,'Dec 31 2018 OFFS'!$AK:$AK,'T1 2019 Pipeline Data Lagasco'!$Q806,'Dec 31 2018 OFFS'!$W:$W,'T1 2019 Pipeline Data Lagasco'!$G806))/(MAX(COUNTIFS('Dec 31 2018 OFFS'!$AI:$AI,'T1 2019 Pipeline Data Lagasco'!$A806,'Dec 31 2018 OFFS'!$U:$U,'T1 2019 Pipeline Data Lagasco'!$E806,'Dec 31 2018 OFFS'!$AK:$AK,'T1 2019 Pipeline Data Lagasco'!$Q806,'Dec 31 2018 OFFS'!$W:$W,'T1 2019 Pipeline Data Lagasco'!$G806),1))</f>
        <v>88466</v>
      </c>
      <c r="S806" s="275">
        <f t="shared" si="30"/>
        <v>0</v>
      </c>
    </row>
    <row r="807" spans="1:19" s="217" customFormat="1" ht="14.1" customHeight="1">
      <c r="A807" s="224" t="s">
        <v>1502</v>
      </c>
      <c r="B807" s="218" t="s">
        <v>1503</v>
      </c>
      <c r="C807" s="223">
        <v>1</v>
      </c>
      <c r="D807" s="218" t="s">
        <v>1488</v>
      </c>
      <c r="E807" s="240">
        <v>6</v>
      </c>
      <c r="F807" s="223">
        <v>2008</v>
      </c>
      <c r="G807" s="223">
        <v>2010</v>
      </c>
      <c r="H807" s="223">
        <v>1</v>
      </c>
      <c r="I807" s="223">
        <v>1</v>
      </c>
      <c r="J807" s="223"/>
      <c r="K807" s="238">
        <v>69537.039999999994</v>
      </c>
      <c r="L807" s="241">
        <v>39</v>
      </c>
      <c r="M807" s="228">
        <v>42417.594400000002</v>
      </c>
      <c r="N807" s="230">
        <v>34.630000000000003</v>
      </c>
      <c r="O807" s="231">
        <v>42417</v>
      </c>
      <c r="P807" s="314"/>
      <c r="Q807" s="276">
        <f t="shared" si="29"/>
        <v>2008</v>
      </c>
      <c r="R807" s="275">
        <f>(SUMIFS('Dec 31 2018 OFFS'!$AG:$AG,'Dec 31 2018 OFFS'!$AI:$AI,'T1 2019 Pipeline Data Lagasco'!$A807,'Dec 31 2018 OFFS'!$U:$U,'T1 2019 Pipeline Data Lagasco'!$E807,'Dec 31 2018 OFFS'!$AK:$AK,'T1 2019 Pipeline Data Lagasco'!$Q807,'Dec 31 2018 OFFS'!$W:$W,'T1 2019 Pipeline Data Lagasco'!$G807))/(MAX(COUNTIFS('Dec 31 2018 OFFS'!$AI:$AI,'T1 2019 Pipeline Data Lagasco'!$A807,'Dec 31 2018 OFFS'!$U:$U,'T1 2019 Pipeline Data Lagasco'!$E807,'Dec 31 2018 OFFS'!$AK:$AK,'T1 2019 Pipeline Data Lagasco'!$Q807,'Dec 31 2018 OFFS'!$W:$W,'T1 2019 Pipeline Data Lagasco'!$G807),1))</f>
        <v>42417</v>
      </c>
      <c r="S807" s="275">
        <f t="shared" si="30"/>
        <v>0</v>
      </c>
    </row>
    <row r="808" spans="1:19" s="217" customFormat="1" ht="14.1" customHeight="1">
      <c r="A808" s="224" t="s">
        <v>1502</v>
      </c>
      <c r="B808" s="218" t="s">
        <v>1503</v>
      </c>
      <c r="C808" s="223">
        <v>1</v>
      </c>
      <c r="D808" s="218" t="s">
        <v>1488</v>
      </c>
      <c r="E808" s="240">
        <v>6</v>
      </c>
      <c r="F808" s="226">
        <v>9019.6847780000007</v>
      </c>
      <c r="G808" s="223">
        <v>1964</v>
      </c>
      <c r="H808" s="223">
        <v>1</v>
      </c>
      <c r="I808" s="223">
        <v>1</v>
      </c>
      <c r="J808" s="223"/>
      <c r="K808" s="228">
        <v>312351.6839</v>
      </c>
      <c r="L808" s="241">
        <v>80</v>
      </c>
      <c r="M808" s="229">
        <v>62470.336770000002</v>
      </c>
      <c r="N808" s="230">
        <v>34.630000000000003</v>
      </c>
      <c r="O808" s="231">
        <v>62470</v>
      </c>
      <c r="P808" s="314"/>
      <c r="Q808" s="276">
        <f t="shared" si="29"/>
        <v>9019.68</v>
      </c>
      <c r="R808" s="275">
        <f>(SUMIFS('Dec 31 2018 OFFS'!$AG:$AG,'Dec 31 2018 OFFS'!$AI:$AI,'T1 2019 Pipeline Data Lagasco'!$A808,'Dec 31 2018 OFFS'!$U:$U,'T1 2019 Pipeline Data Lagasco'!$E808,'Dec 31 2018 OFFS'!$AK:$AK,'T1 2019 Pipeline Data Lagasco'!$Q808,'Dec 31 2018 OFFS'!$W:$W,'T1 2019 Pipeline Data Lagasco'!$G808))/(MAX(COUNTIFS('Dec 31 2018 OFFS'!$AI:$AI,'T1 2019 Pipeline Data Lagasco'!$A808,'Dec 31 2018 OFFS'!$U:$U,'T1 2019 Pipeline Data Lagasco'!$E808,'Dec 31 2018 OFFS'!$AK:$AK,'T1 2019 Pipeline Data Lagasco'!$Q808,'Dec 31 2018 OFFS'!$W:$W,'T1 2019 Pipeline Data Lagasco'!$G808),1))</f>
        <v>62470</v>
      </c>
      <c r="S808" s="275">
        <f t="shared" si="30"/>
        <v>0</v>
      </c>
    </row>
    <row r="809" spans="1:19" s="217" customFormat="1" ht="14.1" customHeight="1">
      <c r="A809" s="224" t="s">
        <v>1502</v>
      </c>
      <c r="B809" s="218" t="s">
        <v>1503</v>
      </c>
      <c r="C809" s="223">
        <v>1</v>
      </c>
      <c r="D809" s="218" t="s">
        <v>1488</v>
      </c>
      <c r="E809" s="240">
        <v>8</v>
      </c>
      <c r="F809" s="236">
        <v>22967.35498</v>
      </c>
      <c r="G809" s="223">
        <v>1964</v>
      </c>
      <c r="H809" s="223">
        <v>1</v>
      </c>
      <c r="I809" s="223">
        <v>1</v>
      </c>
      <c r="J809" s="223"/>
      <c r="K809" s="237">
        <v>1132290.6000000001</v>
      </c>
      <c r="L809" s="241">
        <v>80</v>
      </c>
      <c r="M809" s="228">
        <v>226458.1201</v>
      </c>
      <c r="N809" s="242">
        <v>49.30</v>
      </c>
      <c r="O809" s="231">
        <v>226458</v>
      </c>
      <c r="P809" s="314"/>
      <c r="Q809" s="276">
        <f t="shared" si="29"/>
        <v>22967.35</v>
      </c>
      <c r="R809" s="275">
        <f>(SUMIFS('Dec 31 2018 OFFS'!$AG:$AG,'Dec 31 2018 OFFS'!$AI:$AI,'T1 2019 Pipeline Data Lagasco'!$A809,'Dec 31 2018 OFFS'!$U:$U,'T1 2019 Pipeline Data Lagasco'!$E809,'Dec 31 2018 OFFS'!$AK:$AK,'T1 2019 Pipeline Data Lagasco'!$Q809,'Dec 31 2018 OFFS'!$W:$W,'T1 2019 Pipeline Data Lagasco'!$G809))/(MAX(COUNTIFS('Dec 31 2018 OFFS'!$AI:$AI,'T1 2019 Pipeline Data Lagasco'!$A809,'Dec 31 2018 OFFS'!$U:$U,'T1 2019 Pipeline Data Lagasco'!$E809,'Dec 31 2018 OFFS'!$AK:$AK,'T1 2019 Pipeline Data Lagasco'!$Q809,'Dec 31 2018 OFFS'!$W:$W,'T1 2019 Pipeline Data Lagasco'!$G809),1))</f>
        <v>226458</v>
      </c>
      <c r="S809" s="275">
        <f t="shared" si="30"/>
        <v>0</v>
      </c>
    </row>
    <row r="810" spans="1:19" s="217" customFormat="1" ht="14.1" customHeight="1">
      <c r="A810" s="224" t="s">
        <v>1504</v>
      </c>
      <c r="B810" s="218" t="s">
        <v>1505</v>
      </c>
      <c r="C810" s="223">
        <v>1</v>
      </c>
      <c r="D810" s="218" t="s">
        <v>1488</v>
      </c>
      <c r="E810" s="240">
        <v>2</v>
      </c>
      <c r="F810" s="230">
        <v>4519.32</v>
      </c>
      <c r="G810" s="223">
        <v>1975</v>
      </c>
      <c r="H810" s="223">
        <v>1</v>
      </c>
      <c r="I810" s="223">
        <v>0</v>
      </c>
      <c r="J810" s="223"/>
      <c r="K810" s="228">
        <v>73393.756800000003</v>
      </c>
      <c r="L810" s="241">
        <v>80</v>
      </c>
      <c r="M810" s="229">
        <v>14678.75136</v>
      </c>
      <c r="N810" s="230">
        <v>16.239999999999998</v>
      </c>
      <c r="O810" s="231">
        <v>0</v>
      </c>
      <c r="P810" s="314"/>
      <c r="Q810" s="276">
        <f t="shared" si="29"/>
        <v>4519.32</v>
      </c>
      <c r="R810" s="275">
        <f>(SUMIFS('Dec 31 2018 OFFS'!$AG:$AG,'Dec 31 2018 OFFS'!$AI:$AI,'T1 2019 Pipeline Data Lagasco'!$A810,'Dec 31 2018 OFFS'!$U:$U,'T1 2019 Pipeline Data Lagasco'!$E810,'Dec 31 2018 OFFS'!$AK:$AK,'T1 2019 Pipeline Data Lagasco'!$Q810,'Dec 31 2018 OFFS'!$W:$W,'T1 2019 Pipeline Data Lagasco'!$G810))/(MAX(COUNTIFS('Dec 31 2018 OFFS'!$AI:$AI,'T1 2019 Pipeline Data Lagasco'!$A810,'Dec 31 2018 OFFS'!$U:$U,'T1 2019 Pipeline Data Lagasco'!$E810,'Dec 31 2018 OFFS'!$AK:$AK,'T1 2019 Pipeline Data Lagasco'!$Q810,'Dec 31 2018 OFFS'!$W:$W,'T1 2019 Pipeline Data Lagasco'!$G810),1))</f>
        <v>0</v>
      </c>
      <c r="S810" s="275">
        <f t="shared" si="30"/>
        <v>0</v>
      </c>
    </row>
    <row r="811" spans="1:19" s="217" customFormat="1" ht="14.1" customHeight="1">
      <c r="A811" s="224" t="s">
        <v>1504</v>
      </c>
      <c r="B811" s="218" t="s">
        <v>1505</v>
      </c>
      <c r="C811" s="223">
        <v>1</v>
      </c>
      <c r="D811" s="218" t="s">
        <v>1488</v>
      </c>
      <c r="E811" s="240">
        <v>2</v>
      </c>
      <c r="F811" s="230">
        <v>7870.08</v>
      </c>
      <c r="G811" s="223">
        <v>1982</v>
      </c>
      <c r="H811" s="223">
        <v>1</v>
      </c>
      <c r="I811" s="223">
        <v>0</v>
      </c>
      <c r="J811" s="223"/>
      <c r="K811" s="228">
        <v>127810.0992</v>
      </c>
      <c r="L811" s="241">
        <v>80</v>
      </c>
      <c r="M811" s="229">
        <v>25562.019840000001</v>
      </c>
      <c r="N811" s="230">
        <v>16.239999999999998</v>
      </c>
      <c r="O811" s="231">
        <v>0</v>
      </c>
      <c r="P811" s="314"/>
      <c r="Q811" s="276">
        <f t="shared" si="29"/>
        <v>7870.08</v>
      </c>
      <c r="R811" s="275">
        <f>(SUMIFS('Dec 31 2018 OFFS'!$AG:$AG,'Dec 31 2018 OFFS'!$AI:$AI,'T1 2019 Pipeline Data Lagasco'!$A811,'Dec 31 2018 OFFS'!$U:$U,'T1 2019 Pipeline Data Lagasco'!$E811,'Dec 31 2018 OFFS'!$AK:$AK,'T1 2019 Pipeline Data Lagasco'!$Q811,'Dec 31 2018 OFFS'!$W:$W,'T1 2019 Pipeline Data Lagasco'!$G811))/(MAX(COUNTIFS('Dec 31 2018 OFFS'!$AI:$AI,'T1 2019 Pipeline Data Lagasco'!$A811,'Dec 31 2018 OFFS'!$U:$U,'T1 2019 Pipeline Data Lagasco'!$E811,'Dec 31 2018 OFFS'!$AK:$AK,'T1 2019 Pipeline Data Lagasco'!$Q811,'Dec 31 2018 OFFS'!$W:$W,'T1 2019 Pipeline Data Lagasco'!$G811),1))</f>
        <v>0</v>
      </c>
      <c r="S811" s="275">
        <f t="shared" si="30"/>
        <v>0</v>
      </c>
    </row>
    <row r="812" spans="1:19" s="217" customFormat="1" ht="14.1" customHeight="1">
      <c r="A812" s="224" t="s">
        <v>1504</v>
      </c>
      <c r="B812" s="218" t="s">
        <v>1505</v>
      </c>
      <c r="C812" s="223">
        <v>1</v>
      </c>
      <c r="D812" s="218" t="s">
        <v>1488</v>
      </c>
      <c r="E812" s="240">
        <v>2</v>
      </c>
      <c r="F812" s="226">
        <v>5936.3515340000004</v>
      </c>
      <c r="G812" s="223">
        <v>1980</v>
      </c>
      <c r="H812" s="223">
        <v>1</v>
      </c>
      <c r="I812" s="223">
        <v>0</v>
      </c>
      <c r="J812" s="223"/>
      <c r="K812" s="229">
        <v>96406.348910000001</v>
      </c>
      <c r="L812" s="241">
        <v>80</v>
      </c>
      <c r="M812" s="229">
        <v>19281.269779999999</v>
      </c>
      <c r="N812" s="230">
        <v>16.239999999999998</v>
      </c>
      <c r="O812" s="231">
        <v>0</v>
      </c>
      <c r="P812" s="314"/>
      <c r="Q812" s="276">
        <f t="shared" si="29"/>
        <v>5936.35</v>
      </c>
      <c r="R812" s="275">
        <f>(SUMIFS('Dec 31 2018 OFFS'!$AG:$AG,'Dec 31 2018 OFFS'!$AI:$AI,'T1 2019 Pipeline Data Lagasco'!$A812,'Dec 31 2018 OFFS'!$U:$U,'T1 2019 Pipeline Data Lagasco'!$E812,'Dec 31 2018 OFFS'!$AK:$AK,'T1 2019 Pipeline Data Lagasco'!$Q812,'Dec 31 2018 OFFS'!$W:$W,'T1 2019 Pipeline Data Lagasco'!$G812))/(MAX(COUNTIFS('Dec 31 2018 OFFS'!$AI:$AI,'T1 2019 Pipeline Data Lagasco'!$A812,'Dec 31 2018 OFFS'!$U:$U,'T1 2019 Pipeline Data Lagasco'!$E812,'Dec 31 2018 OFFS'!$AK:$AK,'T1 2019 Pipeline Data Lagasco'!$Q812,'Dec 31 2018 OFFS'!$W:$W,'T1 2019 Pipeline Data Lagasco'!$G812),1))</f>
        <v>0</v>
      </c>
      <c r="S812" s="275">
        <f t="shared" si="30"/>
        <v>0</v>
      </c>
    </row>
    <row r="813" spans="1:19" s="217" customFormat="1" ht="14.1" customHeight="1">
      <c r="A813" s="224" t="s">
        <v>1504</v>
      </c>
      <c r="B813" s="218" t="s">
        <v>1505</v>
      </c>
      <c r="C813" s="223">
        <v>1</v>
      </c>
      <c r="D813" s="218" t="s">
        <v>1488</v>
      </c>
      <c r="E813" s="240">
        <v>2</v>
      </c>
      <c r="F813" s="226">
        <v>7171.095593</v>
      </c>
      <c r="G813" s="223">
        <v>1978</v>
      </c>
      <c r="H813" s="223">
        <v>1</v>
      </c>
      <c r="I813" s="223">
        <v>0</v>
      </c>
      <c r="J813" s="223"/>
      <c r="K813" s="228">
        <v>116458.59239999999</v>
      </c>
      <c r="L813" s="241">
        <v>80</v>
      </c>
      <c r="M813" s="229">
        <v>23291.718489999999</v>
      </c>
      <c r="N813" s="230">
        <v>16.239999999999998</v>
      </c>
      <c r="O813" s="231">
        <v>0</v>
      </c>
      <c r="P813" s="314"/>
      <c r="Q813" s="276">
        <f t="shared" si="29"/>
        <v>7171.10</v>
      </c>
      <c r="R813" s="275">
        <f>(SUMIFS('Dec 31 2018 OFFS'!$AG:$AG,'Dec 31 2018 OFFS'!$AI:$AI,'T1 2019 Pipeline Data Lagasco'!$A813,'Dec 31 2018 OFFS'!$U:$U,'T1 2019 Pipeline Data Lagasco'!$E813,'Dec 31 2018 OFFS'!$AK:$AK,'T1 2019 Pipeline Data Lagasco'!$Q813,'Dec 31 2018 OFFS'!$W:$W,'T1 2019 Pipeline Data Lagasco'!$G813))/(MAX(COUNTIFS('Dec 31 2018 OFFS'!$AI:$AI,'T1 2019 Pipeline Data Lagasco'!$A813,'Dec 31 2018 OFFS'!$U:$U,'T1 2019 Pipeline Data Lagasco'!$E813,'Dec 31 2018 OFFS'!$AK:$AK,'T1 2019 Pipeline Data Lagasco'!$Q813,'Dec 31 2018 OFFS'!$W:$W,'T1 2019 Pipeline Data Lagasco'!$G813),1))</f>
        <v>0</v>
      </c>
      <c r="S813" s="275">
        <f t="shared" si="30"/>
        <v>0</v>
      </c>
    </row>
    <row r="814" spans="1:19" s="217" customFormat="1" ht="14.1" customHeight="1">
      <c r="A814" s="224" t="s">
        <v>1504</v>
      </c>
      <c r="B814" s="218" t="s">
        <v>1505</v>
      </c>
      <c r="C814" s="223">
        <v>1</v>
      </c>
      <c r="D814" s="218" t="s">
        <v>1488</v>
      </c>
      <c r="E814" s="240">
        <v>2</v>
      </c>
      <c r="F814" s="226">
        <v>5914.5339489999997</v>
      </c>
      <c r="G814" s="223">
        <v>1971</v>
      </c>
      <c r="H814" s="223">
        <v>1</v>
      </c>
      <c r="I814" s="223">
        <v>0</v>
      </c>
      <c r="J814" s="223"/>
      <c r="K814" s="229">
        <v>96052.031340000001</v>
      </c>
      <c r="L814" s="241">
        <v>80</v>
      </c>
      <c r="M814" s="229">
        <v>19210.406269999999</v>
      </c>
      <c r="N814" s="230">
        <v>16.239999999999998</v>
      </c>
      <c r="O814" s="231">
        <v>0</v>
      </c>
      <c r="P814" s="314"/>
      <c r="Q814" s="276">
        <f t="shared" si="29"/>
        <v>5914.53</v>
      </c>
      <c r="R814" s="275">
        <f>(SUMIFS('Dec 31 2018 OFFS'!$AG:$AG,'Dec 31 2018 OFFS'!$AI:$AI,'T1 2019 Pipeline Data Lagasco'!$A814,'Dec 31 2018 OFFS'!$U:$U,'T1 2019 Pipeline Data Lagasco'!$E814,'Dec 31 2018 OFFS'!$AK:$AK,'T1 2019 Pipeline Data Lagasco'!$Q814,'Dec 31 2018 OFFS'!$W:$W,'T1 2019 Pipeline Data Lagasco'!$G814))/(MAX(COUNTIFS('Dec 31 2018 OFFS'!$AI:$AI,'T1 2019 Pipeline Data Lagasco'!$A814,'Dec 31 2018 OFFS'!$U:$U,'T1 2019 Pipeline Data Lagasco'!$E814,'Dec 31 2018 OFFS'!$AK:$AK,'T1 2019 Pipeline Data Lagasco'!$Q814,'Dec 31 2018 OFFS'!$W:$W,'T1 2019 Pipeline Data Lagasco'!$G814),1))</f>
        <v>0</v>
      </c>
      <c r="S814" s="275">
        <f t="shared" si="30"/>
        <v>0</v>
      </c>
    </row>
    <row r="815" spans="1:19" s="217" customFormat="1" ht="15" customHeight="1">
      <c r="A815" s="224" t="s">
        <v>1504</v>
      </c>
      <c r="B815" s="218" t="s">
        <v>1505</v>
      </c>
      <c r="C815" s="223">
        <v>1</v>
      </c>
      <c r="D815" s="218" t="s">
        <v>1488</v>
      </c>
      <c r="E815" s="240">
        <v>2</v>
      </c>
      <c r="F815" s="226">
        <v>1593.2414240000001</v>
      </c>
      <c r="G815" s="223">
        <v>1971</v>
      </c>
      <c r="H815" s="223">
        <v>1</v>
      </c>
      <c r="I815" s="223">
        <v>1</v>
      </c>
      <c r="J815" s="223"/>
      <c r="K815" s="229">
        <v>25874.240720000002</v>
      </c>
      <c r="L815" s="241">
        <v>80</v>
      </c>
      <c r="M815" s="233">
        <v>5174.8481439999996</v>
      </c>
      <c r="N815" s="230">
        <v>16.239999999999998</v>
      </c>
      <c r="O815" s="231">
        <v>5174</v>
      </c>
      <c r="P815" s="314"/>
      <c r="Q815" s="276">
        <f t="shared" si="29"/>
        <v>1593.24</v>
      </c>
      <c r="R815" s="275">
        <f>(SUMIFS('Dec 31 2018 OFFS'!$AG:$AG,'Dec 31 2018 OFFS'!$AI:$AI,'T1 2019 Pipeline Data Lagasco'!$A815,'Dec 31 2018 OFFS'!$U:$U,'T1 2019 Pipeline Data Lagasco'!$E815,'Dec 31 2018 OFFS'!$AK:$AK,'T1 2019 Pipeline Data Lagasco'!$Q815,'Dec 31 2018 OFFS'!$W:$W,'T1 2019 Pipeline Data Lagasco'!$G815))/(MAX(COUNTIFS('Dec 31 2018 OFFS'!$AI:$AI,'T1 2019 Pipeline Data Lagasco'!$A815,'Dec 31 2018 OFFS'!$U:$U,'T1 2019 Pipeline Data Lagasco'!$E815,'Dec 31 2018 OFFS'!$AK:$AK,'T1 2019 Pipeline Data Lagasco'!$Q815,'Dec 31 2018 OFFS'!$W:$W,'T1 2019 Pipeline Data Lagasco'!$G815),1))</f>
        <v>5174</v>
      </c>
      <c r="S815" s="275">
        <f t="shared" si="30"/>
        <v>0</v>
      </c>
    </row>
    <row r="816" spans="1:19" s="217" customFormat="1" ht="15" customHeight="1">
      <c r="A816" s="224" t="s">
        <v>1504</v>
      </c>
      <c r="B816" s="218" t="s">
        <v>1505</v>
      </c>
      <c r="C816" s="223">
        <v>1</v>
      </c>
      <c r="D816" s="218" t="s">
        <v>1488</v>
      </c>
      <c r="E816" s="240">
        <v>2</v>
      </c>
      <c r="F816" s="226">
        <v>2035.301778</v>
      </c>
      <c r="G816" s="223">
        <v>1985</v>
      </c>
      <c r="H816" s="223">
        <v>1</v>
      </c>
      <c r="I816" s="223">
        <v>0</v>
      </c>
      <c r="J816" s="223"/>
      <c r="K816" s="229">
        <v>33053.300880000003</v>
      </c>
      <c r="L816" s="241">
        <v>80</v>
      </c>
      <c r="M816" s="233">
        <v>6610.6601760000003</v>
      </c>
      <c r="N816" s="230">
        <v>16.239999999999998</v>
      </c>
      <c r="O816" s="231">
        <v>0</v>
      </c>
      <c r="P816" s="315"/>
      <c r="Q816" s="276">
        <f t="shared" si="29"/>
        <v>2035.30</v>
      </c>
      <c r="R816" s="275">
        <f>(SUMIFS('Dec 31 2018 OFFS'!$AG:$AG,'Dec 31 2018 OFFS'!$AI:$AI,'T1 2019 Pipeline Data Lagasco'!$A816,'Dec 31 2018 OFFS'!$U:$U,'T1 2019 Pipeline Data Lagasco'!$E816,'Dec 31 2018 OFFS'!$AK:$AK,'T1 2019 Pipeline Data Lagasco'!$Q816,'Dec 31 2018 OFFS'!$W:$W,'T1 2019 Pipeline Data Lagasco'!$G816))/(MAX(COUNTIFS('Dec 31 2018 OFFS'!$AI:$AI,'T1 2019 Pipeline Data Lagasco'!$A816,'Dec 31 2018 OFFS'!$U:$U,'T1 2019 Pipeline Data Lagasco'!$E816,'Dec 31 2018 OFFS'!$AK:$AK,'T1 2019 Pipeline Data Lagasco'!$Q816,'Dec 31 2018 OFFS'!$W:$W,'T1 2019 Pipeline Data Lagasco'!$G816),1))</f>
        <v>0</v>
      </c>
      <c r="S816" s="275">
        <f t="shared" si="30"/>
        <v>0</v>
      </c>
    </row>
    <row r="817" spans="1:20" ht="14.1" customHeight="1">
      <c r="A817" s="224" t="s">
        <v>1504</v>
      </c>
      <c r="B817" s="218" t="s">
        <v>1505</v>
      </c>
      <c r="C817" s="223">
        <v>1</v>
      </c>
      <c r="D817" s="218" t="s">
        <v>1488</v>
      </c>
      <c r="E817" s="240">
        <v>2</v>
      </c>
      <c r="F817" s="223">
        <v>6091</v>
      </c>
      <c r="G817" s="223">
        <v>1971</v>
      </c>
      <c r="H817" s="223">
        <v>1</v>
      </c>
      <c r="I817" s="223">
        <v>0</v>
      </c>
      <c r="J817" s="223"/>
      <c r="K817" s="238">
        <v>98917.84</v>
      </c>
      <c r="L817" s="241">
        <v>80</v>
      </c>
      <c r="M817" s="239">
        <v>19783.567999999999</v>
      </c>
      <c r="N817" s="230">
        <v>16.239999999999998</v>
      </c>
      <c r="O817" s="231">
        <v>0</v>
      </c>
      <c r="P817" s="315"/>
      <c r="Q817" s="276">
        <f t="shared" si="29"/>
        <v>6091</v>
      </c>
      <c r="R817" s="275">
        <f>(SUMIFS('Dec 31 2018 OFFS'!$AG:$AG,'Dec 31 2018 OFFS'!$AI:$AI,'T1 2019 Pipeline Data Lagasco'!$A817,'Dec 31 2018 OFFS'!$U:$U,'T1 2019 Pipeline Data Lagasco'!$E817,'Dec 31 2018 OFFS'!$AK:$AK,'T1 2019 Pipeline Data Lagasco'!$Q817,'Dec 31 2018 OFFS'!$W:$W,'T1 2019 Pipeline Data Lagasco'!$G817))/(MAX(COUNTIFS('Dec 31 2018 OFFS'!$AI:$AI,'T1 2019 Pipeline Data Lagasco'!$A817,'Dec 31 2018 OFFS'!$U:$U,'T1 2019 Pipeline Data Lagasco'!$E817,'Dec 31 2018 OFFS'!$AK:$AK,'T1 2019 Pipeline Data Lagasco'!$Q817,'Dec 31 2018 OFFS'!$W:$W,'T1 2019 Pipeline Data Lagasco'!$G817),1))</f>
        <v>0</v>
      </c>
      <c r="S817" s="275">
        <f t="shared" si="30"/>
        <v>0</v>
      </c>
      <c r="T817" s="217"/>
    </row>
    <row r="818" spans="1:20" ht="14.1" customHeight="1">
      <c r="A818" s="224" t="s">
        <v>1504</v>
      </c>
      <c r="B818" s="218" t="s">
        <v>1505</v>
      </c>
      <c r="C818" s="223">
        <v>1</v>
      </c>
      <c r="D818" s="218" t="s">
        <v>1488</v>
      </c>
      <c r="E818" s="240">
        <v>2</v>
      </c>
      <c r="F818" s="226">
        <v>5371.456537</v>
      </c>
      <c r="G818" s="223">
        <v>1971</v>
      </c>
      <c r="H818" s="223">
        <v>1</v>
      </c>
      <c r="I818" s="246">
        <v>0</v>
      </c>
      <c r="J818" s="223"/>
      <c r="K818" s="229">
        <v>87232.454169999997</v>
      </c>
      <c r="L818" s="241">
        <v>80</v>
      </c>
      <c r="M818" s="229">
        <v>17446.490829999999</v>
      </c>
      <c r="N818" s="230">
        <v>16.239999999999998</v>
      </c>
      <c r="O818" s="248">
        <v>0</v>
      </c>
      <c r="P818" s="317" t="s">
        <v>1560</v>
      </c>
      <c r="Q818" s="276">
        <f t="shared" si="29"/>
        <v>5371.46</v>
      </c>
      <c r="R818" s="275">
        <f>(SUMIFS('Dec 31 2018 OFFS'!$AG:$AG,'Dec 31 2018 OFFS'!$AI:$AI,'T1 2019 Pipeline Data Lagasco'!$A818,'Dec 31 2018 OFFS'!$U:$U,'T1 2019 Pipeline Data Lagasco'!$E818,'Dec 31 2018 OFFS'!$AK:$AK,'T1 2019 Pipeline Data Lagasco'!$Q818,'Dec 31 2018 OFFS'!$W:$W,'T1 2019 Pipeline Data Lagasco'!$G818))/(MAX(COUNTIFS('Dec 31 2018 OFFS'!$AI:$AI,'T1 2019 Pipeline Data Lagasco'!$A818,'Dec 31 2018 OFFS'!$U:$U,'T1 2019 Pipeline Data Lagasco'!$E818,'Dec 31 2018 OFFS'!$AK:$AK,'T1 2019 Pipeline Data Lagasco'!$Q818,'Dec 31 2018 OFFS'!$W:$W,'T1 2019 Pipeline Data Lagasco'!$G818),1))</f>
        <v>0</v>
      </c>
      <c r="S818" s="275">
        <f t="shared" si="30"/>
        <v>0</v>
      </c>
      <c r="T818" s="278" t="e">
        <f>R818/O818</f>
        <v>#DIV/0!</v>
      </c>
    </row>
    <row r="819" spans="1:20" ht="14.1" customHeight="1">
      <c r="A819" s="224" t="s">
        <v>1504</v>
      </c>
      <c r="B819" s="218" t="s">
        <v>1505</v>
      </c>
      <c r="C819" s="223">
        <v>1</v>
      </c>
      <c r="D819" s="218" t="s">
        <v>1488</v>
      </c>
      <c r="E819" s="240">
        <v>2</v>
      </c>
      <c r="F819" s="226">
        <v>4351.4762520000004</v>
      </c>
      <c r="G819" s="223">
        <v>1978</v>
      </c>
      <c r="H819" s="223">
        <v>1</v>
      </c>
      <c r="I819" s="223">
        <v>1</v>
      </c>
      <c r="J819" s="223"/>
      <c r="K819" s="229">
        <v>70667.974329999997</v>
      </c>
      <c r="L819" s="241">
        <v>80</v>
      </c>
      <c r="M819" s="229">
        <v>14133.594870000001</v>
      </c>
      <c r="N819" s="230">
        <v>16.239999999999998</v>
      </c>
      <c r="O819" s="231">
        <v>14133</v>
      </c>
      <c r="P819" s="315"/>
      <c r="Q819" s="276">
        <f t="shared" si="29"/>
        <v>4351.4799999999996</v>
      </c>
      <c r="R819" s="275">
        <f>(SUMIFS('Dec 31 2018 OFFS'!$AG:$AG,'Dec 31 2018 OFFS'!$AI:$AI,'T1 2019 Pipeline Data Lagasco'!$A819,'Dec 31 2018 OFFS'!$U:$U,'T1 2019 Pipeline Data Lagasco'!$E819,'Dec 31 2018 OFFS'!$AK:$AK,'T1 2019 Pipeline Data Lagasco'!$Q819,'Dec 31 2018 OFFS'!$W:$W,'T1 2019 Pipeline Data Lagasco'!$G819))/(MAX(COUNTIFS('Dec 31 2018 OFFS'!$AI:$AI,'T1 2019 Pipeline Data Lagasco'!$A819,'Dec 31 2018 OFFS'!$U:$U,'T1 2019 Pipeline Data Lagasco'!$E819,'Dec 31 2018 OFFS'!$AK:$AK,'T1 2019 Pipeline Data Lagasco'!$Q819,'Dec 31 2018 OFFS'!$W:$W,'T1 2019 Pipeline Data Lagasco'!$G819),1))</f>
        <v>14133</v>
      </c>
      <c r="S819" s="275">
        <f t="shared" si="30"/>
        <v>0</v>
      </c>
      <c r="T819" s="217"/>
    </row>
    <row r="820" spans="1:20" ht="14.1" customHeight="1">
      <c r="A820" s="224" t="s">
        <v>1504</v>
      </c>
      <c r="B820" s="218" t="s">
        <v>1505</v>
      </c>
      <c r="C820" s="223">
        <v>1</v>
      </c>
      <c r="D820" s="218" t="s">
        <v>1488</v>
      </c>
      <c r="E820" s="240">
        <v>2</v>
      </c>
      <c r="F820" s="226">
        <v>4557.1849069999998</v>
      </c>
      <c r="G820" s="223">
        <v>1978</v>
      </c>
      <c r="H820" s="223">
        <v>1</v>
      </c>
      <c r="I820" s="223">
        <v>0</v>
      </c>
      <c r="J820" s="223"/>
      <c r="K820" s="228">
        <v>74008.6829</v>
      </c>
      <c r="L820" s="241">
        <v>80</v>
      </c>
      <c r="M820" s="229">
        <v>14801.736580000001</v>
      </c>
      <c r="N820" s="230">
        <v>16.239999999999998</v>
      </c>
      <c r="O820" s="231">
        <v>0</v>
      </c>
      <c r="P820" s="315"/>
      <c r="Q820" s="276">
        <f t="shared" si="29"/>
        <v>4557.18</v>
      </c>
      <c r="R820" s="275">
        <f>(SUMIFS('Dec 31 2018 OFFS'!$AG:$AG,'Dec 31 2018 OFFS'!$AI:$AI,'T1 2019 Pipeline Data Lagasco'!$A820,'Dec 31 2018 OFFS'!$U:$U,'T1 2019 Pipeline Data Lagasco'!$E820,'Dec 31 2018 OFFS'!$AK:$AK,'T1 2019 Pipeline Data Lagasco'!$Q820,'Dec 31 2018 OFFS'!$W:$W,'T1 2019 Pipeline Data Lagasco'!$G820))/(MAX(COUNTIFS('Dec 31 2018 OFFS'!$AI:$AI,'T1 2019 Pipeline Data Lagasco'!$A820,'Dec 31 2018 OFFS'!$U:$U,'T1 2019 Pipeline Data Lagasco'!$E820,'Dec 31 2018 OFFS'!$AK:$AK,'T1 2019 Pipeline Data Lagasco'!$Q820,'Dec 31 2018 OFFS'!$W:$W,'T1 2019 Pipeline Data Lagasco'!$G820),1))</f>
        <v>0</v>
      </c>
      <c r="S820" s="275">
        <f t="shared" si="30"/>
        <v>0</v>
      </c>
      <c r="T820" s="217"/>
    </row>
    <row r="821" spans="1:20" ht="14.1" customHeight="1">
      <c r="A821" s="224" t="s">
        <v>1504</v>
      </c>
      <c r="B821" s="218" t="s">
        <v>1505</v>
      </c>
      <c r="C821" s="223">
        <v>1</v>
      </c>
      <c r="D821" s="218" t="s">
        <v>1488</v>
      </c>
      <c r="E821" s="240">
        <v>2</v>
      </c>
      <c r="F821" s="226">
        <v>5715.9775250000002</v>
      </c>
      <c r="G821" s="223">
        <v>1978</v>
      </c>
      <c r="H821" s="223">
        <v>1</v>
      </c>
      <c r="I821" s="223">
        <v>0</v>
      </c>
      <c r="J821" s="223"/>
      <c r="K821" s="239">
        <v>92827.475000000006</v>
      </c>
      <c r="L821" s="241">
        <v>80</v>
      </c>
      <c r="M821" s="239">
        <v>18565.494999999999</v>
      </c>
      <c r="N821" s="230">
        <v>16.239999999999998</v>
      </c>
      <c r="O821" s="231">
        <v>0</v>
      </c>
      <c r="P821" s="315"/>
      <c r="Q821" s="276">
        <f t="shared" si="29"/>
        <v>5715.98</v>
      </c>
      <c r="R821" s="275">
        <f>(SUMIFS('Dec 31 2018 OFFS'!$AG:$AG,'Dec 31 2018 OFFS'!$AI:$AI,'T1 2019 Pipeline Data Lagasco'!$A821,'Dec 31 2018 OFFS'!$U:$U,'T1 2019 Pipeline Data Lagasco'!$E821,'Dec 31 2018 OFFS'!$AK:$AK,'T1 2019 Pipeline Data Lagasco'!$Q821,'Dec 31 2018 OFFS'!$W:$W,'T1 2019 Pipeline Data Lagasco'!$G821))/(MAX(COUNTIFS('Dec 31 2018 OFFS'!$AI:$AI,'T1 2019 Pipeline Data Lagasco'!$A821,'Dec 31 2018 OFFS'!$U:$U,'T1 2019 Pipeline Data Lagasco'!$E821,'Dec 31 2018 OFFS'!$AK:$AK,'T1 2019 Pipeline Data Lagasco'!$Q821,'Dec 31 2018 OFFS'!$W:$W,'T1 2019 Pipeline Data Lagasco'!$G821),1))</f>
        <v>0</v>
      </c>
      <c r="S821" s="275">
        <f t="shared" si="30"/>
        <v>0</v>
      </c>
      <c r="T821" s="217"/>
    </row>
    <row r="822" spans="1:20" ht="14.1" customHeight="1">
      <c r="A822" s="224" t="s">
        <v>1504</v>
      </c>
      <c r="B822" s="218" t="s">
        <v>1505</v>
      </c>
      <c r="C822" s="223">
        <v>1</v>
      </c>
      <c r="D822" s="218" t="s">
        <v>1488</v>
      </c>
      <c r="E822" s="240">
        <v>2</v>
      </c>
      <c r="F822" s="226">
        <v>1717.388402</v>
      </c>
      <c r="G822" s="223">
        <v>1985</v>
      </c>
      <c r="H822" s="223">
        <v>1</v>
      </c>
      <c r="I822" s="223">
        <v>1</v>
      </c>
      <c r="J822" s="223"/>
      <c r="K822" s="229">
        <v>27890.387640000001</v>
      </c>
      <c r="L822" s="241">
        <v>80</v>
      </c>
      <c r="M822" s="233">
        <v>5578.0775290000001</v>
      </c>
      <c r="N822" s="230">
        <v>16.239999999999998</v>
      </c>
      <c r="O822" s="231">
        <v>5578</v>
      </c>
      <c r="P822" s="315"/>
      <c r="Q822" s="276">
        <f t="shared" si="29"/>
        <v>1717.39</v>
      </c>
      <c r="R822" s="275">
        <f>(SUMIFS('Dec 31 2018 OFFS'!$AG:$AG,'Dec 31 2018 OFFS'!$AI:$AI,'T1 2019 Pipeline Data Lagasco'!$A822,'Dec 31 2018 OFFS'!$U:$U,'T1 2019 Pipeline Data Lagasco'!$E822,'Dec 31 2018 OFFS'!$AK:$AK,'T1 2019 Pipeline Data Lagasco'!$Q822,'Dec 31 2018 OFFS'!$W:$W,'T1 2019 Pipeline Data Lagasco'!$G822))/(MAX(COUNTIFS('Dec 31 2018 OFFS'!$AI:$AI,'T1 2019 Pipeline Data Lagasco'!$A822,'Dec 31 2018 OFFS'!$U:$U,'T1 2019 Pipeline Data Lagasco'!$E822,'Dec 31 2018 OFFS'!$AK:$AK,'T1 2019 Pipeline Data Lagasco'!$Q822,'Dec 31 2018 OFFS'!$W:$W,'T1 2019 Pipeline Data Lagasco'!$G822),1))</f>
        <v>5578</v>
      </c>
      <c r="S822" s="275">
        <f t="shared" si="30"/>
        <v>0</v>
      </c>
      <c r="T822" s="217"/>
    </row>
    <row r="823" spans="1:20" ht="14.1" customHeight="1">
      <c r="A823" s="224" t="s">
        <v>1504</v>
      </c>
      <c r="B823" s="218" t="s">
        <v>1505</v>
      </c>
      <c r="C823" s="223">
        <v>1</v>
      </c>
      <c r="D823" s="218" t="s">
        <v>1488</v>
      </c>
      <c r="E823" s="240">
        <v>2</v>
      </c>
      <c r="F823" s="223">
        <v>2664</v>
      </c>
      <c r="G823" s="223">
        <v>1980</v>
      </c>
      <c r="H823" s="223">
        <v>1</v>
      </c>
      <c r="I823" s="223">
        <v>0</v>
      </c>
      <c r="J823" s="223"/>
      <c r="K823" s="238">
        <v>43263.36</v>
      </c>
      <c r="L823" s="241">
        <v>80</v>
      </c>
      <c r="M823" s="239">
        <v>8652.6720000000005</v>
      </c>
      <c r="N823" s="230">
        <v>16.239999999999998</v>
      </c>
      <c r="O823" s="231">
        <v>0</v>
      </c>
      <c r="P823" s="315"/>
      <c r="Q823" s="276">
        <f t="shared" si="29"/>
        <v>2664</v>
      </c>
      <c r="R823" s="275">
        <f>(SUMIFS('Dec 31 2018 OFFS'!$AG:$AG,'Dec 31 2018 OFFS'!$AI:$AI,'T1 2019 Pipeline Data Lagasco'!$A823,'Dec 31 2018 OFFS'!$U:$U,'T1 2019 Pipeline Data Lagasco'!$E823,'Dec 31 2018 OFFS'!$AK:$AK,'T1 2019 Pipeline Data Lagasco'!$Q823,'Dec 31 2018 OFFS'!$W:$W,'T1 2019 Pipeline Data Lagasco'!$G823))/(MAX(COUNTIFS('Dec 31 2018 OFFS'!$AI:$AI,'T1 2019 Pipeline Data Lagasco'!$A823,'Dec 31 2018 OFFS'!$U:$U,'T1 2019 Pipeline Data Lagasco'!$E823,'Dec 31 2018 OFFS'!$AK:$AK,'T1 2019 Pipeline Data Lagasco'!$Q823,'Dec 31 2018 OFFS'!$W:$W,'T1 2019 Pipeline Data Lagasco'!$G823),1))</f>
        <v>0</v>
      </c>
      <c r="S823" s="275">
        <f t="shared" si="30"/>
        <v>0</v>
      </c>
      <c r="T823" s="217"/>
    </row>
    <row r="824" spans="1:20" ht="14.1" customHeight="1">
      <c r="A824" s="224" t="s">
        <v>1504</v>
      </c>
      <c r="B824" s="218" t="s">
        <v>1505</v>
      </c>
      <c r="C824" s="223">
        <v>1</v>
      </c>
      <c r="D824" s="218" t="s">
        <v>1488</v>
      </c>
      <c r="E824" s="240">
        <v>2</v>
      </c>
      <c r="F824" s="226">
        <v>4664.369944</v>
      </c>
      <c r="G824" s="223">
        <v>1985</v>
      </c>
      <c r="H824" s="223">
        <v>1</v>
      </c>
      <c r="I824" s="223">
        <v>1</v>
      </c>
      <c r="J824" s="223"/>
      <c r="K824" s="229">
        <v>75749.367889999994</v>
      </c>
      <c r="L824" s="241">
        <v>80</v>
      </c>
      <c r="M824" s="229">
        <v>15149.873579999999</v>
      </c>
      <c r="N824" s="230">
        <v>16.239999999999998</v>
      </c>
      <c r="O824" s="231">
        <v>15149</v>
      </c>
      <c r="P824" s="315"/>
      <c r="Q824" s="276">
        <f t="shared" si="29"/>
        <v>4664.37</v>
      </c>
      <c r="R824" s="275">
        <f>(SUMIFS('Dec 31 2018 OFFS'!$AG:$AG,'Dec 31 2018 OFFS'!$AI:$AI,'T1 2019 Pipeline Data Lagasco'!$A824,'Dec 31 2018 OFFS'!$U:$U,'T1 2019 Pipeline Data Lagasco'!$E824,'Dec 31 2018 OFFS'!$AK:$AK,'T1 2019 Pipeline Data Lagasco'!$Q824,'Dec 31 2018 OFFS'!$W:$W,'T1 2019 Pipeline Data Lagasco'!$G824))/(MAX(COUNTIFS('Dec 31 2018 OFFS'!$AI:$AI,'T1 2019 Pipeline Data Lagasco'!$A824,'Dec 31 2018 OFFS'!$U:$U,'T1 2019 Pipeline Data Lagasco'!$E824,'Dec 31 2018 OFFS'!$AK:$AK,'T1 2019 Pipeline Data Lagasco'!$Q824,'Dec 31 2018 OFFS'!$W:$W,'T1 2019 Pipeline Data Lagasco'!$G824),1))</f>
        <v>15149</v>
      </c>
      <c r="S824" s="275">
        <f t="shared" si="30"/>
        <v>0</v>
      </c>
      <c r="T824" s="217"/>
    </row>
    <row r="825" spans="1:20" ht="14.1" customHeight="1">
      <c r="A825" s="224" t="s">
        <v>1504</v>
      </c>
      <c r="B825" s="218" t="s">
        <v>1505</v>
      </c>
      <c r="C825" s="223">
        <v>1</v>
      </c>
      <c r="D825" s="218" t="s">
        <v>1488</v>
      </c>
      <c r="E825" s="240">
        <v>2</v>
      </c>
      <c r="F825" s="223">
        <v>188</v>
      </c>
      <c r="G825" s="223">
        <v>1981</v>
      </c>
      <c r="H825" s="223">
        <v>1</v>
      </c>
      <c r="I825" s="223">
        <v>1</v>
      </c>
      <c r="J825" s="223"/>
      <c r="K825" s="238">
        <v>3053.12</v>
      </c>
      <c r="L825" s="241">
        <v>80</v>
      </c>
      <c r="M825" s="239">
        <v>610.62400000000002</v>
      </c>
      <c r="N825" s="230">
        <v>16.239999999999998</v>
      </c>
      <c r="O825" s="231">
        <v>610</v>
      </c>
      <c r="P825" s="315"/>
      <c r="Q825" s="276">
        <f t="shared" si="29"/>
        <v>188</v>
      </c>
      <c r="R825" s="275">
        <f>(SUMIFS('Dec 31 2018 OFFS'!$AG:$AG,'Dec 31 2018 OFFS'!$AI:$AI,'T1 2019 Pipeline Data Lagasco'!$A825,'Dec 31 2018 OFFS'!$U:$U,'T1 2019 Pipeline Data Lagasco'!$E825,'Dec 31 2018 OFFS'!$AK:$AK,'T1 2019 Pipeline Data Lagasco'!$Q825,'Dec 31 2018 OFFS'!$W:$W,'T1 2019 Pipeline Data Lagasco'!$G825))/(MAX(COUNTIFS('Dec 31 2018 OFFS'!$AI:$AI,'T1 2019 Pipeline Data Lagasco'!$A825,'Dec 31 2018 OFFS'!$U:$U,'T1 2019 Pipeline Data Lagasco'!$E825,'Dec 31 2018 OFFS'!$AK:$AK,'T1 2019 Pipeline Data Lagasco'!$Q825,'Dec 31 2018 OFFS'!$W:$W,'T1 2019 Pipeline Data Lagasco'!$G825),1))</f>
        <v>610</v>
      </c>
      <c r="S825" s="275">
        <f t="shared" si="30"/>
        <v>0</v>
      </c>
      <c r="T825" s="217"/>
    </row>
    <row r="826" spans="1:20" ht="14.1" customHeight="1">
      <c r="A826" s="224" t="s">
        <v>1504</v>
      </c>
      <c r="B826" s="218" t="s">
        <v>1505</v>
      </c>
      <c r="C826" s="223">
        <v>1</v>
      </c>
      <c r="D826" s="218" t="s">
        <v>1488</v>
      </c>
      <c r="E826" s="240">
        <v>3</v>
      </c>
      <c r="F826" s="223">
        <v>5300</v>
      </c>
      <c r="G826" s="223">
        <v>2003</v>
      </c>
      <c r="H826" s="223">
        <v>1</v>
      </c>
      <c r="I826" s="223">
        <v>1</v>
      </c>
      <c r="J826" s="223"/>
      <c r="K826" s="240">
        <v>125027</v>
      </c>
      <c r="L826" s="241">
        <v>57</v>
      </c>
      <c r="M826" s="238">
        <v>53761.61</v>
      </c>
      <c r="N826" s="230">
        <v>23.59</v>
      </c>
      <c r="O826" s="231">
        <v>53761</v>
      </c>
      <c r="P826" s="315"/>
      <c r="Q826" s="276">
        <f t="shared" si="29"/>
        <v>5300</v>
      </c>
      <c r="R826" s="275">
        <f>(SUMIFS('Dec 31 2018 OFFS'!$AG:$AG,'Dec 31 2018 OFFS'!$AI:$AI,'T1 2019 Pipeline Data Lagasco'!$A826,'Dec 31 2018 OFFS'!$U:$U,'T1 2019 Pipeline Data Lagasco'!$E826,'Dec 31 2018 OFFS'!$AK:$AK,'T1 2019 Pipeline Data Lagasco'!$Q826,'Dec 31 2018 OFFS'!$W:$W,'T1 2019 Pipeline Data Lagasco'!$G826))/(MAX(COUNTIFS('Dec 31 2018 OFFS'!$AI:$AI,'T1 2019 Pipeline Data Lagasco'!$A826,'Dec 31 2018 OFFS'!$U:$U,'T1 2019 Pipeline Data Lagasco'!$E826,'Dec 31 2018 OFFS'!$AK:$AK,'T1 2019 Pipeline Data Lagasco'!$Q826,'Dec 31 2018 OFFS'!$W:$W,'T1 2019 Pipeline Data Lagasco'!$G826),1))</f>
        <v>53761</v>
      </c>
      <c r="S826" s="275">
        <f t="shared" si="30"/>
        <v>0</v>
      </c>
      <c r="T826" s="217"/>
    </row>
    <row r="827" spans="1:20" ht="14.1" customHeight="1">
      <c r="A827" s="224" t="s">
        <v>1504</v>
      </c>
      <c r="B827" s="218" t="s">
        <v>1505</v>
      </c>
      <c r="C827" s="223">
        <v>1</v>
      </c>
      <c r="D827" s="218" t="s">
        <v>1488</v>
      </c>
      <c r="E827" s="240">
        <v>3</v>
      </c>
      <c r="F827" s="223">
        <v>5469</v>
      </c>
      <c r="G827" s="223">
        <v>2004</v>
      </c>
      <c r="H827" s="223">
        <v>1</v>
      </c>
      <c r="I827" s="223">
        <v>1</v>
      </c>
      <c r="J827" s="223"/>
      <c r="K827" s="238">
        <v>129013.71</v>
      </c>
      <c r="L827" s="241">
        <v>56</v>
      </c>
      <c r="M827" s="228">
        <v>56766.032399999996</v>
      </c>
      <c r="N827" s="230">
        <v>23.59</v>
      </c>
      <c r="O827" s="231">
        <v>56766</v>
      </c>
      <c r="P827" s="315"/>
      <c r="Q827" s="276">
        <f t="shared" si="29"/>
        <v>5469</v>
      </c>
      <c r="R827" s="275">
        <f>(SUMIFS('Dec 31 2018 OFFS'!$AG:$AG,'Dec 31 2018 OFFS'!$AI:$AI,'T1 2019 Pipeline Data Lagasco'!$A827,'Dec 31 2018 OFFS'!$U:$U,'T1 2019 Pipeline Data Lagasco'!$E827,'Dec 31 2018 OFFS'!$AK:$AK,'T1 2019 Pipeline Data Lagasco'!$Q827,'Dec 31 2018 OFFS'!$W:$W,'T1 2019 Pipeline Data Lagasco'!$G827))/(MAX(COUNTIFS('Dec 31 2018 OFFS'!$AI:$AI,'T1 2019 Pipeline Data Lagasco'!$A827,'Dec 31 2018 OFFS'!$U:$U,'T1 2019 Pipeline Data Lagasco'!$E827,'Dec 31 2018 OFFS'!$AK:$AK,'T1 2019 Pipeline Data Lagasco'!$Q827,'Dec 31 2018 OFFS'!$W:$W,'T1 2019 Pipeline Data Lagasco'!$G827),1))</f>
        <v>56766</v>
      </c>
      <c r="S827" s="275">
        <f t="shared" si="30"/>
        <v>0</v>
      </c>
      <c r="T827" s="217"/>
    </row>
    <row r="828" spans="1:20" ht="14.1" customHeight="1">
      <c r="A828" s="224" t="s">
        <v>1504</v>
      </c>
      <c r="B828" s="218" t="s">
        <v>1505</v>
      </c>
      <c r="C828" s="223">
        <v>1</v>
      </c>
      <c r="D828" s="218" t="s">
        <v>1488</v>
      </c>
      <c r="E828" s="240">
        <v>3</v>
      </c>
      <c r="F828" s="223">
        <v>2800</v>
      </c>
      <c r="G828" s="223">
        <v>2006</v>
      </c>
      <c r="H828" s="223">
        <v>1</v>
      </c>
      <c r="I828" s="223">
        <v>0</v>
      </c>
      <c r="J828" s="223"/>
      <c r="K828" s="240">
        <v>66052</v>
      </c>
      <c r="L828" s="241">
        <v>52</v>
      </c>
      <c r="M828" s="238">
        <v>31704.96</v>
      </c>
      <c r="N828" s="230">
        <v>23.59</v>
      </c>
      <c r="O828" s="231">
        <v>0</v>
      </c>
      <c r="P828" s="315"/>
      <c r="Q828" s="276">
        <f t="shared" si="29"/>
        <v>2800</v>
      </c>
      <c r="R828" s="275">
        <f>(SUMIFS('Dec 31 2018 OFFS'!$AG:$AG,'Dec 31 2018 OFFS'!$AI:$AI,'T1 2019 Pipeline Data Lagasco'!$A828,'Dec 31 2018 OFFS'!$U:$U,'T1 2019 Pipeline Data Lagasco'!$E828,'Dec 31 2018 OFFS'!$AK:$AK,'T1 2019 Pipeline Data Lagasco'!$Q828,'Dec 31 2018 OFFS'!$W:$W,'T1 2019 Pipeline Data Lagasco'!$G828))/(MAX(COUNTIFS('Dec 31 2018 OFFS'!$AI:$AI,'T1 2019 Pipeline Data Lagasco'!$A828,'Dec 31 2018 OFFS'!$U:$U,'T1 2019 Pipeline Data Lagasco'!$E828,'Dec 31 2018 OFFS'!$AK:$AK,'T1 2019 Pipeline Data Lagasco'!$Q828,'Dec 31 2018 OFFS'!$W:$W,'T1 2019 Pipeline Data Lagasco'!$G828),1))</f>
        <v>0</v>
      </c>
      <c r="S828" s="275">
        <f t="shared" si="30"/>
        <v>0</v>
      </c>
      <c r="T828" s="217"/>
    </row>
    <row r="829" spans="1:20" ht="14.1" customHeight="1">
      <c r="A829" s="224" t="s">
        <v>1504</v>
      </c>
      <c r="B829" s="218" t="s">
        <v>1505</v>
      </c>
      <c r="C829" s="223">
        <v>1</v>
      </c>
      <c r="D829" s="218" t="s">
        <v>1488</v>
      </c>
      <c r="E829" s="240">
        <v>3</v>
      </c>
      <c r="F829" s="230">
        <v>3609.65</v>
      </c>
      <c r="G829" s="223">
        <v>1998</v>
      </c>
      <c r="H829" s="223">
        <v>1</v>
      </c>
      <c r="I829" s="223">
        <v>0</v>
      </c>
      <c r="J829" s="223"/>
      <c r="K829" s="228">
        <v>85151.643500000006</v>
      </c>
      <c r="L829" s="241">
        <v>63</v>
      </c>
      <c r="M829" s="228">
        <v>31506.108100000001</v>
      </c>
      <c r="N829" s="230">
        <v>23.59</v>
      </c>
      <c r="O829" s="231">
        <v>0</v>
      </c>
      <c r="P829" s="315"/>
      <c r="Q829" s="276">
        <f t="shared" si="29"/>
        <v>3609.65</v>
      </c>
      <c r="R829" s="275">
        <f>(SUMIFS('Dec 31 2018 OFFS'!$AG:$AG,'Dec 31 2018 OFFS'!$AI:$AI,'T1 2019 Pipeline Data Lagasco'!$A829,'Dec 31 2018 OFFS'!$U:$U,'T1 2019 Pipeline Data Lagasco'!$E829,'Dec 31 2018 OFFS'!$AK:$AK,'T1 2019 Pipeline Data Lagasco'!$Q829,'Dec 31 2018 OFFS'!$W:$W,'T1 2019 Pipeline Data Lagasco'!$G829))/(MAX(COUNTIFS('Dec 31 2018 OFFS'!$AI:$AI,'T1 2019 Pipeline Data Lagasco'!$A829,'Dec 31 2018 OFFS'!$U:$U,'T1 2019 Pipeline Data Lagasco'!$E829,'Dec 31 2018 OFFS'!$AK:$AK,'T1 2019 Pipeline Data Lagasco'!$Q829,'Dec 31 2018 OFFS'!$W:$W,'T1 2019 Pipeline Data Lagasco'!$G829),1))</f>
        <v>0</v>
      </c>
      <c r="S829" s="275">
        <f t="shared" si="30"/>
        <v>0</v>
      </c>
      <c r="T829" s="217"/>
    </row>
    <row r="830" spans="1:20" ht="14.1" customHeight="1">
      <c r="A830" s="224" t="s">
        <v>1504</v>
      </c>
      <c r="B830" s="218" t="s">
        <v>1505</v>
      </c>
      <c r="C830" s="223">
        <v>1</v>
      </c>
      <c r="D830" s="218" t="s">
        <v>1488</v>
      </c>
      <c r="E830" s="240">
        <v>3</v>
      </c>
      <c r="F830" s="232">
        <v>514.27163870000004</v>
      </c>
      <c r="G830" s="223">
        <v>2002</v>
      </c>
      <c r="H830" s="223">
        <v>1</v>
      </c>
      <c r="I830" s="223">
        <v>0</v>
      </c>
      <c r="J830" s="223"/>
      <c r="K830" s="229">
        <v>12131.667960000001</v>
      </c>
      <c r="L830" s="241">
        <v>57</v>
      </c>
      <c r="M830" s="233">
        <v>5216.6172210000004</v>
      </c>
      <c r="N830" s="230">
        <v>23.59</v>
      </c>
      <c r="O830" s="231">
        <v>0</v>
      </c>
      <c r="P830" s="315"/>
      <c r="Q830" s="276">
        <f t="shared" si="29"/>
        <v>514.27</v>
      </c>
      <c r="R830" s="275">
        <f>(SUMIFS('Dec 31 2018 OFFS'!$AG:$AG,'Dec 31 2018 OFFS'!$AI:$AI,'T1 2019 Pipeline Data Lagasco'!$A830,'Dec 31 2018 OFFS'!$U:$U,'T1 2019 Pipeline Data Lagasco'!$E830,'Dec 31 2018 OFFS'!$AK:$AK,'T1 2019 Pipeline Data Lagasco'!$Q830,'Dec 31 2018 OFFS'!$W:$W,'T1 2019 Pipeline Data Lagasco'!$G830))/(MAX(COUNTIFS('Dec 31 2018 OFFS'!$AI:$AI,'T1 2019 Pipeline Data Lagasco'!$A830,'Dec 31 2018 OFFS'!$U:$U,'T1 2019 Pipeline Data Lagasco'!$E830,'Dec 31 2018 OFFS'!$AK:$AK,'T1 2019 Pipeline Data Lagasco'!$Q830,'Dec 31 2018 OFFS'!$W:$W,'T1 2019 Pipeline Data Lagasco'!$G830),1))</f>
        <v>0</v>
      </c>
      <c r="S830" s="275">
        <f t="shared" si="30"/>
        <v>0</v>
      </c>
      <c r="T830" s="217"/>
    </row>
    <row r="831" spans="1:20" ht="14.1" customHeight="1">
      <c r="A831" s="224" t="s">
        <v>1504</v>
      </c>
      <c r="B831" s="218" t="s">
        <v>1505</v>
      </c>
      <c r="C831" s="223">
        <v>1</v>
      </c>
      <c r="D831" s="218" t="s">
        <v>1488</v>
      </c>
      <c r="E831" s="240">
        <v>3</v>
      </c>
      <c r="F831" s="223">
        <v>5849</v>
      </c>
      <c r="G831" s="223">
        <v>2006</v>
      </c>
      <c r="H831" s="223">
        <v>1</v>
      </c>
      <c r="I831" s="223">
        <v>0</v>
      </c>
      <c r="J831" s="223"/>
      <c r="K831" s="238">
        <v>137977.91</v>
      </c>
      <c r="L831" s="241">
        <v>52</v>
      </c>
      <c r="M831" s="228">
        <v>66229.396800000002</v>
      </c>
      <c r="N831" s="230">
        <v>23.59</v>
      </c>
      <c r="O831" s="231">
        <v>0</v>
      </c>
      <c r="P831" s="315"/>
      <c r="Q831" s="279">
        <f t="shared" si="29"/>
        <v>5849</v>
      </c>
      <c r="R831" s="322">
        <f>(SUMIFS('Dec 31 2018 OFFS'!$AG:$AG,'Dec 31 2018 OFFS'!$AI:$AI,'T1 2019 Pipeline Data Lagasco'!$A831,'Dec 31 2018 OFFS'!$U:$U,'T1 2019 Pipeline Data Lagasco'!$E831,'Dec 31 2018 OFFS'!$AK:$AK,'T1 2019 Pipeline Data Lagasco'!$Q831,'Dec 31 2018 OFFS'!$W:$W,'T1 2019 Pipeline Data Lagasco'!$G831))/(MAX(COUNTIFS('Dec 31 2018 OFFS'!$AI:$AI,'T1 2019 Pipeline Data Lagasco'!$A831,'Dec 31 2018 OFFS'!$U:$U,'T1 2019 Pipeline Data Lagasco'!$E831,'Dec 31 2018 OFFS'!$AK:$AK,'T1 2019 Pipeline Data Lagasco'!$Q831,'Dec 31 2018 OFFS'!$W:$W,'T1 2019 Pipeline Data Lagasco'!$G831),1))*0</f>
        <v>0</v>
      </c>
      <c r="S831" s="275">
        <f t="shared" si="30"/>
        <v>0</v>
      </c>
      <c r="T831" s="278" t="e">
        <f>R831/O831</f>
        <v>#DIV/0!</v>
      </c>
    </row>
    <row r="832" spans="1:20" ht="14.1" customHeight="1">
      <c r="A832" s="224" t="s">
        <v>1504</v>
      </c>
      <c r="B832" s="218" t="s">
        <v>1505</v>
      </c>
      <c r="C832" s="223">
        <v>1</v>
      </c>
      <c r="D832" s="218" t="s">
        <v>1488</v>
      </c>
      <c r="E832" s="240">
        <v>3</v>
      </c>
      <c r="F832" s="223">
        <v>5849</v>
      </c>
      <c r="G832" s="223">
        <v>2006</v>
      </c>
      <c r="H832" s="223">
        <v>1</v>
      </c>
      <c r="I832" s="223">
        <v>1</v>
      </c>
      <c r="J832" s="223"/>
      <c r="K832" s="238">
        <v>137977.91</v>
      </c>
      <c r="L832" s="241">
        <v>52</v>
      </c>
      <c r="M832" s="228">
        <v>66229.396800000002</v>
      </c>
      <c r="N832" s="230">
        <v>23.59</v>
      </c>
      <c r="O832" s="231">
        <v>66229</v>
      </c>
      <c r="P832" s="315"/>
      <c r="Q832" s="279">
        <f t="shared" si="29"/>
        <v>5849</v>
      </c>
      <c r="R832" s="322">
        <f>(SUMIFS('Dec 31 2018 OFFS'!$AG:$AG,'Dec 31 2018 OFFS'!$AI:$AI,'T1 2019 Pipeline Data Lagasco'!$A832,'Dec 31 2018 OFFS'!$U:$U,'T1 2019 Pipeline Data Lagasco'!$E832,'Dec 31 2018 OFFS'!$AK:$AK,'T1 2019 Pipeline Data Lagasco'!$Q832,'Dec 31 2018 OFFS'!$W:$W,'T1 2019 Pipeline Data Lagasco'!$G832))/(MAX(COUNTIFS('Dec 31 2018 OFFS'!$AI:$AI,'T1 2019 Pipeline Data Lagasco'!$A832,'Dec 31 2018 OFFS'!$U:$U,'T1 2019 Pipeline Data Lagasco'!$E832,'Dec 31 2018 OFFS'!$AK:$AK,'T1 2019 Pipeline Data Lagasco'!$Q832,'Dec 31 2018 OFFS'!$W:$W,'T1 2019 Pipeline Data Lagasco'!$G832),1))*2</f>
        <v>66229</v>
      </c>
      <c r="S832" s="275">
        <f t="shared" si="30"/>
        <v>0</v>
      </c>
      <c r="T832" s="217"/>
    </row>
    <row r="833" spans="1:19" s="217" customFormat="1" ht="14.1" customHeight="1">
      <c r="A833" s="224" t="s">
        <v>1504</v>
      </c>
      <c r="B833" s="218" t="s">
        <v>1505</v>
      </c>
      <c r="C833" s="223">
        <v>1</v>
      </c>
      <c r="D833" s="218" t="s">
        <v>1488</v>
      </c>
      <c r="E833" s="240">
        <v>3</v>
      </c>
      <c r="F833" s="223">
        <v>2719</v>
      </c>
      <c r="G833" s="223">
        <v>2006</v>
      </c>
      <c r="H833" s="223">
        <v>1</v>
      </c>
      <c r="I833" s="223">
        <v>1</v>
      </c>
      <c r="J833" s="223"/>
      <c r="K833" s="238">
        <v>64141.21</v>
      </c>
      <c r="L833" s="241">
        <v>52</v>
      </c>
      <c r="M833" s="228">
        <v>30787.7808</v>
      </c>
      <c r="N833" s="230">
        <v>23.59</v>
      </c>
      <c r="O833" s="231">
        <v>30787</v>
      </c>
      <c r="P833" s="315"/>
      <c r="Q833" s="276">
        <f t="shared" si="29"/>
        <v>2719</v>
      </c>
      <c r="R833" s="275">
        <f>(SUMIFS('Dec 31 2018 OFFS'!$AG:$AG,'Dec 31 2018 OFFS'!$AI:$AI,'T1 2019 Pipeline Data Lagasco'!$A833,'Dec 31 2018 OFFS'!$U:$U,'T1 2019 Pipeline Data Lagasco'!$E833,'Dec 31 2018 OFFS'!$AK:$AK,'T1 2019 Pipeline Data Lagasco'!$Q833,'Dec 31 2018 OFFS'!$W:$W,'T1 2019 Pipeline Data Lagasco'!$G833))/(MAX(COUNTIFS('Dec 31 2018 OFFS'!$AI:$AI,'T1 2019 Pipeline Data Lagasco'!$A833,'Dec 31 2018 OFFS'!$U:$U,'T1 2019 Pipeline Data Lagasco'!$E833,'Dec 31 2018 OFFS'!$AK:$AK,'T1 2019 Pipeline Data Lagasco'!$Q833,'Dec 31 2018 OFFS'!$W:$W,'T1 2019 Pipeline Data Lagasco'!$G833),1))</f>
        <v>30787</v>
      </c>
      <c r="S833" s="275">
        <f t="shared" si="30"/>
        <v>0</v>
      </c>
    </row>
    <row r="834" spans="1:19" s="217" customFormat="1" ht="14.1" customHeight="1">
      <c r="A834" s="224" t="s">
        <v>1504</v>
      </c>
      <c r="B834" s="218" t="s">
        <v>1505</v>
      </c>
      <c r="C834" s="223">
        <v>1</v>
      </c>
      <c r="D834" s="218" t="s">
        <v>1488</v>
      </c>
      <c r="E834" s="240">
        <v>3</v>
      </c>
      <c r="F834" s="223">
        <v>1325</v>
      </c>
      <c r="G834" s="223">
        <v>2001</v>
      </c>
      <c r="H834" s="223">
        <v>1</v>
      </c>
      <c r="I834" s="223">
        <v>0</v>
      </c>
      <c r="J834" s="223"/>
      <c r="K834" s="238">
        <v>31256.75</v>
      </c>
      <c r="L834" s="241">
        <v>59</v>
      </c>
      <c r="M834" s="228">
        <v>12815.2675</v>
      </c>
      <c r="N834" s="230">
        <v>23.59</v>
      </c>
      <c r="O834" s="231">
        <v>0</v>
      </c>
      <c r="P834" s="315"/>
      <c r="Q834" s="276">
        <f t="shared" si="29"/>
        <v>1325</v>
      </c>
      <c r="R834" s="275">
        <f>(SUMIFS('Dec 31 2018 OFFS'!$AG:$AG,'Dec 31 2018 OFFS'!$AI:$AI,'T1 2019 Pipeline Data Lagasco'!$A834,'Dec 31 2018 OFFS'!$U:$U,'T1 2019 Pipeline Data Lagasco'!$E834,'Dec 31 2018 OFFS'!$AK:$AK,'T1 2019 Pipeline Data Lagasco'!$Q834,'Dec 31 2018 OFFS'!$W:$W,'T1 2019 Pipeline Data Lagasco'!$G834))/(MAX(COUNTIFS('Dec 31 2018 OFFS'!$AI:$AI,'T1 2019 Pipeline Data Lagasco'!$A834,'Dec 31 2018 OFFS'!$U:$U,'T1 2019 Pipeline Data Lagasco'!$E834,'Dec 31 2018 OFFS'!$AK:$AK,'T1 2019 Pipeline Data Lagasco'!$Q834,'Dec 31 2018 OFFS'!$W:$W,'T1 2019 Pipeline Data Lagasco'!$G834),1))</f>
        <v>0</v>
      </c>
      <c r="S834" s="275">
        <f t="shared" si="30"/>
        <v>0</v>
      </c>
    </row>
    <row r="835" spans="1:19" s="217" customFormat="1" ht="14.1" customHeight="1">
      <c r="A835" s="224" t="s">
        <v>1504</v>
      </c>
      <c r="B835" s="218" t="s">
        <v>1505</v>
      </c>
      <c r="C835" s="223">
        <v>1</v>
      </c>
      <c r="D835" s="218" t="s">
        <v>1488</v>
      </c>
      <c r="E835" s="240">
        <v>3</v>
      </c>
      <c r="F835" s="223">
        <v>3228</v>
      </c>
      <c r="G835" s="223">
        <v>2002</v>
      </c>
      <c r="H835" s="223">
        <v>1</v>
      </c>
      <c r="I835" s="223">
        <v>0</v>
      </c>
      <c r="J835" s="223"/>
      <c r="K835" s="238">
        <v>76148.52</v>
      </c>
      <c r="L835" s="241">
        <v>57</v>
      </c>
      <c r="M835" s="228">
        <v>32743.863600000001</v>
      </c>
      <c r="N835" s="230">
        <v>23.59</v>
      </c>
      <c r="O835" s="231">
        <v>0</v>
      </c>
      <c r="P835" s="315"/>
      <c r="Q835" s="276">
        <f t="shared" si="29"/>
        <v>3228</v>
      </c>
      <c r="R835" s="275">
        <f>(SUMIFS('Dec 31 2018 OFFS'!$AG:$AG,'Dec 31 2018 OFFS'!$AI:$AI,'T1 2019 Pipeline Data Lagasco'!$A835,'Dec 31 2018 OFFS'!$U:$U,'T1 2019 Pipeline Data Lagasco'!$E835,'Dec 31 2018 OFFS'!$AK:$AK,'T1 2019 Pipeline Data Lagasco'!$Q835,'Dec 31 2018 OFFS'!$W:$W,'T1 2019 Pipeline Data Lagasco'!$G835))/(MAX(COUNTIFS('Dec 31 2018 OFFS'!$AI:$AI,'T1 2019 Pipeline Data Lagasco'!$A835,'Dec 31 2018 OFFS'!$U:$U,'T1 2019 Pipeline Data Lagasco'!$E835,'Dec 31 2018 OFFS'!$AK:$AK,'T1 2019 Pipeline Data Lagasco'!$Q835,'Dec 31 2018 OFFS'!$W:$W,'T1 2019 Pipeline Data Lagasco'!$G835),1))</f>
        <v>0</v>
      </c>
      <c r="S835" s="275">
        <f t="shared" si="30"/>
        <v>0</v>
      </c>
    </row>
    <row r="836" spans="1:19" s="217" customFormat="1" ht="14.1" customHeight="1">
      <c r="A836" s="224" t="s">
        <v>1504</v>
      </c>
      <c r="B836" s="218" t="s">
        <v>1505</v>
      </c>
      <c r="C836" s="223">
        <v>1</v>
      </c>
      <c r="D836" s="218" t="s">
        <v>1488</v>
      </c>
      <c r="E836" s="240">
        <v>3</v>
      </c>
      <c r="F836" s="223">
        <v>4867</v>
      </c>
      <c r="G836" s="223">
        <v>2002</v>
      </c>
      <c r="H836" s="223">
        <v>1</v>
      </c>
      <c r="I836" s="223">
        <v>1</v>
      </c>
      <c r="J836" s="223"/>
      <c r="K836" s="238">
        <v>114812.53</v>
      </c>
      <c r="L836" s="241">
        <v>57</v>
      </c>
      <c r="M836" s="228">
        <v>49369.387900000002</v>
      </c>
      <c r="N836" s="230">
        <v>23.59</v>
      </c>
      <c r="O836" s="231">
        <v>49369</v>
      </c>
      <c r="P836" s="315"/>
      <c r="Q836" s="276">
        <f t="shared" si="29"/>
        <v>4867</v>
      </c>
      <c r="R836" s="275">
        <f>(SUMIFS('Dec 31 2018 OFFS'!$AG:$AG,'Dec 31 2018 OFFS'!$AI:$AI,'T1 2019 Pipeline Data Lagasco'!$A836,'Dec 31 2018 OFFS'!$U:$U,'T1 2019 Pipeline Data Lagasco'!$E836,'Dec 31 2018 OFFS'!$AK:$AK,'T1 2019 Pipeline Data Lagasco'!$Q836,'Dec 31 2018 OFFS'!$W:$W,'T1 2019 Pipeline Data Lagasco'!$G836))/(MAX(COUNTIFS('Dec 31 2018 OFFS'!$AI:$AI,'T1 2019 Pipeline Data Lagasco'!$A836,'Dec 31 2018 OFFS'!$U:$U,'T1 2019 Pipeline Data Lagasco'!$E836,'Dec 31 2018 OFFS'!$AK:$AK,'T1 2019 Pipeline Data Lagasco'!$Q836,'Dec 31 2018 OFFS'!$W:$W,'T1 2019 Pipeline Data Lagasco'!$G836),1))</f>
        <v>49369</v>
      </c>
      <c r="S836" s="275">
        <f t="shared" si="30"/>
        <v>0</v>
      </c>
    </row>
    <row r="837" spans="1:19" s="217" customFormat="1" ht="14.1" customHeight="1">
      <c r="A837" s="224" t="s">
        <v>1504</v>
      </c>
      <c r="B837" s="218" t="s">
        <v>1505</v>
      </c>
      <c r="C837" s="223">
        <v>1</v>
      </c>
      <c r="D837" s="218" t="s">
        <v>1488</v>
      </c>
      <c r="E837" s="240">
        <v>3</v>
      </c>
      <c r="F837" s="223">
        <v>3926</v>
      </c>
      <c r="G837" s="223">
        <v>2009</v>
      </c>
      <c r="H837" s="223">
        <v>1</v>
      </c>
      <c r="I837" s="223">
        <v>0</v>
      </c>
      <c r="J837" s="223"/>
      <c r="K837" s="238">
        <v>92614.34</v>
      </c>
      <c r="L837" s="241">
        <v>44</v>
      </c>
      <c r="M837" s="228">
        <v>51864.030400000003</v>
      </c>
      <c r="N837" s="230">
        <v>23.59</v>
      </c>
      <c r="O837" s="231">
        <v>0</v>
      </c>
      <c r="P837" s="315"/>
      <c r="Q837" s="276">
        <f t="shared" si="29"/>
        <v>3926</v>
      </c>
      <c r="R837" s="275">
        <f>(SUMIFS('Dec 31 2018 OFFS'!$AG:$AG,'Dec 31 2018 OFFS'!$AI:$AI,'T1 2019 Pipeline Data Lagasco'!$A837,'Dec 31 2018 OFFS'!$U:$U,'T1 2019 Pipeline Data Lagasco'!$E837,'Dec 31 2018 OFFS'!$AK:$AK,'T1 2019 Pipeline Data Lagasco'!$Q837,'Dec 31 2018 OFFS'!$W:$W,'T1 2019 Pipeline Data Lagasco'!$G837))/(MAX(COUNTIFS('Dec 31 2018 OFFS'!$AI:$AI,'T1 2019 Pipeline Data Lagasco'!$A837,'Dec 31 2018 OFFS'!$U:$U,'T1 2019 Pipeline Data Lagasco'!$E837,'Dec 31 2018 OFFS'!$AK:$AK,'T1 2019 Pipeline Data Lagasco'!$Q837,'Dec 31 2018 OFFS'!$W:$W,'T1 2019 Pipeline Data Lagasco'!$G837),1))</f>
        <v>0</v>
      </c>
      <c r="S837" s="275">
        <f t="shared" si="30"/>
        <v>0</v>
      </c>
    </row>
    <row r="838" spans="1:19" s="217" customFormat="1" ht="14.1" customHeight="1">
      <c r="A838" s="224" t="s">
        <v>1504</v>
      </c>
      <c r="B838" s="218" t="s">
        <v>1505</v>
      </c>
      <c r="C838" s="223">
        <v>1</v>
      </c>
      <c r="D838" s="218" t="s">
        <v>1488</v>
      </c>
      <c r="E838" s="240">
        <v>3</v>
      </c>
      <c r="F838" s="223">
        <v>5192</v>
      </c>
      <c r="G838" s="223">
        <v>2009</v>
      </c>
      <c r="H838" s="223">
        <v>1</v>
      </c>
      <c r="I838" s="223">
        <v>1</v>
      </c>
      <c r="J838" s="223"/>
      <c r="K838" s="238">
        <v>122479.28</v>
      </c>
      <c r="L838" s="241">
        <v>44</v>
      </c>
      <c r="M838" s="228">
        <v>68588.396800000002</v>
      </c>
      <c r="N838" s="230">
        <v>23.59</v>
      </c>
      <c r="O838" s="231">
        <v>68588</v>
      </c>
      <c r="P838" s="315"/>
      <c r="Q838" s="276">
        <f t="shared" si="29"/>
        <v>5192</v>
      </c>
      <c r="R838" s="275">
        <f>(SUMIFS('Dec 31 2018 OFFS'!$AG:$AG,'Dec 31 2018 OFFS'!$AI:$AI,'T1 2019 Pipeline Data Lagasco'!$A838,'Dec 31 2018 OFFS'!$U:$U,'T1 2019 Pipeline Data Lagasco'!$E838,'Dec 31 2018 OFFS'!$AK:$AK,'T1 2019 Pipeline Data Lagasco'!$Q838,'Dec 31 2018 OFFS'!$W:$W,'T1 2019 Pipeline Data Lagasco'!$G838))/(MAX(COUNTIFS('Dec 31 2018 OFFS'!$AI:$AI,'T1 2019 Pipeline Data Lagasco'!$A838,'Dec 31 2018 OFFS'!$U:$U,'T1 2019 Pipeline Data Lagasco'!$E838,'Dec 31 2018 OFFS'!$AK:$AK,'T1 2019 Pipeline Data Lagasco'!$Q838,'Dec 31 2018 OFFS'!$W:$W,'T1 2019 Pipeline Data Lagasco'!$G838),1))</f>
        <v>68588</v>
      </c>
      <c r="S838" s="275">
        <f t="shared" si="30"/>
        <v>0</v>
      </c>
    </row>
    <row r="839" spans="1:19" s="217" customFormat="1" ht="14.1" customHeight="1">
      <c r="A839" s="224" t="s">
        <v>1504</v>
      </c>
      <c r="B839" s="218" t="s">
        <v>1505</v>
      </c>
      <c r="C839" s="223">
        <v>1</v>
      </c>
      <c r="D839" s="218" t="s">
        <v>1488</v>
      </c>
      <c r="E839" s="240">
        <v>3</v>
      </c>
      <c r="F839" s="223">
        <v>2843</v>
      </c>
      <c r="G839" s="223">
        <v>2004</v>
      </c>
      <c r="H839" s="223">
        <v>1</v>
      </c>
      <c r="I839" s="223">
        <v>0</v>
      </c>
      <c r="J839" s="223"/>
      <c r="K839" s="238">
        <v>67066.37</v>
      </c>
      <c r="L839" s="241">
        <v>56</v>
      </c>
      <c r="M839" s="228">
        <v>29509.202799999999</v>
      </c>
      <c r="N839" s="230">
        <v>23.59</v>
      </c>
      <c r="O839" s="231">
        <v>0</v>
      </c>
      <c r="P839" s="315"/>
      <c r="Q839" s="276">
        <f t="shared" si="29"/>
        <v>2843</v>
      </c>
      <c r="R839" s="275">
        <f>(SUMIFS('Dec 31 2018 OFFS'!$AG:$AG,'Dec 31 2018 OFFS'!$AI:$AI,'T1 2019 Pipeline Data Lagasco'!$A839,'Dec 31 2018 OFFS'!$U:$U,'T1 2019 Pipeline Data Lagasco'!$E839,'Dec 31 2018 OFFS'!$AK:$AK,'T1 2019 Pipeline Data Lagasco'!$Q839,'Dec 31 2018 OFFS'!$W:$W,'T1 2019 Pipeline Data Lagasco'!$G839))/(MAX(COUNTIFS('Dec 31 2018 OFFS'!$AI:$AI,'T1 2019 Pipeline Data Lagasco'!$A839,'Dec 31 2018 OFFS'!$U:$U,'T1 2019 Pipeline Data Lagasco'!$E839,'Dec 31 2018 OFFS'!$AK:$AK,'T1 2019 Pipeline Data Lagasco'!$Q839,'Dec 31 2018 OFFS'!$W:$W,'T1 2019 Pipeline Data Lagasco'!$G839),1))</f>
        <v>0</v>
      </c>
      <c r="S839" s="275">
        <f t="shared" si="30"/>
        <v>0</v>
      </c>
    </row>
    <row r="840" spans="1:19" s="217" customFormat="1" ht="14.1" customHeight="1">
      <c r="A840" s="224" t="s">
        <v>1504</v>
      </c>
      <c r="B840" s="218" t="s">
        <v>1505</v>
      </c>
      <c r="C840" s="223">
        <v>1</v>
      </c>
      <c r="D840" s="218" t="s">
        <v>1488</v>
      </c>
      <c r="E840" s="240">
        <v>3</v>
      </c>
      <c r="F840" s="223">
        <v>5400</v>
      </c>
      <c r="G840" s="223">
        <v>2001</v>
      </c>
      <c r="H840" s="223">
        <v>1</v>
      </c>
      <c r="I840" s="223">
        <v>0</v>
      </c>
      <c r="J840" s="223"/>
      <c r="K840" s="240">
        <v>127386</v>
      </c>
      <c r="L840" s="241">
        <v>59</v>
      </c>
      <c r="M840" s="238">
        <v>52228.26</v>
      </c>
      <c r="N840" s="230">
        <v>23.59</v>
      </c>
      <c r="O840" s="231">
        <v>0</v>
      </c>
      <c r="P840" s="315"/>
      <c r="Q840" s="276">
        <f t="shared" si="29"/>
        <v>5400</v>
      </c>
      <c r="R840" s="275">
        <f>(SUMIFS('Dec 31 2018 OFFS'!$AG:$AG,'Dec 31 2018 OFFS'!$AI:$AI,'T1 2019 Pipeline Data Lagasco'!$A840,'Dec 31 2018 OFFS'!$U:$U,'T1 2019 Pipeline Data Lagasco'!$E840,'Dec 31 2018 OFFS'!$AK:$AK,'T1 2019 Pipeline Data Lagasco'!$Q840,'Dec 31 2018 OFFS'!$W:$W,'T1 2019 Pipeline Data Lagasco'!$G840))/(MAX(COUNTIFS('Dec 31 2018 OFFS'!$AI:$AI,'T1 2019 Pipeline Data Lagasco'!$A840,'Dec 31 2018 OFFS'!$U:$U,'T1 2019 Pipeline Data Lagasco'!$E840,'Dec 31 2018 OFFS'!$AK:$AK,'T1 2019 Pipeline Data Lagasco'!$Q840,'Dec 31 2018 OFFS'!$W:$W,'T1 2019 Pipeline Data Lagasco'!$G840),1))</f>
        <v>0</v>
      </c>
      <c r="S840" s="275">
        <f t="shared" si="30"/>
        <v>0</v>
      </c>
    </row>
    <row r="841" spans="1:19" s="217" customFormat="1" ht="14.1" customHeight="1">
      <c r="A841" s="224" t="s">
        <v>1504</v>
      </c>
      <c r="B841" s="218" t="s">
        <v>1505</v>
      </c>
      <c r="C841" s="223">
        <v>1</v>
      </c>
      <c r="D841" s="218" t="s">
        <v>1488</v>
      </c>
      <c r="E841" s="240">
        <v>3</v>
      </c>
      <c r="F841" s="223">
        <v>5380</v>
      </c>
      <c r="G841" s="223">
        <v>2006</v>
      </c>
      <c r="H841" s="223">
        <v>1</v>
      </c>
      <c r="I841" s="223">
        <v>1</v>
      </c>
      <c r="J841" s="223"/>
      <c r="K841" s="237">
        <v>126914.20</v>
      </c>
      <c r="L841" s="241">
        <v>52</v>
      </c>
      <c r="M841" s="239">
        <v>60918.815999999999</v>
      </c>
      <c r="N841" s="230">
        <v>23.59</v>
      </c>
      <c r="O841" s="231">
        <v>60918</v>
      </c>
      <c r="P841" s="315"/>
      <c r="Q841" s="276">
        <f t="shared" si="29"/>
        <v>5380</v>
      </c>
      <c r="R841" s="275">
        <f>(SUMIFS('Dec 31 2018 OFFS'!$AG:$AG,'Dec 31 2018 OFFS'!$AI:$AI,'T1 2019 Pipeline Data Lagasco'!$A841,'Dec 31 2018 OFFS'!$U:$U,'T1 2019 Pipeline Data Lagasco'!$E841,'Dec 31 2018 OFFS'!$AK:$AK,'T1 2019 Pipeline Data Lagasco'!$Q841,'Dec 31 2018 OFFS'!$W:$W,'T1 2019 Pipeline Data Lagasco'!$G841))/(MAX(COUNTIFS('Dec 31 2018 OFFS'!$AI:$AI,'T1 2019 Pipeline Data Lagasco'!$A841,'Dec 31 2018 OFFS'!$U:$U,'T1 2019 Pipeline Data Lagasco'!$E841,'Dec 31 2018 OFFS'!$AK:$AK,'T1 2019 Pipeline Data Lagasco'!$Q841,'Dec 31 2018 OFFS'!$W:$W,'T1 2019 Pipeline Data Lagasco'!$G841),1))</f>
        <v>60918</v>
      </c>
      <c r="S841" s="275">
        <f t="shared" si="30"/>
        <v>0</v>
      </c>
    </row>
    <row r="842" spans="1:19" s="217" customFormat="1" ht="14.1" customHeight="1">
      <c r="A842" s="224" t="s">
        <v>1504</v>
      </c>
      <c r="B842" s="218" t="s">
        <v>1505</v>
      </c>
      <c r="C842" s="223">
        <v>1</v>
      </c>
      <c r="D842" s="218" t="s">
        <v>1488</v>
      </c>
      <c r="E842" s="240">
        <v>3</v>
      </c>
      <c r="F842" s="223">
        <v>8546</v>
      </c>
      <c r="G842" s="223">
        <v>2004</v>
      </c>
      <c r="H842" s="223">
        <v>1</v>
      </c>
      <c r="I842" s="223">
        <v>0</v>
      </c>
      <c r="J842" s="223"/>
      <c r="K842" s="238">
        <v>201600.14</v>
      </c>
      <c r="L842" s="241">
        <v>56</v>
      </c>
      <c r="M842" s="228">
        <v>88704.061600000001</v>
      </c>
      <c r="N842" s="230">
        <v>23.59</v>
      </c>
      <c r="O842" s="231">
        <v>0</v>
      </c>
      <c r="P842" s="315"/>
      <c r="Q842" s="276">
        <f t="shared" si="29"/>
        <v>8546</v>
      </c>
      <c r="R842" s="275">
        <f>(SUMIFS('Dec 31 2018 OFFS'!$AG:$AG,'Dec 31 2018 OFFS'!$AI:$AI,'T1 2019 Pipeline Data Lagasco'!$A842,'Dec 31 2018 OFFS'!$U:$U,'T1 2019 Pipeline Data Lagasco'!$E842,'Dec 31 2018 OFFS'!$AK:$AK,'T1 2019 Pipeline Data Lagasco'!$Q842,'Dec 31 2018 OFFS'!$W:$W,'T1 2019 Pipeline Data Lagasco'!$G842))/(MAX(COUNTIFS('Dec 31 2018 OFFS'!$AI:$AI,'T1 2019 Pipeline Data Lagasco'!$A842,'Dec 31 2018 OFFS'!$U:$U,'T1 2019 Pipeline Data Lagasco'!$E842,'Dec 31 2018 OFFS'!$AK:$AK,'T1 2019 Pipeline Data Lagasco'!$Q842,'Dec 31 2018 OFFS'!$W:$W,'T1 2019 Pipeline Data Lagasco'!$G842),1))</f>
        <v>0</v>
      </c>
      <c r="S842" s="275">
        <f t="shared" si="30"/>
        <v>0</v>
      </c>
    </row>
    <row r="843" spans="1:19" s="217" customFormat="1" ht="14.1" customHeight="1">
      <c r="A843" s="224" t="s">
        <v>1504</v>
      </c>
      <c r="B843" s="218" t="s">
        <v>1505</v>
      </c>
      <c r="C843" s="223">
        <v>1</v>
      </c>
      <c r="D843" s="218" t="s">
        <v>1488</v>
      </c>
      <c r="E843" s="240">
        <v>3</v>
      </c>
      <c r="F843" s="223">
        <v>6424</v>
      </c>
      <c r="G843" s="223">
        <v>2005</v>
      </c>
      <c r="H843" s="223">
        <v>1</v>
      </c>
      <c r="I843" s="223">
        <v>1</v>
      </c>
      <c r="J843" s="223"/>
      <c r="K843" s="238">
        <v>151542.16</v>
      </c>
      <c r="L843" s="241">
        <v>54</v>
      </c>
      <c r="M843" s="228">
        <v>69709.393599999996</v>
      </c>
      <c r="N843" s="230">
        <v>23.59</v>
      </c>
      <c r="O843" s="231">
        <v>69709</v>
      </c>
      <c r="P843" s="315"/>
      <c r="Q843" s="276">
        <f t="shared" si="29"/>
        <v>6424</v>
      </c>
      <c r="R843" s="275">
        <f>(SUMIFS('Dec 31 2018 OFFS'!$AG:$AG,'Dec 31 2018 OFFS'!$AI:$AI,'T1 2019 Pipeline Data Lagasco'!$A843,'Dec 31 2018 OFFS'!$U:$U,'T1 2019 Pipeline Data Lagasco'!$E843,'Dec 31 2018 OFFS'!$AK:$AK,'T1 2019 Pipeline Data Lagasco'!$Q843,'Dec 31 2018 OFFS'!$W:$W,'T1 2019 Pipeline Data Lagasco'!$G843))/(MAX(COUNTIFS('Dec 31 2018 OFFS'!$AI:$AI,'T1 2019 Pipeline Data Lagasco'!$A843,'Dec 31 2018 OFFS'!$U:$U,'T1 2019 Pipeline Data Lagasco'!$E843,'Dec 31 2018 OFFS'!$AK:$AK,'T1 2019 Pipeline Data Lagasco'!$Q843,'Dec 31 2018 OFFS'!$W:$W,'T1 2019 Pipeline Data Lagasco'!$G843),1))</f>
        <v>69709</v>
      </c>
      <c r="S843" s="275">
        <f t="shared" si="30"/>
        <v>0</v>
      </c>
    </row>
    <row r="844" spans="1:19" s="217" customFormat="1" ht="14.1" customHeight="1">
      <c r="A844" s="224" t="s">
        <v>1504</v>
      </c>
      <c r="B844" s="218" t="s">
        <v>1505</v>
      </c>
      <c r="C844" s="223">
        <v>1</v>
      </c>
      <c r="D844" s="218" t="s">
        <v>1488</v>
      </c>
      <c r="E844" s="240">
        <v>3</v>
      </c>
      <c r="F844" s="223">
        <v>320</v>
      </c>
      <c r="G844" s="223">
        <v>2003</v>
      </c>
      <c r="H844" s="223">
        <v>1</v>
      </c>
      <c r="I844" s="223">
        <v>0</v>
      </c>
      <c r="J844" s="223"/>
      <c r="K844" s="237">
        <v>7548.80</v>
      </c>
      <c r="L844" s="241">
        <v>57</v>
      </c>
      <c r="M844" s="239">
        <v>3245.9839999999999</v>
      </c>
      <c r="N844" s="230">
        <v>23.59</v>
      </c>
      <c r="O844" s="231">
        <v>0</v>
      </c>
      <c r="P844" s="315"/>
      <c r="Q844" s="276">
        <f t="shared" si="29"/>
        <v>320</v>
      </c>
      <c r="R844" s="275">
        <f>(SUMIFS('Dec 31 2018 OFFS'!$AG:$AG,'Dec 31 2018 OFFS'!$AI:$AI,'T1 2019 Pipeline Data Lagasco'!$A844,'Dec 31 2018 OFFS'!$U:$U,'T1 2019 Pipeline Data Lagasco'!$E844,'Dec 31 2018 OFFS'!$AK:$AK,'T1 2019 Pipeline Data Lagasco'!$Q844,'Dec 31 2018 OFFS'!$W:$W,'T1 2019 Pipeline Data Lagasco'!$G844))/(MAX(COUNTIFS('Dec 31 2018 OFFS'!$AI:$AI,'T1 2019 Pipeline Data Lagasco'!$A844,'Dec 31 2018 OFFS'!$U:$U,'T1 2019 Pipeline Data Lagasco'!$E844,'Dec 31 2018 OFFS'!$AK:$AK,'T1 2019 Pipeline Data Lagasco'!$Q844,'Dec 31 2018 OFFS'!$W:$W,'T1 2019 Pipeline Data Lagasco'!$G844),1))</f>
        <v>0</v>
      </c>
      <c r="S844" s="275">
        <f t="shared" si="30"/>
        <v>0</v>
      </c>
    </row>
    <row r="845" spans="1:19" s="217" customFormat="1" ht="14.1" customHeight="1">
      <c r="A845" s="224" t="s">
        <v>1504</v>
      </c>
      <c r="B845" s="218" t="s">
        <v>1505</v>
      </c>
      <c r="C845" s="223">
        <v>1</v>
      </c>
      <c r="D845" s="218" t="s">
        <v>1488</v>
      </c>
      <c r="E845" s="240">
        <v>3</v>
      </c>
      <c r="F845" s="223">
        <v>5936</v>
      </c>
      <c r="G845" s="223">
        <v>2001</v>
      </c>
      <c r="H845" s="223">
        <v>1</v>
      </c>
      <c r="I845" s="223">
        <v>0</v>
      </c>
      <c r="J845" s="223"/>
      <c r="K845" s="238">
        <v>140030.24</v>
      </c>
      <c r="L845" s="241">
        <v>59</v>
      </c>
      <c r="M845" s="228">
        <v>57412.398399999998</v>
      </c>
      <c r="N845" s="230">
        <v>23.59</v>
      </c>
      <c r="O845" s="231">
        <v>0</v>
      </c>
      <c r="P845" s="315"/>
      <c r="Q845" s="276">
        <f t="shared" si="29"/>
        <v>5936</v>
      </c>
      <c r="R845" s="275">
        <f>(SUMIFS('Dec 31 2018 OFFS'!$AG:$AG,'Dec 31 2018 OFFS'!$AI:$AI,'T1 2019 Pipeline Data Lagasco'!$A845,'Dec 31 2018 OFFS'!$U:$U,'T1 2019 Pipeline Data Lagasco'!$E845,'Dec 31 2018 OFFS'!$AK:$AK,'T1 2019 Pipeline Data Lagasco'!$Q845,'Dec 31 2018 OFFS'!$W:$W,'T1 2019 Pipeline Data Lagasco'!$G845))/(MAX(COUNTIFS('Dec 31 2018 OFFS'!$AI:$AI,'T1 2019 Pipeline Data Lagasco'!$A845,'Dec 31 2018 OFFS'!$U:$U,'T1 2019 Pipeline Data Lagasco'!$E845,'Dec 31 2018 OFFS'!$AK:$AK,'T1 2019 Pipeline Data Lagasco'!$Q845,'Dec 31 2018 OFFS'!$W:$W,'T1 2019 Pipeline Data Lagasco'!$G845),1))</f>
        <v>0</v>
      </c>
      <c r="S845" s="275">
        <f t="shared" si="30"/>
        <v>0</v>
      </c>
    </row>
    <row r="846" spans="1:19" s="217" customFormat="1" ht="14.1" customHeight="1">
      <c r="A846" s="224" t="s">
        <v>1504</v>
      </c>
      <c r="B846" s="218" t="s">
        <v>1505</v>
      </c>
      <c r="C846" s="223">
        <v>1</v>
      </c>
      <c r="D846" s="218" t="s">
        <v>1488</v>
      </c>
      <c r="E846" s="240">
        <v>3</v>
      </c>
      <c r="F846" s="223">
        <v>2488</v>
      </c>
      <c r="G846" s="223">
        <v>2005</v>
      </c>
      <c r="H846" s="223">
        <v>1</v>
      </c>
      <c r="I846" s="223">
        <v>0</v>
      </c>
      <c r="J846" s="223"/>
      <c r="K846" s="238">
        <v>58691.92</v>
      </c>
      <c r="L846" s="241">
        <v>54</v>
      </c>
      <c r="M846" s="228">
        <v>26998.283200000002</v>
      </c>
      <c r="N846" s="230">
        <v>23.59</v>
      </c>
      <c r="O846" s="231">
        <v>0</v>
      </c>
      <c r="P846" s="315"/>
      <c r="Q846" s="276">
        <f t="shared" si="29"/>
        <v>2488</v>
      </c>
      <c r="R846" s="275">
        <f>(SUMIFS('Dec 31 2018 OFFS'!$AG:$AG,'Dec 31 2018 OFFS'!$AI:$AI,'T1 2019 Pipeline Data Lagasco'!$A846,'Dec 31 2018 OFFS'!$U:$U,'T1 2019 Pipeline Data Lagasco'!$E846,'Dec 31 2018 OFFS'!$AK:$AK,'T1 2019 Pipeline Data Lagasco'!$Q846,'Dec 31 2018 OFFS'!$W:$W,'T1 2019 Pipeline Data Lagasco'!$G846))/(MAX(COUNTIFS('Dec 31 2018 OFFS'!$AI:$AI,'T1 2019 Pipeline Data Lagasco'!$A846,'Dec 31 2018 OFFS'!$U:$U,'T1 2019 Pipeline Data Lagasco'!$E846,'Dec 31 2018 OFFS'!$AK:$AK,'T1 2019 Pipeline Data Lagasco'!$Q846,'Dec 31 2018 OFFS'!$W:$W,'T1 2019 Pipeline Data Lagasco'!$G846),1))</f>
        <v>0</v>
      </c>
      <c r="S846" s="275">
        <f t="shared" si="30"/>
        <v>0</v>
      </c>
    </row>
    <row r="847" spans="1:19" s="217" customFormat="1" ht="14.1" customHeight="1">
      <c r="A847" s="224" t="s">
        <v>1504</v>
      </c>
      <c r="B847" s="218" t="s">
        <v>1505</v>
      </c>
      <c r="C847" s="223">
        <v>1</v>
      </c>
      <c r="D847" s="218" t="s">
        <v>1488</v>
      </c>
      <c r="E847" s="240">
        <v>3</v>
      </c>
      <c r="F847" s="223">
        <v>400</v>
      </c>
      <c r="G847" s="223">
        <v>2001</v>
      </c>
      <c r="H847" s="223">
        <v>1</v>
      </c>
      <c r="I847" s="223">
        <v>0</v>
      </c>
      <c r="J847" s="223"/>
      <c r="K847" s="240">
        <v>9436</v>
      </c>
      <c r="L847" s="241">
        <v>59</v>
      </c>
      <c r="M847" s="238">
        <v>3868.76</v>
      </c>
      <c r="N847" s="230">
        <v>23.59</v>
      </c>
      <c r="O847" s="231">
        <v>0</v>
      </c>
      <c r="P847" s="315"/>
      <c r="Q847" s="276">
        <f t="shared" si="29"/>
        <v>400</v>
      </c>
      <c r="R847" s="275">
        <f>(SUMIFS('Dec 31 2018 OFFS'!$AG:$AG,'Dec 31 2018 OFFS'!$AI:$AI,'T1 2019 Pipeline Data Lagasco'!$A847,'Dec 31 2018 OFFS'!$U:$U,'T1 2019 Pipeline Data Lagasco'!$E847,'Dec 31 2018 OFFS'!$AK:$AK,'T1 2019 Pipeline Data Lagasco'!$Q847,'Dec 31 2018 OFFS'!$W:$W,'T1 2019 Pipeline Data Lagasco'!$G847))/(MAX(COUNTIFS('Dec 31 2018 OFFS'!$AI:$AI,'T1 2019 Pipeline Data Lagasco'!$A847,'Dec 31 2018 OFFS'!$U:$U,'T1 2019 Pipeline Data Lagasco'!$E847,'Dec 31 2018 OFFS'!$AK:$AK,'T1 2019 Pipeline Data Lagasco'!$Q847,'Dec 31 2018 OFFS'!$W:$W,'T1 2019 Pipeline Data Lagasco'!$G847),1))</f>
        <v>0</v>
      </c>
      <c r="S847" s="275">
        <f t="shared" si="30"/>
        <v>0</v>
      </c>
    </row>
    <row r="848" spans="1:19" s="217" customFormat="1" ht="14.1" customHeight="1">
      <c r="A848" s="224" t="s">
        <v>1504</v>
      </c>
      <c r="B848" s="218" t="s">
        <v>1505</v>
      </c>
      <c r="C848" s="223">
        <v>1</v>
      </c>
      <c r="D848" s="218" t="s">
        <v>1488</v>
      </c>
      <c r="E848" s="240">
        <v>3</v>
      </c>
      <c r="F848" s="223">
        <v>1537</v>
      </c>
      <c r="G848" s="223">
        <v>2006</v>
      </c>
      <c r="H848" s="223">
        <v>1</v>
      </c>
      <c r="I848" s="223">
        <v>0</v>
      </c>
      <c r="J848" s="223"/>
      <c r="K848" s="238">
        <v>36257.83</v>
      </c>
      <c r="L848" s="241">
        <v>52</v>
      </c>
      <c r="M848" s="228">
        <v>17403.758399999999</v>
      </c>
      <c r="N848" s="230">
        <v>23.59</v>
      </c>
      <c r="O848" s="231">
        <v>0</v>
      </c>
      <c r="P848" s="315"/>
      <c r="Q848" s="276">
        <f t="shared" si="29"/>
        <v>1537</v>
      </c>
      <c r="R848" s="275">
        <f>(SUMIFS('Dec 31 2018 OFFS'!$AG:$AG,'Dec 31 2018 OFFS'!$AI:$AI,'T1 2019 Pipeline Data Lagasco'!$A848,'Dec 31 2018 OFFS'!$U:$U,'T1 2019 Pipeline Data Lagasco'!$E848,'Dec 31 2018 OFFS'!$AK:$AK,'T1 2019 Pipeline Data Lagasco'!$Q848,'Dec 31 2018 OFFS'!$W:$W,'T1 2019 Pipeline Data Lagasco'!$G848))/(MAX(COUNTIFS('Dec 31 2018 OFFS'!$AI:$AI,'T1 2019 Pipeline Data Lagasco'!$A848,'Dec 31 2018 OFFS'!$U:$U,'T1 2019 Pipeline Data Lagasco'!$E848,'Dec 31 2018 OFFS'!$AK:$AK,'T1 2019 Pipeline Data Lagasco'!$Q848,'Dec 31 2018 OFFS'!$W:$W,'T1 2019 Pipeline Data Lagasco'!$G848),1))</f>
        <v>0</v>
      </c>
      <c r="S848" s="275">
        <f t="shared" si="30"/>
        <v>0</v>
      </c>
    </row>
    <row r="849" spans="1:19" s="217" customFormat="1" ht="14.1" customHeight="1">
      <c r="A849" s="224" t="s">
        <v>1504</v>
      </c>
      <c r="B849" s="218" t="s">
        <v>1505</v>
      </c>
      <c r="C849" s="223">
        <v>1</v>
      </c>
      <c r="D849" s="218" t="s">
        <v>1488</v>
      </c>
      <c r="E849" s="240">
        <v>3</v>
      </c>
      <c r="F849" s="223">
        <v>20</v>
      </c>
      <c r="G849" s="223">
        <v>2001</v>
      </c>
      <c r="H849" s="223">
        <v>1</v>
      </c>
      <c r="I849" s="223">
        <v>0</v>
      </c>
      <c r="J849" s="223"/>
      <c r="K849" s="237">
        <v>471.80</v>
      </c>
      <c r="L849" s="241">
        <v>59</v>
      </c>
      <c r="M849" s="239">
        <v>193.43799999999999</v>
      </c>
      <c r="N849" s="230">
        <v>23.59</v>
      </c>
      <c r="O849" s="231">
        <v>0</v>
      </c>
      <c r="P849" s="315"/>
      <c r="Q849" s="276">
        <f t="shared" si="29"/>
        <v>20</v>
      </c>
      <c r="R849" s="275">
        <f>(SUMIFS('Dec 31 2018 OFFS'!$AG:$AG,'Dec 31 2018 OFFS'!$AI:$AI,'T1 2019 Pipeline Data Lagasco'!$A849,'Dec 31 2018 OFFS'!$U:$U,'T1 2019 Pipeline Data Lagasco'!$E849,'Dec 31 2018 OFFS'!$AK:$AK,'T1 2019 Pipeline Data Lagasco'!$Q849,'Dec 31 2018 OFFS'!$W:$W,'T1 2019 Pipeline Data Lagasco'!$G849))/(MAX(COUNTIFS('Dec 31 2018 OFFS'!$AI:$AI,'T1 2019 Pipeline Data Lagasco'!$A849,'Dec 31 2018 OFFS'!$U:$U,'T1 2019 Pipeline Data Lagasco'!$E849,'Dec 31 2018 OFFS'!$AK:$AK,'T1 2019 Pipeline Data Lagasco'!$Q849,'Dec 31 2018 OFFS'!$W:$W,'T1 2019 Pipeline Data Lagasco'!$G849),1))</f>
        <v>0</v>
      </c>
      <c r="S849" s="275">
        <f t="shared" si="30"/>
        <v>0</v>
      </c>
    </row>
    <row r="850" spans="1:19" s="217" customFormat="1" ht="14.1" customHeight="1">
      <c r="A850" s="224" t="s">
        <v>1504</v>
      </c>
      <c r="B850" s="218" t="s">
        <v>1505</v>
      </c>
      <c r="C850" s="223">
        <v>1</v>
      </c>
      <c r="D850" s="218" t="s">
        <v>1488</v>
      </c>
      <c r="E850" s="240">
        <v>3</v>
      </c>
      <c r="F850" s="223">
        <v>3446</v>
      </c>
      <c r="G850" s="223">
        <v>2006</v>
      </c>
      <c r="H850" s="223">
        <v>1</v>
      </c>
      <c r="I850" s="223">
        <v>0</v>
      </c>
      <c r="J850" s="223"/>
      <c r="K850" s="238">
        <v>81291.14</v>
      </c>
      <c r="L850" s="241">
        <v>52</v>
      </c>
      <c r="M850" s="228">
        <v>39019.747199999998</v>
      </c>
      <c r="N850" s="230">
        <v>23.59</v>
      </c>
      <c r="O850" s="231">
        <v>0</v>
      </c>
      <c r="P850" s="315"/>
      <c r="Q850" s="276">
        <f t="shared" si="29"/>
        <v>3446</v>
      </c>
      <c r="R850" s="275">
        <f>(SUMIFS('Dec 31 2018 OFFS'!$AG:$AG,'Dec 31 2018 OFFS'!$AI:$AI,'T1 2019 Pipeline Data Lagasco'!$A850,'Dec 31 2018 OFFS'!$U:$U,'T1 2019 Pipeline Data Lagasco'!$E850,'Dec 31 2018 OFFS'!$AK:$AK,'T1 2019 Pipeline Data Lagasco'!$Q850,'Dec 31 2018 OFFS'!$W:$W,'T1 2019 Pipeline Data Lagasco'!$G850))/(MAX(COUNTIFS('Dec 31 2018 OFFS'!$AI:$AI,'T1 2019 Pipeline Data Lagasco'!$A850,'Dec 31 2018 OFFS'!$U:$U,'T1 2019 Pipeline Data Lagasco'!$E850,'Dec 31 2018 OFFS'!$AK:$AK,'T1 2019 Pipeline Data Lagasco'!$Q850,'Dec 31 2018 OFFS'!$W:$W,'T1 2019 Pipeline Data Lagasco'!$G850),1))</f>
        <v>0</v>
      </c>
      <c r="S850" s="275">
        <f t="shared" si="30"/>
        <v>0</v>
      </c>
    </row>
    <row r="851" spans="1:19" s="217" customFormat="1" ht="14.1" customHeight="1">
      <c r="A851" s="224" t="s">
        <v>1504</v>
      </c>
      <c r="B851" s="218" t="s">
        <v>1505</v>
      </c>
      <c r="C851" s="223">
        <v>1</v>
      </c>
      <c r="D851" s="218" t="s">
        <v>1488</v>
      </c>
      <c r="E851" s="240">
        <v>3</v>
      </c>
      <c r="F851" s="223">
        <v>9913</v>
      </c>
      <c r="G851" s="223">
        <v>1999</v>
      </c>
      <c r="H851" s="223">
        <v>1</v>
      </c>
      <c r="I851" s="223">
        <v>0</v>
      </c>
      <c r="J851" s="223"/>
      <c r="K851" s="238">
        <v>233847.67</v>
      </c>
      <c r="L851" s="241">
        <v>62</v>
      </c>
      <c r="M851" s="228">
        <v>88862.114600000001</v>
      </c>
      <c r="N851" s="230">
        <v>23.59</v>
      </c>
      <c r="O851" s="231">
        <v>0</v>
      </c>
      <c r="P851" s="315"/>
      <c r="Q851" s="276">
        <f t="shared" si="29"/>
        <v>9913</v>
      </c>
      <c r="R851" s="275">
        <f>(SUMIFS('Dec 31 2018 OFFS'!$AG:$AG,'Dec 31 2018 OFFS'!$AI:$AI,'T1 2019 Pipeline Data Lagasco'!$A851,'Dec 31 2018 OFFS'!$U:$U,'T1 2019 Pipeline Data Lagasco'!$E851,'Dec 31 2018 OFFS'!$AK:$AK,'T1 2019 Pipeline Data Lagasco'!$Q851,'Dec 31 2018 OFFS'!$W:$W,'T1 2019 Pipeline Data Lagasco'!$G851))/(MAX(COUNTIFS('Dec 31 2018 OFFS'!$AI:$AI,'T1 2019 Pipeline Data Lagasco'!$A851,'Dec 31 2018 OFFS'!$U:$U,'T1 2019 Pipeline Data Lagasco'!$E851,'Dec 31 2018 OFFS'!$AK:$AK,'T1 2019 Pipeline Data Lagasco'!$Q851,'Dec 31 2018 OFFS'!$W:$W,'T1 2019 Pipeline Data Lagasco'!$G851),1))</f>
        <v>0</v>
      </c>
      <c r="S851" s="275">
        <f t="shared" si="30"/>
        <v>0</v>
      </c>
    </row>
    <row r="852" spans="1:19" s="217" customFormat="1" ht="14.1" customHeight="1">
      <c r="A852" s="224" t="s">
        <v>1504</v>
      </c>
      <c r="B852" s="218" t="s">
        <v>1505</v>
      </c>
      <c r="C852" s="223">
        <v>1</v>
      </c>
      <c r="D852" s="218" t="s">
        <v>1488</v>
      </c>
      <c r="E852" s="240">
        <v>3</v>
      </c>
      <c r="F852" s="223">
        <v>2400</v>
      </c>
      <c r="G852" s="223">
        <v>2002</v>
      </c>
      <c r="H852" s="223">
        <v>1</v>
      </c>
      <c r="I852" s="223">
        <v>0</v>
      </c>
      <c r="J852" s="223"/>
      <c r="K852" s="240">
        <v>56616</v>
      </c>
      <c r="L852" s="241">
        <v>57</v>
      </c>
      <c r="M852" s="238">
        <v>24344.88</v>
      </c>
      <c r="N852" s="230">
        <v>23.59</v>
      </c>
      <c r="O852" s="231">
        <v>0</v>
      </c>
      <c r="P852" s="315"/>
      <c r="Q852" s="276">
        <f t="shared" si="32" ref="Q852:Q915">ROUND(F852,2)</f>
        <v>2400</v>
      </c>
      <c r="R852" s="275">
        <f>(SUMIFS('Dec 31 2018 OFFS'!$AG:$AG,'Dec 31 2018 OFFS'!$AI:$AI,'T1 2019 Pipeline Data Lagasco'!$A852,'Dec 31 2018 OFFS'!$U:$U,'T1 2019 Pipeline Data Lagasco'!$E852,'Dec 31 2018 OFFS'!$AK:$AK,'T1 2019 Pipeline Data Lagasco'!$Q852,'Dec 31 2018 OFFS'!$W:$W,'T1 2019 Pipeline Data Lagasco'!$G852))/(MAX(COUNTIFS('Dec 31 2018 OFFS'!$AI:$AI,'T1 2019 Pipeline Data Lagasco'!$A852,'Dec 31 2018 OFFS'!$U:$U,'T1 2019 Pipeline Data Lagasco'!$E852,'Dec 31 2018 OFFS'!$AK:$AK,'T1 2019 Pipeline Data Lagasco'!$Q852,'Dec 31 2018 OFFS'!$W:$W,'T1 2019 Pipeline Data Lagasco'!$G852),1))</f>
        <v>0</v>
      </c>
      <c r="S852" s="275">
        <f t="shared" si="33" ref="S852:S915">O852-R852</f>
        <v>0</v>
      </c>
    </row>
    <row r="853" spans="1:19" s="217" customFormat="1" ht="14.1" customHeight="1">
      <c r="A853" s="224" t="s">
        <v>1504</v>
      </c>
      <c r="B853" s="218" t="s">
        <v>1505</v>
      </c>
      <c r="C853" s="223">
        <v>1</v>
      </c>
      <c r="D853" s="218" t="s">
        <v>1488</v>
      </c>
      <c r="E853" s="240">
        <v>3</v>
      </c>
      <c r="F853" s="223">
        <v>2432</v>
      </c>
      <c r="G853" s="223">
        <v>2005</v>
      </c>
      <c r="H853" s="223">
        <v>1</v>
      </c>
      <c r="I853" s="223">
        <v>0</v>
      </c>
      <c r="J853" s="223"/>
      <c r="K853" s="238">
        <v>57370.88</v>
      </c>
      <c r="L853" s="241">
        <v>54</v>
      </c>
      <c r="M853" s="228">
        <v>26390.604800000001</v>
      </c>
      <c r="N853" s="230">
        <v>23.59</v>
      </c>
      <c r="O853" s="231">
        <v>0</v>
      </c>
      <c r="P853" s="315"/>
      <c r="Q853" s="276">
        <f t="shared" si="32"/>
        <v>2432</v>
      </c>
      <c r="R853" s="275">
        <f>(SUMIFS('Dec 31 2018 OFFS'!$AG:$AG,'Dec 31 2018 OFFS'!$AI:$AI,'T1 2019 Pipeline Data Lagasco'!$A853,'Dec 31 2018 OFFS'!$U:$U,'T1 2019 Pipeline Data Lagasco'!$E853,'Dec 31 2018 OFFS'!$AK:$AK,'T1 2019 Pipeline Data Lagasco'!$Q853,'Dec 31 2018 OFFS'!$W:$W,'T1 2019 Pipeline Data Lagasco'!$G853))/(MAX(COUNTIFS('Dec 31 2018 OFFS'!$AI:$AI,'T1 2019 Pipeline Data Lagasco'!$A853,'Dec 31 2018 OFFS'!$U:$U,'T1 2019 Pipeline Data Lagasco'!$E853,'Dec 31 2018 OFFS'!$AK:$AK,'T1 2019 Pipeline Data Lagasco'!$Q853,'Dec 31 2018 OFFS'!$W:$W,'T1 2019 Pipeline Data Lagasco'!$G853),1))</f>
        <v>0</v>
      </c>
      <c r="S853" s="275">
        <f t="shared" si="33"/>
        <v>0</v>
      </c>
    </row>
    <row r="854" spans="1:19" s="217" customFormat="1" ht="14.1" customHeight="1">
      <c r="A854" s="224" t="s">
        <v>1504</v>
      </c>
      <c r="B854" s="218" t="s">
        <v>1505</v>
      </c>
      <c r="C854" s="223">
        <v>1</v>
      </c>
      <c r="D854" s="218" t="s">
        <v>1488</v>
      </c>
      <c r="E854" s="240">
        <v>4</v>
      </c>
      <c r="F854" s="226">
        <v>3885.8266589999998</v>
      </c>
      <c r="G854" s="223">
        <v>1981</v>
      </c>
      <c r="H854" s="223">
        <v>1</v>
      </c>
      <c r="I854" s="223">
        <v>1</v>
      </c>
      <c r="J854" s="223"/>
      <c r="K854" s="228">
        <v>102780.1151</v>
      </c>
      <c r="L854" s="241">
        <v>80</v>
      </c>
      <c r="M854" s="229">
        <v>20556.02303</v>
      </c>
      <c r="N854" s="230">
        <v>26.45</v>
      </c>
      <c r="O854" s="231">
        <v>20556</v>
      </c>
      <c r="P854" s="315"/>
      <c r="Q854" s="276">
        <f t="shared" si="32"/>
        <v>3885.83</v>
      </c>
      <c r="R854" s="275">
        <f>(SUMIFS('Dec 31 2018 OFFS'!$AG:$AG,'Dec 31 2018 OFFS'!$AI:$AI,'T1 2019 Pipeline Data Lagasco'!$A854,'Dec 31 2018 OFFS'!$U:$U,'T1 2019 Pipeline Data Lagasco'!$E854,'Dec 31 2018 OFFS'!$AK:$AK,'T1 2019 Pipeline Data Lagasco'!$Q854,'Dec 31 2018 OFFS'!$W:$W,'T1 2019 Pipeline Data Lagasco'!$G854))/(MAX(COUNTIFS('Dec 31 2018 OFFS'!$AI:$AI,'T1 2019 Pipeline Data Lagasco'!$A854,'Dec 31 2018 OFFS'!$U:$U,'T1 2019 Pipeline Data Lagasco'!$E854,'Dec 31 2018 OFFS'!$AK:$AK,'T1 2019 Pipeline Data Lagasco'!$Q854,'Dec 31 2018 OFFS'!$W:$W,'T1 2019 Pipeline Data Lagasco'!$G854),1))</f>
        <v>20556</v>
      </c>
      <c r="S854" s="275">
        <f t="shared" si="33"/>
        <v>0</v>
      </c>
    </row>
    <row r="855" spans="1:19" s="217" customFormat="1" ht="14.1" customHeight="1">
      <c r="A855" s="224" t="s">
        <v>1504</v>
      </c>
      <c r="B855" s="218" t="s">
        <v>1505</v>
      </c>
      <c r="C855" s="223">
        <v>1</v>
      </c>
      <c r="D855" s="218" t="s">
        <v>1488</v>
      </c>
      <c r="E855" s="240">
        <v>4</v>
      </c>
      <c r="F855" s="230">
        <v>4458.99</v>
      </c>
      <c r="G855" s="223">
        <v>1999</v>
      </c>
      <c r="H855" s="223">
        <v>1</v>
      </c>
      <c r="I855" s="223">
        <v>0</v>
      </c>
      <c r="J855" s="223"/>
      <c r="K855" s="228">
        <v>117940.2855</v>
      </c>
      <c r="L855" s="241">
        <v>62</v>
      </c>
      <c r="M855" s="229">
        <v>44817.308490000003</v>
      </c>
      <c r="N855" s="230">
        <v>26.45</v>
      </c>
      <c r="O855" s="231">
        <v>0</v>
      </c>
      <c r="P855" s="315"/>
      <c r="Q855" s="276">
        <f t="shared" si="32"/>
        <v>4458.99</v>
      </c>
      <c r="R855" s="275">
        <f>(SUMIFS('Dec 31 2018 OFFS'!$AG:$AG,'Dec 31 2018 OFFS'!$AI:$AI,'T1 2019 Pipeline Data Lagasco'!$A855,'Dec 31 2018 OFFS'!$U:$U,'T1 2019 Pipeline Data Lagasco'!$E855,'Dec 31 2018 OFFS'!$AK:$AK,'T1 2019 Pipeline Data Lagasco'!$Q855,'Dec 31 2018 OFFS'!$W:$W,'T1 2019 Pipeline Data Lagasco'!$G855))/(MAX(COUNTIFS('Dec 31 2018 OFFS'!$AI:$AI,'T1 2019 Pipeline Data Lagasco'!$A855,'Dec 31 2018 OFFS'!$U:$U,'T1 2019 Pipeline Data Lagasco'!$E855,'Dec 31 2018 OFFS'!$AK:$AK,'T1 2019 Pipeline Data Lagasco'!$Q855,'Dec 31 2018 OFFS'!$W:$W,'T1 2019 Pipeline Data Lagasco'!$G855),1))</f>
        <v>0</v>
      </c>
      <c r="S855" s="275">
        <f t="shared" si="33"/>
        <v>0</v>
      </c>
    </row>
    <row r="856" spans="1:19" s="217" customFormat="1" ht="14.1" customHeight="1">
      <c r="A856" s="224" t="s">
        <v>1504</v>
      </c>
      <c r="B856" s="218" t="s">
        <v>1505</v>
      </c>
      <c r="C856" s="223">
        <v>1</v>
      </c>
      <c r="D856" s="218" t="s">
        <v>1488</v>
      </c>
      <c r="E856" s="240">
        <v>4</v>
      </c>
      <c r="F856" s="230">
        <v>11434.45</v>
      </c>
      <c r="G856" s="223">
        <v>1999</v>
      </c>
      <c r="H856" s="223">
        <v>1</v>
      </c>
      <c r="I856" s="223">
        <v>0</v>
      </c>
      <c r="J856" s="223"/>
      <c r="K856" s="228">
        <v>302441.20250000001</v>
      </c>
      <c r="L856" s="241">
        <v>62</v>
      </c>
      <c r="M856" s="239">
        <v>114927.65700000001</v>
      </c>
      <c r="N856" s="230">
        <v>26.45</v>
      </c>
      <c r="O856" s="231">
        <v>0</v>
      </c>
      <c r="P856" s="315"/>
      <c r="Q856" s="276">
        <f t="shared" si="32"/>
        <v>11434.45</v>
      </c>
      <c r="R856" s="275">
        <f>(SUMIFS('Dec 31 2018 OFFS'!$AG:$AG,'Dec 31 2018 OFFS'!$AI:$AI,'T1 2019 Pipeline Data Lagasco'!$A856,'Dec 31 2018 OFFS'!$U:$U,'T1 2019 Pipeline Data Lagasco'!$E856,'Dec 31 2018 OFFS'!$AK:$AK,'T1 2019 Pipeline Data Lagasco'!$Q856,'Dec 31 2018 OFFS'!$W:$W,'T1 2019 Pipeline Data Lagasco'!$G856))/(MAX(COUNTIFS('Dec 31 2018 OFFS'!$AI:$AI,'T1 2019 Pipeline Data Lagasco'!$A856,'Dec 31 2018 OFFS'!$U:$U,'T1 2019 Pipeline Data Lagasco'!$E856,'Dec 31 2018 OFFS'!$AK:$AK,'T1 2019 Pipeline Data Lagasco'!$Q856,'Dec 31 2018 OFFS'!$W:$W,'T1 2019 Pipeline Data Lagasco'!$G856),1))</f>
        <v>0</v>
      </c>
      <c r="S856" s="275">
        <f t="shared" si="33"/>
        <v>0</v>
      </c>
    </row>
    <row r="857" spans="1:19" s="217" customFormat="1" ht="14.1" customHeight="1">
      <c r="A857" s="224" t="s">
        <v>1504</v>
      </c>
      <c r="B857" s="218" t="s">
        <v>1505</v>
      </c>
      <c r="C857" s="223">
        <v>1</v>
      </c>
      <c r="D857" s="218" t="s">
        <v>1488</v>
      </c>
      <c r="E857" s="240">
        <v>4</v>
      </c>
      <c r="F857" s="223">
        <v>12471</v>
      </c>
      <c r="G857" s="223">
        <v>1985</v>
      </c>
      <c r="H857" s="223">
        <v>1</v>
      </c>
      <c r="I857" s="223">
        <v>1</v>
      </c>
      <c r="J857" s="223"/>
      <c r="K857" s="238">
        <v>329857.95</v>
      </c>
      <c r="L857" s="241">
        <v>80</v>
      </c>
      <c r="M857" s="238">
        <v>65971.59</v>
      </c>
      <c r="N857" s="230">
        <v>26.45</v>
      </c>
      <c r="O857" s="231">
        <v>65971</v>
      </c>
      <c r="P857" s="315"/>
      <c r="Q857" s="276">
        <f t="shared" si="32"/>
        <v>12471</v>
      </c>
      <c r="R857" s="275">
        <f>(SUMIFS('Dec 31 2018 OFFS'!$AG:$AG,'Dec 31 2018 OFFS'!$AI:$AI,'T1 2019 Pipeline Data Lagasco'!$A857,'Dec 31 2018 OFFS'!$U:$U,'T1 2019 Pipeline Data Lagasco'!$E857,'Dec 31 2018 OFFS'!$AK:$AK,'T1 2019 Pipeline Data Lagasco'!$Q857,'Dec 31 2018 OFFS'!$W:$W,'T1 2019 Pipeline Data Lagasco'!$G857))/(MAX(COUNTIFS('Dec 31 2018 OFFS'!$AI:$AI,'T1 2019 Pipeline Data Lagasco'!$A857,'Dec 31 2018 OFFS'!$U:$U,'T1 2019 Pipeline Data Lagasco'!$E857,'Dec 31 2018 OFFS'!$AK:$AK,'T1 2019 Pipeline Data Lagasco'!$Q857,'Dec 31 2018 OFFS'!$W:$W,'T1 2019 Pipeline Data Lagasco'!$G857),1))</f>
        <v>65971</v>
      </c>
      <c r="S857" s="275">
        <f t="shared" si="33"/>
        <v>0</v>
      </c>
    </row>
    <row r="858" spans="1:19" s="217" customFormat="1" ht="15" customHeight="1">
      <c r="A858" s="224" t="s">
        <v>1504</v>
      </c>
      <c r="B858" s="218" t="s">
        <v>1505</v>
      </c>
      <c r="C858" s="223">
        <v>1</v>
      </c>
      <c r="D858" s="218" t="s">
        <v>1488</v>
      </c>
      <c r="E858" s="240">
        <v>4</v>
      </c>
      <c r="F858" s="223">
        <v>23982</v>
      </c>
      <c r="G858" s="223">
        <v>1971</v>
      </c>
      <c r="H858" s="223">
        <v>1</v>
      </c>
      <c r="I858" s="223">
        <v>0</v>
      </c>
      <c r="J858" s="223"/>
      <c r="K858" s="237">
        <v>634323.90</v>
      </c>
      <c r="L858" s="241">
        <v>80</v>
      </c>
      <c r="M858" s="238">
        <v>126864.78</v>
      </c>
      <c r="N858" s="230">
        <v>26.45</v>
      </c>
      <c r="O858" s="231">
        <v>0</v>
      </c>
      <c r="P858" s="315"/>
      <c r="Q858" s="276">
        <f t="shared" si="32"/>
        <v>23982</v>
      </c>
      <c r="R858" s="275">
        <f>(SUMIFS('Dec 31 2018 OFFS'!$AG:$AG,'Dec 31 2018 OFFS'!$AI:$AI,'T1 2019 Pipeline Data Lagasco'!$A858,'Dec 31 2018 OFFS'!$U:$U,'T1 2019 Pipeline Data Lagasco'!$E858,'Dec 31 2018 OFFS'!$AK:$AK,'T1 2019 Pipeline Data Lagasco'!$Q858,'Dec 31 2018 OFFS'!$W:$W,'T1 2019 Pipeline Data Lagasco'!$G858))/(MAX(COUNTIFS('Dec 31 2018 OFFS'!$AI:$AI,'T1 2019 Pipeline Data Lagasco'!$A858,'Dec 31 2018 OFFS'!$U:$U,'T1 2019 Pipeline Data Lagasco'!$E858,'Dec 31 2018 OFFS'!$AK:$AK,'T1 2019 Pipeline Data Lagasco'!$Q858,'Dec 31 2018 OFFS'!$W:$W,'T1 2019 Pipeline Data Lagasco'!$G858),1))</f>
        <v>0</v>
      </c>
      <c r="S858" s="275">
        <f t="shared" si="33"/>
        <v>0</v>
      </c>
    </row>
    <row r="859" spans="1:19" s="217" customFormat="1" ht="15" customHeight="1">
      <c r="A859" s="224" t="s">
        <v>1504</v>
      </c>
      <c r="B859" s="218" t="s">
        <v>1505</v>
      </c>
      <c r="C859" s="223">
        <v>1</v>
      </c>
      <c r="D859" s="218" t="s">
        <v>1488</v>
      </c>
      <c r="E859" s="240">
        <v>4</v>
      </c>
      <c r="F859" s="223">
        <v>3399</v>
      </c>
      <c r="G859" s="223">
        <v>1971</v>
      </c>
      <c r="H859" s="223">
        <v>1</v>
      </c>
      <c r="I859" s="223">
        <v>1</v>
      </c>
      <c r="J859" s="223"/>
      <c r="K859" s="238">
        <v>89903.55</v>
      </c>
      <c r="L859" s="241">
        <v>80</v>
      </c>
      <c r="M859" s="238">
        <v>17980.71</v>
      </c>
      <c r="N859" s="230">
        <v>26.45</v>
      </c>
      <c r="O859" s="231">
        <v>17980</v>
      </c>
      <c r="P859" s="314"/>
      <c r="Q859" s="276">
        <f t="shared" si="32"/>
        <v>3399</v>
      </c>
      <c r="R859" s="275">
        <f>(SUMIFS('Dec 31 2018 OFFS'!$AG:$AG,'Dec 31 2018 OFFS'!$AI:$AI,'T1 2019 Pipeline Data Lagasco'!$A859,'Dec 31 2018 OFFS'!$U:$U,'T1 2019 Pipeline Data Lagasco'!$E859,'Dec 31 2018 OFFS'!$AK:$AK,'T1 2019 Pipeline Data Lagasco'!$Q859,'Dec 31 2018 OFFS'!$W:$W,'T1 2019 Pipeline Data Lagasco'!$G859))/(MAX(COUNTIFS('Dec 31 2018 OFFS'!$AI:$AI,'T1 2019 Pipeline Data Lagasco'!$A859,'Dec 31 2018 OFFS'!$U:$U,'T1 2019 Pipeline Data Lagasco'!$E859,'Dec 31 2018 OFFS'!$AK:$AK,'T1 2019 Pipeline Data Lagasco'!$Q859,'Dec 31 2018 OFFS'!$W:$W,'T1 2019 Pipeline Data Lagasco'!$G859),1))</f>
        <v>17980</v>
      </c>
      <c r="S859" s="275">
        <f t="shared" si="33"/>
        <v>0</v>
      </c>
    </row>
    <row r="860" spans="1:19" s="217" customFormat="1" ht="14.1" customHeight="1">
      <c r="A860" s="224" t="s">
        <v>1504</v>
      </c>
      <c r="B860" s="218" t="s">
        <v>1505</v>
      </c>
      <c r="C860" s="223">
        <v>1</v>
      </c>
      <c r="D860" s="218" t="s">
        <v>1488</v>
      </c>
      <c r="E860" s="240">
        <v>4</v>
      </c>
      <c r="F860" s="230">
        <v>11351.64</v>
      </c>
      <c r="G860" s="223">
        <v>1999</v>
      </c>
      <c r="H860" s="223">
        <v>1</v>
      </c>
      <c r="I860" s="223">
        <v>0</v>
      </c>
      <c r="J860" s="223"/>
      <c r="K860" s="239">
        <v>300250.87800000003</v>
      </c>
      <c r="L860" s="241">
        <v>62</v>
      </c>
      <c r="M860" s="228">
        <v>114095.3336</v>
      </c>
      <c r="N860" s="230">
        <v>26.45</v>
      </c>
      <c r="O860" s="231">
        <v>0</v>
      </c>
      <c r="P860" s="314"/>
      <c r="Q860" s="276">
        <f t="shared" si="32"/>
        <v>11351.64</v>
      </c>
      <c r="R860" s="275">
        <f>(SUMIFS('Dec 31 2018 OFFS'!$AG:$AG,'Dec 31 2018 OFFS'!$AI:$AI,'T1 2019 Pipeline Data Lagasco'!$A860,'Dec 31 2018 OFFS'!$U:$U,'T1 2019 Pipeline Data Lagasco'!$E860,'Dec 31 2018 OFFS'!$AK:$AK,'T1 2019 Pipeline Data Lagasco'!$Q860,'Dec 31 2018 OFFS'!$W:$W,'T1 2019 Pipeline Data Lagasco'!$G860))/(MAX(COUNTIFS('Dec 31 2018 OFFS'!$AI:$AI,'T1 2019 Pipeline Data Lagasco'!$A860,'Dec 31 2018 OFFS'!$U:$U,'T1 2019 Pipeline Data Lagasco'!$E860,'Dec 31 2018 OFFS'!$AK:$AK,'T1 2019 Pipeline Data Lagasco'!$Q860,'Dec 31 2018 OFFS'!$W:$W,'T1 2019 Pipeline Data Lagasco'!$G860),1))</f>
        <v>0</v>
      </c>
      <c r="S860" s="275">
        <f t="shared" si="33"/>
        <v>0</v>
      </c>
    </row>
    <row r="861" spans="1:19" s="217" customFormat="1" ht="14.1" customHeight="1">
      <c r="A861" s="224" t="s">
        <v>1504</v>
      </c>
      <c r="B861" s="218" t="s">
        <v>1505</v>
      </c>
      <c r="C861" s="223">
        <v>1</v>
      </c>
      <c r="D861" s="218" t="s">
        <v>1488</v>
      </c>
      <c r="E861" s="240">
        <v>4</v>
      </c>
      <c r="F861" s="223">
        <v>5808</v>
      </c>
      <c r="G861" s="223">
        <v>2001</v>
      </c>
      <c r="H861" s="223">
        <v>1</v>
      </c>
      <c r="I861" s="223">
        <v>1</v>
      </c>
      <c r="J861" s="223"/>
      <c r="K861" s="237">
        <v>153621.60</v>
      </c>
      <c r="L861" s="241">
        <v>59</v>
      </c>
      <c r="M861" s="239">
        <v>62984.856</v>
      </c>
      <c r="N861" s="230">
        <v>26.45</v>
      </c>
      <c r="O861" s="231">
        <v>62984</v>
      </c>
      <c r="P861" s="314"/>
      <c r="Q861" s="276">
        <f t="shared" si="32"/>
        <v>5808</v>
      </c>
      <c r="R861" s="275">
        <f>(SUMIFS('Dec 31 2018 OFFS'!$AG:$AG,'Dec 31 2018 OFFS'!$AI:$AI,'T1 2019 Pipeline Data Lagasco'!$A861,'Dec 31 2018 OFFS'!$U:$U,'T1 2019 Pipeline Data Lagasco'!$E861,'Dec 31 2018 OFFS'!$AK:$AK,'T1 2019 Pipeline Data Lagasco'!$Q861,'Dec 31 2018 OFFS'!$W:$W,'T1 2019 Pipeline Data Lagasco'!$G861))/(MAX(COUNTIFS('Dec 31 2018 OFFS'!$AI:$AI,'T1 2019 Pipeline Data Lagasco'!$A861,'Dec 31 2018 OFFS'!$U:$U,'T1 2019 Pipeline Data Lagasco'!$E861,'Dec 31 2018 OFFS'!$AK:$AK,'T1 2019 Pipeline Data Lagasco'!$Q861,'Dec 31 2018 OFFS'!$W:$W,'T1 2019 Pipeline Data Lagasco'!$G861),1))</f>
        <v>62984</v>
      </c>
      <c r="S861" s="275">
        <f t="shared" si="33"/>
        <v>0</v>
      </c>
    </row>
    <row r="862" spans="1:19" s="217" customFormat="1" ht="14.1" customHeight="1">
      <c r="A862" s="224" t="s">
        <v>1504</v>
      </c>
      <c r="B862" s="218" t="s">
        <v>1505</v>
      </c>
      <c r="C862" s="223">
        <v>1</v>
      </c>
      <c r="D862" s="218" t="s">
        <v>1488</v>
      </c>
      <c r="E862" s="240">
        <v>4</v>
      </c>
      <c r="F862" s="223">
        <v>6232</v>
      </c>
      <c r="G862" s="223">
        <v>1985</v>
      </c>
      <c r="H862" s="223">
        <v>1</v>
      </c>
      <c r="I862" s="223">
        <v>1</v>
      </c>
      <c r="J862" s="223"/>
      <c r="K862" s="237">
        <v>164836.40</v>
      </c>
      <c r="L862" s="241">
        <v>80</v>
      </c>
      <c r="M862" s="238">
        <v>32967.28</v>
      </c>
      <c r="N862" s="230">
        <v>26.45</v>
      </c>
      <c r="O862" s="231">
        <v>32967</v>
      </c>
      <c r="P862" s="314"/>
      <c r="Q862" s="276">
        <f t="shared" si="32"/>
        <v>6232</v>
      </c>
      <c r="R862" s="275">
        <f>(SUMIFS('Dec 31 2018 OFFS'!$AG:$AG,'Dec 31 2018 OFFS'!$AI:$AI,'T1 2019 Pipeline Data Lagasco'!$A862,'Dec 31 2018 OFFS'!$U:$U,'T1 2019 Pipeline Data Lagasco'!$E862,'Dec 31 2018 OFFS'!$AK:$AK,'T1 2019 Pipeline Data Lagasco'!$Q862,'Dec 31 2018 OFFS'!$W:$W,'T1 2019 Pipeline Data Lagasco'!$G862))/(MAX(COUNTIFS('Dec 31 2018 OFFS'!$AI:$AI,'T1 2019 Pipeline Data Lagasco'!$A862,'Dec 31 2018 OFFS'!$U:$U,'T1 2019 Pipeline Data Lagasco'!$E862,'Dec 31 2018 OFFS'!$AK:$AK,'T1 2019 Pipeline Data Lagasco'!$Q862,'Dec 31 2018 OFFS'!$W:$W,'T1 2019 Pipeline Data Lagasco'!$G862),1))</f>
        <v>32967</v>
      </c>
      <c r="S862" s="275">
        <f t="shared" si="33"/>
        <v>0</v>
      </c>
    </row>
    <row r="863" spans="1:19" s="217" customFormat="1" ht="14.1" customHeight="1">
      <c r="A863" s="224" t="s">
        <v>1504</v>
      </c>
      <c r="B863" s="218" t="s">
        <v>1505</v>
      </c>
      <c r="C863" s="223">
        <v>1</v>
      </c>
      <c r="D863" s="218" t="s">
        <v>1488</v>
      </c>
      <c r="E863" s="240">
        <v>4</v>
      </c>
      <c r="F863" s="230">
        <v>11465.49</v>
      </c>
      <c r="G863" s="223">
        <v>1999</v>
      </c>
      <c r="H863" s="223">
        <v>1</v>
      </c>
      <c r="I863" s="223">
        <v>0</v>
      </c>
      <c r="J863" s="223"/>
      <c r="K863" s="228">
        <v>303262.21049999999</v>
      </c>
      <c r="L863" s="241">
        <v>62</v>
      </c>
      <c r="M863" s="238">
        <v>115239.64</v>
      </c>
      <c r="N863" s="230">
        <v>26.45</v>
      </c>
      <c r="O863" s="231">
        <v>0</v>
      </c>
      <c r="P863" s="314"/>
      <c r="Q863" s="276">
        <f t="shared" si="32"/>
        <v>11465.49</v>
      </c>
      <c r="R863" s="275">
        <f>(SUMIFS('Dec 31 2018 OFFS'!$AG:$AG,'Dec 31 2018 OFFS'!$AI:$AI,'T1 2019 Pipeline Data Lagasco'!$A863,'Dec 31 2018 OFFS'!$U:$U,'T1 2019 Pipeline Data Lagasco'!$E863,'Dec 31 2018 OFFS'!$AK:$AK,'T1 2019 Pipeline Data Lagasco'!$Q863,'Dec 31 2018 OFFS'!$W:$W,'T1 2019 Pipeline Data Lagasco'!$G863))/(MAX(COUNTIFS('Dec 31 2018 OFFS'!$AI:$AI,'T1 2019 Pipeline Data Lagasco'!$A863,'Dec 31 2018 OFFS'!$U:$U,'T1 2019 Pipeline Data Lagasco'!$E863,'Dec 31 2018 OFFS'!$AK:$AK,'T1 2019 Pipeline Data Lagasco'!$Q863,'Dec 31 2018 OFFS'!$W:$W,'T1 2019 Pipeline Data Lagasco'!$G863),1))</f>
        <v>0</v>
      </c>
      <c r="S863" s="275">
        <f t="shared" si="33"/>
        <v>0</v>
      </c>
    </row>
    <row r="864" spans="1:19" s="217" customFormat="1" ht="14.1" customHeight="1">
      <c r="A864" s="224" t="s">
        <v>1504</v>
      </c>
      <c r="B864" s="218" t="s">
        <v>1505</v>
      </c>
      <c r="C864" s="223">
        <v>1</v>
      </c>
      <c r="D864" s="218" t="s">
        <v>1488</v>
      </c>
      <c r="E864" s="240">
        <v>4</v>
      </c>
      <c r="F864" s="223">
        <v>4443</v>
      </c>
      <c r="G864" s="223">
        <v>1985</v>
      </c>
      <c r="H864" s="223">
        <v>1</v>
      </c>
      <c r="I864" s="223">
        <v>1</v>
      </c>
      <c r="J864" s="223"/>
      <c r="K864" s="238">
        <v>117517.35</v>
      </c>
      <c r="L864" s="241">
        <v>80</v>
      </c>
      <c r="M864" s="238">
        <v>23503.47</v>
      </c>
      <c r="N864" s="230">
        <v>26.45</v>
      </c>
      <c r="O864" s="231">
        <v>23503</v>
      </c>
      <c r="P864" s="314"/>
      <c r="Q864" s="276">
        <f t="shared" si="32"/>
        <v>4443</v>
      </c>
      <c r="R864" s="275">
        <f>(SUMIFS('Dec 31 2018 OFFS'!$AG:$AG,'Dec 31 2018 OFFS'!$AI:$AI,'T1 2019 Pipeline Data Lagasco'!$A864,'Dec 31 2018 OFFS'!$U:$U,'T1 2019 Pipeline Data Lagasco'!$E864,'Dec 31 2018 OFFS'!$AK:$AK,'T1 2019 Pipeline Data Lagasco'!$Q864,'Dec 31 2018 OFFS'!$W:$W,'T1 2019 Pipeline Data Lagasco'!$G864))/(MAX(COUNTIFS('Dec 31 2018 OFFS'!$AI:$AI,'T1 2019 Pipeline Data Lagasco'!$A864,'Dec 31 2018 OFFS'!$U:$U,'T1 2019 Pipeline Data Lagasco'!$E864,'Dec 31 2018 OFFS'!$AK:$AK,'T1 2019 Pipeline Data Lagasco'!$Q864,'Dec 31 2018 OFFS'!$W:$W,'T1 2019 Pipeline Data Lagasco'!$G864),1))</f>
        <v>23503</v>
      </c>
      <c r="S864" s="275">
        <f t="shared" si="33"/>
        <v>0</v>
      </c>
    </row>
    <row r="865" spans="1:19" s="217" customFormat="1" ht="14.1" customHeight="1">
      <c r="A865" s="224" t="s">
        <v>1504</v>
      </c>
      <c r="B865" s="218" t="s">
        <v>1505</v>
      </c>
      <c r="C865" s="223">
        <v>1</v>
      </c>
      <c r="D865" s="218" t="s">
        <v>1488</v>
      </c>
      <c r="E865" s="240">
        <v>4</v>
      </c>
      <c r="F865" s="223">
        <v>2645</v>
      </c>
      <c r="G865" s="223">
        <v>2001</v>
      </c>
      <c r="H865" s="223">
        <v>1</v>
      </c>
      <c r="I865" s="223">
        <v>1</v>
      </c>
      <c r="J865" s="223"/>
      <c r="K865" s="238">
        <v>69960.25</v>
      </c>
      <c r="L865" s="241">
        <v>59</v>
      </c>
      <c r="M865" s="228">
        <v>28683.702499999999</v>
      </c>
      <c r="N865" s="230">
        <v>26.45</v>
      </c>
      <c r="O865" s="231">
        <v>28683</v>
      </c>
      <c r="P865" s="314"/>
      <c r="Q865" s="276">
        <f t="shared" si="32"/>
        <v>2645</v>
      </c>
      <c r="R865" s="275">
        <f>(SUMIFS('Dec 31 2018 OFFS'!$AG:$AG,'Dec 31 2018 OFFS'!$AI:$AI,'T1 2019 Pipeline Data Lagasco'!$A865,'Dec 31 2018 OFFS'!$U:$U,'T1 2019 Pipeline Data Lagasco'!$E865,'Dec 31 2018 OFFS'!$AK:$AK,'T1 2019 Pipeline Data Lagasco'!$Q865,'Dec 31 2018 OFFS'!$W:$W,'T1 2019 Pipeline Data Lagasco'!$G865))/(MAX(COUNTIFS('Dec 31 2018 OFFS'!$AI:$AI,'T1 2019 Pipeline Data Lagasco'!$A865,'Dec 31 2018 OFFS'!$U:$U,'T1 2019 Pipeline Data Lagasco'!$E865,'Dec 31 2018 OFFS'!$AK:$AK,'T1 2019 Pipeline Data Lagasco'!$Q865,'Dec 31 2018 OFFS'!$W:$W,'T1 2019 Pipeline Data Lagasco'!$G865),1))</f>
        <v>28683</v>
      </c>
      <c r="S865" s="275">
        <f t="shared" si="33"/>
        <v>0</v>
      </c>
    </row>
    <row r="866" spans="1:19" s="217" customFormat="1" ht="14.1" customHeight="1">
      <c r="A866" s="224" t="s">
        <v>1504</v>
      </c>
      <c r="B866" s="218" t="s">
        <v>1505</v>
      </c>
      <c r="C866" s="223">
        <v>1</v>
      </c>
      <c r="D866" s="218" t="s">
        <v>1488</v>
      </c>
      <c r="E866" s="240">
        <v>4</v>
      </c>
      <c r="F866" s="223">
        <v>9767</v>
      </c>
      <c r="G866" s="223">
        <v>1985</v>
      </c>
      <c r="H866" s="223">
        <v>1</v>
      </c>
      <c r="I866" s="223">
        <v>1</v>
      </c>
      <c r="J866" s="223"/>
      <c r="K866" s="238">
        <v>258337.15</v>
      </c>
      <c r="L866" s="241">
        <v>80</v>
      </c>
      <c r="M866" s="238">
        <v>51667.43</v>
      </c>
      <c r="N866" s="230">
        <v>26.45</v>
      </c>
      <c r="O866" s="231">
        <v>51667</v>
      </c>
      <c r="P866" s="314"/>
      <c r="Q866" s="276">
        <f t="shared" si="32"/>
        <v>9767</v>
      </c>
      <c r="R866" s="275">
        <f>(SUMIFS('Dec 31 2018 OFFS'!$AG:$AG,'Dec 31 2018 OFFS'!$AI:$AI,'T1 2019 Pipeline Data Lagasco'!$A866,'Dec 31 2018 OFFS'!$U:$U,'T1 2019 Pipeline Data Lagasco'!$E866,'Dec 31 2018 OFFS'!$AK:$AK,'T1 2019 Pipeline Data Lagasco'!$Q866,'Dec 31 2018 OFFS'!$W:$W,'T1 2019 Pipeline Data Lagasco'!$G866))/(MAX(COUNTIFS('Dec 31 2018 OFFS'!$AI:$AI,'T1 2019 Pipeline Data Lagasco'!$A866,'Dec 31 2018 OFFS'!$U:$U,'T1 2019 Pipeline Data Lagasco'!$E866,'Dec 31 2018 OFFS'!$AK:$AK,'T1 2019 Pipeline Data Lagasco'!$Q866,'Dec 31 2018 OFFS'!$W:$W,'T1 2019 Pipeline Data Lagasco'!$G866),1))</f>
        <v>51667</v>
      </c>
      <c r="S866" s="275">
        <f t="shared" si="33"/>
        <v>0</v>
      </c>
    </row>
    <row r="867" spans="1:19" s="217" customFormat="1" ht="14.1" customHeight="1">
      <c r="A867" s="224" t="s">
        <v>1504</v>
      </c>
      <c r="B867" s="218" t="s">
        <v>1505</v>
      </c>
      <c r="C867" s="223">
        <v>1</v>
      </c>
      <c r="D867" s="218" t="s">
        <v>1488</v>
      </c>
      <c r="E867" s="240">
        <v>4</v>
      </c>
      <c r="F867" s="223">
        <v>5630</v>
      </c>
      <c r="G867" s="223">
        <v>1968</v>
      </c>
      <c r="H867" s="223">
        <v>1</v>
      </c>
      <c r="I867" s="223">
        <v>0</v>
      </c>
      <c r="J867" s="223"/>
      <c r="K867" s="237">
        <v>148913.50</v>
      </c>
      <c r="L867" s="241">
        <v>80</v>
      </c>
      <c r="M867" s="237">
        <v>29782.70</v>
      </c>
      <c r="N867" s="230">
        <v>26.45</v>
      </c>
      <c r="O867" s="231">
        <v>0</v>
      </c>
      <c r="P867" s="314"/>
      <c r="Q867" s="276">
        <f t="shared" si="32"/>
        <v>5630</v>
      </c>
      <c r="R867" s="275">
        <f>(SUMIFS('Dec 31 2018 OFFS'!$AG:$AG,'Dec 31 2018 OFFS'!$AI:$AI,'T1 2019 Pipeline Data Lagasco'!$A867,'Dec 31 2018 OFFS'!$U:$U,'T1 2019 Pipeline Data Lagasco'!$E867,'Dec 31 2018 OFFS'!$AK:$AK,'T1 2019 Pipeline Data Lagasco'!$Q867,'Dec 31 2018 OFFS'!$W:$W,'T1 2019 Pipeline Data Lagasco'!$G867))/(MAX(COUNTIFS('Dec 31 2018 OFFS'!$AI:$AI,'T1 2019 Pipeline Data Lagasco'!$A867,'Dec 31 2018 OFFS'!$U:$U,'T1 2019 Pipeline Data Lagasco'!$E867,'Dec 31 2018 OFFS'!$AK:$AK,'T1 2019 Pipeline Data Lagasco'!$Q867,'Dec 31 2018 OFFS'!$W:$W,'T1 2019 Pipeline Data Lagasco'!$G867),1))</f>
        <v>0</v>
      </c>
      <c r="S867" s="275">
        <f t="shared" si="33"/>
        <v>0</v>
      </c>
    </row>
    <row r="868" spans="1:19" s="217" customFormat="1" ht="14.1" customHeight="1">
      <c r="A868" s="224" t="s">
        <v>1504</v>
      </c>
      <c r="B868" s="218" t="s">
        <v>1505</v>
      </c>
      <c r="C868" s="223">
        <v>1</v>
      </c>
      <c r="D868" s="218" t="s">
        <v>1488</v>
      </c>
      <c r="E868" s="240">
        <v>4</v>
      </c>
      <c r="F868" s="230">
        <v>11434.05</v>
      </c>
      <c r="G868" s="223">
        <v>1999</v>
      </c>
      <c r="H868" s="223">
        <v>1</v>
      </c>
      <c r="I868" s="223">
        <v>0</v>
      </c>
      <c r="J868" s="223"/>
      <c r="K868" s="228">
        <v>302430.6225</v>
      </c>
      <c r="L868" s="241">
        <v>62</v>
      </c>
      <c r="M868" s="228">
        <v>114923.6366</v>
      </c>
      <c r="N868" s="230">
        <v>26.45</v>
      </c>
      <c r="O868" s="231">
        <v>0</v>
      </c>
      <c r="P868" s="314"/>
      <c r="Q868" s="276">
        <f t="shared" si="32"/>
        <v>11434.05</v>
      </c>
      <c r="R868" s="275">
        <f>(SUMIFS('Dec 31 2018 OFFS'!$AG:$AG,'Dec 31 2018 OFFS'!$AI:$AI,'T1 2019 Pipeline Data Lagasco'!$A868,'Dec 31 2018 OFFS'!$U:$U,'T1 2019 Pipeline Data Lagasco'!$E868,'Dec 31 2018 OFFS'!$AK:$AK,'T1 2019 Pipeline Data Lagasco'!$Q868,'Dec 31 2018 OFFS'!$W:$W,'T1 2019 Pipeline Data Lagasco'!$G868))/(MAX(COUNTIFS('Dec 31 2018 OFFS'!$AI:$AI,'T1 2019 Pipeline Data Lagasco'!$A868,'Dec 31 2018 OFFS'!$U:$U,'T1 2019 Pipeline Data Lagasco'!$E868,'Dec 31 2018 OFFS'!$AK:$AK,'T1 2019 Pipeline Data Lagasco'!$Q868,'Dec 31 2018 OFFS'!$W:$W,'T1 2019 Pipeline Data Lagasco'!$G868),1))</f>
        <v>0</v>
      </c>
      <c r="S868" s="275">
        <f t="shared" si="33"/>
        <v>0</v>
      </c>
    </row>
    <row r="869" spans="1:19" s="217" customFormat="1" ht="14.1" customHeight="1">
      <c r="A869" s="224" t="s">
        <v>1504</v>
      </c>
      <c r="B869" s="218" t="s">
        <v>1505</v>
      </c>
      <c r="C869" s="223">
        <v>1</v>
      </c>
      <c r="D869" s="218" t="s">
        <v>1488</v>
      </c>
      <c r="E869" s="240">
        <v>4</v>
      </c>
      <c r="F869" s="223">
        <v>11373</v>
      </c>
      <c r="G869" s="223">
        <v>1999</v>
      </c>
      <c r="H869" s="223">
        <v>1</v>
      </c>
      <c r="I869" s="223">
        <v>0</v>
      </c>
      <c r="J869" s="223"/>
      <c r="K869" s="238">
        <v>300815.84999999998</v>
      </c>
      <c r="L869" s="241">
        <v>62</v>
      </c>
      <c r="M869" s="239">
        <v>114310.023</v>
      </c>
      <c r="N869" s="230">
        <v>26.45</v>
      </c>
      <c r="O869" s="231">
        <v>0</v>
      </c>
      <c r="P869" s="314"/>
      <c r="Q869" s="276">
        <f t="shared" si="32"/>
        <v>11373</v>
      </c>
      <c r="R869" s="275">
        <f>(SUMIFS('Dec 31 2018 OFFS'!$AG:$AG,'Dec 31 2018 OFFS'!$AI:$AI,'T1 2019 Pipeline Data Lagasco'!$A869,'Dec 31 2018 OFFS'!$U:$U,'T1 2019 Pipeline Data Lagasco'!$E869,'Dec 31 2018 OFFS'!$AK:$AK,'T1 2019 Pipeline Data Lagasco'!$Q869,'Dec 31 2018 OFFS'!$W:$W,'T1 2019 Pipeline Data Lagasco'!$G869))/(MAX(COUNTIFS('Dec 31 2018 OFFS'!$AI:$AI,'T1 2019 Pipeline Data Lagasco'!$A869,'Dec 31 2018 OFFS'!$U:$U,'T1 2019 Pipeline Data Lagasco'!$E869,'Dec 31 2018 OFFS'!$AK:$AK,'T1 2019 Pipeline Data Lagasco'!$Q869,'Dec 31 2018 OFFS'!$W:$W,'T1 2019 Pipeline Data Lagasco'!$G869),1))</f>
        <v>0</v>
      </c>
      <c r="S869" s="275">
        <f t="shared" si="33"/>
        <v>0</v>
      </c>
    </row>
    <row r="870" spans="1:19" s="217" customFormat="1" ht="14.1" customHeight="1">
      <c r="A870" s="224" t="s">
        <v>1504</v>
      </c>
      <c r="B870" s="218" t="s">
        <v>1505</v>
      </c>
      <c r="C870" s="223">
        <v>1</v>
      </c>
      <c r="D870" s="218" t="s">
        <v>1488</v>
      </c>
      <c r="E870" s="240">
        <v>4</v>
      </c>
      <c r="F870" s="223">
        <v>3231</v>
      </c>
      <c r="G870" s="223">
        <v>1980</v>
      </c>
      <c r="H870" s="223">
        <v>1</v>
      </c>
      <c r="I870" s="223">
        <v>0</v>
      </c>
      <c r="J870" s="223"/>
      <c r="K870" s="238">
        <v>85459.95</v>
      </c>
      <c r="L870" s="241">
        <v>80</v>
      </c>
      <c r="M870" s="238">
        <v>17091.990000000002</v>
      </c>
      <c r="N870" s="230">
        <v>26.45</v>
      </c>
      <c r="O870" s="231">
        <v>0</v>
      </c>
      <c r="P870" s="314"/>
      <c r="Q870" s="276">
        <f t="shared" si="32"/>
        <v>3231</v>
      </c>
      <c r="R870" s="275">
        <f>(SUMIFS('Dec 31 2018 OFFS'!$AG:$AG,'Dec 31 2018 OFFS'!$AI:$AI,'T1 2019 Pipeline Data Lagasco'!$A870,'Dec 31 2018 OFFS'!$U:$U,'T1 2019 Pipeline Data Lagasco'!$E870,'Dec 31 2018 OFFS'!$AK:$AK,'T1 2019 Pipeline Data Lagasco'!$Q870,'Dec 31 2018 OFFS'!$W:$W,'T1 2019 Pipeline Data Lagasco'!$G870))/(MAX(COUNTIFS('Dec 31 2018 OFFS'!$AI:$AI,'T1 2019 Pipeline Data Lagasco'!$A870,'Dec 31 2018 OFFS'!$U:$U,'T1 2019 Pipeline Data Lagasco'!$E870,'Dec 31 2018 OFFS'!$AK:$AK,'T1 2019 Pipeline Data Lagasco'!$Q870,'Dec 31 2018 OFFS'!$W:$W,'T1 2019 Pipeline Data Lagasco'!$G870),1))</f>
        <v>0</v>
      </c>
      <c r="S870" s="275">
        <f t="shared" si="33"/>
        <v>0</v>
      </c>
    </row>
    <row r="871" spans="1:19" s="217" customFormat="1" ht="14.1" customHeight="1">
      <c r="A871" s="224" t="s">
        <v>1504</v>
      </c>
      <c r="B871" s="218" t="s">
        <v>1505</v>
      </c>
      <c r="C871" s="223">
        <v>1</v>
      </c>
      <c r="D871" s="218" t="s">
        <v>1488</v>
      </c>
      <c r="E871" s="240">
        <v>4</v>
      </c>
      <c r="F871" s="223">
        <v>3161</v>
      </c>
      <c r="G871" s="223">
        <v>1980</v>
      </c>
      <c r="H871" s="223">
        <v>1</v>
      </c>
      <c r="I871" s="223">
        <v>0</v>
      </c>
      <c r="J871" s="223"/>
      <c r="K871" s="238">
        <v>83608.45</v>
      </c>
      <c r="L871" s="241">
        <v>80</v>
      </c>
      <c r="M871" s="238">
        <v>16721.689999999999</v>
      </c>
      <c r="N871" s="230">
        <v>26.45</v>
      </c>
      <c r="O871" s="231">
        <v>0</v>
      </c>
      <c r="P871" s="314"/>
      <c r="Q871" s="276">
        <f t="shared" si="32"/>
        <v>3161</v>
      </c>
      <c r="R871" s="275">
        <f>(SUMIFS('Dec 31 2018 OFFS'!$AG:$AG,'Dec 31 2018 OFFS'!$AI:$AI,'T1 2019 Pipeline Data Lagasco'!$A871,'Dec 31 2018 OFFS'!$U:$U,'T1 2019 Pipeline Data Lagasco'!$E871,'Dec 31 2018 OFFS'!$AK:$AK,'T1 2019 Pipeline Data Lagasco'!$Q871,'Dec 31 2018 OFFS'!$W:$W,'T1 2019 Pipeline Data Lagasco'!$G871))/(MAX(COUNTIFS('Dec 31 2018 OFFS'!$AI:$AI,'T1 2019 Pipeline Data Lagasco'!$A871,'Dec 31 2018 OFFS'!$U:$U,'T1 2019 Pipeline Data Lagasco'!$E871,'Dec 31 2018 OFFS'!$AK:$AK,'T1 2019 Pipeline Data Lagasco'!$Q871,'Dec 31 2018 OFFS'!$W:$W,'T1 2019 Pipeline Data Lagasco'!$G871),1))</f>
        <v>0</v>
      </c>
      <c r="S871" s="275">
        <f t="shared" si="33"/>
        <v>0</v>
      </c>
    </row>
    <row r="872" spans="1:19" s="217" customFormat="1" ht="14.1" customHeight="1">
      <c r="A872" s="224" t="s">
        <v>1504</v>
      </c>
      <c r="B872" s="218" t="s">
        <v>1505</v>
      </c>
      <c r="C872" s="223">
        <v>1</v>
      </c>
      <c r="D872" s="218" t="s">
        <v>1488</v>
      </c>
      <c r="E872" s="240">
        <v>4</v>
      </c>
      <c r="F872" s="223">
        <v>5098</v>
      </c>
      <c r="G872" s="223">
        <v>1968</v>
      </c>
      <c r="H872" s="223">
        <v>1</v>
      </c>
      <c r="I872" s="223">
        <v>0</v>
      </c>
      <c r="J872" s="223"/>
      <c r="K872" s="237">
        <v>134842.10</v>
      </c>
      <c r="L872" s="241">
        <v>80</v>
      </c>
      <c r="M872" s="238">
        <v>26968.42</v>
      </c>
      <c r="N872" s="230">
        <v>26.45</v>
      </c>
      <c r="O872" s="231">
        <v>0</v>
      </c>
      <c r="P872" s="314"/>
      <c r="Q872" s="276">
        <f t="shared" si="32"/>
        <v>5098</v>
      </c>
      <c r="R872" s="275">
        <f>(SUMIFS('Dec 31 2018 OFFS'!$AG:$AG,'Dec 31 2018 OFFS'!$AI:$AI,'T1 2019 Pipeline Data Lagasco'!$A872,'Dec 31 2018 OFFS'!$U:$U,'T1 2019 Pipeline Data Lagasco'!$E872,'Dec 31 2018 OFFS'!$AK:$AK,'T1 2019 Pipeline Data Lagasco'!$Q872,'Dec 31 2018 OFFS'!$W:$W,'T1 2019 Pipeline Data Lagasco'!$G872))/(MAX(COUNTIFS('Dec 31 2018 OFFS'!$AI:$AI,'T1 2019 Pipeline Data Lagasco'!$A872,'Dec 31 2018 OFFS'!$U:$U,'T1 2019 Pipeline Data Lagasco'!$E872,'Dec 31 2018 OFFS'!$AK:$AK,'T1 2019 Pipeline Data Lagasco'!$Q872,'Dec 31 2018 OFFS'!$W:$W,'T1 2019 Pipeline Data Lagasco'!$G872),1))</f>
        <v>0</v>
      </c>
      <c r="S872" s="275">
        <f t="shared" si="33"/>
        <v>0</v>
      </c>
    </row>
    <row r="873" spans="1:19" s="217" customFormat="1" ht="14.1" customHeight="1">
      <c r="A873" s="224" t="s">
        <v>1504</v>
      </c>
      <c r="B873" s="218" t="s">
        <v>1505</v>
      </c>
      <c r="C873" s="223">
        <v>1</v>
      </c>
      <c r="D873" s="218" t="s">
        <v>1488</v>
      </c>
      <c r="E873" s="240">
        <v>4</v>
      </c>
      <c r="F873" s="223">
        <v>2557</v>
      </c>
      <c r="G873" s="223">
        <v>2001</v>
      </c>
      <c r="H873" s="223">
        <v>1</v>
      </c>
      <c r="I873" s="223">
        <v>1</v>
      </c>
      <c r="J873" s="223"/>
      <c r="K873" s="238">
        <v>67632.649999999994</v>
      </c>
      <c r="L873" s="241">
        <v>59</v>
      </c>
      <c r="M873" s="228">
        <v>27729.386500000001</v>
      </c>
      <c r="N873" s="230">
        <v>26.45</v>
      </c>
      <c r="O873" s="231">
        <v>27729</v>
      </c>
      <c r="P873" s="314"/>
      <c r="Q873" s="276">
        <f t="shared" si="32"/>
        <v>2557</v>
      </c>
      <c r="R873" s="275">
        <f>(SUMIFS('Dec 31 2018 OFFS'!$AG:$AG,'Dec 31 2018 OFFS'!$AI:$AI,'T1 2019 Pipeline Data Lagasco'!$A873,'Dec 31 2018 OFFS'!$U:$U,'T1 2019 Pipeline Data Lagasco'!$E873,'Dec 31 2018 OFFS'!$AK:$AK,'T1 2019 Pipeline Data Lagasco'!$Q873,'Dec 31 2018 OFFS'!$W:$W,'T1 2019 Pipeline Data Lagasco'!$G873))/(MAX(COUNTIFS('Dec 31 2018 OFFS'!$AI:$AI,'T1 2019 Pipeline Data Lagasco'!$A873,'Dec 31 2018 OFFS'!$U:$U,'T1 2019 Pipeline Data Lagasco'!$E873,'Dec 31 2018 OFFS'!$AK:$AK,'T1 2019 Pipeline Data Lagasco'!$Q873,'Dec 31 2018 OFFS'!$W:$W,'T1 2019 Pipeline Data Lagasco'!$G873),1))</f>
        <v>27729</v>
      </c>
      <c r="S873" s="275">
        <f t="shared" si="33"/>
        <v>0</v>
      </c>
    </row>
    <row r="874" spans="1:19" s="217" customFormat="1" ht="14.1" customHeight="1">
      <c r="A874" s="224" t="s">
        <v>1504</v>
      </c>
      <c r="B874" s="218" t="s">
        <v>1505</v>
      </c>
      <c r="C874" s="223">
        <v>1</v>
      </c>
      <c r="D874" s="218" t="s">
        <v>1488</v>
      </c>
      <c r="E874" s="240">
        <v>4</v>
      </c>
      <c r="F874" s="223">
        <v>1818</v>
      </c>
      <c r="G874" s="223">
        <v>1985</v>
      </c>
      <c r="H874" s="223">
        <v>1</v>
      </c>
      <c r="I874" s="223">
        <v>1</v>
      </c>
      <c r="J874" s="223"/>
      <c r="K874" s="237">
        <v>48086.10</v>
      </c>
      <c r="L874" s="241">
        <v>80</v>
      </c>
      <c r="M874" s="238">
        <v>9617.2199999999993</v>
      </c>
      <c r="N874" s="230">
        <v>26.45</v>
      </c>
      <c r="O874" s="231">
        <v>9617</v>
      </c>
      <c r="P874" s="314"/>
      <c r="Q874" s="276">
        <f t="shared" si="32"/>
        <v>1818</v>
      </c>
      <c r="R874" s="275">
        <f>(SUMIFS('Dec 31 2018 OFFS'!$AG:$AG,'Dec 31 2018 OFFS'!$AI:$AI,'T1 2019 Pipeline Data Lagasco'!$A874,'Dec 31 2018 OFFS'!$U:$U,'T1 2019 Pipeline Data Lagasco'!$E874,'Dec 31 2018 OFFS'!$AK:$AK,'T1 2019 Pipeline Data Lagasco'!$Q874,'Dec 31 2018 OFFS'!$W:$W,'T1 2019 Pipeline Data Lagasco'!$G874))/(MAX(COUNTIFS('Dec 31 2018 OFFS'!$AI:$AI,'T1 2019 Pipeline Data Lagasco'!$A874,'Dec 31 2018 OFFS'!$U:$U,'T1 2019 Pipeline Data Lagasco'!$E874,'Dec 31 2018 OFFS'!$AK:$AK,'T1 2019 Pipeline Data Lagasco'!$Q874,'Dec 31 2018 OFFS'!$W:$W,'T1 2019 Pipeline Data Lagasco'!$G874),1))</f>
        <v>9617</v>
      </c>
      <c r="S874" s="275">
        <f t="shared" si="33"/>
        <v>0</v>
      </c>
    </row>
    <row r="875" spans="1:19" s="217" customFormat="1" ht="14.1" customHeight="1">
      <c r="A875" s="224" t="s">
        <v>1504</v>
      </c>
      <c r="B875" s="218" t="s">
        <v>1505</v>
      </c>
      <c r="C875" s="223">
        <v>1</v>
      </c>
      <c r="D875" s="218" t="s">
        <v>1488</v>
      </c>
      <c r="E875" s="240">
        <v>4</v>
      </c>
      <c r="F875" s="230">
        <v>14899.58</v>
      </c>
      <c r="G875" s="223">
        <v>1999</v>
      </c>
      <c r="H875" s="223">
        <v>1</v>
      </c>
      <c r="I875" s="223">
        <v>1</v>
      </c>
      <c r="J875" s="223"/>
      <c r="K875" s="239">
        <v>394093.891</v>
      </c>
      <c r="L875" s="241">
        <v>62</v>
      </c>
      <c r="M875" s="228">
        <v>149755.67860000001</v>
      </c>
      <c r="N875" s="230">
        <v>26.45</v>
      </c>
      <c r="O875" s="231">
        <v>149755</v>
      </c>
      <c r="P875" s="314"/>
      <c r="Q875" s="276">
        <f t="shared" si="32"/>
        <v>14899.58</v>
      </c>
      <c r="R875" s="275">
        <f>(SUMIFS('Dec 31 2018 OFFS'!$AG:$AG,'Dec 31 2018 OFFS'!$AI:$AI,'T1 2019 Pipeline Data Lagasco'!$A875,'Dec 31 2018 OFFS'!$U:$U,'T1 2019 Pipeline Data Lagasco'!$E875,'Dec 31 2018 OFFS'!$AK:$AK,'T1 2019 Pipeline Data Lagasco'!$Q875,'Dec 31 2018 OFFS'!$W:$W,'T1 2019 Pipeline Data Lagasco'!$G875))/(MAX(COUNTIFS('Dec 31 2018 OFFS'!$AI:$AI,'T1 2019 Pipeline Data Lagasco'!$A875,'Dec 31 2018 OFFS'!$U:$U,'T1 2019 Pipeline Data Lagasco'!$E875,'Dec 31 2018 OFFS'!$AK:$AK,'T1 2019 Pipeline Data Lagasco'!$Q875,'Dec 31 2018 OFFS'!$W:$W,'T1 2019 Pipeline Data Lagasco'!$G875),1))</f>
        <v>149755</v>
      </c>
      <c r="S875" s="275">
        <f t="shared" si="33"/>
        <v>0</v>
      </c>
    </row>
    <row r="876" spans="1:19" s="217" customFormat="1" ht="14.1" customHeight="1">
      <c r="A876" s="224" t="s">
        <v>1504</v>
      </c>
      <c r="B876" s="218" t="s">
        <v>1505</v>
      </c>
      <c r="C876" s="223">
        <v>1</v>
      </c>
      <c r="D876" s="218" t="s">
        <v>1488</v>
      </c>
      <c r="E876" s="240">
        <v>4</v>
      </c>
      <c r="F876" s="226">
        <v>4069.9473889999999</v>
      </c>
      <c r="G876" s="223">
        <v>1968</v>
      </c>
      <c r="H876" s="223">
        <v>1</v>
      </c>
      <c r="I876" s="223">
        <v>0</v>
      </c>
      <c r="J876" s="223"/>
      <c r="K876" s="228">
        <v>107650.1084</v>
      </c>
      <c r="L876" s="241">
        <v>80</v>
      </c>
      <c r="M876" s="229">
        <v>21530.021690000001</v>
      </c>
      <c r="N876" s="230">
        <v>26.45</v>
      </c>
      <c r="O876" s="231">
        <v>0</v>
      </c>
      <c r="P876" s="314"/>
      <c r="Q876" s="276">
        <f t="shared" si="32"/>
        <v>4069.95</v>
      </c>
      <c r="R876" s="275">
        <f>(SUMIFS('Dec 31 2018 OFFS'!$AG:$AG,'Dec 31 2018 OFFS'!$AI:$AI,'T1 2019 Pipeline Data Lagasco'!$A876,'Dec 31 2018 OFFS'!$U:$U,'T1 2019 Pipeline Data Lagasco'!$E876,'Dec 31 2018 OFFS'!$AK:$AK,'T1 2019 Pipeline Data Lagasco'!$Q876,'Dec 31 2018 OFFS'!$W:$W,'T1 2019 Pipeline Data Lagasco'!$G876))/(MAX(COUNTIFS('Dec 31 2018 OFFS'!$AI:$AI,'T1 2019 Pipeline Data Lagasco'!$A876,'Dec 31 2018 OFFS'!$U:$U,'T1 2019 Pipeline Data Lagasco'!$E876,'Dec 31 2018 OFFS'!$AK:$AK,'T1 2019 Pipeline Data Lagasco'!$Q876,'Dec 31 2018 OFFS'!$W:$W,'T1 2019 Pipeline Data Lagasco'!$G876),1))</f>
        <v>0</v>
      </c>
      <c r="S876" s="275">
        <f t="shared" si="33"/>
        <v>0</v>
      </c>
    </row>
    <row r="877" spans="1:19" s="217" customFormat="1" ht="14.1" customHeight="1">
      <c r="A877" s="224" t="s">
        <v>1504</v>
      </c>
      <c r="B877" s="218" t="s">
        <v>1505</v>
      </c>
      <c r="C877" s="223">
        <v>1</v>
      </c>
      <c r="D877" s="218" t="s">
        <v>1488</v>
      </c>
      <c r="E877" s="240">
        <v>4</v>
      </c>
      <c r="F877" s="223">
        <v>4372</v>
      </c>
      <c r="G877" s="223">
        <v>1985</v>
      </c>
      <c r="H877" s="223">
        <v>1</v>
      </c>
      <c r="I877" s="223">
        <v>0</v>
      </c>
      <c r="J877" s="223"/>
      <c r="K877" s="237">
        <v>115639.40</v>
      </c>
      <c r="L877" s="241">
        <v>80</v>
      </c>
      <c r="M877" s="238">
        <v>23127.88</v>
      </c>
      <c r="N877" s="230">
        <v>26.45</v>
      </c>
      <c r="O877" s="231">
        <v>0</v>
      </c>
      <c r="P877" s="314"/>
      <c r="Q877" s="276">
        <f t="shared" si="32"/>
        <v>4372</v>
      </c>
      <c r="R877" s="275">
        <f>(SUMIFS('Dec 31 2018 OFFS'!$AG:$AG,'Dec 31 2018 OFFS'!$AI:$AI,'T1 2019 Pipeline Data Lagasco'!$A877,'Dec 31 2018 OFFS'!$U:$U,'T1 2019 Pipeline Data Lagasco'!$E877,'Dec 31 2018 OFFS'!$AK:$AK,'T1 2019 Pipeline Data Lagasco'!$Q877,'Dec 31 2018 OFFS'!$W:$W,'T1 2019 Pipeline Data Lagasco'!$G877))/(MAX(COUNTIFS('Dec 31 2018 OFFS'!$AI:$AI,'T1 2019 Pipeline Data Lagasco'!$A877,'Dec 31 2018 OFFS'!$U:$U,'T1 2019 Pipeline Data Lagasco'!$E877,'Dec 31 2018 OFFS'!$AK:$AK,'T1 2019 Pipeline Data Lagasco'!$Q877,'Dec 31 2018 OFFS'!$W:$W,'T1 2019 Pipeline Data Lagasco'!$G877),1))</f>
        <v>0</v>
      </c>
      <c r="S877" s="275">
        <f t="shared" si="33"/>
        <v>0</v>
      </c>
    </row>
    <row r="878" spans="1:19" s="217" customFormat="1" ht="14.1" customHeight="1">
      <c r="A878" s="224" t="s">
        <v>1504</v>
      </c>
      <c r="B878" s="218" t="s">
        <v>1505</v>
      </c>
      <c r="C878" s="223">
        <v>1</v>
      </c>
      <c r="D878" s="218" t="s">
        <v>1488</v>
      </c>
      <c r="E878" s="240">
        <v>4</v>
      </c>
      <c r="F878" s="223">
        <v>18324</v>
      </c>
      <c r="G878" s="223">
        <v>1985</v>
      </c>
      <c r="H878" s="223">
        <v>1</v>
      </c>
      <c r="I878" s="223">
        <v>0</v>
      </c>
      <c r="J878" s="223"/>
      <c r="K878" s="237">
        <v>484669.80</v>
      </c>
      <c r="L878" s="241">
        <v>80</v>
      </c>
      <c r="M878" s="238">
        <v>96933.96</v>
      </c>
      <c r="N878" s="230">
        <v>26.45</v>
      </c>
      <c r="O878" s="231">
        <v>0</v>
      </c>
      <c r="P878" s="314"/>
      <c r="Q878" s="276">
        <f t="shared" si="32"/>
        <v>18324</v>
      </c>
      <c r="R878" s="275">
        <f>(SUMIFS('Dec 31 2018 OFFS'!$AG:$AG,'Dec 31 2018 OFFS'!$AI:$AI,'T1 2019 Pipeline Data Lagasco'!$A878,'Dec 31 2018 OFFS'!$U:$U,'T1 2019 Pipeline Data Lagasco'!$E878,'Dec 31 2018 OFFS'!$AK:$AK,'T1 2019 Pipeline Data Lagasco'!$Q878,'Dec 31 2018 OFFS'!$W:$W,'T1 2019 Pipeline Data Lagasco'!$G878))/(MAX(COUNTIFS('Dec 31 2018 OFFS'!$AI:$AI,'T1 2019 Pipeline Data Lagasco'!$A878,'Dec 31 2018 OFFS'!$U:$U,'T1 2019 Pipeline Data Lagasco'!$E878,'Dec 31 2018 OFFS'!$AK:$AK,'T1 2019 Pipeline Data Lagasco'!$Q878,'Dec 31 2018 OFFS'!$W:$W,'T1 2019 Pipeline Data Lagasco'!$G878),1))</f>
        <v>0</v>
      </c>
      <c r="S878" s="275">
        <f t="shared" si="33"/>
        <v>0</v>
      </c>
    </row>
    <row r="879" spans="1:19" s="217" customFormat="1" ht="14.1" customHeight="1">
      <c r="A879" s="224" t="s">
        <v>1504</v>
      </c>
      <c r="B879" s="218" t="s">
        <v>1505</v>
      </c>
      <c r="C879" s="223">
        <v>1</v>
      </c>
      <c r="D879" s="218" t="s">
        <v>1488</v>
      </c>
      <c r="E879" s="240">
        <v>4</v>
      </c>
      <c r="F879" s="226">
        <v>5198.9171720000004</v>
      </c>
      <c r="G879" s="223">
        <v>1970</v>
      </c>
      <c r="H879" s="223">
        <v>1</v>
      </c>
      <c r="I879" s="223">
        <v>0</v>
      </c>
      <c r="J879" s="223"/>
      <c r="K879" s="228">
        <v>137511.35920000001</v>
      </c>
      <c r="L879" s="241">
        <v>80</v>
      </c>
      <c r="M879" s="229">
        <v>27502.271840000001</v>
      </c>
      <c r="N879" s="230">
        <v>26.45</v>
      </c>
      <c r="O879" s="231">
        <v>0</v>
      </c>
      <c r="P879" s="314"/>
      <c r="Q879" s="276">
        <f t="shared" si="32"/>
        <v>5198.92</v>
      </c>
      <c r="R879" s="275">
        <f>(SUMIFS('Dec 31 2018 OFFS'!$AG:$AG,'Dec 31 2018 OFFS'!$AI:$AI,'T1 2019 Pipeline Data Lagasco'!$A879,'Dec 31 2018 OFFS'!$U:$U,'T1 2019 Pipeline Data Lagasco'!$E879,'Dec 31 2018 OFFS'!$AK:$AK,'T1 2019 Pipeline Data Lagasco'!$Q879,'Dec 31 2018 OFFS'!$W:$W,'T1 2019 Pipeline Data Lagasco'!$G879))/(MAX(COUNTIFS('Dec 31 2018 OFFS'!$AI:$AI,'T1 2019 Pipeline Data Lagasco'!$A879,'Dec 31 2018 OFFS'!$U:$U,'T1 2019 Pipeline Data Lagasco'!$E879,'Dec 31 2018 OFFS'!$AK:$AK,'T1 2019 Pipeline Data Lagasco'!$Q879,'Dec 31 2018 OFFS'!$W:$W,'T1 2019 Pipeline Data Lagasco'!$G879),1))</f>
        <v>0</v>
      </c>
      <c r="S879" s="275">
        <f t="shared" si="33"/>
        <v>0</v>
      </c>
    </row>
    <row r="880" spans="1:19" s="217" customFormat="1" ht="14.1" customHeight="1">
      <c r="A880" s="224" t="s">
        <v>1504</v>
      </c>
      <c r="B880" s="218" t="s">
        <v>1505</v>
      </c>
      <c r="C880" s="223">
        <v>1</v>
      </c>
      <c r="D880" s="218" t="s">
        <v>1488</v>
      </c>
      <c r="E880" s="240">
        <v>4</v>
      </c>
      <c r="F880" s="226">
        <v>5630.708498</v>
      </c>
      <c r="G880" s="223">
        <v>1970</v>
      </c>
      <c r="H880" s="223">
        <v>1</v>
      </c>
      <c r="I880" s="223">
        <v>0</v>
      </c>
      <c r="J880" s="223"/>
      <c r="K880" s="228">
        <v>148932.23980000001</v>
      </c>
      <c r="L880" s="241">
        <v>80</v>
      </c>
      <c r="M880" s="229">
        <v>29786.447960000001</v>
      </c>
      <c r="N880" s="230">
        <v>26.45</v>
      </c>
      <c r="O880" s="231">
        <v>0</v>
      </c>
      <c r="P880" s="314"/>
      <c r="Q880" s="276">
        <f t="shared" si="32"/>
        <v>5630.71</v>
      </c>
      <c r="R880" s="275">
        <f>(SUMIFS('Dec 31 2018 OFFS'!$AG:$AG,'Dec 31 2018 OFFS'!$AI:$AI,'T1 2019 Pipeline Data Lagasco'!$A880,'Dec 31 2018 OFFS'!$U:$U,'T1 2019 Pipeline Data Lagasco'!$E880,'Dec 31 2018 OFFS'!$AK:$AK,'T1 2019 Pipeline Data Lagasco'!$Q880,'Dec 31 2018 OFFS'!$W:$W,'T1 2019 Pipeline Data Lagasco'!$G880))/(MAX(COUNTIFS('Dec 31 2018 OFFS'!$AI:$AI,'T1 2019 Pipeline Data Lagasco'!$A880,'Dec 31 2018 OFFS'!$U:$U,'T1 2019 Pipeline Data Lagasco'!$E880,'Dec 31 2018 OFFS'!$AK:$AK,'T1 2019 Pipeline Data Lagasco'!$Q880,'Dec 31 2018 OFFS'!$W:$W,'T1 2019 Pipeline Data Lagasco'!$G880),1))</f>
        <v>0</v>
      </c>
      <c r="S880" s="275">
        <f t="shared" si="33"/>
        <v>0</v>
      </c>
    </row>
    <row r="881" spans="1:20" ht="14.1" customHeight="1">
      <c r="A881" s="224" t="s">
        <v>1504</v>
      </c>
      <c r="B881" s="218" t="s">
        <v>1505</v>
      </c>
      <c r="C881" s="223">
        <v>1</v>
      </c>
      <c r="D881" s="218" t="s">
        <v>1488</v>
      </c>
      <c r="E881" s="240">
        <v>4</v>
      </c>
      <c r="F881" s="223">
        <v>5476</v>
      </c>
      <c r="G881" s="223">
        <v>1970</v>
      </c>
      <c r="H881" s="223">
        <v>1</v>
      </c>
      <c r="I881" s="223">
        <v>0</v>
      </c>
      <c r="J881" s="223"/>
      <c r="K881" s="237">
        <v>144840.20000000001</v>
      </c>
      <c r="L881" s="241">
        <v>80</v>
      </c>
      <c r="M881" s="238">
        <v>28968.04</v>
      </c>
      <c r="N881" s="230">
        <v>26.45</v>
      </c>
      <c r="O881" s="231">
        <v>0</v>
      </c>
      <c r="P881" s="314"/>
      <c r="Q881" s="276">
        <f t="shared" si="32"/>
        <v>5476</v>
      </c>
      <c r="R881" s="275">
        <f>(SUMIFS('Dec 31 2018 OFFS'!$AG:$AG,'Dec 31 2018 OFFS'!$AI:$AI,'T1 2019 Pipeline Data Lagasco'!$A881,'Dec 31 2018 OFFS'!$U:$U,'T1 2019 Pipeline Data Lagasco'!$E881,'Dec 31 2018 OFFS'!$AK:$AK,'T1 2019 Pipeline Data Lagasco'!$Q881,'Dec 31 2018 OFFS'!$W:$W,'T1 2019 Pipeline Data Lagasco'!$G881))/(MAX(COUNTIFS('Dec 31 2018 OFFS'!$AI:$AI,'T1 2019 Pipeline Data Lagasco'!$A881,'Dec 31 2018 OFFS'!$U:$U,'T1 2019 Pipeline Data Lagasco'!$E881,'Dec 31 2018 OFFS'!$AK:$AK,'T1 2019 Pipeline Data Lagasco'!$Q881,'Dec 31 2018 OFFS'!$W:$W,'T1 2019 Pipeline Data Lagasco'!$G881),1))</f>
        <v>0</v>
      </c>
      <c r="S881" s="275">
        <f t="shared" si="33"/>
        <v>0</v>
      </c>
      <c r="T881" s="217"/>
    </row>
    <row r="882" spans="1:20" ht="14.1" customHeight="1">
      <c r="A882" s="224" t="s">
        <v>1504</v>
      </c>
      <c r="B882" s="218" t="s">
        <v>1505</v>
      </c>
      <c r="C882" s="223">
        <v>1</v>
      </c>
      <c r="D882" s="218" t="s">
        <v>1488</v>
      </c>
      <c r="E882" s="240">
        <v>4</v>
      </c>
      <c r="F882" s="223">
        <v>5476</v>
      </c>
      <c r="G882" s="223">
        <v>1999</v>
      </c>
      <c r="H882" s="223">
        <v>1</v>
      </c>
      <c r="I882" s="223">
        <v>1</v>
      </c>
      <c r="J882" s="223"/>
      <c r="K882" s="237">
        <v>144840.20000000001</v>
      </c>
      <c r="L882" s="241">
        <v>62</v>
      </c>
      <c r="M882" s="239">
        <v>55039.275999999998</v>
      </c>
      <c r="N882" s="230">
        <v>26.45</v>
      </c>
      <c r="O882" s="231">
        <v>55039</v>
      </c>
      <c r="P882" s="314"/>
      <c r="Q882" s="276">
        <f t="shared" si="32"/>
        <v>5476</v>
      </c>
      <c r="R882" s="275">
        <f>(SUMIFS('Dec 31 2018 OFFS'!$AG:$AG,'Dec 31 2018 OFFS'!$AI:$AI,'T1 2019 Pipeline Data Lagasco'!$A882,'Dec 31 2018 OFFS'!$U:$U,'T1 2019 Pipeline Data Lagasco'!$E882,'Dec 31 2018 OFFS'!$AK:$AK,'T1 2019 Pipeline Data Lagasco'!$Q882,'Dec 31 2018 OFFS'!$W:$W,'T1 2019 Pipeline Data Lagasco'!$G882))/(MAX(COUNTIFS('Dec 31 2018 OFFS'!$AI:$AI,'T1 2019 Pipeline Data Lagasco'!$A882,'Dec 31 2018 OFFS'!$U:$U,'T1 2019 Pipeline Data Lagasco'!$E882,'Dec 31 2018 OFFS'!$AK:$AK,'T1 2019 Pipeline Data Lagasco'!$Q882,'Dec 31 2018 OFFS'!$W:$W,'T1 2019 Pipeline Data Lagasco'!$G882),1))</f>
        <v>55039</v>
      </c>
      <c r="S882" s="275">
        <f t="shared" si="33"/>
        <v>0</v>
      </c>
      <c r="T882" s="217"/>
    </row>
    <row r="883" spans="1:20" ht="14.1" customHeight="1">
      <c r="A883" s="224" t="s">
        <v>1504</v>
      </c>
      <c r="B883" s="218" t="s">
        <v>1505</v>
      </c>
      <c r="C883" s="223">
        <v>1</v>
      </c>
      <c r="D883" s="218" t="s">
        <v>1488</v>
      </c>
      <c r="E883" s="240">
        <v>4</v>
      </c>
      <c r="F883" s="235">
        <v>11520.045599999999</v>
      </c>
      <c r="G883" s="223">
        <v>1968</v>
      </c>
      <c r="H883" s="223">
        <v>1</v>
      </c>
      <c r="I883" s="223">
        <v>0</v>
      </c>
      <c r="J883" s="223"/>
      <c r="K883" s="228">
        <v>304705.20610000001</v>
      </c>
      <c r="L883" s="241">
        <v>80</v>
      </c>
      <c r="M883" s="229">
        <v>60941.041210000003</v>
      </c>
      <c r="N883" s="230">
        <v>26.45</v>
      </c>
      <c r="O883" s="231">
        <v>0</v>
      </c>
      <c r="P883" s="314"/>
      <c r="Q883" s="276">
        <f t="shared" si="32"/>
        <v>11520.05</v>
      </c>
      <c r="R883" s="275">
        <f>(SUMIFS('Dec 31 2018 OFFS'!$AG:$AG,'Dec 31 2018 OFFS'!$AI:$AI,'T1 2019 Pipeline Data Lagasco'!$A883,'Dec 31 2018 OFFS'!$U:$U,'T1 2019 Pipeline Data Lagasco'!$E883,'Dec 31 2018 OFFS'!$AK:$AK,'T1 2019 Pipeline Data Lagasco'!$Q883,'Dec 31 2018 OFFS'!$W:$W,'T1 2019 Pipeline Data Lagasco'!$G883))/(MAX(COUNTIFS('Dec 31 2018 OFFS'!$AI:$AI,'T1 2019 Pipeline Data Lagasco'!$A883,'Dec 31 2018 OFFS'!$U:$U,'T1 2019 Pipeline Data Lagasco'!$E883,'Dec 31 2018 OFFS'!$AK:$AK,'T1 2019 Pipeline Data Lagasco'!$Q883,'Dec 31 2018 OFFS'!$W:$W,'T1 2019 Pipeline Data Lagasco'!$G883),1))</f>
        <v>0</v>
      </c>
      <c r="S883" s="275">
        <f t="shared" si="33"/>
        <v>0</v>
      </c>
      <c r="T883" s="217"/>
    </row>
    <row r="884" spans="1:20" ht="14.1" customHeight="1">
      <c r="A884" s="224" t="s">
        <v>1504</v>
      </c>
      <c r="B884" s="218" t="s">
        <v>1505</v>
      </c>
      <c r="C884" s="223">
        <v>1</v>
      </c>
      <c r="D884" s="218" t="s">
        <v>1488</v>
      </c>
      <c r="E884" s="240">
        <v>4</v>
      </c>
      <c r="F884" s="235">
        <v>11520.045599999999</v>
      </c>
      <c r="G884" s="223">
        <v>1999</v>
      </c>
      <c r="H884" s="223">
        <v>1</v>
      </c>
      <c r="I884" s="223">
        <v>1</v>
      </c>
      <c r="J884" s="223"/>
      <c r="K884" s="228">
        <v>304705.20610000001</v>
      </c>
      <c r="L884" s="241">
        <v>62</v>
      </c>
      <c r="M884" s="228">
        <v>115787.9783</v>
      </c>
      <c r="N884" s="230">
        <v>26.45</v>
      </c>
      <c r="O884" s="231">
        <v>115787</v>
      </c>
      <c r="P884" s="314"/>
      <c r="Q884" s="276">
        <f t="shared" si="32"/>
        <v>11520.05</v>
      </c>
      <c r="R884" s="275">
        <f>(SUMIFS('Dec 31 2018 OFFS'!$AG:$AG,'Dec 31 2018 OFFS'!$AI:$AI,'T1 2019 Pipeline Data Lagasco'!$A884,'Dec 31 2018 OFFS'!$U:$U,'T1 2019 Pipeline Data Lagasco'!$E884,'Dec 31 2018 OFFS'!$AK:$AK,'T1 2019 Pipeline Data Lagasco'!$Q884,'Dec 31 2018 OFFS'!$W:$W,'T1 2019 Pipeline Data Lagasco'!$G884))/(MAX(COUNTIFS('Dec 31 2018 OFFS'!$AI:$AI,'T1 2019 Pipeline Data Lagasco'!$A884,'Dec 31 2018 OFFS'!$U:$U,'T1 2019 Pipeline Data Lagasco'!$E884,'Dec 31 2018 OFFS'!$AK:$AK,'T1 2019 Pipeline Data Lagasco'!$Q884,'Dec 31 2018 OFFS'!$W:$W,'T1 2019 Pipeline Data Lagasco'!$G884),1))</f>
        <v>115787</v>
      </c>
      <c r="S884" s="275">
        <f t="shared" si="33"/>
        <v>0</v>
      </c>
      <c r="T884" s="217"/>
    </row>
    <row r="885" spans="1:20" ht="14.1" customHeight="1">
      <c r="A885" s="224" t="s">
        <v>1504</v>
      </c>
      <c r="B885" s="218" t="s">
        <v>1505</v>
      </c>
      <c r="C885" s="223">
        <v>1</v>
      </c>
      <c r="D885" s="218" t="s">
        <v>1488</v>
      </c>
      <c r="E885" s="240">
        <v>4</v>
      </c>
      <c r="F885" s="226">
        <v>6997.5391669999999</v>
      </c>
      <c r="G885" s="223">
        <v>1971</v>
      </c>
      <c r="H885" s="223">
        <v>1</v>
      </c>
      <c r="I885" s="223">
        <v>0</v>
      </c>
      <c r="J885" s="223"/>
      <c r="K885" s="239">
        <v>185084.91099999999</v>
      </c>
      <c r="L885" s="241">
        <v>80</v>
      </c>
      <c r="M885" s="228">
        <v>37016.982199999999</v>
      </c>
      <c r="N885" s="230">
        <v>26.45</v>
      </c>
      <c r="O885" s="231">
        <v>0</v>
      </c>
      <c r="P885" s="314"/>
      <c r="Q885" s="276">
        <f t="shared" si="32"/>
        <v>6997.54</v>
      </c>
      <c r="R885" s="275">
        <f>(SUMIFS('Dec 31 2018 OFFS'!$AG:$AG,'Dec 31 2018 OFFS'!$AI:$AI,'T1 2019 Pipeline Data Lagasco'!$A885,'Dec 31 2018 OFFS'!$U:$U,'T1 2019 Pipeline Data Lagasco'!$E885,'Dec 31 2018 OFFS'!$AK:$AK,'T1 2019 Pipeline Data Lagasco'!$Q885,'Dec 31 2018 OFFS'!$W:$W,'T1 2019 Pipeline Data Lagasco'!$G885))/(MAX(COUNTIFS('Dec 31 2018 OFFS'!$AI:$AI,'T1 2019 Pipeline Data Lagasco'!$A885,'Dec 31 2018 OFFS'!$U:$U,'T1 2019 Pipeline Data Lagasco'!$E885,'Dec 31 2018 OFFS'!$AK:$AK,'T1 2019 Pipeline Data Lagasco'!$Q885,'Dec 31 2018 OFFS'!$W:$W,'T1 2019 Pipeline Data Lagasco'!$G885),1))</f>
        <v>0</v>
      </c>
      <c r="S885" s="275">
        <f t="shared" si="33"/>
        <v>0</v>
      </c>
      <c r="T885" s="217"/>
    </row>
    <row r="886" spans="1:20" ht="14.1" customHeight="1">
      <c r="A886" s="224" t="s">
        <v>1504</v>
      </c>
      <c r="B886" s="218" t="s">
        <v>1505</v>
      </c>
      <c r="C886" s="223">
        <v>1</v>
      </c>
      <c r="D886" s="218" t="s">
        <v>1488</v>
      </c>
      <c r="E886" s="240">
        <v>4</v>
      </c>
      <c r="F886" s="226">
        <v>6997.5391669999999</v>
      </c>
      <c r="G886" s="223">
        <v>1999</v>
      </c>
      <c r="H886" s="223">
        <v>1</v>
      </c>
      <c r="I886" s="223">
        <v>1</v>
      </c>
      <c r="J886" s="223"/>
      <c r="K886" s="239">
        <v>185084.91099999999</v>
      </c>
      <c r="L886" s="241">
        <v>62</v>
      </c>
      <c r="M886" s="229">
        <v>70332.266170000003</v>
      </c>
      <c r="N886" s="230">
        <v>26.45</v>
      </c>
      <c r="O886" s="231">
        <v>70332</v>
      </c>
      <c r="P886" s="314"/>
      <c r="Q886" s="276">
        <f t="shared" si="32"/>
        <v>6997.54</v>
      </c>
      <c r="R886" s="275">
        <f>(SUMIFS('Dec 31 2018 OFFS'!$AG:$AG,'Dec 31 2018 OFFS'!$AI:$AI,'T1 2019 Pipeline Data Lagasco'!$A886,'Dec 31 2018 OFFS'!$U:$U,'T1 2019 Pipeline Data Lagasco'!$E886,'Dec 31 2018 OFFS'!$AK:$AK,'T1 2019 Pipeline Data Lagasco'!$Q886,'Dec 31 2018 OFFS'!$W:$W,'T1 2019 Pipeline Data Lagasco'!$G886))/(MAX(COUNTIFS('Dec 31 2018 OFFS'!$AI:$AI,'T1 2019 Pipeline Data Lagasco'!$A886,'Dec 31 2018 OFFS'!$U:$U,'T1 2019 Pipeline Data Lagasco'!$E886,'Dec 31 2018 OFFS'!$AK:$AK,'T1 2019 Pipeline Data Lagasco'!$Q886,'Dec 31 2018 OFFS'!$W:$W,'T1 2019 Pipeline Data Lagasco'!$G886),1))</f>
        <v>70332</v>
      </c>
      <c r="S886" s="275">
        <f t="shared" si="33"/>
        <v>0</v>
      </c>
      <c r="T886" s="217"/>
    </row>
    <row r="887" spans="1:20" ht="14.1" customHeight="1">
      <c r="A887" s="224" t="s">
        <v>1504</v>
      </c>
      <c r="B887" s="218" t="s">
        <v>1505</v>
      </c>
      <c r="C887" s="223">
        <v>1</v>
      </c>
      <c r="D887" s="218" t="s">
        <v>1488</v>
      </c>
      <c r="E887" s="240">
        <v>4</v>
      </c>
      <c r="F887" s="226">
        <v>4405.3476410000003</v>
      </c>
      <c r="G887" s="223">
        <v>1971</v>
      </c>
      <c r="H887" s="223">
        <v>1</v>
      </c>
      <c r="I887" s="223">
        <v>0</v>
      </c>
      <c r="J887" s="223"/>
      <c r="K887" s="228">
        <v>116521.4451</v>
      </c>
      <c r="L887" s="241">
        <v>80</v>
      </c>
      <c r="M887" s="229">
        <v>23304.28902</v>
      </c>
      <c r="N887" s="230">
        <v>26.45</v>
      </c>
      <c r="O887" s="231">
        <v>0</v>
      </c>
      <c r="P887" s="314"/>
      <c r="Q887" s="276">
        <f t="shared" si="32"/>
        <v>4405.3500000000004</v>
      </c>
      <c r="R887" s="275">
        <f>(SUMIFS('Dec 31 2018 OFFS'!$AG:$AG,'Dec 31 2018 OFFS'!$AI:$AI,'T1 2019 Pipeline Data Lagasco'!$A887,'Dec 31 2018 OFFS'!$U:$U,'T1 2019 Pipeline Data Lagasco'!$E887,'Dec 31 2018 OFFS'!$AK:$AK,'T1 2019 Pipeline Data Lagasco'!$Q887,'Dec 31 2018 OFFS'!$W:$W,'T1 2019 Pipeline Data Lagasco'!$G887))/(MAX(COUNTIFS('Dec 31 2018 OFFS'!$AI:$AI,'T1 2019 Pipeline Data Lagasco'!$A887,'Dec 31 2018 OFFS'!$U:$U,'T1 2019 Pipeline Data Lagasco'!$E887,'Dec 31 2018 OFFS'!$AK:$AK,'T1 2019 Pipeline Data Lagasco'!$Q887,'Dec 31 2018 OFFS'!$W:$W,'T1 2019 Pipeline Data Lagasco'!$G887),1))</f>
        <v>0</v>
      </c>
      <c r="S887" s="275">
        <f t="shared" si="33"/>
        <v>0</v>
      </c>
      <c r="T887" s="217"/>
    </row>
    <row r="888" spans="1:20" ht="14.1" customHeight="1">
      <c r="A888" s="224" t="s">
        <v>1504</v>
      </c>
      <c r="B888" s="218" t="s">
        <v>1505</v>
      </c>
      <c r="C888" s="223">
        <v>1</v>
      </c>
      <c r="D888" s="218" t="s">
        <v>1488</v>
      </c>
      <c r="E888" s="240">
        <v>4</v>
      </c>
      <c r="F888" s="226">
        <v>4405.3476410000003</v>
      </c>
      <c r="G888" s="223">
        <v>1999</v>
      </c>
      <c r="H888" s="223">
        <v>1</v>
      </c>
      <c r="I888" s="223">
        <v>1</v>
      </c>
      <c r="J888" s="223"/>
      <c r="K888" s="228">
        <v>116521.4451</v>
      </c>
      <c r="L888" s="241">
        <v>62</v>
      </c>
      <c r="M888" s="229">
        <v>44278.149140000001</v>
      </c>
      <c r="N888" s="230">
        <v>26.45</v>
      </c>
      <c r="O888" s="231">
        <v>44278</v>
      </c>
      <c r="P888" s="314"/>
      <c r="Q888" s="276">
        <f t="shared" si="32"/>
        <v>4405.3500000000004</v>
      </c>
      <c r="R888" s="275">
        <f>(SUMIFS('Dec 31 2018 OFFS'!$AG:$AG,'Dec 31 2018 OFFS'!$AI:$AI,'T1 2019 Pipeline Data Lagasco'!$A888,'Dec 31 2018 OFFS'!$U:$U,'T1 2019 Pipeline Data Lagasco'!$E888,'Dec 31 2018 OFFS'!$AK:$AK,'T1 2019 Pipeline Data Lagasco'!$Q888,'Dec 31 2018 OFFS'!$W:$W,'T1 2019 Pipeline Data Lagasco'!$G888))/(MAX(COUNTIFS('Dec 31 2018 OFFS'!$AI:$AI,'T1 2019 Pipeline Data Lagasco'!$A888,'Dec 31 2018 OFFS'!$U:$U,'T1 2019 Pipeline Data Lagasco'!$E888,'Dec 31 2018 OFFS'!$AK:$AK,'T1 2019 Pipeline Data Lagasco'!$Q888,'Dec 31 2018 OFFS'!$W:$W,'T1 2019 Pipeline Data Lagasco'!$G888),1))</f>
        <v>44278</v>
      </c>
      <c r="S888" s="275">
        <f t="shared" si="33"/>
        <v>0</v>
      </c>
      <c r="T888" s="217"/>
    </row>
    <row r="889" spans="1:20" ht="14.1" customHeight="1">
      <c r="A889" s="224" t="s">
        <v>1504</v>
      </c>
      <c r="B889" s="218" t="s">
        <v>1505</v>
      </c>
      <c r="C889" s="223">
        <v>1</v>
      </c>
      <c r="D889" s="218" t="s">
        <v>1488</v>
      </c>
      <c r="E889" s="240">
        <v>4</v>
      </c>
      <c r="F889" s="236">
        <v>12898.98257</v>
      </c>
      <c r="G889" s="223">
        <v>1981</v>
      </c>
      <c r="H889" s="223">
        <v>1</v>
      </c>
      <c r="I889" s="223">
        <v>1</v>
      </c>
      <c r="J889" s="223"/>
      <c r="K889" s="228">
        <v>341178.08889999997</v>
      </c>
      <c r="L889" s="241">
        <v>80</v>
      </c>
      <c r="M889" s="229">
        <v>68235.617769999997</v>
      </c>
      <c r="N889" s="230">
        <v>26.45</v>
      </c>
      <c r="O889" s="231">
        <v>68235</v>
      </c>
      <c r="P889" s="314"/>
      <c r="Q889" s="276">
        <f t="shared" si="32"/>
        <v>12898.98</v>
      </c>
      <c r="R889" s="275">
        <f>(SUMIFS('Dec 31 2018 OFFS'!$AG:$AG,'Dec 31 2018 OFFS'!$AI:$AI,'T1 2019 Pipeline Data Lagasco'!$A889,'Dec 31 2018 OFFS'!$U:$U,'T1 2019 Pipeline Data Lagasco'!$E889,'Dec 31 2018 OFFS'!$AK:$AK,'T1 2019 Pipeline Data Lagasco'!$Q889,'Dec 31 2018 OFFS'!$W:$W,'T1 2019 Pipeline Data Lagasco'!$G889))/(MAX(COUNTIFS('Dec 31 2018 OFFS'!$AI:$AI,'T1 2019 Pipeline Data Lagasco'!$A889,'Dec 31 2018 OFFS'!$U:$U,'T1 2019 Pipeline Data Lagasco'!$E889,'Dec 31 2018 OFFS'!$AK:$AK,'T1 2019 Pipeline Data Lagasco'!$Q889,'Dec 31 2018 OFFS'!$W:$W,'T1 2019 Pipeline Data Lagasco'!$G889),1))</f>
        <v>68235</v>
      </c>
      <c r="S889" s="275">
        <f t="shared" si="33"/>
        <v>0</v>
      </c>
      <c r="T889" s="217"/>
    </row>
    <row r="890" spans="1:20" ht="14.1" customHeight="1">
      <c r="A890" s="224" t="s">
        <v>1504</v>
      </c>
      <c r="B890" s="218" t="s">
        <v>1505</v>
      </c>
      <c r="C890" s="223">
        <v>1</v>
      </c>
      <c r="D890" s="218" t="s">
        <v>1488</v>
      </c>
      <c r="E890" s="240">
        <v>4</v>
      </c>
      <c r="F890" s="226">
        <v>6835.9578069999998</v>
      </c>
      <c r="G890" s="223">
        <v>1971</v>
      </c>
      <c r="H890" s="223">
        <v>1</v>
      </c>
      <c r="I890" s="223">
        <v>1</v>
      </c>
      <c r="J890" s="223"/>
      <c r="K890" s="239">
        <v>180811.084</v>
      </c>
      <c r="L890" s="241">
        <v>80</v>
      </c>
      <c r="M890" s="228">
        <v>36162.216800000002</v>
      </c>
      <c r="N890" s="230">
        <v>26.45</v>
      </c>
      <c r="O890" s="231">
        <v>36162</v>
      </c>
      <c r="P890" s="314"/>
      <c r="Q890" s="276">
        <f t="shared" si="32"/>
        <v>6835.96</v>
      </c>
      <c r="R890" s="275">
        <f>(SUMIFS('Dec 31 2018 OFFS'!$AG:$AG,'Dec 31 2018 OFFS'!$AI:$AI,'T1 2019 Pipeline Data Lagasco'!$A890,'Dec 31 2018 OFFS'!$U:$U,'T1 2019 Pipeline Data Lagasco'!$E890,'Dec 31 2018 OFFS'!$AK:$AK,'T1 2019 Pipeline Data Lagasco'!$Q890,'Dec 31 2018 OFFS'!$W:$W,'T1 2019 Pipeline Data Lagasco'!$G890))/(MAX(COUNTIFS('Dec 31 2018 OFFS'!$AI:$AI,'T1 2019 Pipeline Data Lagasco'!$A890,'Dec 31 2018 OFFS'!$U:$U,'T1 2019 Pipeline Data Lagasco'!$E890,'Dec 31 2018 OFFS'!$AK:$AK,'T1 2019 Pipeline Data Lagasco'!$Q890,'Dec 31 2018 OFFS'!$W:$W,'T1 2019 Pipeline Data Lagasco'!$G890),1))</f>
        <v>36162</v>
      </c>
      <c r="S890" s="275">
        <f t="shared" si="33"/>
        <v>0</v>
      </c>
      <c r="T890" s="217"/>
    </row>
    <row r="891" spans="1:20" ht="14.1" customHeight="1">
      <c r="A891" s="224" t="s">
        <v>1504</v>
      </c>
      <c r="B891" s="218" t="s">
        <v>1505</v>
      </c>
      <c r="C891" s="223">
        <v>1</v>
      </c>
      <c r="D891" s="218" t="s">
        <v>1488</v>
      </c>
      <c r="E891" s="240">
        <v>4</v>
      </c>
      <c r="F891" s="226">
        <v>2604.9211839999998</v>
      </c>
      <c r="G891" s="223">
        <v>1971</v>
      </c>
      <c r="H891" s="223">
        <v>1</v>
      </c>
      <c r="I891" s="246">
        <v>0</v>
      </c>
      <c r="J891" s="223"/>
      <c r="K891" s="229">
        <v>68900.165330000003</v>
      </c>
      <c r="L891" s="241">
        <v>80</v>
      </c>
      <c r="M891" s="229">
        <v>13780.033069999999</v>
      </c>
      <c r="N891" s="230">
        <v>26.45</v>
      </c>
      <c r="O891" s="248">
        <v>0</v>
      </c>
      <c r="P891" s="317" t="s">
        <v>1560</v>
      </c>
      <c r="Q891" s="276">
        <f t="shared" si="32"/>
        <v>2604.92</v>
      </c>
      <c r="R891" s="275">
        <f>(SUMIFS('Dec 31 2018 OFFS'!$AG:$AG,'Dec 31 2018 OFFS'!$AI:$AI,'T1 2019 Pipeline Data Lagasco'!$A891,'Dec 31 2018 OFFS'!$U:$U,'T1 2019 Pipeline Data Lagasco'!$E891,'Dec 31 2018 OFFS'!$AK:$AK,'T1 2019 Pipeline Data Lagasco'!$Q891,'Dec 31 2018 OFFS'!$W:$W,'T1 2019 Pipeline Data Lagasco'!$G891))/(MAX(COUNTIFS('Dec 31 2018 OFFS'!$AI:$AI,'T1 2019 Pipeline Data Lagasco'!$A891,'Dec 31 2018 OFFS'!$U:$U,'T1 2019 Pipeline Data Lagasco'!$E891,'Dec 31 2018 OFFS'!$AK:$AK,'T1 2019 Pipeline Data Lagasco'!$Q891,'Dec 31 2018 OFFS'!$W:$W,'T1 2019 Pipeline Data Lagasco'!$G891),1))</f>
        <v>0</v>
      </c>
      <c r="S891" s="275">
        <f t="shared" si="33"/>
        <v>0</v>
      </c>
      <c r="T891" s="278" t="e">
        <f t="shared" si="34" ref="T891:T892">R891/O891</f>
        <v>#DIV/0!</v>
      </c>
    </row>
    <row r="892" spans="1:20" ht="14.1" customHeight="1">
      <c r="A892" s="224" t="s">
        <v>1504</v>
      </c>
      <c r="B892" s="218" t="s">
        <v>1505</v>
      </c>
      <c r="C892" s="223">
        <v>1</v>
      </c>
      <c r="D892" s="218" t="s">
        <v>1488</v>
      </c>
      <c r="E892" s="240">
        <v>4</v>
      </c>
      <c r="F892" s="226">
        <v>8266.6992360000004</v>
      </c>
      <c r="G892" s="223">
        <v>1985</v>
      </c>
      <c r="H892" s="223">
        <v>1</v>
      </c>
      <c r="I892" s="246">
        <v>0</v>
      </c>
      <c r="J892" s="223"/>
      <c r="K892" s="228">
        <v>218654.1948</v>
      </c>
      <c r="L892" s="241">
        <v>80</v>
      </c>
      <c r="M892" s="229">
        <v>43730.838960000001</v>
      </c>
      <c r="N892" s="230">
        <v>26.45</v>
      </c>
      <c r="O892" s="248">
        <v>0</v>
      </c>
      <c r="P892" s="317" t="s">
        <v>1560</v>
      </c>
      <c r="Q892" s="276">
        <f t="shared" si="32"/>
        <v>8266.7000000000007</v>
      </c>
      <c r="R892" s="275">
        <f>(SUMIFS('Dec 31 2018 OFFS'!$AG:$AG,'Dec 31 2018 OFFS'!$AI:$AI,'T1 2019 Pipeline Data Lagasco'!$A892,'Dec 31 2018 OFFS'!$U:$U,'T1 2019 Pipeline Data Lagasco'!$E892,'Dec 31 2018 OFFS'!$AK:$AK,'T1 2019 Pipeline Data Lagasco'!$Q892,'Dec 31 2018 OFFS'!$W:$W,'T1 2019 Pipeline Data Lagasco'!$G892))/(MAX(COUNTIFS('Dec 31 2018 OFFS'!$AI:$AI,'T1 2019 Pipeline Data Lagasco'!$A892,'Dec 31 2018 OFFS'!$U:$U,'T1 2019 Pipeline Data Lagasco'!$E892,'Dec 31 2018 OFFS'!$AK:$AK,'T1 2019 Pipeline Data Lagasco'!$Q892,'Dec 31 2018 OFFS'!$W:$W,'T1 2019 Pipeline Data Lagasco'!$G892),1))</f>
        <v>0</v>
      </c>
      <c r="S892" s="275">
        <f t="shared" si="33"/>
        <v>0</v>
      </c>
      <c r="T892" s="278" t="e">
        <f t="shared" si="34"/>
        <v>#DIV/0!</v>
      </c>
    </row>
    <row r="893" spans="1:20" ht="14.1" customHeight="1">
      <c r="A893" s="224" t="s">
        <v>1504</v>
      </c>
      <c r="B893" s="218" t="s">
        <v>1505</v>
      </c>
      <c r="C893" s="223">
        <v>1</v>
      </c>
      <c r="D893" s="218" t="s">
        <v>1488</v>
      </c>
      <c r="E893" s="240">
        <v>4</v>
      </c>
      <c r="F893" s="236">
        <v>33635.760179999997</v>
      </c>
      <c r="G893" s="223">
        <v>1985</v>
      </c>
      <c r="H893" s="223">
        <v>1</v>
      </c>
      <c r="I893" s="223">
        <v>1</v>
      </c>
      <c r="J893" s="223"/>
      <c r="K893" s="228">
        <v>889665.85679999995</v>
      </c>
      <c r="L893" s="241">
        <v>80</v>
      </c>
      <c r="M893" s="228">
        <v>177933.17139999999</v>
      </c>
      <c r="N893" s="230">
        <v>26.45</v>
      </c>
      <c r="O893" s="231">
        <v>177933</v>
      </c>
      <c r="P893" s="314"/>
      <c r="Q893" s="276">
        <f t="shared" si="32"/>
        <v>33635.76</v>
      </c>
      <c r="R893" s="275">
        <f>(SUMIFS('Dec 31 2018 OFFS'!$AG:$AG,'Dec 31 2018 OFFS'!$AI:$AI,'T1 2019 Pipeline Data Lagasco'!$A893,'Dec 31 2018 OFFS'!$U:$U,'T1 2019 Pipeline Data Lagasco'!$E893,'Dec 31 2018 OFFS'!$AK:$AK,'T1 2019 Pipeline Data Lagasco'!$Q893,'Dec 31 2018 OFFS'!$W:$W,'T1 2019 Pipeline Data Lagasco'!$G893))/(MAX(COUNTIFS('Dec 31 2018 OFFS'!$AI:$AI,'T1 2019 Pipeline Data Lagasco'!$A893,'Dec 31 2018 OFFS'!$U:$U,'T1 2019 Pipeline Data Lagasco'!$E893,'Dec 31 2018 OFFS'!$AK:$AK,'T1 2019 Pipeline Data Lagasco'!$Q893,'Dec 31 2018 OFFS'!$W:$W,'T1 2019 Pipeline Data Lagasco'!$G893),1))</f>
        <v>177933</v>
      </c>
      <c r="S893" s="275">
        <f t="shared" si="33"/>
        <v>0</v>
      </c>
      <c r="T893" s="217"/>
    </row>
    <row r="894" spans="1:20" ht="14.1" customHeight="1">
      <c r="A894" s="224" t="s">
        <v>1504</v>
      </c>
      <c r="B894" s="218" t="s">
        <v>1505</v>
      </c>
      <c r="C894" s="223">
        <v>1</v>
      </c>
      <c r="D894" s="218" t="s">
        <v>1488</v>
      </c>
      <c r="E894" s="240">
        <v>4</v>
      </c>
      <c r="F894" s="230">
        <v>16981.82</v>
      </c>
      <c r="G894" s="223">
        <v>1980</v>
      </c>
      <c r="H894" s="223">
        <v>1</v>
      </c>
      <c r="I894" s="223">
        <v>0</v>
      </c>
      <c r="J894" s="223"/>
      <c r="K894" s="239">
        <v>449169.13900000002</v>
      </c>
      <c r="L894" s="241">
        <v>80</v>
      </c>
      <c r="M894" s="228">
        <v>89833.827799999999</v>
      </c>
      <c r="N894" s="230">
        <v>26.45</v>
      </c>
      <c r="O894" s="231">
        <v>0</v>
      </c>
      <c r="P894" s="314"/>
      <c r="Q894" s="276">
        <f t="shared" si="32"/>
        <v>16981.82</v>
      </c>
      <c r="R894" s="275">
        <f>(SUMIFS('Dec 31 2018 OFFS'!$AG:$AG,'Dec 31 2018 OFFS'!$AI:$AI,'T1 2019 Pipeline Data Lagasco'!$A894,'Dec 31 2018 OFFS'!$U:$U,'T1 2019 Pipeline Data Lagasco'!$E894,'Dec 31 2018 OFFS'!$AK:$AK,'T1 2019 Pipeline Data Lagasco'!$Q894,'Dec 31 2018 OFFS'!$W:$W,'T1 2019 Pipeline Data Lagasco'!$G894))/(MAX(COUNTIFS('Dec 31 2018 OFFS'!$AI:$AI,'T1 2019 Pipeline Data Lagasco'!$A894,'Dec 31 2018 OFFS'!$U:$U,'T1 2019 Pipeline Data Lagasco'!$E894,'Dec 31 2018 OFFS'!$AK:$AK,'T1 2019 Pipeline Data Lagasco'!$Q894,'Dec 31 2018 OFFS'!$W:$W,'T1 2019 Pipeline Data Lagasco'!$G894),1))</f>
        <v>0</v>
      </c>
      <c r="S894" s="275">
        <f t="shared" si="33"/>
        <v>0</v>
      </c>
      <c r="T894" s="217"/>
    </row>
    <row r="895" spans="1:20" ht="14.1" customHeight="1">
      <c r="A895" s="224" t="s">
        <v>1504</v>
      </c>
      <c r="B895" s="218" t="s">
        <v>1505</v>
      </c>
      <c r="C895" s="223">
        <v>1</v>
      </c>
      <c r="D895" s="218" t="s">
        <v>1488</v>
      </c>
      <c r="E895" s="240">
        <v>4</v>
      </c>
      <c r="F895" s="226">
        <v>9619.7831860000006</v>
      </c>
      <c r="G895" s="223">
        <v>1980</v>
      </c>
      <c r="H895" s="223">
        <v>1</v>
      </c>
      <c r="I895" s="246">
        <v>0</v>
      </c>
      <c r="J895" s="223"/>
      <c r="K895" s="228">
        <v>254443.2653</v>
      </c>
      <c r="L895" s="241">
        <v>80</v>
      </c>
      <c r="M895" s="229">
        <v>50888.653050000001</v>
      </c>
      <c r="N895" s="230">
        <v>26.45</v>
      </c>
      <c r="O895" s="248">
        <f>50888*0</f>
        <v>0</v>
      </c>
      <c r="P895" s="319" t="s">
        <v>1519</v>
      </c>
      <c r="Q895" s="276">
        <f t="shared" si="32"/>
        <v>9619.7800000000007</v>
      </c>
      <c r="R895" s="275">
        <f>(SUMIFS('Dec 31 2018 OFFS'!$AG:$AG,'Dec 31 2018 OFFS'!$AI:$AI,'T1 2019 Pipeline Data Lagasco'!$A895,'Dec 31 2018 OFFS'!$U:$U,'T1 2019 Pipeline Data Lagasco'!$E895,'Dec 31 2018 OFFS'!$AK:$AK,'T1 2019 Pipeline Data Lagasco'!$Q895,'Dec 31 2018 OFFS'!$W:$W,'T1 2019 Pipeline Data Lagasco'!$G895))/(MAX(COUNTIFS('Dec 31 2018 OFFS'!$AI:$AI,'T1 2019 Pipeline Data Lagasco'!$A895,'Dec 31 2018 OFFS'!$U:$U,'T1 2019 Pipeline Data Lagasco'!$E895,'Dec 31 2018 OFFS'!$AK:$AK,'T1 2019 Pipeline Data Lagasco'!$Q895,'Dec 31 2018 OFFS'!$W:$W,'T1 2019 Pipeline Data Lagasco'!$G895),1))</f>
        <v>0</v>
      </c>
      <c r="S895" s="275">
        <f t="shared" si="33"/>
        <v>0</v>
      </c>
      <c r="T895" s="278" t="e">
        <f>R895/O895</f>
        <v>#DIV/0!</v>
      </c>
    </row>
    <row r="896" spans="1:20" ht="14.1" customHeight="1">
      <c r="A896" s="224" t="s">
        <v>1504</v>
      </c>
      <c r="B896" s="218" t="s">
        <v>1505</v>
      </c>
      <c r="C896" s="223">
        <v>1</v>
      </c>
      <c r="D896" s="218" t="s">
        <v>1488</v>
      </c>
      <c r="E896" s="240">
        <v>4</v>
      </c>
      <c r="F896" s="223">
        <v>2248</v>
      </c>
      <c r="G896" s="223">
        <v>1985</v>
      </c>
      <c r="H896" s="223">
        <v>1</v>
      </c>
      <c r="I896" s="223">
        <v>0</v>
      </c>
      <c r="J896" s="223"/>
      <c r="K896" s="237">
        <v>59459.60</v>
      </c>
      <c r="L896" s="241">
        <v>80</v>
      </c>
      <c r="M896" s="238">
        <v>11891.92</v>
      </c>
      <c r="N896" s="230">
        <v>26.45</v>
      </c>
      <c r="O896" s="231">
        <v>0</v>
      </c>
      <c r="P896" s="314"/>
      <c r="Q896" s="276">
        <f t="shared" si="32"/>
        <v>2248</v>
      </c>
      <c r="R896" s="275">
        <f>(SUMIFS('Dec 31 2018 OFFS'!$AG:$AG,'Dec 31 2018 OFFS'!$AI:$AI,'T1 2019 Pipeline Data Lagasco'!$A896,'Dec 31 2018 OFFS'!$U:$U,'T1 2019 Pipeline Data Lagasco'!$E896,'Dec 31 2018 OFFS'!$AK:$AK,'T1 2019 Pipeline Data Lagasco'!$Q896,'Dec 31 2018 OFFS'!$W:$W,'T1 2019 Pipeline Data Lagasco'!$G896))/(MAX(COUNTIFS('Dec 31 2018 OFFS'!$AI:$AI,'T1 2019 Pipeline Data Lagasco'!$A896,'Dec 31 2018 OFFS'!$U:$U,'T1 2019 Pipeline Data Lagasco'!$E896,'Dec 31 2018 OFFS'!$AK:$AK,'T1 2019 Pipeline Data Lagasco'!$Q896,'Dec 31 2018 OFFS'!$W:$W,'T1 2019 Pipeline Data Lagasco'!$G896),1))</f>
        <v>0</v>
      </c>
      <c r="S896" s="275">
        <f t="shared" si="33"/>
        <v>0</v>
      </c>
      <c r="T896" s="217"/>
    </row>
    <row r="897" spans="1:20" ht="14.1" customHeight="1">
      <c r="A897" s="224" t="s">
        <v>1504</v>
      </c>
      <c r="B897" s="218" t="s">
        <v>1505</v>
      </c>
      <c r="C897" s="223">
        <v>1</v>
      </c>
      <c r="D897" s="218" t="s">
        <v>1488</v>
      </c>
      <c r="E897" s="240">
        <v>4</v>
      </c>
      <c r="F897" s="230">
        <v>2703.44</v>
      </c>
      <c r="G897" s="223">
        <v>1980</v>
      </c>
      <c r="H897" s="223">
        <v>1</v>
      </c>
      <c r="I897" s="223">
        <v>0</v>
      </c>
      <c r="J897" s="223"/>
      <c r="K897" s="239">
        <v>71505.987999999998</v>
      </c>
      <c r="L897" s="241">
        <v>80</v>
      </c>
      <c r="M897" s="228">
        <v>14301.1976</v>
      </c>
      <c r="N897" s="230">
        <v>26.45</v>
      </c>
      <c r="O897" s="231">
        <v>0</v>
      </c>
      <c r="P897" s="314"/>
      <c r="Q897" s="276">
        <f t="shared" si="32"/>
        <v>2703.44</v>
      </c>
      <c r="R897" s="275">
        <f>(SUMIFS('Dec 31 2018 OFFS'!$AG:$AG,'Dec 31 2018 OFFS'!$AI:$AI,'T1 2019 Pipeline Data Lagasco'!$A897,'Dec 31 2018 OFFS'!$U:$U,'T1 2019 Pipeline Data Lagasco'!$E897,'Dec 31 2018 OFFS'!$AK:$AK,'T1 2019 Pipeline Data Lagasco'!$Q897,'Dec 31 2018 OFFS'!$W:$W,'T1 2019 Pipeline Data Lagasco'!$G897))/(MAX(COUNTIFS('Dec 31 2018 OFFS'!$AI:$AI,'T1 2019 Pipeline Data Lagasco'!$A897,'Dec 31 2018 OFFS'!$U:$U,'T1 2019 Pipeline Data Lagasco'!$E897,'Dec 31 2018 OFFS'!$AK:$AK,'T1 2019 Pipeline Data Lagasco'!$Q897,'Dec 31 2018 OFFS'!$W:$W,'T1 2019 Pipeline Data Lagasco'!$G897),1))</f>
        <v>0</v>
      </c>
      <c r="S897" s="275">
        <f t="shared" si="33"/>
        <v>0</v>
      </c>
      <c r="T897" s="217"/>
    </row>
    <row r="898" spans="1:20" ht="14.1" customHeight="1">
      <c r="A898" s="224" t="s">
        <v>1504</v>
      </c>
      <c r="B898" s="218" t="s">
        <v>1505</v>
      </c>
      <c r="C898" s="223">
        <v>1</v>
      </c>
      <c r="D898" s="218" t="s">
        <v>1488</v>
      </c>
      <c r="E898" s="240">
        <v>4</v>
      </c>
      <c r="F898" s="223">
        <v>1755</v>
      </c>
      <c r="G898" s="223">
        <v>2001</v>
      </c>
      <c r="H898" s="223">
        <v>1</v>
      </c>
      <c r="I898" s="223">
        <v>0</v>
      </c>
      <c r="J898" s="223"/>
      <c r="K898" s="238">
        <v>46419.75</v>
      </c>
      <c r="L898" s="241">
        <v>59</v>
      </c>
      <c r="M898" s="228">
        <v>19032.0975</v>
      </c>
      <c r="N898" s="230">
        <v>26.45</v>
      </c>
      <c r="O898" s="231">
        <v>0</v>
      </c>
      <c r="P898" s="314"/>
      <c r="Q898" s="276">
        <f t="shared" si="32"/>
        <v>1755</v>
      </c>
      <c r="R898" s="275">
        <f>(SUMIFS('Dec 31 2018 OFFS'!$AG:$AG,'Dec 31 2018 OFFS'!$AI:$AI,'T1 2019 Pipeline Data Lagasco'!$A898,'Dec 31 2018 OFFS'!$U:$U,'T1 2019 Pipeline Data Lagasco'!$E898,'Dec 31 2018 OFFS'!$AK:$AK,'T1 2019 Pipeline Data Lagasco'!$Q898,'Dec 31 2018 OFFS'!$W:$W,'T1 2019 Pipeline Data Lagasco'!$G898))/(MAX(COUNTIFS('Dec 31 2018 OFFS'!$AI:$AI,'T1 2019 Pipeline Data Lagasco'!$A898,'Dec 31 2018 OFFS'!$U:$U,'T1 2019 Pipeline Data Lagasco'!$E898,'Dec 31 2018 OFFS'!$AK:$AK,'T1 2019 Pipeline Data Lagasco'!$Q898,'Dec 31 2018 OFFS'!$W:$W,'T1 2019 Pipeline Data Lagasco'!$G898),1))</f>
        <v>0</v>
      </c>
      <c r="S898" s="275">
        <f t="shared" si="33"/>
        <v>0</v>
      </c>
      <c r="T898" s="217"/>
    </row>
    <row r="899" spans="1:20" ht="14.1" customHeight="1">
      <c r="A899" s="224" t="s">
        <v>1504</v>
      </c>
      <c r="B899" s="218" t="s">
        <v>1505</v>
      </c>
      <c r="C899" s="223">
        <v>1</v>
      </c>
      <c r="D899" s="218" t="s">
        <v>1488</v>
      </c>
      <c r="E899" s="240">
        <v>4</v>
      </c>
      <c r="F899" s="223">
        <v>8280</v>
      </c>
      <c r="G899" s="223">
        <v>1994</v>
      </c>
      <c r="H899" s="223">
        <v>1</v>
      </c>
      <c r="I899" s="223">
        <v>0</v>
      </c>
      <c r="J899" s="223"/>
      <c r="K899" s="240">
        <v>219006</v>
      </c>
      <c r="L899" s="241">
        <v>68</v>
      </c>
      <c r="M899" s="238">
        <v>70081.92</v>
      </c>
      <c r="N899" s="230">
        <v>26.45</v>
      </c>
      <c r="O899" s="231">
        <v>0</v>
      </c>
      <c r="P899" s="314"/>
      <c r="Q899" s="276">
        <f t="shared" si="32"/>
        <v>8280</v>
      </c>
      <c r="R899" s="275">
        <f>(SUMIFS('Dec 31 2018 OFFS'!$AG:$AG,'Dec 31 2018 OFFS'!$AI:$AI,'T1 2019 Pipeline Data Lagasco'!$A899,'Dec 31 2018 OFFS'!$U:$U,'T1 2019 Pipeline Data Lagasco'!$E899,'Dec 31 2018 OFFS'!$AK:$AK,'T1 2019 Pipeline Data Lagasco'!$Q899,'Dec 31 2018 OFFS'!$W:$W,'T1 2019 Pipeline Data Lagasco'!$G899))/(MAX(COUNTIFS('Dec 31 2018 OFFS'!$AI:$AI,'T1 2019 Pipeline Data Lagasco'!$A899,'Dec 31 2018 OFFS'!$U:$U,'T1 2019 Pipeline Data Lagasco'!$E899,'Dec 31 2018 OFFS'!$AK:$AK,'T1 2019 Pipeline Data Lagasco'!$Q899,'Dec 31 2018 OFFS'!$W:$W,'T1 2019 Pipeline Data Lagasco'!$G899),1))</f>
        <v>0</v>
      </c>
      <c r="S899" s="275">
        <f t="shared" si="33"/>
        <v>0</v>
      </c>
      <c r="T899" s="217"/>
    </row>
    <row r="900" spans="1:20" ht="14.1" customHeight="1">
      <c r="A900" s="224" t="s">
        <v>1504</v>
      </c>
      <c r="B900" s="218" t="s">
        <v>1505</v>
      </c>
      <c r="C900" s="223">
        <v>1</v>
      </c>
      <c r="D900" s="218" t="s">
        <v>1488</v>
      </c>
      <c r="E900" s="240">
        <v>4</v>
      </c>
      <c r="F900" s="226">
        <v>1714.0419449999999</v>
      </c>
      <c r="G900" s="223">
        <v>1986</v>
      </c>
      <c r="H900" s="223">
        <v>1</v>
      </c>
      <c r="I900" s="223">
        <v>1</v>
      </c>
      <c r="J900" s="223"/>
      <c r="K900" s="229">
        <v>45336.409449999999</v>
      </c>
      <c r="L900" s="241">
        <v>79</v>
      </c>
      <c r="M900" s="233">
        <v>9520.6459840000007</v>
      </c>
      <c r="N900" s="230">
        <v>26.45</v>
      </c>
      <c r="O900" s="231">
        <v>9520</v>
      </c>
      <c r="P900" s="314"/>
      <c r="Q900" s="276">
        <f t="shared" si="32"/>
        <v>1714.04</v>
      </c>
      <c r="R900" s="275">
        <f>(SUMIFS('Dec 31 2018 OFFS'!$AG:$AG,'Dec 31 2018 OFFS'!$AI:$AI,'T1 2019 Pipeline Data Lagasco'!$A900,'Dec 31 2018 OFFS'!$U:$U,'T1 2019 Pipeline Data Lagasco'!$E900,'Dec 31 2018 OFFS'!$AK:$AK,'T1 2019 Pipeline Data Lagasco'!$Q900,'Dec 31 2018 OFFS'!$W:$W,'T1 2019 Pipeline Data Lagasco'!$G900))/(MAX(COUNTIFS('Dec 31 2018 OFFS'!$AI:$AI,'T1 2019 Pipeline Data Lagasco'!$A900,'Dec 31 2018 OFFS'!$U:$U,'T1 2019 Pipeline Data Lagasco'!$E900,'Dec 31 2018 OFFS'!$AK:$AK,'T1 2019 Pipeline Data Lagasco'!$Q900,'Dec 31 2018 OFFS'!$W:$W,'T1 2019 Pipeline Data Lagasco'!$G900),1))</f>
        <v>9520</v>
      </c>
      <c r="S900" s="275">
        <f t="shared" si="33"/>
        <v>0</v>
      </c>
      <c r="T900" s="217"/>
    </row>
    <row r="901" spans="1:20" ht="15" customHeight="1">
      <c r="A901" s="224" t="s">
        <v>1504</v>
      </c>
      <c r="B901" s="218" t="s">
        <v>1505</v>
      </c>
      <c r="C901" s="223">
        <v>1</v>
      </c>
      <c r="D901" s="218" t="s">
        <v>1488</v>
      </c>
      <c r="E901" s="240">
        <v>4</v>
      </c>
      <c r="F901" s="223">
        <v>5325</v>
      </c>
      <c r="G901" s="223">
        <v>1980</v>
      </c>
      <c r="H901" s="223">
        <v>1</v>
      </c>
      <c r="I901" s="223">
        <v>1</v>
      </c>
      <c r="J901" s="223"/>
      <c r="K901" s="238">
        <v>140846.25</v>
      </c>
      <c r="L901" s="241">
        <v>80</v>
      </c>
      <c r="M901" s="238">
        <v>28169.25</v>
      </c>
      <c r="N901" s="230">
        <v>26.45</v>
      </c>
      <c r="O901" s="231">
        <v>28169</v>
      </c>
      <c r="P901" s="314"/>
      <c r="Q901" s="276">
        <f t="shared" si="32"/>
        <v>5325</v>
      </c>
      <c r="R901" s="275">
        <f>(SUMIFS('Dec 31 2018 OFFS'!$AG:$AG,'Dec 31 2018 OFFS'!$AI:$AI,'T1 2019 Pipeline Data Lagasco'!$A901,'Dec 31 2018 OFFS'!$U:$U,'T1 2019 Pipeline Data Lagasco'!$E901,'Dec 31 2018 OFFS'!$AK:$AK,'T1 2019 Pipeline Data Lagasco'!$Q901,'Dec 31 2018 OFFS'!$W:$W,'T1 2019 Pipeline Data Lagasco'!$G901))/(MAX(COUNTIFS('Dec 31 2018 OFFS'!$AI:$AI,'T1 2019 Pipeline Data Lagasco'!$A901,'Dec 31 2018 OFFS'!$U:$U,'T1 2019 Pipeline Data Lagasco'!$E901,'Dec 31 2018 OFFS'!$AK:$AK,'T1 2019 Pipeline Data Lagasco'!$Q901,'Dec 31 2018 OFFS'!$W:$W,'T1 2019 Pipeline Data Lagasco'!$G901),1))</f>
        <v>28169</v>
      </c>
      <c r="S901" s="275">
        <f t="shared" si="33"/>
        <v>0</v>
      </c>
      <c r="T901" s="217"/>
    </row>
    <row r="902" spans="1:20" ht="15" customHeight="1">
      <c r="A902" s="224" t="s">
        <v>1504</v>
      </c>
      <c r="B902" s="218" t="s">
        <v>1505</v>
      </c>
      <c r="C902" s="223">
        <v>1</v>
      </c>
      <c r="D902" s="218" t="s">
        <v>1488</v>
      </c>
      <c r="E902" s="223">
        <v>4</v>
      </c>
      <c r="F902" s="226">
        <v>5049.5405360000004</v>
      </c>
      <c r="G902" s="223">
        <v>1981</v>
      </c>
      <c r="H902" s="223">
        <v>1</v>
      </c>
      <c r="I902" s="223">
        <v>1</v>
      </c>
      <c r="J902" s="223"/>
      <c r="K902" s="228">
        <v>133560.34719999999</v>
      </c>
      <c r="L902" s="241">
        <v>80</v>
      </c>
      <c r="M902" s="229">
        <v>26712.069439999999</v>
      </c>
      <c r="N902" s="230">
        <v>26.45</v>
      </c>
      <c r="O902" s="231">
        <v>26712</v>
      </c>
      <c r="P902" s="314"/>
      <c r="Q902" s="276">
        <f t="shared" si="32"/>
        <v>5049.54</v>
      </c>
      <c r="R902" s="275">
        <f>(SUMIFS('Dec 31 2018 OFFS'!$AG:$AG,'Dec 31 2018 OFFS'!$AI:$AI,'T1 2019 Pipeline Data Lagasco'!$A902,'Dec 31 2018 OFFS'!$U:$U,'T1 2019 Pipeline Data Lagasco'!$E902,'Dec 31 2018 OFFS'!$AK:$AK,'T1 2019 Pipeline Data Lagasco'!$Q902,'Dec 31 2018 OFFS'!$W:$W,'T1 2019 Pipeline Data Lagasco'!$G902))/(MAX(COUNTIFS('Dec 31 2018 OFFS'!$AI:$AI,'T1 2019 Pipeline Data Lagasco'!$A902,'Dec 31 2018 OFFS'!$U:$U,'T1 2019 Pipeline Data Lagasco'!$E902,'Dec 31 2018 OFFS'!$AK:$AK,'T1 2019 Pipeline Data Lagasco'!$Q902,'Dec 31 2018 OFFS'!$W:$W,'T1 2019 Pipeline Data Lagasco'!$G902),1))</f>
        <v>26712</v>
      </c>
      <c r="S902" s="275">
        <f t="shared" si="33"/>
        <v>0</v>
      </c>
      <c r="T902" s="217"/>
    </row>
    <row r="903" spans="1:20" ht="14.1" customHeight="1">
      <c r="A903" s="224" t="s">
        <v>1504</v>
      </c>
      <c r="B903" s="218" t="s">
        <v>1505</v>
      </c>
      <c r="C903" s="223">
        <v>1</v>
      </c>
      <c r="D903" s="218" t="s">
        <v>1488</v>
      </c>
      <c r="E903" s="223">
        <v>4</v>
      </c>
      <c r="F903" s="230">
        <v>5298.56</v>
      </c>
      <c r="G903" s="223">
        <v>1999</v>
      </c>
      <c r="H903" s="223">
        <v>1</v>
      </c>
      <c r="I903" s="223">
        <v>0</v>
      </c>
      <c r="J903" s="223"/>
      <c r="K903" s="239">
        <v>140146.91200000001</v>
      </c>
      <c r="L903" s="241">
        <v>62</v>
      </c>
      <c r="M903" s="229">
        <v>53255.826560000001</v>
      </c>
      <c r="N903" s="230">
        <v>26.45</v>
      </c>
      <c r="O903" s="231">
        <v>0</v>
      </c>
      <c r="P903" s="314"/>
      <c r="Q903" s="276">
        <f t="shared" si="32"/>
        <v>5298.56</v>
      </c>
      <c r="R903" s="275">
        <f>(SUMIFS('Dec 31 2018 OFFS'!$AG:$AG,'Dec 31 2018 OFFS'!$AI:$AI,'T1 2019 Pipeline Data Lagasco'!$A903,'Dec 31 2018 OFFS'!$U:$U,'T1 2019 Pipeline Data Lagasco'!$E903,'Dec 31 2018 OFFS'!$AK:$AK,'T1 2019 Pipeline Data Lagasco'!$Q903,'Dec 31 2018 OFFS'!$W:$W,'T1 2019 Pipeline Data Lagasco'!$G903))/(MAX(COUNTIFS('Dec 31 2018 OFFS'!$AI:$AI,'T1 2019 Pipeline Data Lagasco'!$A903,'Dec 31 2018 OFFS'!$U:$U,'T1 2019 Pipeline Data Lagasco'!$E903,'Dec 31 2018 OFFS'!$AK:$AK,'T1 2019 Pipeline Data Lagasco'!$Q903,'Dec 31 2018 OFFS'!$W:$W,'T1 2019 Pipeline Data Lagasco'!$G903),1))</f>
        <v>0</v>
      </c>
      <c r="S903" s="275">
        <f t="shared" si="33"/>
        <v>0</v>
      </c>
      <c r="T903" s="217"/>
    </row>
    <row r="904" spans="1:20" ht="14.1" customHeight="1">
      <c r="A904" s="224" t="s">
        <v>1504</v>
      </c>
      <c r="B904" s="218" t="s">
        <v>1505</v>
      </c>
      <c r="C904" s="223">
        <v>1</v>
      </c>
      <c r="D904" s="218" t="s">
        <v>1488</v>
      </c>
      <c r="E904" s="223">
        <v>4</v>
      </c>
      <c r="F904" s="223">
        <v>17470</v>
      </c>
      <c r="G904" s="223">
        <v>2002</v>
      </c>
      <c r="H904" s="223">
        <v>1</v>
      </c>
      <c r="I904" s="223">
        <v>0</v>
      </c>
      <c r="J904" s="223"/>
      <c r="K904" s="237">
        <v>462081.50</v>
      </c>
      <c r="L904" s="241">
        <v>57</v>
      </c>
      <c r="M904" s="239">
        <v>198695.04500000001</v>
      </c>
      <c r="N904" s="230">
        <v>26.45</v>
      </c>
      <c r="O904" s="231">
        <v>0</v>
      </c>
      <c r="P904" s="314"/>
      <c r="Q904" s="276">
        <f t="shared" si="32"/>
        <v>17470</v>
      </c>
      <c r="R904" s="275">
        <f>(SUMIFS('Dec 31 2018 OFFS'!$AG:$AG,'Dec 31 2018 OFFS'!$AI:$AI,'T1 2019 Pipeline Data Lagasco'!$A904,'Dec 31 2018 OFFS'!$U:$U,'T1 2019 Pipeline Data Lagasco'!$E904,'Dec 31 2018 OFFS'!$AK:$AK,'T1 2019 Pipeline Data Lagasco'!$Q904,'Dec 31 2018 OFFS'!$W:$W,'T1 2019 Pipeline Data Lagasco'!$G904))/(MAX(COUNTIFS('Dec 31 2018 OFFS'!$AI:$AI,'T1 2019 Pipeline Data Lagasco'!$A904,'Dec 31 2018 OFFS'!$U:$U,'T1 2019 Pipeline Data Lagasco'!$E904,'Dec 31 2018 OFFS'!$AK:$AK,'T1 2019 Pipeline Data Lagasco'!$Q904,'Dec 31 2018 OFFS'!$W:$W,'T1 2019 Pipeline Data Lagasco'!$G904),1))</f>
        <v>0</v>
      </c>
      <c r="S904" s="275">
        <f t="shared" si="33"/>
        <v>0</v>
      </c>
      <c r="T904" s="217"/>
    </row>
    <row r="905" spans="1:20" ht="14.1" customHeight="1">
      <c r="A905" s="224" t="s">
        <v>1504</v>
      </c>
      <c r="B905" s="218" t="s">
        <v>1505</v>
      </c>
      <c r="C905" s="223">
        <v>1</v>
      </c>
      <c r="D905" s="218" t="s">
        <v>1488</v>
      </c>
      <c r="E905" s="223">
        <v>4</v>
      </c>
      <c r="F905" s="223">
        <v>7578</v>
      </c>
      <c r="G905" s="223">
        <v>2005</v>
      </c>
      <c r="H905" s="223">
        <v>1</v>
      </c>
      <c r="I905" s="223">
        <v>1</v>
      </c>
      <c r="J905" s="223"/>
      <c r="K905" s="237">
        <v>200438.10</v>
      </c>
      <c r="L905" s="241">
        <v>54</v>
      </c>
      <c r="M905" s="239">
        <v>92201.525999999998</v>
      </c>
      <c r="N905" s="230">
        <v>26.45</v>
      </c>
      <c r="O905" s="231">
        <v>92201</v>
      </c>
      <c r="P905" s="314"/>
      <c r="Q905" s="276">
        <f t="shared" si="32"/>
        <v>7578</v>
      </c>
      <c r="R905" s="275">
        <f>(SUMIFS('Dec 31 2018 OFFS'!$AG:$AG,'Dec 31 2018 OFFS'!$AI:$AI,'T1 2019 Pipeline Data Lagasco'!$A905,'Dec 31 2018 OFFS'!$U:$U,'T1 2019 Pipeline Data Lagasco'!$E905,'Dec 31 2018 OFFS'!$AK:$AK,'T1 2019 Pipeline Data Lagasco'!$Q905,'Dec 31 2018 OFFS'!$W:$W,'T1 2019 Pipeline Data Lagasco'!$G905))/(MAX(COUNTIFS('Dec 31 2018 OFFS'!$AI:$AI,'T1 2019 Pipeline Data Lagasco'!$A905,'Dec 31 2018 OFFS'!$U:$U,'T1 2019 Pipeline Data Lagasco'!$E905,'Dec 31 2018 OFFS'!$AK:$AK,'T1 2019 Pipeline Data Lagasco'!$Q905,'Dec 31 2018 OFFS'!$W:$W,'T1 2019 Pipeline Data Lagasco'!$G905),1))</f>
        <v>92201</v>
      </c>
      <c r="S905" s="275">
        <f t="shared" si="33"/>
        <v>0</v>
      </c>
      <c r="T905" s="217"/>
    </row>
    <row r="906" spans="1:20" ht="14.1" customHeight="1">
      <c r="A906" s="224" t="s">
        <v>1504</v>
      </c>
      <c r="B906" s="218" t="s">
        <v>1505</v>
      </c>
      <c r="C906" s="223">
        <v>1</v>
      </c>
      <c r="D906" s="218" t="s">
        <v>1488</v>
      </c>
      <c r="E906" s="223">
        <v>4</v>
      </c>
      <c r="F906" s="223">
        <v>7480</v>
      </c>
      <c r="G906" s="223">
        <v>2005</v>
      </c>
      <c r="H906" s="223">
        <v>1</v>
      </c>
      <c r="I906" s="223">
        <v>1</v>
      </c>
      <c r="J906" s="223"/>
      <c r="K906" s="240">
        <v>197846</v>
      </c>
      <c r="L906" s="241">
        <v>54</v>
      </c>
      <c r="M906" s="238">
        <v>91009.16</v>
      </c>
      <c r="N906" s="230">
        <v>26.45</v>
      </c>
      <c r="O906" s="231">
        <v>91009</v>
      </c>
      <c r="P906" s="314"/>
      <c r="Q906" s="279">
        <f t="shared" si="32"/>
        <v>7480</v>
      </c>
      <c r="R906" s="275">
        <f>(SUMIFS('Dec 31 2018 OFFS'!$AG:$AG,'Dec 31 2018 OFFS'!$AI:$AI,'T1 2019 Pipeline Data Lagasco'!$A906,'Dec 31 2018 OFFS'!$U:$U,'T1 2019 Pipeline Data Lagasco'!$E906,'Dec 31 2018 OFFS'!$AK:$AK,'T1 2019 Pipeline Data Lagasco'!$Q906,'Dec 31 2018 OFFS'!$W:$W,'T1 2019 Pipeline Data Lagasco'!$G906))/(MAX(COUNTIFS('Dec 31 2018 OFFS'!$AI:$AI,'T1 2019 Pipeline Data Lagasco'!$A906,'Dec 31 2018 OFFS'!$U:$U,'T1 2019 Pipeline Data Lagasco'!$E906,'Dec 31 2018 OFFS'!$AK:$AK,'T1 2019 Pipeline Data Lagasco'!$Q906,'Dec 31 2018 OFFS'!$W:$W,'T1 2019 Pipeline Data Lagasco'!$G906),1))</f>
        <v>91009</v>
      </c>
      <c r="S906" s="275">
        <f t="shared" si="33"/>
        <v>0</v>
      </c>
      <c r="T906" s="278">
        <f t="shared" si="35" ref="T906:T907">R906/O906</f>
        <v>1</v>
      </c>
    </row>
    <row r="907" spans="1:20" ht="14.1" customHeight="1">
      <c r="A907" s="224" t="s">
        <v>1504</v>
      </c>
      <c r="B907" s="218" t="s">
        <v>1505</v>
      </c>
      <c r="C907" s="223">
        <v>1</v>
      </c>
      <c r="D907" s="218" t="s">
        <v>1488</v>
      </c>
      <c r="E907" s="223">
        <v>4</v>
      </c>
      <c r="F907" s="223">
        <v>7480</v>
      </c>
      <c r="G907" s="223">
        <v>2005</v>
      </c>
      <c r="H907" s="223">
        <v>1</v>
      </c>
      <c r="I907" s="223">
        <v>1</v>
      </c>
      <c r="J907" s="223"/>
      <c r="K907" s="240">
        <v>197846</v>
      </c>
      <c r="L907" s="241">
        <v>54</v>
      </c>
      <c r="M907" s="238">
        <v>91009.16</v>
      </c>
      <c r="N907" s="230">
        <v>26.45</v>
      </c>
      <c r="O907" s="231">
        <v>91009</v>
      </c>
      <c r="P907" s="314"/>
      <c r="Q907" s="279">
        <f t="shared" si="32"/>
        <v>7480</v>
      </c>
      <c r="R907" s="275">
        <f>(SUMIFS('Dec 31 2018 OFFS'!$AG:$AG,'Dec 31 2018 OFFS'!$AI:$AI,'T1 2019 Pipeline Data Lagasco'!$A907,'Dec 31 2018 OFFS'!$U:$U,'T1 2019 Pipeline Data Lagasco'!$E907,'Dec 31 2018 OFFS'!$AK:$AK,'T1 2019 Pipeline Data Lagasco'!$Q907,'Dec 31 2018 OFFS'!$W:$W,'T1 2019 Pipeline Data Lagasco'!$G907))/(MAX(COUNTIFS('Dec 31 2018 OFFS'!$AI:$AI,'T1 2019 Pipeline Data Lagasco'!$A907,'Dec 31 2018 OFFS'!$U:$U,'T1 2019 Pipeline Data Lagasco'!$E907,'Dec 31 2018 OFFS'!$AK:$AK,'T1 2019 Pipeline Data Lagasco'!$Q907,'Dec 31 2018 OFFS'!$W:$W,'T1 2019 Pipeline Data Lagasco'!$G907),1))</f>
        <v>91009</v>
      </c>
      <c r="S907" s="275">
        <f t="shared" si="33"/>
        <v>0</v>
      </c>
      <c r="T907" s="278">
        <f t="shared" si="35"/>
        <v>1</v>
      </c>
    </row>
    <row r="908" spans="1:20" ht="14.1" customHeight="1">
      <c r="A908" s="224" t="s">
        <v>1504</v>
      </c>
      <c r="B908" s="218" t="s">
        <v>1505</v>
      </c>
      <c r="C908" s="223">
        <v>1</v>
      </c>
      <c r="D908" s="218" t="s">
        <v>1488</v>
      </c>
      <c r="E908" s="223">
        <v>6</v>
      </c>
      <c r="F908" s="236">
        <v>41663.581469999997</v>
      </c>
      <c r="G908" s="223">
        <v>1975</v>
      </c>
      <c r="H908" s="230">
        <v>0.75</v>
      </c>
      <c r="I908" s="223">
        <v>1</v>
      </c>
      <c r="J908" s="223"/>
      <c r="K908" s="239">
        <v>1442809.8259999999</v>
      </c>
      <c r="L908" s="241">
        <v>80</v>
      </c>
      <c r="M908" s="228">
        <v>288561.96529999998</v>
      </c>
      <c r="N908" s="230">
        <v>34.630000000000003</v>
      </c>
      <c r="O908" s="231">
        <v>216421</v>
      </c>
      <c r="P908" s="314"/>
      <c r="Q908" s="276">
        <f t="shared" si="32"/>
        <v>41663.58</v>
      </c>
      <c r="R908" s="275">
        <f>(SUMIFS('Dec 31 2018 OFFS'!$AG:$AG,'Dec 31 2018 OFFS'!$AI:$AI,'T1 2019 Pipeline Data Lagasco'!$A908,'Dec 31 2018 OFFS'!$U:$U,'T1 2019 Pipeline Data Lagasco'!$E908,'Dec 31 2018 OFFS'!$AK:$AK,'T1 2019 Pipeline Data Lagasco'!$Q908,'Dec 31 2018 OFFS'!$W:$W,'T1 2019 Pipeline Data Lagasco'!$G908))/(MAX(COUNTIFS('Dec 31 2018 OFFS'!$AI:$AI,'T1 2019 Pipeline Data Lagasco'!$A908,'Dec 31 2018 OFFS'!$U:$U,'T1 2019 Pipeline Data Lagasco'!$E908,'Dec 31 2018 OFFS'!$AK:$AK,'T1 2019 Pipeline Data Lagasco'!$Q908,'Dec 31 2018 OFFS'!$W:$W,'T1 2019 Pipeline Data Lagasco'!$G908),1))</f>
        <v>216421</v>
      </c>
      <c r="S908" s="275">
        <f t="shared" si="33"/>
        <v>0</v>
      </c>
      <c r="T908" s="217"/>
    </row>
    <row r="909" spans="1:20" ht="14.1" customHeight="1">
      <c r="A909" s="224" t="s">
        <v>1504</v>
      </c>
      <c r="B909" s="218" t="s">
        <v>1505</v>
      </c>
      <c r="C909" s="223">
        <v>1</v>
      </c>
      <c r="D909" s="218" t="s">
        <v>1488</v>
      </c>
      <c r="E909" s="223">
        <v>6</v>
      </c>
      <c r="F909" s="223">
        <v>15395</v>
      </c>
      <c r="G909" s="223">
        <v>1970</v>
      </c>
      <c r="H909" s="230">
        <v>0.75</v>
      </c>
      <c r="I909" s="223">
        <v>0</v>
      </c>
      <c r="J909" s="223"/>
      <c r="K909" s="238">
        <v>533128.85</v>
      </c>
      <c r="L909" s="241">
        <v>80</v>
      </c>
      <c r="M909" s="238">
        <v>106625.77</v>
      </c>
      <c r="N909" s="230">
        <v>34.630000000000003</v>
      </c>
      <c r="O909" s="231">
        <v>0</v>
      </c>
      <c r="P909" s="314"/>
      <c r="Q909" s="276">
        <f t="shared" si="32"/>
        <v>15395</v>
      </c>
      <c r="R909" s="275">
        <f>(SUMIFS('Dec 31 2018 OFFS'!$AG:$AG,'Dec 31 2018 OFFS'!$AI:$AI,'T1 2019 Pipeline Data Lagasco'!$A909,'Dec 31 2018 OFFS'!$U:$U,'T1 2019 Pipeline Data Lagasco'!$E909,'Dec 31 2018 OFFS'!$AK:$AK,'T1 2019 Pipeline Data Lagasco'!$Q909,'Dec 31 2018 OFFS'!$W:$W,'T1 2019 Pipeline Data Lagasco'!$G909))/(MAX(COUNTIFS('Dec 31 2018 OFFS'!$AI:$AI,'T1 2019 Pipeline Data Lagasco'!$A909,'Dec 31 2018 OFFS'!$U:$U,'T1 2019 Pipeline Data Lagasco'!$E909,'Dec 31 2018 OFFS'!$AK:$AK,'T1 2019 Pipeline Data Lagasco'!$Q909,'Dec 31 2018 OFFS'!$W:$W,'T1 2019 Pipeline Data Lagasco'!$G909),1))</f>
        <v>0</v>
      </c>
      <c r="S909" s="275">
        <f t="shared" si="33"/>
        <v>0</v>
      </c>
      <c r="T909" s="217"/>
    </row>
    <row r="910" spans="1:20" ht="14.1" customHeight="1">
      <c r="A910" s="224" t="s">
        <v>1504</v>
      </c>
      <c r="B910" s="218" t="s">
        <v>1505</v>
      </c>
      <c r="C910" s="223">
        <v>1</v>
      </c>
      <c r="D910" s="218" t="s">
        <v>1488</v>
      </c>
      <c r="E910" s="223">
        <v>6</v>
      </c>
      <c r="F910" s="223">
        <v>15363</v>
      </c>
      <c r="G910" s="223">
        <v>1970</v>
      </c>
      <c r="H910" s="223">
        <v>1</v>
      </c>
      <c r="I910" s="223">
        <v>0</v>
      </c>
      <c r="J910" s="223"/>
      <c r="K910" s="238">
        <v>532020.68999999994</v>
      </c>
      <c r="L910" s="241">
        <v>80</v>
      </c>
      <c r="M910" s="239">
        <v>106404.13800000001</v>
      </c>
      <c r="N910" s="230">
        <v>34.630000000000003</v>
      </c>
      <c r="O910" s="231">
        <v>0</v>
      </c>
      <c r="P910" s="314"/>
      <c r="Q910" s="276">
        <f t="shared" si="32"/>
        <v>15363</v>
      </c>
      <c r="R910" s="275">
        <f>(SUMIFS('Dec 31 2018 OFFS'!$AG:$AG,'Dec 31 2018 OFFS'!$AI:$AI,'T1 2019 Pipeline Data Lagasco'!$A910,'Dec 31 2018 OFFS'!$U:$U,'T1 2019 Pipeline Data Lagasco'!$E910,'Dec 31 2018 OFFS'!$AK:$AK,'T1 2019 Pipeline Data Lagasco'!$Q910,'Dec 31 2018 OFFS'!$W:$W,'T1 2019 Pipeline Data Lagasco'!$G910))/(MAX(COUNTIFS('Dec 31 2018 OFFS'!$AI:$AI,'T1 2019 Pipeline Data Lagasco'!$A910,'Dec 31 2018 OFFS'!$U:$U,'T1 2019 Pipeline Data Lagasco'!$E910,'Dec 31 2018 OFFS'!$AK:$AK,'T1 2019 Pipeline Data Lagasco'!$Q910,'Dec 31 2018 OFFS'!$W:$W,'T1 2019 Pipeline Data Lagasco'!$G910),1))</f>
        <v>0</v>
      </c>
      <c r="S910" s="275">
        <f t="shared" si="33"/>
        <v>0</v>
      </c>
      <c r="T910" s="217"/>
    </row>
    <row r="911" spans="1:20" ht="14.1" customHeight="1">
      <c r="A911" s="224" t="s">
        <v>1504</v>
      </c>
      <c r="B911" s="218" t="s">
        <v>1505</v>
      </c>
      <c r="C911" s="223">
        <v>1</v>
      </c>
      <c r="D911" s="218" t="s">
        <v>1488</v>
      </c>
      <c r="E911" s="223">
        <v>6</v>
      </c>
      <c r="F911" s="223">
        <v>7900</v>
      </c>
      <c r="G911" s="223">
        <v>1970</v>
      </c>
      <c r="H911" s="223">
        <v>1</v>
      </c>
      <c r="I911" s="223">
        <v>0</v>
      </c>
      <c r="J911" s="223"/>
      <c r="K911" s="240">
        <v>273577</v>
      </c>
      <c r="L911" s="241">
        <v>80</v>
      </c>
      <c r="M911" s="237">
        <v>54715.40</v>
      </c>
      <c r="N911" s="230">
        <v>34.630000000000003</v>
      </c>
      <c r="O911" s="231">
        <v>0</v>
      </c>
      <c r="P911" s="314"/>
      <c r="Q911" s="276">
        <f t="shared" si="32"/>
        <v>7900</v>
      </c>
      <c r="R911" s="275">
        <f>(SUMIFS('Dec 31 2018 OFFS'!$AG:$AG,'Dec 31 2018 OFFS'!$AI:$AI,'T1 2019 Pipeline Data Lagasco'!$A911,'Dec 31 2018 OFFS'!$U:$U,'T1 2019 Pipeline Data Lagasco'!$E911,'Dec 31 2018 OFFS'!$AK:$AK,'T1 2019 Pipeline Data Lagasco'!$Q911,'Dec 31 2018 OFFS'!$W:$W,'T1 2019 Pipeline Data Lagasco'!$G911))/(MAX(COUNTIFS('Dec 31 2018 OFFS'!$AI:$AI,'T1 2019 Pipeline Data Lagasco'!$A911,'Dec 31 2018 OFFS'!$U:$U,'T1 2019 Pipeline Data Lagasco'!$E911,'Dec 31 2018 OFFS'!$AK:$AK,'T1 2019 Pipeline Data Lagasco'!$Q911,'Dec 31 2018 OFFS'!$W:$W,'T1 2019 Pipeline Data Lagasco'!$G911),1))</f>
        <v>0</v>
      </c>
      <c r="S911" s="275">
        <f t="shared" si="33"/>
        <v>0</v>
      </c>
      <c r="T911" s="217"/>
    </row>
    <row r="912" spans="1:20" ht="14.1" customHeight="1">
      <c r="A912" s="224" t="s">
        <v>1504</v>
      </c>
      <c r="B912" s="218" t="s">
        <v>1505</v>
      </c>
      <c r="C912" s="223">
        <v>1</v>
      </c>
      <c r="D912" s="218" t="s">
        <v>1488</v>
      </c>
      <c r="E912" s="223">
        <v>6</v>
      </c>
      <c r="F912" s="223">
        <v>4071</v>
      </c>
      <c r="G912" s="223">
        <v>1970</v>
      </c>
      <c r="H912" s="223">
        <v>1</v>
      </c>
      <c r="I912" s="223">
        <v>0</v>
      </c>
      <c r="J912" s="223"/>
      <c r="K912" s="238">
        <v>140978.73000000001</v>
      </c>
      <c r="L912" s="241">
        <v>80</v>
      </c>
      <c r="M912" s="239">
        <v>28195.745999999999</v>
      </c>
      <c r="N912" s="230">
        <v>34.630000000000003</v>
      </c>
      <c r="O912" s="231">
        <v>0</v>
      </c>
      <c r="P912" s="314"/>
      <c r="Q912" s="276">
        <f t="shared" si="32"/>
        <v>4071</v>
      </c>
      <c r="R912" s="275">
        <f>(SUMIFS('Dec 31 2018 OFFS'!$AG:$AG,'Dec 31 2018 OFFS'!$AI:$AI,'T1 2019 Pipeline Data Lagasco'!$A912,'Dec 31 2018 OFFS'!$U:$U,'T1 2019 Pipeline Data Lagasco'!$E912,'Dec 31 2018 OFFS'!$AK:$AK,'T1 2019 Pipeline Data Lagasco'!$Q912,'Dec 31 2018 OFFS'!$W:$W,'T1 2019 Pipeline Data Lagasco'!$G912))/(MAX(COUNTIFS('Dec 31 2018 OFFS'!$AI:$AI,'T1 2019 Pipeline Data Lagasco'!$A912,'Dec 31 2018 OFFS'!$U:$U,'T1 2019 Pipeline Data Lagasco'!$E912,'Dec 31 2018 OFFS'!$AK:$AK,'T1 2019 Pipeline Data Lagasco'!$Q912,'Dec 31 2018 OFFS'!$W:$W,'T1 2019 Pipeline Data Lagasco'!$G912),1))</f>
        <v>0</v>
      </c>
      <c r="S912" s="275">
        <f t="shared" si="33"/>
        <v>0</v>
      </c>
      <c r="T912" s="217"/>
    </row>
    <row r="913" spans="1:20" ht="14.1" customHeight="1">
      <c r="A913" s="224" t="s">
        <v>1504</v>
      </c>
      <c r="B913" s="218" t="s">
        <v>1505</v>
      </c>
      <c r="C913" s="223">
        <v>1</v>
      </c>
      <c r="D913" s="218" t="s">
        <v>1488</v>
      </c>
      <c r="E913" s="223">
        <v>6</v>
      </c>
      <c r="F913" s="223">
        <v>4446</v>
      </c>
      <c r="G913" s="223">
        <v>1970</v>
      </c>
      <c r="H913" s="230">
        <v>0.75</v>
      </c>
      <c r="I913" s="223">
        <v>0</v>
      </c>
      <c r="J913" s="223"/>
      <c r="K913" s="238">
        <v>153964.98000000001</v>
      </c>
      <c r="L913" s="241">
        <v>80</v>
      </c>
      <c r="M913" s="239">
        <v>30792.995999999999</v>
      </c>
      <c r="N913" s="230">
        <v>34.630000000000003</v>
      </c>
      <c r="O913" s="231">
        <v>0</v>
      </c>
      <c r="P913" s="314"/>
      <c r="Q913" s="276">
        <f t="shared" si="32"/>
        <v>4446</v>
      </c>
      <c r="R913" s="275">
        <f>(SUMIFS('Dec 31 2018 OFFS'!$AG:$AG,'Dec 31 2018 OFFS'!$AI:$AI,'T1 2019 Pipeline Data Lagasco'!$A913,'Dec 31 2018 OFFS'!$U:$U,'T1 2019 Pipeline Data Lagasco'!$E913,'Dec 31 2018 OFFS'!$AK:$AK,'T1 2019 Pipeline Data Lagasco'!$Q913,'Dec 31 2018 OFFS'!$W:$W,'T1 2019 Pipeline Data Lagasco'!$G913))/(MAX(COUNTIFS('Dec 31 2018 OFFS'!$AI:$AI,'T1 2019 Pipeline Data Lagasco'!$A913,'Dec 31 2018 OFFS'!$U:$U,'T1 2019 Pipeline Data Lagasco'!$E913,'Dec 31 2018 OFFS'!$AK:$AK,'T1 2019 Pipeline Data Lagasco'!$Q913,'Dec 31 2018 OFFS'!$W:$W,'T1 2019 Pipeline Data Lagasco'!$G913),1))</f>
        <v>0</v>
      </c>
      <c r="S913" s="275">
        <f t="shared" si="33"/>
        <v>0</v>
      </c>
      <c r="T913" s="217"/>
    </row>
    <row r="914" spans="1:20" ht="14.1" customHeight="1">
      <c r="A914" s="224" t="s">
        <v>1504</v>
      </c>
      <c r="B914" s="218" t="s">
        <v>1505</v>
      </c>
      <c r="C914" s="223">
        <v>1</v>
      </c>
      <c r="D914" s="218" t="s">
        <v>1488</v>
      </c>
      <c r="E914" s="223">
        <v>6</v>
      </c>
      <c r="F914" s="223">
        <v>4071</v>
      </c>
      <c r="G914" s="223">
        <v>1970</v>
      </c>
      <c r="H914" s="223">
        <v>1</v>
      </c>
      <c r="I914" s="223">
        <v>0</v>
      </c>
      <c r="J914" s="223"/>
      <c r="K914" s="238">
        <v>140978.73000000001</v>
      </c>
      <c r="L914" s="241">
        <v>80</v>
      </c>
      <c r="M914" s="239">
        <v>28195.745999999999</v>
      </c>
      <c r="N914" s="230">
        <v>34.630000000000003</v>
      </c>
      <c r="O914" s="231">
        <v>0</v>
      </c>
      <c r="P914" s="314"/>
      <c r="Q914" s="276">
        <f t="shared" si="32"/>
        <v>4071</v>
      </c>
      <c r="R914" s="275">
        <f>(SUMIFS('Dec 31 2018 OFFS'!$AG:$AG,'Dec 31 2018 OFFS'!$AI:$AI,'T1 2019 Pipeline Data Lagasco'!$A914,'Dec 31 2018 OFFS'!$U:$U,'T1 2019 Pipeline Data Lagasco'!$E914,'Dec 31 2018 OFFS'!$AK:$AK,'T1 2019 Pipeline Data Lagasco'!$Q914,'Dec 31 2018 OFFS'!$W:$W,'T1 2019 Pipeline Data Lagasco'!$G914))/(MAX(COUNTIFS('Dec 31 2018 OFFS'!$AI:$AI,'T1 2019 Pipeline Data Lagasco'!$A914,'Dec 31 2018 OFFS'!$U:$U,'T1 2019 Pipeline Data Lagasco'!$E914,'Dec 31 2018 OFFS'!$AK:$AK,'T1 2019 Pipeline Data Lagasco'!$Q914,'Dec 31 2018 OFFS'!$W:$W,'T1 2019 Pipeline Data Lagasco'!$G914),1))</f>
        <v>0</v>
      </c>
      <c r="S914" s="275">
        <f t="shared" si="33"/>
        <v>0</v>
      </c>
      <c r="T914" s="217"/>
    </row>
    <row r="915" spans="1:20" ht="14.1" customHeight="1">
      <c r="A915" s="224" t="s">
        <v>1504</v>
      </c>
      <c r="B915" s="218" t="s">
        <v>1505</v>
      </c>
      <c r="C915" s="223">
        <v>1</v>
      </c>
      <c r="D915" s="218" t="s">
        <v>1488</v>
      </c>
      <c r="E915" s="223">
        <v>6</v>
      </c>
      <c r="F915" s="230">
        <v>11275.95</v>
      </c>
      <c r="G915" s="223">
        <v>1999</v>
      </c>
      <c r="H915" s="223">
        <v>1</v>
      </c>
      <c r="I915" s="223">
        <v>1</v>
      </c>
      <c r="J915" s="223"/>
      <c r="K915" s="228">
        <v>390486.14850000001</v>
      </c>
      <c r="L915" s="241">
        <v>62</v>
      </c>
      <c r="M915" s="228">
        <v>148384.73639999999</v>
      </c>
      <c r="N915" s="230">
        <v>34.630000000000003</v>
      </c>
      <c r="O915" s="231">
        <v>148384</v>
      </c>
      <c r="P915" s="314"/>
      <c r="Q915" s="276">
        <f t="shared" si="32"/>
        <v>11275.95</v>
      </c>
      <c r="R915" s="275">
        <f>(SUMIFS('Dec 31 2018 OFFS'!$AG:$AG,'Dec 31 2018 OFFS'!$AI:$AI,'T1 2019 Pipeline Data Lagasco'!$A915,'Dec 31 2018 OFFS'!$U:$U,'T1 2019 Pipeline Data Lagasco'!$E915,'Dec 31 2018 OFFS'!$AK:$AK,'T1 2019 Pipeline Data Lagasco'!$Q915,'Dec 31 2018 OFFS'!$W:$W,'T1 2019 Pipeline Data Lagasco'!$G915))/(MAX(COUNTIFS('Dec 31 2018 OFFS'!$AI:$AI,'T1 2019 Pipeline Data Lagasco'!$A915,'Dec 31 2018 OFFS'!$U:$U,'T1 2019 Pipeline Data Lagasco'!$E915,'Dec 31 2018 OFFS'!$AK:$AK,'T1 2019 Pipeline Data Lagasco'!$Q915,'Dec 31 2018 OFFS'!$W:$W,'T1 2019 Pipeline Data Lagasco'!$G915),1))</f>
        <v>148384</v>
      </c>
      <c r="S915" s="275">
        <f t="shared" si="33"/>
        <v>0</v>
      </c>
      <c r="T915" s="217"/>
    </row>
    <row r="916" spans="1:20" ht="14.1" customHeight="1">
      <c r="A916" s="224" t="s">
        <v>1504</v>
      </c>
      <c r="B916" s="218" t="s">
        <v>1505</v>
      </c>
      <c r="C916" s="223">
        <v>1</v>
      </c>
      <c r="D916" s="218" t="s">
        <v>1488</v>
      </c>
      <c r="E916" s="223">
        <v>6</v>
      </c>
      <c r="F916" s="230">
        <v>516.47</v>
      </c>
      <c r="G916" s="223">
        <v>1999</v>
      </c>
      <c r="H916" s="223">
        <v>1</v>
      </c>
      <c r="I916" s="223">
        <v>1</v>
      </c>
      <c r="J916" s="223"/>
      <c r="K916" s="228">
        <v>17885.356100000001</v>
      </c>
      <c r="L916" s="241">
        <v>62</v>
      </c>
      <c r="M916" s="233">
        <v>6796.4353179999998</v>
      </c>
      <c r="N916" s="230">
        <v>34.630000000000003</v>
      </c>
      <c r="O916" s="231">
        <v>6796</v>
      </c>
      <c r="P916" s="314"/>
      <c r="Q916" s="276">
        <f t="shared" si="36" ref="Q916:Q973">ROUND(F916,2)</f>
        <v>516.47</v>
      </c>
      <c r="R916" s="275">
        <f>(SUMIFS('Dec 31 2018 OFFS'!$AG:$AG,'Dec 31 2018 OFFS'!$AI:$AI,'T1 2019 Pipeline Data Lagasco'!$A916,'Dec 31 2018 OFFS'!$U:$U,'T1 2019 Pipeline Data Lagasco'!$E916,'Dec 31 2018 OFFS'!$AK:$AK,'T1 2019 Pipeline Data Lagasco'!$Q916,'Dec 31 2018 OFFS'!$W:$W,'T1 2019 Pipeline Data Lagasco'!$G916))/(MAX(COUNTIFS('Dec 31 2018 OFFS'!$AI:$AI,'T1 2019 Pipeline Data Lagasco'!$A916,'Dec 31 2018 OFFS'!$U:$U,'T1 2019 Pipeline Data Lagasco'!$E916,'Dec 31 2018 OFFS'!$AK:$AK,'T1 2019 Pipeline Data Lagasco'!$Q916,'Dec 31 2018 OFFS'!$W:$W,'T1 2019 Pipeline Data Lagasco'!$G916),1))</f>
        <v>6796</v>
      </c>
      <c r="S916" s="275">
        <f t="shared" si="37" ref="S916:S973">O916-R916</f>
        <v>0</v>
      </c>
      <c r="T916" s="217"/>
    </row>
    <row r="917" spans="1:20" ht="14.1" customHeight="1">
      <c r="A917" s="224" t="s">
        <v>1504</v>
      </c>
      <c r="B917" s="218" t="s">
        <v>1505</v>
      </c>
      <c r="C917" s="223">
        <v>1</v>
      </c>
      <c r="D917" s="218" t="s">
        <v>1488</v>
      </c>
      <c r="E917" s="223">
        <v>6</v>
      </c>
      <c r="F917" s="223">
        <v>68167</v>
      </c>
      <c r="G917" s="223">
        <v>2002</v>
      </c>
      <c r="H917" s="223">
        <v>1</v>
      </c>
      <c r="I917" s="223">
        <v>0</v>
      </c>
      <c r="J917" s="223"/>
      <c r="K917" s="238">
        <v>2360623.21</v>
      </c>
      <c r="L917" s="241">
        <v>57</v>
      </c>
      <c r="M917" s="238">
        <v>1015067.98</v>
      </c>
      <c r="N917" s="230">
        <v>34.630000000000003</v>
      </c>
      <c r="O917" s="231">
        <v>0</v>
      </c>
      <c r="P917" s="314"/>
      <c r="Q917" s="276">
        <f t="shared" si="36"/>
        <v>68167</v>
      </c>
      <c r="R917" s="275">
        <f>(SUMIFS('Dec 31 2018 OFFS'!$AG:$AG,'Dec 31 2018 OFFS'!$AI:$AI,'T1 2019 Pipeline Data Lagasco'!$A917,'Dec 31 2018 OFFS'!$U:$U,'T1 2019 Pipeline Data Lagasco'!$E917,'Dec 31 2018 OFFS'!$AK:$AK,'T1 2019 Pipeline Data Lagasco'!$Q917,'Dec 31 2018 OFFS'!$W:$W,'T1 2019 Pipeline Data Lagasco'!$G917))/(MAX(COUNTIFS('Dec 31 2018 OFFS'!$AI:$AI,'T1 2019 Pipeline Data Lagasco'!$A917,'Dec 31 2018 OFFS'!$U:$U,'T1 2019 Pipeline Data Lagasco'!$E917,'Dec 31 2018 OFFS'!$AK:$AK,'T1 2019 Pipeline Data Lagasco'!$Q917,'Dec 31 2018 OFFS'!$W:$W,'T1 2019 Pipeline Data Lagasco'!$G917),1))</f>
        <v>0</v>
      </c>
      <c r="S917" s="275">
        <f t="shared" si="37"/>
        <v>0</v>
      </c>
      <c r="T917" s="217"/>
    </row>
    <row r="918" spans="1:20" ht="14.1" customHeight="1">
      <c r="A918" s="224" t="s">
        <v>1504</v>
      </c>
      <c r="B918" s="218" t="s">
        <v>1505</v>
      </c>
      <c r="C918" s="223">
        <v>1</v>
      </c>
      <c r="D918" s="218" t="s">
        <v>1488</v>
      </c>
      <c r="E918" s="223">
        <v>6</v>
      </c>
      <c r="F918" s="223">
        <v>41085</v>
      </c>
      <c r="G918" s="223">
        <v>2002</v>
      </c>
      <c r="H918" s="223">
        <v>1</v>
      </c>
      <c r="I918" s="223">
        <v>1</v>
      </c>
      <c r="J918" s="223"/>
      <c r="K918" s="238">
        <v>1422773.55</v>
      </c>
      <c r="L918" s="241">
        <v>57</v>
      </c>
      <c r="M918" s="228">
        <v>611792.62650000001</v>
      </c>
      <c r="N918" s="230">
        <v>34.630000000000003</v>
      </c>
      <c r="O918" s="231">
        <v>611792</v>
      </c>
      <c r="P918" s="314"/>
      <c r="Q918" s="276">
        <f t="shared" si="36"/>
        <v>41085</v>
      </c>
      <c r="R918" s="275">
        <f>(SUMIFS('Dec 31 2018 OFFS'!$AG:$AG,'Dec 31 2018 OFFS'!$AI:$AI,'T1 2019 Pipeline Data Lagasco'!$A918,'Dec 31 2018 OFFS'!$U:$U,'T1 2019 Pipeline Data Lagasco'!$E918,'Dec 31 2018 OFFS'!$AK:$AK,'T1 2019 Pipeline Data Lagasco'!$Q918,'Dec 31 2018 OFFS'!$W:$W,'T1 2019 Pipeline Data Lagasco'!$G918))/(MAX(COUNTIFS('Dec 31 2018 OFFS'!$AI:$AI,'T1 2019 Pipeline Data Lagasco'!$A918,'Dec 31 2018 OFFS'!$U:$U,'T1 2019 Pipeline Data Lagasco'!$E918,'Dec 31 2018 OFFS'!$AK:$AK,'T1 2019 Pipeline Data Lagasco'!$Q918,'Dec 31 2018 OFFS'!$W:$W,'T1 2019 Pipeline Data Lagasco'!$G918),1))</f>
        <v>611792</v>
      </c>
      <c r="S918" s="275">
        <f t="shared" si="37"/>
        <v>0</v>
      </c>
      <c r="T918" s="217"/>
    </row>
    <row r="919" spans="1:20" ht="14.1" customHeight="1">
      <c r="A919" s="224" t="s">
        <v>1504</v>
      </c>
      <c r="B919" s="218" t="s">
        <v>1505</v>
      </c>
      <c r="C919" s="223">
        <v>1</v>
      </c>
      <c r="D919" s="218" t="s">
        <v>1488</v>
      </c>
      <c r="E919" s="223">
        <v>6</v>
      </c>
      <c r="F919" s="223">
        <v>27211</v>
      </c>
      <c r="G919" s="223">
        <v>2002</v>
      </c>
      <c r="H919" s="223">
        <v>1</v>
      </c>
      <c r="I919" s="223">
        <v>1</v>
      </c>
      <c r="J919" s="223"/>
      <c r="K919" s="238">
        <v>942316.93</v>
      </c>
      <c r="L919" s="241">
        <v>57</v>
      </c>
      <c r="M919" s="228">
        <v>405196.27990000002</v>
      </c>
      <c r="N919" s="230">
        <v>34.630000000000003</v>
      </c>
      <c r="O919" s="231">
        <v>405196</v>
      </c>
      <c r="P919" s="314"/>
      <c r="Q919" s="276">
        <f t="shared" si="36"/>
        <v>27211</v>
      </c>
      <c r="R919" s="275">
        <f>(SUMIFS('Dec 31 2018 OFFS'!$AG:$AG,'Dec 31 2018 OFFS'!$AI:$AI,'T1 2019 Pipeline Data Lagasco'!$A919,'Dec 31 2018 OFFS'!$U:$U,'T1 2019 Pipeline Data Lagasco'!$E919,'Dec 31 2018 OFFS'!$AK:$AK,'T1 2019 Pipeline Data Lagasco'!$Q919,'Dec 31 2018 OFFS'!$W:$W,'T1 2019 Pipeline Data Lagasco'!$G919))/(MAX(COUNTIFS('Dec 31 2018 OFFS'!$AI:$AI,'T1 2019 Pipeline Data Lagasco'!$A919,'Dec 31 2018 OFFS'!$U:$U,'T1 2019 Pipeline Data Lagasco'!$E919,'Dec 31 2018 OFFS'!$AK:$AK,'T1 2019 Pipeline Data Lagasco'!$Q919,'Dec 31 2018 OFFS'!$W:$W,'T1 2019 Pipeline Data Lagasco'!$G919),1))</f>
        <v>405196</v>
      </c>
      <c r="S919" s="275">
        <f t="shared" si="37"/>
        <v>0</v>
      </c>
      <c r="T919" s="217"/>
    </row>
    <row r="920" spans="1:20" ht="14.1" customHeight="1">
      <c r="A920" s="224" t="s">
        <v>1504</v>
      </c>
      <c r="B920" s="218" t="s">
        <v>1505</v>
      </c>
      <c r="C920" s="223">
        <v>1</v>
      </c>
      <c r="D920" s="218" t="s">
        <v>1488</v>
      </c>
      <c r="E920" s="223">
        <v>6</v>
      </c>
      <c r="F920" s="223">
        <v>6270</v>
      </c>
      <c r="G920" s="223">
        <v>2010</v>
      </c>
      <c r="H920" s="223">
        <v>1</v>
      </c>
      <c r="I920" s="223">
        <v>0</v>
      </c>
      <c r="J920" s="223"/>
      <c r="K920" s="237">
        <v>217130.10</v>
      </c>
      <c r="L920" s="241">
        <v>39</v>
      </c>
      <c r="M920" s="239">
        <v>132449.361</v>
      </c>
      <c r="N920" s="230">
        <v>34.630000000000003</v>
      </c>
      <c r="O920" s="231">
        <v>0</v>
      </c>
      <c r="P920" s="314"/>
      <c r="Q920" s="279">
        <f t="shared" si="36"/>
        <v>6270</v>
      </c>
      <c r="R920" s="322">
        <f>(SUMIFS('Dec 31 2018 OFFS'!$AG:$AG,'Dec 31 2018 OFFS'!$AI:$AI,'T1 2019 Pipeline Data Lagasco'!$A920,'Dec 31 2018 OFFS'!$U:$U,'T1 2019 Pipeline Data Lagasco'!$E920,'Dec 31 2018 OFFS'!$AK:$AK,'T1 2019 Pipeline Data Lagasco'!$Q920,'Dec 31 2018 OFFS'!$W:$W,'T1 2019 Pipeline Data Lagasco'!$G920))/(MAX(COUNTIFS('Dec 31 2018 OFFS'!$AI:$AI,'T1 2019 Pipeline Data Lagasco'!$A920,'Dec 31 2018 OFFS'!$U:$U,'T1 2019 Pipeline Data Lagasco'!$E920,'Dec 31 2018 OFFS'!$AK:$AK,'T1 2019 Pipeline Data Lagasco'!$Q920,'Dec 31 2018 OFFS'!$W:$W,'T1 2019 Pipeline Data Lagasco'!$G920),1))*0</f>
        <v>0</v>
      </c>
      <c r="S920" s="275">
        <f t="shared" si="37"/>
        <v>0</v>
      </c>
      <c r="T920" s="278" t="e">
        <f>R920/O920</f>
        <v>#DIV/0!</v>
      </c>
    </row>
    <row r="921" spans="1:20" ht="14.1" customHeight="1">
      <c r="A921" s="224" t="s">
        <v>1504</v>
      </c>
      <c r="B921" s="218" t="s">
        <v>1505</v>
      </c>
      <c r="C921" s="223">
        <v>1</v>
      </c>
      <c r="D921" s="218" t="s">
        <v>1488</v>
      </c>
      <c r="E921" s="223">
        <v>6</v>
      </c>
      <c r="F921" s="223">
        <v>14084</v>
      </c>
      <c r="G921" s="223">
        <v>2001</v>
      </c>
      <c r="H921" s="223">
        <v>1</v>
      </c>
      <c r="I921" s="223">
        <v>1</v>
      </c>
      <c r="J921" s="223"/>
      <c r="K921" s="238">
        <v>487728.92</v>
      </c>
      <c r="L921" s="241">
        <v>59</v>
      </c>
      <c r="M921" s="228">
        <v>199968.8572</v>
      </c>
      <c r="N921" s="230">
        <v>34.630000000000003</v>
      </c>
      <c r="O921" s="231">
        <v>199968</v>
      </c>
      <c r="P921" s="314"/>
      <c r="Q921" s="276">
        <f t="shared" si="36"/>
        <v>14084</v>
      </c>
      <c r="R921" s="275">
        <f>(SUMIFS('Dec 31 2018 OFFS'!$AG:$AG,'Dec 31 2018 OFFS'!$AI:$AI,'T1 2019 Pipeline Data Lagasco'!$A921,'Dec 31 2018 OFFS'!$U:$U,'T1 2019 Pipeline Data Lagasco'!$E921,'Dec 31 2018 OFFS'!$AK:$AK,'T1 2019 Pipeline Data Lagasco'!$Q921,'Dec 31 2018 OFFS'!$W:$W,'T1 2019 Pipeline Data Lagasco'!$G921))/(MAX(COUNTIFS('Dec 31 2018 OFFS'!$AI:$AI,'T1 2019 Pipeline Data Lagasco'!$A921,'Dec 31 2018 OFFS'!$U:$U,'T1 2019 Pipeline Data Lagasco'!$E921,'Dec 31 2018 OFFS'!$AK:$AK,'T1 2019 Pipeline Data Lagasco'!$Q921,'Dec 31 2018 OFFS'!$W:$W,'T1 2019 Pipeline Data Lagasco'!$G921),1))</f>
        <v>199968</v>
      </c>
      <c r="S921" s="275">
        <f t="shared" si="37"/>
        <v>0</v>
      </c>
      <c r="T921" s="217"/>
    </row>
    <row r="922" spans="1:20" ht="14.1" customHeight="1">
      <c r="A922" s="224" t="s">
        <v>1504</v>
      </c>
      <c r="B922" s="218" t="s">
        <v>1505</v>
      </c>
      <c r="C922" s="223">
        <v>1</v>
      </c>
      <c r="D922" s="218" t="s">
        <v>1488</v>
      </c>
      <c r="E922" s="223">
        <v>6</v>
      </c>
      <c r="F922" s="223">
        <v>11504</v>
      </c>
      <c r="G922" s="223">
        <v>1975</v>
      </c>
      <c r="H922" s="230">
        <v>0.75</v>
      </c>
      <c r="I922" s="223">
        <v>1</v>
      </c>
      <c r="J922" s="223"/>
      <c r="K922" s="238">
        <v>398383.52</v>
      </c>
      <c r="L922" s="241">
        <v>80</v>
      </c>
      <c r="M922" s="239">
        <v>79676.703999999998</v>
      </c>
      <c r="N922" s="230">
        <v>34.630000000000003</v>
      </c>
      <c r="O922" s="231">
        <v>59757</v>
      </c>
      <c r="P922" s="314"/>
      <c r="Q922" s="276">
        <f t="shared" si="36"/>
        <v>11504</v>
      </c>
      <c r="R922" s="275">
        <f>(SUMIFS('Dec 31 2018 OFFS'!$AG:$AG,'Dec 31 2018 OFFS'!$AI:$AI,'T1 2019 Pipeline Data Lagasco'!$A922,'Dec 31 2018 OFFS'!$U:$U,'T1 2019 Pipeline Data Lagasco'!$E922,'Dec 31 2018 OFFS'!$AK:$AK,'T1 2019 Pipeline Data Lagasco'!$Q922,'Dec 31 2018 OFFS'!$W:$W,'T1 2019 Pipeline Data Lagasco'!$G922))/(MAX(COUNTIFS('Dec 31 2018 OFFS'!$AI:$AI,'T1 2019 Pipeline Data Lagasco'!$A922,'Dec 31 2018 OFFS'!$U:$U,'T1 2019 Pipeline Data Lagasco'!$E922,'Dec 31 2018 OFFS'!$AK:$AK,'T1 2019 Pipeline Data Lagasco'!$Q922,'Dec 31 2018 OFFS'!$W:$W,'T1 2019 Pipeline Data Lagasco'!$G922),1))</f>
        <v>59757</v>
      </c>
      <c r="S922" s="275">
        <f t="shared" si="37"/>
        <v>0</v>
      </c>
      <c r="T922" s="217"/>
    </row>
    <row r="923" spans="1:20" ht="14.1" customHeight="1">
      <c r="A923" s="224" t="s">
        <v>1504</v>
      </c>
      <c r="B923" s="218" t="s">
        <v>1505</v>
      </c>
      <c r="C923" s="223">
        <v>1</v>
      </c>
      <c r="D923" s="218" t="s">
        <v>1488</v>
      </c>
      <c r="E923" s="223">
        <v>6</v>
      </c>
      <c r="F923" s="223">
        <v>21600</v>
      </c>
      <c r="G923" s="223">
        <v>1975</v>
      </c>
      <c r="H923" s="223">
        <v>1</v>
      </c>
      <c r="I923" s="223">
        <v>0</v>
      </c>
      <c r="J923" s="223"/>
      <c r="K923" s="240">
        <v>748008</v>
      </c>
      <c r="L923" s="241">
        <v>80</v>
      </c>
      <c r="M923" s="237">
        <v>149601.60000000001</v>
      </c>
      <c r="N923" s="230">
        <v>34.630000000000003</v>
      </c>
      <c r="O923" s="231">
        <v>0</v>
      </c>
      <c r="P923" s="314"/>
      <c r="Q923" s="276">
        <f t="shared" si="36"/>
        <v>21600</v>
      </c>
      <c r="R923" s="275">
        <f>(SUMIFS('Dec 31 2018 OFFS'!$AG:$AG,'Dec 31 2018 OFFS'!$AI:$AI,'T1 2019 Pipeline Data Lagasco'!$A923,'Dec 31 2018 OFFS'!$U:$U,'T1 2019 Pipeline Data Lagasco'!$E923,'Dec 31 2018 OFFS'!$AK:$AK,'T1 2019 Pipeline Data Lagasco'!$Q923,'Dec 31 2018 OFFS'!$W:$W,'T1 2019 Pipeline Data Lagasco'!$G923))/(MAX(COUNTIFS('Dec 31 2018 OFFS'!$AI:$AI,'T1 2019 Pipeline Data Lagasco'!$A923,'Dec 31 2018 OFFS'!$U:$U,'T1 2019 Pipeline Data Lagasco'!$E923,'Dec 31 2018 OFFS'!$AK:$AK,'T1 2019 Pipeline Data Lagasco'!$Q923,'Dec 31 2018 OFFS'!$W:$W,'T1 2019 Pipeline Data Lagasco'!$G923),1))</f>
        <v>0</v>
      </c>
      <c r="S923" s="275">
        <f t="shared" si="37"/>
        <v>0</v>
      </c>
      <c r="T923" s="217"/>
    </row>
    <row r="924" spans="1:20" ht="14.1" customHeight="1">
      <c r="A924" s="224" t="s">
        <v>1504</v>
      </c>
      <c r="B924" s="218" t="s">
        <v>1505</v>
      </c>
      <c r="C924" s="223">
        <v>1</v>
      </c>
      <c r="D924" s="218" t="s">
        <v>1488</v>
      </c>
      <c r="E924" s="223">
        <v>6</v>
      </c>
      <c r="F924" s="223">
        <v>6270</v>
      </c>
      <c r="G924" s="223">
        <v>2010</v>
      </c>
      <c r="H924" s="223">
        <v>1</v>
      </c>
      <c r="I924" s="223">
        <v>1</v>
      </c>
      <c r="J924" s="223"/>
      <c r="K924" s="237">
        <v>217130.10</v>
      </c>
      <c r="L924" s="241">
        <v>39</v>
      </c>
      <c r="M924" s="239">
        <v>132449.361</v>
      </c>
      <c r="N924" s="230">
        <v>34.630000000000003</v>
      </c>
      <c r="O924" s="231">
        <v>132449</v>
      </c>
      <c r="P924" s="314"/>
      <c r="Q924" s="279">
        <f t="shared" si="36"/>
        <v>6270</v>
      </c>
      <c r="R924" s="322">
        <f>(SUMIFS('Dec 31 2018 OFFS'!$AG:$AG,'Dec 31 2018 OFFS'!$AI:$AI,'T1 2019 Pipeline Data Lagasco'!$A924,'Dec 31 2018 OFFS'!$U:$U,'T1 2019 Pipeline Data Lagasco'!$E924,'Dec 31 2018 OFFS'!$AK:$AK,'T1 2019 Pipeline Data Lagasco'!$Q924,'Dec 31 2018 OFFS'!$W:$W,'T1 2019 Pipeline Data Lagasco'!$G924))/(MAX(COUNTIFS('Dec 31 2018 OFFS'!$AI:$AI,'T1 2019 Pipeline Data Lagasco'!$A924,'Dec 31 2018 OFFS'!$U:$U,'T1 2019 Pipeline Data Lagasco'!$E924,'Dec 31 2018 OFFS'!$AK:$AK,'T1 2019 Pipeline Data Lagasco'!$Q924,'Dec 31 2018 OFFS'!$W:$W,'T1 2019 Pipeline Data Lagasco'!$G924),1))*2</f>
        <v>132449</v>
      </c>
      <c r="S924" s="275">
        <f t="shared" si="37"/>
        <v>0</v>
      </c>
      <c r="T924" s="217"/>
    </row>
    <row r="925" spans="1:20" ht="14.1" customHeight="1">
      <c r="A925" s="224" t="s">
        <v>1504</v>
      </c>
      <c r="B925" s="218" t="s">
        <v>1505</v>
      </c>
      <c r="C925" s="223">
        <v>1</v>
      </c>
      <c r="D925" s="218" t="s">
        <v>1488</v>
      </c>
      <c r="E925" s="223">
        <v>6</v>
      </c>
      <c r="F925" s="223">
        <v>9600</v>
      </c>
      <c r="G925" s="223">
        <v>2001</v>
      </c>
      <c r="H925" s="223">
        <v>1</v>
      </c>
      <c r="I925" s="223">
        <v>1</v>
      </c>
      <c r="J925" s="223"/>
      <c r="K925" s="240">
        <v>332448</v>
      </c>
      <c r="L925" s="241">
        <v>59</v>
      </c>
      <c r="M925" s="238">
        <v>136303.67999999999</v>
      </c>
      <c r="N925" s="230">
        <v>34.630000000000003</v>
      </c>
      <c r="O925" s="231">
        <v>136303</v>
      </c>
      <c r="P925" s="314"/>
      <c r="Q925" s="279">
        <f t="shared" si="36"/>
        <v>9600</v>
      </c>
      <c r="R925" s="275">
        <f>(SUMIFS('Dec 31 2018 OFFS'!$AG:$AG,'Dec 31 2018 OFFS'!$AI:$AI,'T1 2019 Pipeline Data Lagasco'!$A925,'Dec 31 2018 OFFS'!$U:$U,'T1 2019 Pipeline Data Lagasco'!$E925,'Dec 31 2018 OFFS'!$AK:$AK,'T1 2019 Pipeline Data Lagasco'!$Q925,'Dec 31 2018 OFFS'!$W:$W,'T1 2019 Pipeline Data Lagasco'!$G925))/(MAX(COUNTIFS('Dec 31 2018 OFFS'!$AI:$AI,'T1 2019 Pipeline Data Lagasco'!$A925,'Dec 31 2018 OFFS'!$U:$U,'T1 2019 Pipeline Data Lagasco'!$E925,'Dec 31 2018 OFFS'!$AK:$AK,'T1 2019 Pipeline Data Lagasco'!$Q925,'Dec 31 2018 OFFS'!$W:$W,'T1 2019 Pipeline Data Lagasco'!$G925),1))</f>
        <v>136303</v>
      </c>
      <c r="S925" s="275">
        <f t="shared" si="37"/>
        <v>0</v>
      </c>
      <c r="T925" s="217"/>
    </row>
    <row r="926" spans="1:20" ht="14.1" customHeight="1">
      <c r="A926" s="224" t="s">
        <v>1504</v>
      </c>
      <c r="B926" s="218" t="s">
        <v>1505</v>
      </c>
      <c r="C926" s="223">
        <v>1</v>
      </c>
      <c r="D926" s="218" t="s">
        <v>1488</v>
      </c>
      <c r="E926" s="223">
        <v>6</v>
      </c>
      <c r="F926" s="223">
        <v>17253</v>
      </c>
      <c r="G926" s="223">
        <v>2010</v>
      </c>
      <c r="H926" s="223">
        <v>1</v>
      </c>
      <c r="I926" s="223">
        <v>1</v>
      </c>
      <c r="J926" s="223"/>
      <c r="K926" s="238">
        <v>597471.39</v>
      </c>
      <c r="L926" s="241">
        <v>39</v>
      </c>
      <c r="M926" s="228">
        <v>364457.54790000001</v>
      </c>
      <c r="N926" s="230">
        <v>34.630000000000003</v>
      </c>
      <c r="O926" s="231">
        <v>364457</v>
      </c>
      <c r="P926" s="314"/>
      <c r="Q926" s="276">
        <f t="shared" si="36"/>
        <v>17253</v>
      </c>
      <c r="R926" s="275">
        <f>(SUMIFS('Dec 31 2018 OFFS'!$AG:$AG,'Dec 31 2018 OFFS'!$AI:$AI,'T1 2019 Pipeline Data Lagasco'!$A926,'Dec 31 2018 OFFS'!$U:$U,'T1 2019 Pipeline Data Lagasco'!$E926,'Dec 31 2018 OFFS'!$AK:$AK,'T1 2019 Pipeline Data Lagasco'!$Q926,'Dec 31 2018 OFFS'!$W:$W,'T1 2019 Pipeline Data Lagasco'!$G926))/(MAX(COUNTIFS('Dec 31 2018 OFFS'!$AI:$AI,'T1 2019 Pipeline Data Lagasco'!$A926,'Dec 31 2018 OFFS'!$U:$U,'T1 2019 Pipeline Data Lagasco'!$E926,'Dec 31 2018 OFFS'!$AK:$AK,'T1 2019 Pipeline Data Lagasco'!$Q926,'Dec 31 2018 OFFS'!$W:$W,'T1 2019 Pipeline Data Lagasco'!$G926),1))</f>
        <v>364457</v>
      </c>
      <c r="S926" s="275">
        <f t="shared" si="37"/>
        <v>0</v>
      </c>
      <c r="T926" s="217"/>
    </row>
    <row r="927" spans="1:20" ht="14.1" customHeight="1">
      <c r="A927" s="224" t="s">
        <v>1504</v>
      </c>
      <c r="B927" s="218" t="s">
        <v>1505</v>
      </c>
      <c r="C927" s="223">
        <v>1</v>
      </c>
      <c r="D927" s="218" t="s">
        <v>1488</v>
      </c>
      <c r="E927" s="223">
        <v>6</v>
      </c>
      <c r="F927" s="223">
        <v>5805</v>
      </c>
      <c r="G927" s="223">
        <v>2002</v>
      </c>
      <c r="H927" s="223">
        <v>1</v>
      </c>
      <c r="I927" s="223">
        <v>1</v>
      </c>
      <c r="J927" s="223"/>
      <c r="K927" s="238">
        <v>201027.15</v>
      </c>
      <c r="L927" s="241">
        <v>57</v>
      </c>
      <c r="M927" s="228">
        <v>86441.674499999994</v>
      </c>
      <c r="N927" s="230">
        <v>34.630000000000003</v>
      </c>
      <c r="O927" s="231">
        <v>86441</v>
      </c>
      <c r="P927" s="314"/>
      <c r="Q927" s="276">
        <f t="shared" si="36"/>
        <v>5805</v>
      </c>
      <c r="R927" s="275">
        <f>(SUMIFS('Dec 31 2018 OFFS'!$AG:$AG,'Dec 31 2018 OFFS'!$AI:$AI,'T1 2019 Pipeline Data Lagasco'!$A927,'Dec 31 2018 OFFS'!$U:$U,'T1 2019 Pipeline Data Lagasco'!$E927,'Dec 31 2018 OFFS'!$AK:$AK,'T1 2019 Pipeline Data Lagasco'!$Q927,'Dec 31 2018 OFFS'!$W:$W,'T1 2019 Pipeline Data Lagasco'!$G927))/(MAX(COUNTIFS('Dec 31 2018 OFFS'!$AI:$AI,'T1 2019 Pipeline Data Lagasco'!$A927,'Dec 31 2018 OFFS'!$U:$U,'T1 2019 Pipeline Data Lagasco'!$E927,'Dec 31 2018 OFFS'!$AK:$AK,'T1 2019 Pipeline Data Lagasco'!$Q927,'Dec 31 2018 OFFS'!$W:$W,'T1 2019 Pipeline Data Lagasco'!$G927),1))</f>
        <v>86441</v>
      </c>
      <c r="S927" s="275">
        <f t="shared" si="37"/>
        <v>0</v>
      </c>
      <c r="T927" s="217"/>
    </row>
    <row r="928" spans="1:20" ht="14.1" customHeight="1">
      <c r="A928" s="224" t="s">
        <v>1504</v>
      </c>
      <c r="B928" s="218" t="s">
        <v>1505</v>
      </c>
      <c r="C928" s="223">
        <v>1</v>
      </c>
      <c r="D928" s="218" t="s">
        <v>1488</v>
      </c>
      <c r="E928" s="223">
        <v>6</v>
      </c>
      <c r="F928" s="223">
        <v>6105</v>
      </c>
      <c r="G928" s="223">
        <v>2001</v>
      </c>
      <c r="H928" s="223">
        <v>1</v>
      </c>
      <c r="I928" s="223">
        <v>1</v>
      </c>
      <c r="J928" s="223"/>
      <c r="K928" s="238">
        <v>211416.15</v>
      </c>
      <c r="L928" s="241">
        <v>59</v>
      </c>
      <c r="M928" s="228">
        <v>86680.621499999994</v>
      </c>
      <c r="N928" s="230">
        <v>34.630000000000003</v>
      </c>
      <c r="O928" s="231">
        <v>86680</v>
      </c>
      <c r="P928" s="314"/>
      <c r="Q928" s="276">
        <f t="shared" si="36"/>
        <v>6105</v>
      </c>
      <c r="R928" s="275">
        <f>(SUMIFS('Dec 31 2018 OFFS'!$AG:$AG,'Dec 31 2018 OFFS'!$AI:$AI,'T1 2019 Pipeline Data Lagasco'!$A928,'Dec 31 2018 OFFS'!$U:$U,'T1 2019 Pipeline Data Lagasco'!$E928,'Dec 31 2018 OFFS'!$AK:$AK,'T1 2019 Pipeline Data Lagasco'!$Q928,'Dec 31 2018 OFFS'!$W:$W,'T1 2019 Pipeline Data Lagasco'!$G928))/(MAX(COUNTIFS('Dec 31 2018 OFFS'!$AI:$AI,'T1 2019 Pipeline Data Lagasco'!$A928,'Dec 31 2018 OFFS'!$U:$U,'T1 2019 Pipeline Data Lagasco'!$E928,'Dec 31 2018 OFFS'!$AK:$AK,'T1 2019 Pipeline Data Lagasco'!$Q928,'Dec 31 2018 OFFS'!$W:$W,'T1 2019 Pipeline Data Lagasco'!$G928),1))</f>
        <v>86680</v>
      </c>
      <c r="S928" s="275">
        <f t="shared" si="37"/>
        <v>0</v>
      </c>
      <c r="T928" s="217"/>
    </row>
    <row r="929" spans="1:20" ht="14.1" customHeight="1">
      <c r="A929" s="224" t="s">
        <v>1504</v>
      </c>
      <c r="B929" s="218" t="s">
        <v>1505</v>
      </c>
      <c r="C929" s="223">
        <v>1</v>
      </c>
      <c r="D929" s="218" t="s">
        <v>1488</v>
      </c>
      <c r="E929" s="223">
        <v>6</v>
      </c>
      <c r="F929" s="223">
        <v>11745</v>
      </c>
      <c r="G929" s="223">
        <v>2002</v>
      </c>
      <c r="H929" s="223">
        <v>1</v>
      </c>
      <c r="I929" s="223">
        <v>0</v>
      </c>
      <c r="J929" s="223"/>
      <c r="K929" s="238">
        <v>406729.35</v>
      </c>
      <c r="L929" s="241">
        <v>57</v>
      </c>
      <c r="M929" s="228">
        <v>174893.62049999999</v>
      </c>
      <c r="N929" s="230">
        <v>34.630000000000003</v>
      </c>
      <c r="O929" s="231">
        <v>0</v>
      </c>
      <c r="P929" s="314"/>
      <c r="Q929" s="276">
        <f t="shared" si="36"/>
        <v>11745</v>
      </c>
      <c r="R929" s="275">
        <f>(SUMIFS('Dec 31 2018 OFFS'!$AG:$AG,'Dec 31 2018 OFFS'!$AI:$AI,'T1 2019 Pipeline Data Lagasco'!$A929,'Dec 31 2018 OFFS'!$U:$U,'T1 2019 Pipeline Data Lagasco'!$E929,'Dec 31 2018 OFFS'!$AK:$AK,'T1 2019 Pipeline Data Lagasco'!$Q929,'Dec 31 2018 OFFS'!$W:$W,'T1 2019 Pipeline Data Lagasco'!$G929))/(MAX(COUNTIFS('Dec 31 2018 OFFS'!$AI:$AI,'T1 2019 Pipeline Data Lagasco'!$A929,'Dec 31 2018 OFFS'!$U:$U,'T1 2019 Pipeline Data Lagasco'!$E929,'Dec 31 2018 OFFS'!$AK:$AK,'T1 2019 Pipeline Data Lagasco'!$Q929,'Dec 31 2018 OFFS'!$W:$W,'T1 2019 Pipeline Data Lagasco'!$G929),1))</f>
        <v>0</v>
      </c>
      <c r="S929" s="275">
        <f t="shared" si="37"/>
        <v>0</v>
      </c>
      <c r="T929" s="217"/>
    </row>
    <row r="930" spans="1:20" ht="14.1" customHeight="1">
      <c r="A930" s="224" t="s">
        <v>1504</v>
      </c>
      <c r="B930" s="218" t="s">
        <v>1505</v>
      </c>
      <c r="C930" s="223">
        <v>1</v>
      </c>
      <c r="D930" s="218" t="s">
        <v>1488</v>
      </c>
      <c r="E930" s="223">
        <v>6</v>
      </c>
      <c r="F930" s="223">
        <v>17550</v>
      </c>
      <c r="G930" s="223">
        <v>2002</v>
      </c>
      <c r="H930" s="223">
        <v>1</v>
      </c>
      <c r="I930" s="223">
        <v>0</v>
      </c>
      <c r="J930" s="223"/>
      <c r="K930" s="237">
        <v>607756.50</v>
      </c>
      <c r="L930" s="241">
        <v>57</v>
      </c>
      <c r="M930" s="239">
        <v>261335.29500000001</v>
      </c>
      <c r="N930" s="230">
        <v>34.630000000000003</v>
      </c>
      <c r="O930" s="231">
        <v>0</v>
      </c>
      <c r="P930" s="314"/>
      <c r="Q930" s="276">
        <f t="shared" si="36"/>
        <v>17550</v>
      </c>
      <c r="R930" s="275">
        <f>(SUMIFS('Dec 31 2018 OFFS'!$AG:$AG,'Dec 31 2018 OFFS'!$AI:$AI,'T1 2019 Pipeline Data Lagasco'!$A930,'Dec 31 2018 OFFS'!$U:$U,'T1 2019 Pipeline Data Lagasco'!$E930,'Dec 31 2018 OFFS'!$AK:$AK,'T1 2019 Pipeline Data Lagasco'!$Q930,'Dec 31 2018 OFFS'!$W:$W,'T1 2019 Pipeline Data Lagasco'!$G930))/(MAX(COUNTIFS('Dec 31 2018 OFFS'!$AI:$AI,'T1 2019 Pipeline Data Lagasco'!$A930,'Dec 31 2018 OFFS'!$U:$U,'T1 2019 Pipeline Data Lagasco'!$E930,'Dec 31 2018 OFFS'!$AK:$AK,'T1 2019 Pipeline Data Lagasco'!$Q930,'Dec 31 2018 OFFS'!$W:$W,'T1 2019 Pipeline Data Lagasco'!$G930),1))</f>
        <v>0</v>
      </c>
      <c r="S930" s="275">
        <f t="shared" si="37"/>
        <v>0</v>
      </c>
      <c r="T930" s="217"/>
    </row>
    <row r="931" spans="1:20" ht="14.1" customHeight="1">
      <c r="A931" s="224" t="s">
        <v>1504</v>
      </c>
      <c r="B931" s="218" t="s">
        <v>1505</v>
      </c>
      <c r="C931" s="223">
        <v>1</v>
      </c>
      <c r="D931" s="218" t="s">
        <v>1488</v>
      </c>
      <c r="E931" s="223">
        <v>8</v>
      </c>
      <c r="F931" s="235">
        <v>29842.8141</v>
      </c>
      <c r="G931" s="223">
        <v>1964</v>
      </c>
      <c r="H931" s="223">
        <v>1</v>
      </c>
      <c r="I931" s="223">
        <v>1</v>
      </c>
      <c r="J931" s="223"/>
      <c r="K931" s="239">
        <v>1471250.7350000001</v>
      </c>
      <c r="L931" s="241">
        <v>80</v>
      </c>
      <c r="M931" s="239">
        <v>294250.147</v>
      </c>
      <c r="N931" s="242">
        <v>49.30</v>
      </c>
      <c r="O931" s="231">
        <v>294250</v>
      </c>
      <c r="P931" s="314"/>
      <c r="Q931" s="276">
        <f t="shared" si="36"/>
        <v>29842.81</v>
      </c>
      <c r="R931" s="275">
        <f>(SUMIFS('Dec 31 2018 OFFS'!$AG:$AG,'Dec 31 2018 OFFS'!$AI:$AI,'T1 2019 Pipeline Data Lagasco'!$A931,'Dec 31 2018 OFFS'!$U:$U,'T1 2019 Pipeline Data Lagasco'!$E931,'Dec 31 2018 OFFS'!$AK:$AK,'T1 2019 Pipeline Data Lagasco'!$Q931,'Dec 31 2018 OFFS'!$W:$W,'T1 2019 Pipeline Data Lagasco'!$G931))/(MAX(COUNTIFS('Dec 31 2018 OFFS'!$AI:$AI,'T1 2019 Pipeline Data Lagasco'!$A931,'Dec 31 2018 OFFS'!$U:$U,'T1 2019 Pipeline Data Lagasco'!$E931,'Dec 31 2018 OFFS'!$AK:$AK,'T1 2019 Pipeline Data Lagasco'!$Q931,'Dec 31 2018 OFFS'!$W:$W,'T1 2019 Pipeline Data Lagasco'!$G931),1))</f>
        <v>294250</v>
      </c>
      <c r="S931" s="275">
        <f t="shared" si="37"/>
        <v>0</v>
      </c>
      <c r="T931" s="217"/>
    </row>
    <row r="932" spans="1:20" ht="14.1" customHeight="1">
      <c r="A932" s="224" t="s">
        <v>1504</v>
      </c>
      <c r="B932" s="218" t="s">
        <v>1505</v>
      </c>
      <c r="C932" s="223">
        <v>1</v>
      </c>
      <c r="D932" s="218" t="s">
        <v>1488</v>
      </c>
      <c r="E932" s="223">
        <v>8</v>
      </c>
      <c r="F932" s="223">
        <v>17500</v>
      </c>
      <c r="G932" s="223">
        <v>2002</v>
      </c>
      <c r="H932" s="223">
        <v>1</v>
      </c>
      <c r="I932" s="223">
        <v>1</v>
      </c>
      <c r="J932" s="223"/>
      <c r="K932" s="240">
        <v>862750</v>
      </c>
      <c r="L932" s="241">
        <v>57</v>
      </c>
      <c r="M932" s="237">
        <v>370982.50</v>
      </c>
      <c r="N932" s="242">
        <v>49.30</v>
      </c>
      <c r="O932" s="231">
        <v>370982</v>
      </c>
      <c r="P932" s="314"/>
      <c r="Q932" s="276">
        <f t="shared" si="36"/>
        <v>17500</v>
      </c>
      <c r="R932" s="275">
        <f>(SUMIFS('Dec 31 2018 OFFS'!$AG:$AG,'Dec 31 2018 OFFS'!$AI:$AI,'T1 2019 Pipeline Data Lagasco'!$A932,'Dec 31 2018 OFFS'!$U:$U,'T1 2019 Pipeline Data Lagasco'!$E932,'Dec 31 2018 OFFS'!$AK:$AK,'T1 2019 Pipeline Data Lagasco'!$Q932,'Dec 31 2018 OFFS'!$W:$W,'T1 2019 Pipeline Data Lagasco'!$G932))/(MAX(COUNTIFS('Dec 31 2018 OFFS'!$AI:$AI,'T1 2019 Pipeline Data Lagasco'!$A932,'Dec 31 2018 OFFS'!$U:$U,'T1 2019 Pipeline Data Lagasco'!$E932,'Dec 31 2018 OFFS'!$AK:$AK,'T1 2019 Pipeline Data Lagasco'!$Q932,'Dec 31 2018 OFFS'!$W:$W,'T1 2019 Pipeline Data Lagasco'!$G932),1))</f>
        <v>370982</v>
      </c>
      <c r="S932" s="275">
        <f t="shared" si="37"/>
        <v>0</v>
      </c>
      <c r="T932" s="217"/>
    </row>
    <row r="933" spans="1:20" ht="14.1" customHeight="1">
      <c r="A933" s="224" t="s">
        <v>1504</v>
      </c>
      <c r="B933" s="218" t="s">
        <v>1505</v>
      </c>
      <c r="C933" s="223">
        <v>1</v>
      </c>
      <c r="D933" s="218" t="s">
        <v>1488</v>
      </c>
      <c r="E933" s="223">
        <v>10</v>
      </c>
      <c r="F933" s="223">
        <v>44553</v>
      </c>
      <c r="G933" s="223">
        <v>2002</v>
      </c>
      <c r="H933" s="223">
        <v>1</v>
      </c>
      <c r="I933" s="223">
        <v>1</v>
      </c>
      <c r="J933" s="223"/>
      <c r="K933" s="237">
        <v>2196462.90</v>
      </c>
      <c r="L933" s="241">
        <v>57</v>
      </c>
      <c r="M933" s="239">
        <v>944479.04700000002</v>
      </c>
      <c r="N933" s="242">
        <v>49.30</v>
      </c>
      <c r="O933" s="231">
        <v>944479</v>
      </c>
      <c r="P933" s="314"/>
      <c r="Q933" s="276">
        <f t="shared" si="36"/>
        <v>44553</v>
      </c>
      <c r="R933" s="275">
        <f>(SUMIFS('Dec 31 2018 OFFS'!$AG:$AG,'Dec 31 2018 OFFS'!$AI:$AI,'T1 2019 Pipeline Data Lagasco'!$A933,'Dec 31 2018 OFFS'!$U:$U,'T1 2019 Pipeline Data Lagasco'!$E933,'Dec 31 2018 OFFS'!$AK:$AK,'T1 2019 Pipeline Data Lagasco'!$Q933,'Dec 31 2018 OFFS'!$W:$W,'T1 2019 Pipeline Data Lagasco'!$G933))/(MAX(COUNTIFS('Dec 31 2018 OFFS'!$AI:$AI,'T1 2019 Pipeline Data Lagasco'!$A933,'Dec 31 2018 OFFS'!$U:$U,'T1 2019 Pipeline Data Lagasco'!$E933,'Dec 31 2018 OFFS'!$AK:$AK,'T1 2019 Pipeline Data Lagasco'!$Q933,'Dec 31 2018 OFFS'!$W:$W,'T1 2019 Pipeline Data Lagasco'!$G933),1))</f>
        <v>944479</v>
      </c>
      <c r="S933" s="275">
        <f t="shared" si="37"/>
        <v>0</v>
      </c>
      <c r="T933" s="217"/>
    </row>
    <row r="934" spans="1:20" ht="14.1" customHeight="1">
      <c r="A934" s="224" t="s">
        <v>1506</v>
      </c>
      <c r="B934" s="218" t="s">
        <v>1507</v>
      </c>
      <c r="C934" s="223">
        <v>1</v>
      </c>
      <c r="D934" s="218" t="s">
        <v>1488</v>
      </c>
      <c r="E934" s="223">
        <v>3</v>
      </c>
      <c r="F934" s="223">
        <v>176</v>
      </c>
      <c r="G934" s="223">
        <v>2001</v>
      </c>
      <c r="H934" s="223">
        <v>1</v>
      </c>
      <c r="I934" s="246">
        <v>0</v>
      </c>
      <c r="J934" s="223"/>
      <c r="K934" s="238">
        <v>4151.84</v>
      </c>
      <c r="L934" s="241">
        <v>59</v>
      </c>
      <c r="M934" s="228">
        <v>1702.2544</v>
      </c>
      <c r="N934" s="230">
        <v>23.59</v>
      </c>
      <c r="O934" s="248">
        <v>0</v>
      </c>
      <c r="P934" s="314"/>
      <c r="Q934" s="276">
        <f t="shared" si="36"/>
        <v>176</v>
      </c>
      <c r="R934" s="275">
        <f>(SUMIFS('Dec 31 2018 OFFS'!$AG:$AG,'Dec 31 2018 OFFS'!$AI:$AI,'T1 2019 Pipeline Data Lagasco'!$A934,'Dec 31 2018 OFFS'!$U:$U,'T1 2019 Pipeline Data Lagasco'!$E934,'Dec 31 2018 OFFS'!$AK:$AK,'T1 2019 Pipeline Data Lagasco'!$Q934,'Dec 31 2018 OFFS'!$W:$W,'T1 2019 Pipeline Data Lagasco'!$G934))/(MAX(COUNTIFS('Dec 31 2018 OFFS'!$AI:$AI,'T1 2019 Pipeline Data Lagasco'!$A934,'Dec 31 2018 OFFS'!$U:$U,'T1 2019 Pipeline Data Lagasco'!$E934,'Dec 31 2018 OFFS'!$AK:$AK,'T1 2019 Pipeline Data Lagasco'!$Q934,'Dec 31 2018 OFFS'!$W:$W,'T1 2019 Pipeline Data Lagasco'!$G934),1))</f>
        <v>0</v>
      </c>
      <c r="S934" s="275">
        <f t="shared" si="37"/>
        <v>0</v>
      </c>
      <c r="T934" s="278" t="e">
        <f>R934/O934</f>
        <v>#DIV/0!</v>
      </c>
    </row>
    <row r="935" spans="1:20" ht="14.1" customHeight="1">
      <c r="A935" s="224" t="s">
        <v>1506</v>
      </c>
      <c r="B935" s="218" t="s">
        <v>1507</v>
      </c>
      <c r="C935" s="223">
        <v>1</v>
      </c>
      <c r="D935" s="218" t="s">
        <v>1488</v>
      </c>
      <c r="E935" s="223">
        <v>3</v>
      </c>
      <c r="F935" s="230">
        <v>21376.54</v>
      </c>
      <c r="G935" s="223">
        <v>1995</v>
      </c>
      <c r="H935" s="223">
        <v>1</v>
      </c>
      <c r="I935" s="223">
        <v>0</v>
      </c>
      <c r="J935" s="223"/>
      <c r="K935" s="228">
        <v>504272.57860000001</v>
      </c>
      <c r="L935" s="241">
        <v>67</v>
      </c>
      <c r="M935" s="228">
        <v>166409.9509</v>
      </c>
      <c r="N935" s="230">
        <v>23.59</v>
      </c>
      <c r="O935" s="231">
        <v>0</v>
      </c>
      <c r="P935" s="314"/>
      <c r="Q935" s="276">
        <f t="shared" si="36"/>
        <v>21376.54</v>
      </c>
      <c r="R935" s="275">
        <f>(SUMIFS('Dec 31 2018 OFFS'!$AG:$AG,'Dec 31 2018 OFFS'!$AI:$AI,'T1 2019 Pipeline Data Lagasco'!$A935,'Dec 31 2018 OFFS'!$U:$U,'T1 2019 Pipeline Data Lagasco'!$E935,'Dec 31 2018 OFFS'!$AK:$AK,'T1 2019 Pipeline Data Lagasco'!$Q935,'Dec 31 2018 OFFS'!$W:$W,'T1 2019 Pipeline Data Lagasco'!$G935))/(MAX(COUNTIFS('Dec 31 2018 OFFS'!$AI:$AI,'T1 2019 Pipeline Data Lagasco'!$A935,'Dec 31 2018 OFFS'!$U:$U,'T1 2019 Pipeline Data Lagasco'!$E935,'Dec 31 2018 OFFS'!$AK:$AK,'T1 2019 Pipeline Data Lagasco'!$Q935,'Dec 31 2018 OFFS'!$W:$W,'T1 2019 Pipeline Data Lagasco'!$G935),1))</f>
        <v>0</v>
      </c>
      <c r="S935" s="275">
        <f t="shared" si="37"/>
        <v>0</v>
      </c>
      <c r="T935" s="217"/>
    </row>
    <row r="936" spans="1:20" ht="14.1" customHeight="1">
      <c r="A936" s="224" t="s">
        <v>1506</v>
      </c>
      <c r="B936" s="218" t="s">
        <v>1507</v>
      </c>
      <c r="C936" s="223">
        <v>1</v>
      </c>
      <c r="D936" s="218" t="s">
        <v>1488</v>
      </c>
      <c r="E936" s="223">
        <v>3</v>
      </c>
      <c r="F936" s="223">
        <v>1050</v>
      </c>
      <c r="G936" s="223">
        <v>2006</v>
      </c>
      <c r="H936" s="223">
        <v>1</v>
      </c>
      <c r="I936" s="223">
        <v>1</v>
      </c>
      <c r="J936" s="223"/>
      <c r="K936" s="237">
        <v>24769.50</v>
      </c>
      <c r="L936" s="241">
        <v>52</v>
      </c>
      <c r="M936" s="238">
        <v>11889.36</v>
      </c>
      <c r="N936" s="230">
        <v>23.59</v>
      </c>
      <c r="O936" s="231">
        <v>11889</v>
      </c>
      <c r="P936" s="314"/>
      <c r="Q936" s="276">
        <f t="shared" si="36"/>
        <v>1050</v>
      </c>
      <c r="R936" s="275">
        <f>(SUMIFS('Dec 31 2018 OFFS'!$AG:$AG,'Dec 31 2018 OFFS'!$AI:$AI,'T1 2019 Pipeline Data Lagasco'!$A936,'Dec 31 2018 OFFS'!$U:$U,'T1 2019 Pipeline Data Lagasco'!$E936,'Dec 31 2018 OFFS'!$AK:$AK,'T1 2019 Pipeline Data Lagasco'!$Q936,'Dec 31 2018 OFFS'!$W:$W,'T1 2019 Pipeline Data Lagasco'!$G936))/(MAX(COUNTIFS('Dec 31 2018 OFFS'!$AI:$AI,'T1 2019 Pipeline Data Lagasco'!$A936,'Dec 31 2018 OFFS'!$U:$U,'T1 2019 Pipeline Data Lagasco'!$E936,'Dec 31 2018 OFFS'!$AK:$AK,'T1 2019 Pipeline Data Lagasco'!$Q936,'Dec 31 2018 OFFS'!$W:$W,'T1 2019 Pipeline Data Lagasco'!$G936),1))</f>
        <v>11889</v>
      </c>
      <c r="S936" s="275">
        <f t="shared" si="37"/>
        <v>0</v>
      </c>
      <c r="T936" s="217"/>
    </row>
    <row r="937" spans="1:20" ht="14.1" customHeight="1">
      <c r="A937" s="224" t="s">
        <v>1506</v>
      </c>
      <c r="B937" s="218" t="s">
        <v>1507</v>
      </c>
      <c r="C937" s="223">
        <v>1</v>
      </c>
      <c r="D937" s="218" t="s">
        <v>1488</v>
      </c>
      <c r="E937" s="223">
        <v>4</v>
      </c>
      <c r="F937" s="230">
        <v>2384.7600000000002</v>
      </c>
      <c r="G937" s="223">
        <v>1980</v>
      </c>
      <c r="H937" s="223">
        <v>1</v>
      </c>
      <c r="I937" s="223">
        <v>0</v>
      </c>
      <c r="J937" s="223"/>
      <c r="K937" s="239">
        <v>63076.902000000002</v>
      </c>
      <c r="L937" s="241">
        <v>80</v>
      </c>
      <c r="M937" s="228">
        <v>12615.3804</v>
      </c>
      <c r="N937" s="230">
        <v>26.45</v>
      </c>
      <c r="O937" s="231">
        <v>0</v>
      </c>
      <c r="P937" s="314"/>
      <c r="Q937" s="276">
        <f t="shared" si="36"/>
        <v>2384.7600000000002</v>
      </c>
      <c r="R937" s="275">
        <f>(SUMIFS('Dec 31 2018 OFFS'!$AG:$AG,'Dec 31 2018 OFFS'!$AI:$AI,'T1 2019 Pipeline Data Lagasco'!$A937,'Dec 31 2018 OFFS'!$U:$U,'T1 2019 Pipeline Data Lagasco'!$E937,'Dec 31 2018 OFFS'!$AK:$AK,'T1 2019 Pipeline Data Lagasco'!$Q937,'Dec 31 2018 OFFS'!$W:$W,'T1 2019 Pipeline Data Lagasco'!$G937))/(MAX(COUNTIFS('Dec 31 2018 OFFS'!$AI:$AI,'T1 2019 Pipeline Data Lagasco'!$A937,'Dec 31 2018 OFFS'!$U:$U,'T1 2019 Pipeline Data Lagasco'!$E937,'Dec 31 2018 OFFS'!$AK:$AK,'T1 2019 Pipeline Data Lagasco'!$Q937,'Dec 31 2018 OFFS'!$W:$W,'T1 2019 Pipeline Data Lagasco'!$G937),1))</f>
        <v>0</v>
      </c>
      <c r="S937" s="275">
        <f t="shared" si="37"/>
        <v>0</v>
      </c>
      <c r="T937" s="217"/>
    </row>
    <row r="938" spans="1:20" ht="14.1" customHeight="1">
      <c r="A938" s="224" t="s">
        <v>1506</v>
      </c>
      <c r="B938" s="218" t="s">
        <v>1507</v>
      </c>
      <c r="C938" s="223">
        <v>1</v>
      </c>
      <c r="D938" s="218" t="s">
        <v>1488</v>
      </c>
      <c r="E938" s="223">
        <v>4</v>
      </c>
      <c r="F938" s="223">
        <v>9174</v>
      </c>
      <c r="G938" s="223">
        <v>1986</v>
      </c>
      <c r="H938" s="223">
        <v>1</v>
      </c>
      <c r="I938" s="223">
        <v>0</v>
      </c>
      <c r="J938" s="223"/>
      <c r="K938" s="237">
        <v>242652.30</v>
      </c>
      <c r="L938" s="241">
        <v>79</v>
      </c>
      <c r="M938" s="239">
        <v>50956.983</v>
      </c>
      <c r="N938" s="230">
        <v>26.45</v>
      </c>
      <c r="O938" s="231">
        <v>0</v>
      </c>
      <c r="P938" s="314"/>
      <c r="Q938" s="276">
        <f t="shared" si="36"/>
        <v>9174</v>
      </c>
      <c r="R938" s="275">
        <f>(SUMIFS('Dec 31 2018 OFFS'!$AG:$AG,'Dec 31 2018 OFFS'!$AI:$AI,'T1 2019 Pipeline Data Lagasco'!$A938,'Dec 31 2018 OFFS'!$U:$U,'T1 2019 Pipeline Data Lagasco'!$E938,'Dec 31 2018 OFFS'!$AK:$AK,'T1 2019 Pipeline Data Lagasco'!$Q938,'Dec 31 2018 OFFS'!$W:$W,'T1 2019 Pipeline Data Lagasco'!$G938))/(MAX(COUNTIFS('Dec 31 2018 OFFS'!$AI:$AI,'T1 2019 Pipeline Data Lagasco'!$A938,'Dec 31 2018 OFFS'!$U:$U,'T1 2019 Pipeline Data Lagasco'!$E938,'Dec 31 2018 OFFS'!$AK:$AK,'T1 2019 Pipeline Data Lagasco'!$Q938,'Dec 31 2018 OFFS'!$W:$W,'T1 2019 Pipeline Data Lagasco'!$G938),1))</f>
        <v>0</v>
      </c>
      <c r="S938" s="275">
        <f t="shared" si="37"/>
        <v>0</v>
      </c>
      <c r="T938" s="217"/>
    </row>
    <row r="939" spans="1:20" ht="14.1" customHeight="1">
      <c r="A939" s="224" t="s">
        <v>1506</v>
      </c>
      <c r="B939" s="218" t="s">
        <v>1507</v>
      </c>
      <c r="C939" s="223">
        <v>1</v>
      </c>
      <c r="D939" s="218" t="s">
        <v>1488</v>
      </c>
      <c r="E939" s="223">
        <v>4</v>
      </c>
      <c r="F939" s="226">
        <v>8488.6480479999991</v>
      </c>
      <c r="G939" s="223">
        <v>1985</v>
      </c>
      <c r="H939" s="223">
        <v>1</v>
      </c>
      <c r="I939" s="223">
        <v>1</v>
      </c>
      <c r="J939" s="223"/>
      <c r="K939" s="228">
        <v>224524.7409</v>
      </c>
      <c r="L939" s="241">
        <v>80</v>
      </c>
      <c r="M939" s="229">
        <v>44904.948170000003</v>
      </c>
      <c r="N939" s="230">
        <v>26.45</v>
      </c>
      <c r="O939" s="231">
        <v>44904</v>
      </c>
      <c r="P939" s="314"/>
      <c r="Q939" s="276">
        <f t="shared" si="36"/>
        <v>8488.65</v>
      </c>
      <c r="R939" s="275">
        <f>(SUMIFS('Dec 31 2018 OFFS'!$AG:$AG,'Dec 31 2018 OFFS'!$AI:$AI,'T1 2019 Pipeline Data Lagasco'!$A939,'Dec 31 2018 OFFS'!$U:$U,'T1 2019 Pipeline Data Lagasco'!$E939,'Dec 31 2018 OFFS'!$AK:$AK,'T1 2019 Pipeline Data Lagasco'!$Q939,'Dec 31 2018 OFFS'!$W:$W,'T1 2019 Pipeline Data Lagasco'!$G939))/(MAX(COUNTIFS('Dec 31 2018 OFFS'!$AI:$AI,'T1 2019 Pipeline Data Lagasco'!$A939,'Dec 31 2018 OFFS'!$U:$U,'T1 2019 Pipeline Data Lagasco'!$E939,'Dec 31 2018 OFFS'!$AK:$AK,'T1 2019 Pipeline Data Lagasco'!$Q939,'Dec 31 2018 OFFS'!$W:$W,'T1 2019 Pipeline Data Lagasco'!$G939),1))</f>
        <v>44904</v>
      </c>
      <c r="S939" s="275">
        <f t="shared" si="37"/>
        <v>0</v>
      </c>
      <c r="T939" s="217"/>
    </row>
    <row r="940" spans="1:20" ht="14.1" customHeight="1">
      <c r="A940" s="224" t="s">
        <v>1506</v>
      </c>
      <c r="B940" s="218" t="s">
        <v>1507</v>
      </c>
      <c r="C940" s="223">
        <v>1</v>
      </c>
      <c r="D940" s="218" t="s">
        <v>1488</v>
      </c>
      <c r="E940" s="223">
        <v>4</v>
      </c>
      <c r="F940" s="226">
        <v>5098.5562829999999</v>
      </c>
      <c r="G940" s="223">
        <v>1985</v>
      </c>
      <c r="H940" s="223">
        <v>1</v>
      </c>
      <c r="I940" s="223">
        <v>1</v>
      </c>
      <c r="J940" s="223"/>
      <c r="K940" s="228">
        <v>134856.8137</v>
      </c>
      <c r="L940" s="241">
        <v>80</v>
      </c>
      <c r="M940" s="229">
        <v>26971.36274</v>
      </c>
      <c r="N940" s="230">
        <v>26.45</v>
      </c>
      <c r="O940" s="231">
        <v>26971</v>
      </c>
      <c r="P940" s="314"/>
      <c r="Q940" s="276">
        <f t="shared" si="36"/>
        <v>5098.5600000000004</v>
      </c>
      <c r="R940" s="275">
        <f>(SUMIFS('Dec 31 2018 OFFS'!$AG:$AG,'Dec 31 2018 OFFS'!$AI:$AI,'T1 2019 Pipeline Data Lagasco'!$A940,'Dec 31 2018 OFFS'!$U:$U,'T1 2019 Pipeline Data Lagasco'!$E940,'Dec 31 2018 OFFS'!$AK:$AK,'T1 2019 Pipeline Data Lagasco'!$Q940,'Dec 31 2018 OFFS'!$W:$W,'T1 2019 Pipeline Data Lagasco'!$G940))/(MAX(COUNTIFS('Dec 31 2018 OFFS'!$AI:$AI,'T1 2019 Pipeline Data Lagasco'!$A940,'Dec 31 2018 OFFS'!$U:$U,'T1 2019 Pipeline Data Lagasco'!$E940,'Dec 31 2018 OFFS'!$AK:$AK,'T1 2019 Pipeline Data Lagasco'!$Q940,'Dec 31 2018 OFFS'!$W:$W,'T1 2019 Pipeline Data Lagasco'!$G940),1))</f>
        <v>26971</v>
      </c>
      <c r="S940" s="275">
        <f t="shared" si="37"/>
        <v>0</v>
      </c>
      <c r="T940" s="217"/>
    </row>
    <row r="941" spans="1:20" ht="14.1" customHeight="1">
      <c r="A941" s="224" t="s">
        <v>1506</v>
      </c>
      <c r="B941" s="218" t="s">
        <v>1507</v>
      </c>
      <c r="C941" s="223">
        <v>1</v>
      </c>
      <c r="D941" s="218" t="s">
        <v>1488</v>
      </c>
      <c r="E941" s="223">
        <v>4</v>
      </c>
      <c r="F941" s="236">
        <v>23707.643670000001</v>
      </c>
      <c r="G941" s="223">
        <v>1985</v>
      </c>
      <c r="H941" s="223">
        <v>1</v>
      </c>
      <c r="I941" s="223">
        <v>1</v>
      </c>
      <c r="J941" s="223"/>
      <c r="K941" s="228">
        <v>627067.17509999999</v>
      </c>
      <c r="L941" s="241">
        <v>80</v>
      </c>
      <c r="M941" s="239">
        <v>125413.435</v>
      </c>
      <c r="N941" s="230">
        <v>26.45</v>
      </c>
      <c r="O941" s="231">
        <v>125413</v>
      </c>
      <c r="P941" s="314"/>
      <c r="Q941" s="276">
        <f t="shared" si="36"/>
        <v>23707.64</v>
      </c>
      <c r="R941" s="275">
        <f>(SUMIFS('Dec 31 2018 OFFS'!$AG:$AG,'Dec 31 2018 OFFS'!$AI:$AI,'T1 2019 Pipeline Data Lagasco'!$A941,'Dec 31 2018 OFFS'!$U:$U,'T1 2019 Pipeline Data Lagasco'!$E941,'Dec 31 2018 OFFS'!$AK:$AK,'T1 2019 Pipeline Data Lagasco'!$Q941,'Dec 31 2018 OFFS'!$W:$W,'T1 2019 Pipeline Data Lagasco'!$G941))/(MAX(COUNTIFS('Dec 31 2018 OFFS'!$AI:$AI,'T1 2019 Pipeline Data Lagasco'!$A941,'Dec 31 2018 OFFS'!$U:$U,'T1 2019 Pipeline Data Lagasco'!$E941,'Dec 31 2018 OFFS'!$AK:$AK,'T1 2019 Pipeline Data Lagasco'!$Q941,'Dec 31 2018 OFFS'!$W:$W,'T1 2019 Pipeline Data Lagasco'!$G941),1))</f>
        <v>125413</v>
      </c>
      <c r="S941" s="275">
        <f t="shared" si="37"/>
        <v>0</v>
      </c>
      <c r="T941" s="217"/>
    </row>
    <row r="942" spans="1:20" ht="14.1" customHeight="1">
      <c r="A942" s="224" t="s">
        <v>1506</v>
      </c>
      <c r="B942" s="218" t="s">
        <v>1507</v>
      </c>
      <c r="C942" s="223">
        <v>1</v>
      </c>
      <c r="D942" s="218" t="s">
        <v>1488</v>
      </c>
      <c r="E942" s="223">
        <v>4</v>
      </c>
      <c r="F942" s="225">
        <f>13440-4442</f>
        <v>8998</v>
      </c>
      <c r="G942" s="223">
        <v>1986</v>
      </c>
      <c r="H942" s="223">
        <v>1</v>
      </c>
      <c r="I942" s="223">
        <v>1</v>
      </c>
      <c r="J942" s="223"/>
      <c r="K942" s="243">
        <f>355488*8998/13440</f>
        <v>237997.10</v>
      </c>
      <c r="L942" s="241">
        <v>79</v>
      </c>
      <c r="M942" s="306">
        <f>74652.48*8998/13440</f>
        <v>49979.390999999996</v>
      </c>
      <c r="N942" s="230">
        <v>26.45</v>
      </c>
      <c r="O942" s="287">
        <f>ROUND(74652*8998/13440,0)</f>
        <v>49979</v>
      </c>
      <c r="P942" s="320" t="s">
        <v>1559</v>
      </c>
      <c r="Q942" s="276">
        <f t="shared" si="36"/>
        <v>8998</v>
      </c>
      <c r="R942" s="275">
        <f>(SUMIFS('Dec 31 2018 OFFS'!$AG:$AG,'Dec 31 2018 OFFS'!$AI:$AI,'T1 2019 Pipeline Data Lagasco'!$A942,'Dec 31 2018 OFFS'!$U:$U,'T1 2019 Pipeline Data Lagasco'!$E942,'Dec 31 2018 OFFS'!$AK:$AK,'T1 2019 Pipeline Data Lagasco'!$Q942,'Dec 31 2018 OFFS'!$W:$W,'T1 2019 Pipeline Data Lagasco'!$G942))/(MAX(COUNTIFS('Dec 31 2018 OFFS'!$AI:$AI,'T1 2019 Pipeline Data Lagasco'!$A942,'Dec 31 2018 OFFS'!$U:$U,'T1 2019 Pipeline Data Lagasco'!$E942,'Dec 31 2018 OFFS'!$AK:$AK,'T1 2019 Pipeline Data Lagasco'!$Q942,'Dec 31 2018 OFFS'!$W:$W,'T1 2019 Pipeline Data Lagasco'!$G942),1))</f>
        <v>49979</v>
      </c>
      <c r="S942" s="275">
        <f t="shared" si="37"/>
        <v>0</v>
      </c>
      <c r="T942" s="278">
        <f>R942/O942</f>
        <v>1</v>
      </c>
    </row>
    <row r="943" spans="1:20" ht="14.1" customHeight="1">
      <c r="A943" s="224" t="s">
        <v>1506</v>
      </c>
      <c r="B943" s="218" t="s">
        <v>1507</v>
      </c>
      <c r="C943" s="223">
        <v>1</v>
      </c>
      <c r="D943" s="218" t="s">
        <v>1488</v>
      </c>
      <c r="E943" s="223">
        <v>4</v>
      </c>
      <c r="F943" s="230">
        <v>4610.33</v>
      </c>
      <c r="G943" s="223">
        <v>1985</v>
      </c>
      <c r="H943" s="223">
        <v>1</v>
      </c>
      <c r="I943" s="223">
        <v>0</v>
      </c>
      <c r="J943" s="223"/>
      <c r="K943" s="228">
        <v>121943.2285</v>
      </c>
      <c r="L943" s="241">
        <v>80</v>
      </c>
      <c r="M943" s="228">
        <v>24388.645700000001</v>
      </c>
      <c r="N943" s="230">
        <v>26.45</v>
      </c>
      <c r="O943" s="231">
        <v>0</v>
      </c>
      <c r="P943" s="314"/>
      <c r="Q943" s="276">
        <f t="shared" si="36"/>
        <v>4610.33</v>
      </c>
      <c r="R943" s="275">
        <f>(SUMIFS('Dec 31 2018 OFFS'!$AG:$AG,'Dec 31 2018 OFFS'!$AI:$AI,'T1 2019 Pipeline Data Lagasco'!$A943,'Dec 31 2018 OFFS'!$U:$U,'T1 2019 Pipeline Data Lagasco'!$E943,'Dec 31 2018 OFFS'!$AK:$AK,'T1 2019 Pipeline Data Lagasco'!$Q943,'Dec 31 2018 OFFS'!$W:$W,'T1 2019 Pipeline Data Lagasco'!$G943))/(MAX(COUNTIFS('Dec 31 2018 OFFS'!$AI:$AI,'T1 2019 Pipeline Data Lagasco'!$A943,'Dec 31 2018 OFFS'!$U:$U,'T1 2019 Pipeline Data Lagasco'!$E943,'Dec 31 2018 OFFS'!$AK:$AK,'T1 2019 Pipeline Data Lagasco'!$Q943,'Dec 31 2018 OFFS'!$W:$W,'T1 2019 Pipeline Data Lagasco'!$G943),1))</f>
        <v>0</v>
      </c>
      <c r="S943" s="275">
        <f t="shared" si="37"/>
        <v>0</v>
      </c>
      <c r="T943" s="217"/>
    </row>
    <row r="944" spans="1:20" ht="15" customHeight="1">
      <c r="A944" s="224" t="s">
        <v>1506</v>
      </c>
      <c r="B944" s="218" t="s">
        <v>1507</v>
      </c>
      <c r="C944" s="223">
        <v>1</v>
      </c>
      <c r="D944" s="218" t="s">
        <v>1488</v>
      </c>
      <c r="E944" s="223">
        <v>6</v>
      </c>
      <c r="F944" s="230">
        <v>12084.87</v>
      </c>
      <c r="G944" s="223">
        <v>1999</v>
      </c>
      <c r="H944" s="223">
        <v>1</v>
      </c>
      <c r="I944" s="223">
        <v>1</v>
      </c>
      <c r="J944" s="223"/>
      <c r="K944" s="228">
        <v>418499.04810000001</v>
      </c>
      <c r="L944" s="241">
        <v>62</v>
      </c>
      <c r="M944" s="228">
        <v>159029.63829999999</v>
      </c>
      <c r="N944" s="230">
        <v>34.630000000000003</v>
      </c>
      <c r="O944" s="231">
        <v>159029</v>
      </c>
      <c r="P944" s="314"/>
      <c r="Q944" s="276">
        <f t="shared" si="36"/>
        <v>12084.87</v>
      </c>
      <c r="R944" s="275">
        <f>(SUMIFS('Dec 31 2018 OFFS'!$AG:$AG,'Dec 31 2018 OFFS'!$AI:$AI,'T1 2019 Pipeline Data Lagasco'!$A944,'Dec 31 2018 OFFS'!$U:$U,'T1 2019 Pipeline Data Lagasco'!$E944,'Dec 31 2018 OFFS'!$AK:$AK,'T1 2019 Pipeline Data Lagasco'!$Q944,'Dec 31 2018 OFFS'!$W:$W,'T1 2019 Pipeline Data Lagasco'!$G944))/(MAX(COUNTIFS('Dec 31 2018 OFFS'!$AI:$AI,'T1 2019 Pipeline Data Lagasco'!$A944,'Dec 31 2018 OFFS'!$U:$U,'T1 2019 Pipeline Data Lagasco'!$E944,'Dec 31 2018 OFFS'!$AK:$AK,'T1 2019 Pipeline Data Lagasco'!$Q944,'Dec 31 2018 OFFS'!$W:$W,'T1 2019 Pipeline Data Lagasco'!$G944),1))</f>
        <v>159029</v>
      </c>
      <c r="S944" s="275">
        <f t="shared" si="37"/>
        <v>0</v>
      </c>
      <c r="T944" s="217"/>
    </row>
    <row r="945" spans="1:19" s="217" customFormat="1" ht="15" customHeight="1">
      <c r="A945" s="224" t="s">
        <v>1506</v>
      </c>
      <c r="B945" s="218" t="s">
        <v>1507</v>
      </c>
      <c r="C945" s="223">
        <v>1</v>
      </c>
      <c r="D945" s="218" t="s">
        <v>1488</v>
      </c>
      <c r="E945" s="240">
        <v>6</v>
      </c>
      <c r="F945" s="230">
        <v>11751.05</v>
      </c>
      <c r="G945" s="223">
        <v>1999</v>
      </c>
      <c r="H945" s="223">
        <v>1</v>
      </c>
      <c r="I945" s="223">
        <v>1</v>
      </c>
      <c r="J945" s="223"/>
      <c r="K945" s="228">
        <v>406938.8615</v>
      </c>
      <c r="L945" s="241">
        <v>62</v>
      </c>
      <c r="M945" s="228">
        <v>154636.76740000001</v>
      </c>
      <c r="N945" s="230">
        <v>34.630000000000003</v>
      </c>
      <c r="O945" s="231">
        <v>154636</v>
      </c>
      <c r="P945" s="314"/>
      <c r="Q945" s="276">
        <f t="shared" si="36"/>
        <v>11751.05</v>
      </c>
      <c r="R945" s="275">
        <f>(SUMIFS('Dec 31 2018 OFFS'!$AG:$AG,'Dec 31 2018 OFFS'!$AI:$AI,'T1 2019 Pipeline Data Lagasco'!$A945,'Dec 31 2018 OFFS'!$U:$U,'T1 2019 Pipeline Data Lagasco'!$E945,'Dec 31 2018 OFFS'!$AK:$AK,'T1 2019 Pipeline Data Lagasco'!$Q945,'Dec 31 2018 OFFS'!$W:$W,'T1 2019 Pipeline Data Lagasco'!$G945))/(MAX(COUNTIFS('Dec 31 2018 OFFS'!$AI:$AI,'T1 2019 Pipeline Data Lagasco'!$A945,'Dec 31 2018 OFFS'!$U:$U,'T1 2019 Pipeline Data Lagasco'!$E945,'Dec 31 2018 OFFS'!$AK:$AK,'T1 2019 Pipeline Data Lagasco'!$Q945,'Dec 31 2018 OFFS'!$W:$W,'T1 2019 Pipeline Data Lagasco'!$G945),1))</f>
        <v>154636</v>
      </c>
      <c r="S945" s="275">
        <f t="shared" si="37"/>
        <v>0</v>
      </c>
    </row>
    <row r="946" spans="1:19" s="217" customFormat="1" ht="14.1" customHeight="1">
      <c r="A946" s="224" t="s">
        <v>1506</v>
      </c>
      <c r="B946" s="218" t="s">
        <v>1507</v>
      </c>
      <c r="C946" s="223">
        <v>1</v>
      </c>
      <c r="D946" s="218" t="s">
        <v>1488</v>
      </c>
      <c r="E946" s="240">
        <v>6</v>
      </c>
      <c r="F946" s="230">
        <v>11425.13</v>
      </c>
      <c r="G946" s="223">
        <v>1999</v>
      </c>
      <c r="H946" s="223">
        <v>1</v>
      </c>
      <c r="I946" s="223">
        <v>1</v>
      </c>
      <c r="J946" s="223"/>
      <c r="K946" s="228">
        <v>395652.25189999997</v>
      </c>
      <c r="L946" s="241">
        <v>62</v>
      </c>
      <c r="M946" s="228">
        <v>150347.85569999999</v>
      </c>
      <c r="N946" s="230">
        <v>34.630000000000003</v>
      </c>
      <c r="O946" s="231">
        <v>150347</v>
      </c>
      <c r="P946" s="314"/>
      <c r="Q946" s="276">
        <f t="shared" si="36"/>
        <v>11425.13</v>
      </c>
      <c r="R946" s="275">
        <f>(SUMIFS('Dec 31 2018 OFFS'!$AG:$AG,'Dec 31 2018 OFFS'!$AI:$AI,'T1 2019 Pipeline Data Lagasco'!$A946,'Dec 31 2018 OFFS'!$U:$U,'T1 2019 Pipeline Data Lagasco'!$E946,'Dec 31 2018 OFFS'!$AK:$AK,'T1 2019 Pipeline Data Lagasco'!$Q946,'Dec 31 2018 OFFS'!$W:$W,'T1 2019 Pipeline Data Lagasco'!$G946))/(MAX(COUNTIFS('Dec 31 2018 OFFS'!$AI:$AI,'T1 2019 Pipeline Data Lagasco'!$A946,'Dec 31 2018 OFFS'!$U:$U,'T1 2019 Pipeline Data Lagasco'!$E946,'Dec 31 2018 OFFS'!$AK:$AK,'T1 2019 Pipeline Data Lagasco'!$Q946,'Dec 31 2018 OFFS'!$W:$W,'T1 2019 Pipeline Data Lagasco'!$G946),1))</f>
        <v>150347</v>
      </c>
      <c r="S946" s="275">
        <f t="shared" si="37"/>
        <v>0</v>
      </c>
    </row>
    <row r="947" spans="1:19" s="217" customFormat="1" ht="14.1" customHeight="1">
      <c r="A947" s="224" t="s">
        <v>1506</v>
      </c>
      <c r="B947" s="218" t="s">
        <v>1507</v>
      </c>
      <c r="C947" s="223">
        <v>1</v>
      </c>
      <c r="D947" s="218" t="s">
        <v>1488</v>
      </c>
      <c r="E947" s="240">
        <v>6</v>
      </c>
      <c r="F947" s="242">
        <v>11970.90</v>
      </c>
      <c r="G947" s="223">
        <v>1999</v>
      </c>
      <c r="H947" s="223">
        <v>1</v>
      </c>
      <c r="I947" s="223">
        <v>1</v>
      </c>
      <c r="J947" s="223"/>
      <c r="K947" s="239">
        <v>414552.26699999999</v>
      </c>
      <c r="L947" s="241">
        <v>62</v>
      </c>
      <c r="M947" s="228">
        <v>157529.8615</v>
      </c>
      <c r="N947" s="230">
        <v>34.630000000000003</v>
      </c>
      <c r="O947" s="231">
        <v>157529</v>
      </c>
      <c r="P947" s="314"/>
      <c r="Q947" s="276">
        <f t="shared" si="36"/>
        <v>11970.90</v>
      </c>
      <c r="R947" s="275">
        <f>(SUMIFS('Dec 31 2018 OFFS'!$AG:$AG,'Dec 31 2018 OFFS'!$AI:$AI,'T1 2019 Pipeline Data Lagasco'!$A947,'Dec 31 2018 OFFS'!$U:$U,'T1 2019 Pipeline Data Lagasco'!$E947,'Dec 31 2018 OFFS'!$AK:$AK,'T1 2019 Pipeline Data Lagasco'!$Q947,'Dec 31 2018 OFFS'!$W:$W,'T1 2019 Pipeline Data Lagasco'!$G947))/(MAX(COUNTIFS('Dec 31 2018 OFFS'!$AI:$AI,'T1 2019 Pipeline Data Lagasco'!$A947,'Dec 31 2018 OFFS'!$U:$U,'T1 2019 Pipeline Data Lagasco'!$E947,'Dec 31 2018 OFFS'!$AK:$AK,'T1 2019 Pipeline Data Lagasco'!$Q947,'Dec 31 2018 OFFS'!$W:$W,'T1 2019 Pipeline Data Lagasco'!$G947),1))</f>
        <v>157529</v>
      </c>
      <c r="S947" s="275">
        <f t="shared" si="37"/>
        <v>0</v>
      </c>
    </row>
    <row r="948" spans="1:19" s="217" customFormat="1" ht="14.1" customHeight="1">
      <c r="A948" s="224" t="s">
        <v>1506</v>
      </c>
      <c r="B948" s="218" t="s">
        <v>1507</v>
      </c>
      <c r="C948" s="223">
        <v>1</v>
      </c>
      <c r="D948" s="218" t="s">
        <v>1488</v>
      </c>
      <c r="E948" s="240">
        <v>6</v>
      </c>
      <c r="F948" s="242">
        <v>1726.90</v>
      </c>
      <c r="G948" s="223">
        <v>1999</v>
      </c>
      <c r="H948" s="223">
        <v>1</v>
      </c>
      <c r="I948" s="223">
        <v>1</v>
      </c>
      <c r="J948" s="223"/>
      <c r="K948" s="239">
        <v>59802.546999999999</v>
      </c>
      <c r="L948" s="241">
        <v>62</v>
      </c>
      <c r="M948" s="229">
        <v>22724.967860000001</v>
      </c>
      <c r="N948" s="230">
        <v>34.630000000000003</v>
      </c>
      <c r="O948" s="231">
        <v>22724</v>
      </c>
      <c r="P948" s="314"/>
      <c r="Q948" s="276">
        <f t="shared" si="36"/>
        <v>1726.90</v>
      </c>
      <c r="R948" s="275">
        <f>(SUMIFS('Dec 31 2018 OFFS'!$AG:$AG,'Dec 31 2018 OFFS'!$AI:$AI,'T1 2019 Pipeline Data Lagasco'!$A948,'Dec 31 2018 OFFS'!$U:$U,'T1 2019 Pipeline Data Lagasco'!$E948,'Dec 31 2018 OFFS'!$AK:$AK,'T1 2019 Pipeline Data Lagasco'!$Q948,'Dec 31 2018 OFFS'!$W:$W,'T1 2019 Pipeline Data Lagasco'!$G948))/(MAX(COUNTIFS('Dec 31 2018 OFFS'!$AI:$AI,'T1 2019 Pipeline Data Lagasco'!$A948,'Dec 31 2018 OFFS'!$U:$U,'T1 2019 Pipeline Data Lagasco'!$E948,'Dec 31 2018 OFFS'!$AK:$AK,'T1 2019 Pipeline Data Lagasco'!$Q948,'Dec 31 2018 OFFS'!$W:$W,'T1 2019 Pipeline Data Lagasco'!$G948),1))</f>
        <v>22724</v>
      </c>
      <c r="S948" s="275">
        <f t="shared" si="37"/>
        <v>0</v>
      </c>
    </row>
    <row r="949" spans="1:19" s="217" customFormat="1" ht="14.1" customHeight="1">
      <c r="A949" s="224" t="s">
        <v>1506</v>
      </c>
      <c r="B949" s="218" t="s">
        <v>1507</v>
      </c>
      <c r="C949" s="223">
        <v>1</v>
      </c>
      <c r="D949" s="218" t="s">
        <v>1488</v>
      </c>
      <c r="E949" s="240">
        <v>6</v>
      </c>
      <c r="F949" s="236">
        <v>14203.60851</v>
      </c>
      <c r="G949" s="223">
        <v>1971</v>
      </c>
      <c r="H949" s="230">
        <v>0.75</v>
      </c>
      <c r="I949" s="223">
        <v>0</v>
      </c>
      <c r="J949" s="223"/>
      <c r="K949" s="228">
        <v>491870.96279999998</v>
      </c>
      <c r="L949" s="241">
        <v>80</v>
      </c>
      <c r="M949" s="229">
        <v>98374.192559999996</v>
      </c>
      <c r="N949" s="230">
        <v>34.630000000000003</v>
      </c>
      <c r="O949" s="231">
        <v>0</v>
      </c>
      <c r="P949" s="314"/>
      <c r="Q949" s="276">
        <f t="shared" si="36"/>
        <v>14203.61</v>
      </c>
      <c r="R949" s="275">
        <f>(SUMIFS('Dec 31 2018 OFFS'!$AG:$AG,'Dec 31 2018 OFFS'!$AI:$AI,'T1 2019 Pipeline Data Lagasco'!$A949,'Dec 31 2018 OFFS'!$U:$U,'T1 2019 Pipeline Data Lagasco'!$E949,'Dec 31 2018 OFFS'!$AK:$AK,'T1 2019 Pipeline Data Lagasco'!$Q949,'Dec 31 2018 OFFS'!$W:$W,'T1 2019 Pipeline Data Lagasco'!$G949))/(MAX(COUNTIFS('Dec 31 2018 OFFS'!$AI:$AI,'T1 2019 Pipeline Data Lagasco'!$A949,'Dec 31 2018 OFFS'!$U:$U,'T1 2019 Pipeline Data Lagasco'!$E949,'Dec 31 2018 OFFS'!$AK:$AK,'T1 2019 Pipeline Data Lagasco'!$Q949,'Dec 31 2018 OFFS'!$W:$W,'T1 2019 Pipeline Data Lagasco'!$G949),1))</f>
        <v>0</v>
      </c>
      <c r="S949" s="275">
        <f t="shared" si="37"/>
        <v>0</v>
      </c>
    </row>
    <row r="950" spans="1:19" s="217" customFormat="1" ht="14.1" customHeight="1">
      <c r="A950" s="224" t="s">
        <v>1506</v>
      </c>
      <c r="B950" s="218" t="s">
        <v>1507</v>
      </c>
      <c r="C950" s="223">
        <v>1</v>
      </c>
      <c r="D950" s="218" t="s">
        <v>1488</v>
      </c>
      <c r="E950" s="240">
        <v>6</v>
      </c>
      <c r="F950" s="236">
        <v>14008.267309999999</v>
      </c>
      <c r="G950" s="223">
        <v>1975</v>
      </c>
      <c r="H950" s="223">
        <v>1</v>
      </c>
      <c r="I950" s="223">
        <v>0</v>
      </c>
      <c r="J950" s="223"/>
      <c r="K950" s="239">
        <v>485106.29700000002</v>
      </c>
      <c r="L950" s="241">
        <v>80</v>
      </c>
      <c r="M950" s="229">
        <v>97021.259390000007</v>
      </c>
      <c r="N950" s="230">
        <v>34.630000000000003</v>
      </c>
      <c r="O950" s="231">
        <v>0</v>
      </c>
      <c r="P950" s="314"/>
      <c r="Q950" s="276">
        <f t="shared" si="36"/>
        <v>14008.27</v>
      </c>
      <c r="R950" s="275">
        <f>(SUMIFS('Dec 31 2018 OFFS'!$AG:$AG,'Dec 31 2018 OFFS'!$AI:$AI,'T1 2019 Pipeline Data Lagasco'!$A950,'Dec 31 2018 OFFS'!$U:$U,'T1 2019 Pipeline Data Lagasco'!$E950,'Dec 31 2018 OFFS'!$AK:$AK,'T1 2019 Pipeline Data Lagasco'!$Q950,'Dec 31 2018 OFFS'!$W:$W,'T1 2019 Pipeline Data Lagasco'!$G950))/(MAX(COUNTIFS('Dec 31 2018 OFFS'!$AI:$AI,'T1 2019 Pipeline Data Lagasco'!$A950,'Dec 31 2018 OFFS'!$U:$U,'T1 2019 Pipeline Data Lagasco'!$E950,'Dec 31 2018 OFFS'!$AK:$AK,'T1 2019 Pipeline Data Lagasco'!$Q950,'Dec 31 2018 OFFS'!$W:$W,'T1 2019 Pipeline Data Lagasco'!$G950),1))</f>
        <v>0</v>
      </c>
      <c r="S950" s="275">
        <f t="shared" si="37"/>
        <v>0</v>
      </c>
    </row>
    <row r="951" spans="1:19" s="217" customFormat="1" ht="14.1" customHeight="1">
      <c r="A951" s="224" t="s">
        <v>1506</v>
      </c>
      <c r="B951" s="218" t="s">
        <v>1507</v>
      </c>
      <c r="C951" s="223">
        <v>1</v>
      </c>
      <c r="D951" s="218" t="s">
        <v>1488</v>
      </c>
      <c r="E951" s="240">
        <v>6</v>
      </c>
      <c r="F951" s="223">
        <v>14218</v>
      </c>
      <c r="G951" s="223">
        <v>1975</v>
      </c>
      <c r="H951" s="230">
        <v>0.75</v>
      </c>
      <c r="I951" s="223">
        <v>0</v>
      </c>
      <c r="J951" s="223"/>
      <c r="K951" s="238">
        <v>492369.34</v>
      </c>
      <c r="L951" s="241">
        <v>80</v>
      </c>
      <c r="M951" s="239">
        <v>98473.868000000002</v>
      </c>
      <c r="N951" s="230">
        <v>34.630000000000003</v>
      </c>
      <c r="O951" s="231">
        <v>0</v>
      </c>
      <c r="P951" s="314"/>
      <c r="Q951" s="276">
        <f t="shared" si="36"/>
        <v>14218</v>
      </c>
      <c r="R951" s="275">
        <f>(SUMIFS('Dec 31 2018 OFFS'!$AG:$AG,'Dec 31 2018 OFFS'!$AI:$AI,'T1 2019 Pipeline Data Lagasco'!$A951,'Dec 31 2018 OFFS'!$U:$U,'T1 2019 Pipeline Data Lagasco'!$E951,'Dec 31 2018 OFFS'!$AK:$AK,'T1 2019 Pipeline Data Lagasco'!$Q951,'Dec 31 2018 OFFS'!$W:$W,'T1 2019 Pipeline Data Lagasco'!$G951))/(MAX(COUNTIFS('Dec 31 2018 OFFS'!$AI:$AI,'T1 2019 Pipeline Data Lagasco'!$A951,'Dec 31 2018 OFFS'!$U:$U,'T1 2019 Pipeline Data Lagasco'!$E951,'Dec 31 2018 OFFS'!$AK:$AK,'T1 2019 Pipeline Data Lagasco'!$Q951,'Dec 31 2018 OFFS'!$W:$W,'T1 2019 Pipeline Data Lagasco'!$G951),1))</f>
        <v>0</v>
      </c>
      <c r="S951" s="275">
        <f t="shared" si="37"/>
        <v>0</v>
      </c>
    </row>
    <row r="952" spans="1:19" s="217" customFormat="1" ht="14.1" customHeight="1">
      <c r="A952" s="224" t="s">
        <v>1506</v>
      </c>
      <c r="B952" s="218" t="s">
        <v>1507</v>
      </c>
      <c r="C952" s="223">
        <v>1</v>
      </c>
      <c r="D952" s="218" t="s">
        <v>1488</v>
      </c>
      <c r="E952" s="240">
        <v>6</v>
      </c>
      <c r="F952" s="232">
        <v>966.60102189999998</v>
      </c>
      <c r="G952" s="223">
        <v>1971</v>
      </c>
      <c r="H952" s="230">
        <v>0.75</v>
      </c>
      <c r="I952" s="223">
        <v>0</v>
      </c>
      <c r="J952" s="223"/>
      <c r="K952" s="229">
        <v>33473.393389999997</v>
      </c>
      <c r="L952" s="241">
        <v>80</v>
      </c>
      <c r="M952" s="233">
        <v>6694.6786780000002</v>
      </c>
      <c r="N952" s="230">
        <v>34.630000000000003</v>
      </c>
      <c r="O952" s="231">
        <v>0</v>
      </c>
      <c r="P952" s="314"/>
      <c r="Q952" s="276">
        <f t="shared" si="36"/>
        <v>966.60</v>
      </c>
      <c r="R952" s="275">
        <f>(SUMIFS('Dec 31 2018 OFFS'!$AG:$AG,'Dec 31 2018 OFFS'!$AI:$AI,'T1 2019 Pipeline Data Lagasco'!$A952,'Dec 31 2018 OFFS'!$U:$U,'T1 2019 Pipeline Data Lagasco'!$E952,'Dec 31 2018 OFFS'!$AK:$AK,'T1 2019 Pipeline Data Lagasco'!$Q952,'Dec 31 2018 OFFS'!$W:$W,'T1 2019 Pipeline Data Lagasco'!$G952))/(MAX(COUNTIFS('Dec 31 2018 OFFS'!$AI:$AI,'T1 2019 Pipeline Data Lagasco'!$A952,'Dec 31 2018 OFFS'!$U:$U,'T1 2019 Pipeline Data Lagasco'!$E952,'Dec 31 2018 OFFS'!$AK:$AK,'T1 2019 Pipeline Data Lagasco'!$Q952,'Dec 31 2018 OFFS'!$W:$W,'T1 2019 Pipeline Data Lagasco'!$G952),1))</f>
        <v>0</v>
      </c>
      <c r="S952" s="275">
        <f t="shared" si="37"/>
        <v>0</v>
      </c>
    </row>
    <row r="953" spans="1:19" s="217" customFormat="1" ht="14.1" customHeight="1">
      <c r="A953" s="224" t="s">
        <v>1506</v>
      </c>
      <c r="B953" s="218" t="s">
        <v>1507</v>
      </c>
      <c r="C953" s="223">
        <v>1</v>
      </c>
      <c r="D953" s="218" t="s">
        <v>1488</v>
      </c>
      <c r="E953" s="240">
        <v>6</v>
      </c>
      <c r="F953" s="226">
        <v>1646.194178</v>
      </c>
      <c r="G953" s="223">
        <v>1975</v>
      </c>
      <c r="H953" s="223">
        <v>1</v>
      </c>
      <c r="I953" s="223">
        <v>0</v>
      </c>
      <c r="J953" s="223"/>
      <c r="K953" s="229">
        <v>57007.704389999999</v>
      </c>
      <c r="L953" s="241">
        <v>80</v>
      </c>
      <c r="M953" s="229">
        <v>11401.54088</v>
      </c>
      <c r="N953" s="230">
        <v>34.630000000000003</v>
      </c>
      <c r="O953" s="231">
        <v>0</v>
      </c>
      <c r="P953" s="314"/>
      <c r="Q953" s="276">
        <f t="shared" si="36"/>
        <v>1646.19</v>
      </c>
      <c r="R953" s="275">
        <f>(SUMIFS('Dec 31 2018 OFFS'!$AG:$AG,'Dec 31 2018 OFFS'!$AI:$AI,'T1 2019 Pipeline Data Lagasco'!$A953,'Dec 31 2018 OFFS'!$U:$U,'T1 2019 Pipeline Data Lagasco'!$E953,'Dec 31 2018 OFFS'!$AK:$AK,'T1 2019 Pipeline Data Lagasco'!$Q953,'Dec 31 2018 OFFS'!$W:$W,'T1 2019 Pipeline Data Lagasco'!$G953))/(MAX(COUNTIFS('Dec 31 2018 OFFS'!$AI:$AI,'T1 2019 Pipeline Data Lagasco'!$A953,'Dec 31 2018 OFFS'!$U:$U,'T1 2019 Pipeline Data Lagasco'!$E953,'Dec 31 2018 OFFS'!$AK:$AK,'T1 2019 Pipeline Data Lagasco'!$Q953,'Dec 31 2018 OFFS'!$W:$W,'T1 2019 Pipeline Data Lagasco'!$G953),1))</f>
        <v>0</v>
      </c>
      <c r="S953" s="275">
        <f t="shared" si="37"/>
        <v>0</v>
      </c>
    </row>
    <row r="954" spans="1:19" s="217" customFormat="1" ht="14.1" customHeight="1">
      <c r="A954" s="224" t="s">
        <v>1506</v>
      </c>
      <c r="B954" s="218" t="s">
        <v>1507</v>
      </c>
      <c r="C954" s="223">
        <v>1</v>
      </c>
      <c r="D954" s="218" t="s">
        <v>1488</v>
      </c>
      <c r="E954" s="240">
        <v>6</v>
      </c>
      <c r="F954" s="223">
        <v>128</v>
      </c>
      <c r="G954" s="223">
        <v>1975</v>
      </c>
      <c r="H954" s="223">
        <v>1</v>
      </c>
      <c r="I954" s="223">
        <v>0</v>
      </c>
      <c r="J954" s="223"/>
      <c r="K954" s="238">
        <v>4432.6400000000003</v>
      </c>
      <c r="L954" s="241">
        <v>80</v>
      </c>
      <c r="M954" s="239">
        <v>886.52800000000002</v>
      </c>
      <c r="N954" s="230">
        <v>34.630000000000003</v>
      </c>
      <c r="O954" s="231">
        <v>0</v>
      </c>
      <c r="P954" s="314"/>
      <c r="Q954" s="276">
        <f t="shared" si="36"/>
        <v>128</v>
      </c>
      <c r="R954" s="275">
        <f>(SUMIFS('Dec 31 2018 OFFS'!$AG:$AG,'Dec 31 2018 OFFS'!$AI:$AI,'T1 2019 Pipeline Data Lagasco'!$A954,'Dec 31 2018 OFFS'!$U:$U,'T1 2019 Pipeline Data Lagasco'!$E954,'Dec 31 2018 OFFS'!$AK:$AK,'T1 2019 Pipeline Data Lagasco'!$Q954,'Dec 31 2018 OFFS'!$W:$W,'T1 2019 Pipeline Data Lagasco'!$G954))/(MAX(COUNTIFS('Dec 31 2018 OFFS'!$AI:$AI,'T1 2019 Pipeline Data Lagasco'!$A954,'Dec 31 2018 OFFS'!$U:$U,'T1 2019 Pipeline Data Lagasco'!$E954,'Dec 31 2018 OFFS'!$AK:$AK,'T1 2019 Pipeline Data Lagasco'!$Q954,'Dec 31 2018 OFFS'!$W:$W,'T1 2019 Pipeline Data Lagasco'!$G954),1))</f>
        <v>0</v>
      </c>
      <c r="S954" s="275">
        <f t="shared" si="37"/>
        <v>0</v>
      </c>
    </row>
    <row r="955" spans="1:19" s="217" customFormat="1" ht="14.1" customHeight="1">
      <c r="A955" s="224" t="s">
        <v>1506</v>
      </c>
      <c r="B955" s="218" t="s">
        <v>1507</v>
      </c>
      <c r="C955" s="223">
        <v>1</v>
      </c>
      <c r="D955" s="218" t="s">
        <v>1488</v>
      </c>
      <c r="E955" s="240">
        <v>6</v>
      </c>
      <c r="F955" s="226">
        <v>7294.4879780000001</v>
      </c>
      <c r="G955" s="223">
        <v>1971</v>
      </c>
      <c r="H955" s="230">
        <v>0.75</v>
      </c>
      <c r="I955" s="223">
        <v>0</v>
      </c>
      <c r="J955" s="223"/>
      <c r="K955" s="228">
        <v>252608.11869999999</v>
      </c>
      <c r="L955" s="241">
        <v>80</v>
      </c>
      <c r="M955" s="229">
        <v>50521.623729999999</v>
      </c>
      <c r="N955" s="230">
        <v>34.630000000000003</v>
      </c>
      <c r="O955" s="231">
        <v>0</v>
      </c>
      <c r="P955" s="314"/>
      <c r="Q955" s="276">
        <f t="shared" si="36"/>
        <v>7294.49</v>
      </c>
      <c r="R955" s="275">
        <f>(SUMIFS('Dec 31 2018 OFFS'!$AG:$AG,'Dec 31 2018 OFFS'!$AI:$AI,'T1 2019 Pipeline Data Lagasco'!$A955,'Dec 31 2018 OFFS'!$U:$U,'T1 2019 Pipeline Data Lagasco'!$E955,'Dec 31 2018 OFFS'!$AK:$AK,'T1 2019 Pipeline Data Lagasco'!$Q955,'Dec 31 2018 OFFS'!$W:$W,'T1 2019 Pipeline Data Lagasco'!$G955))/(MAX(COUNTIFS('Dec 31 2018 OFFS'!$AI:$AI,'T1 2019 Pipeline Data Lagasco'!$A955,'Dec 31 2018 OFFS'!$U:$U,'T1 2019 Pipeline Data Lagasco'!$E955,'Dec 31 2018 OFFS'!$AK:$AK,'T1 2019 Pipeline Data Lagasco'!$Q955,'Dec 31 2018 OFFS'!$W:$W,'T1 2019 Pipeline Data Lagasco'!$G955),1))</f>
        <v>0</v>
      </c>
      <c r="S955" s="275">
        <f t="shared" si="37"/>
        <v>0</v>
      </c>
    </row>
    <row r="956" spans="1:19" s="217" customFormat="1" ht="14.1" customHeight="1">
      <c r="A956" s="224" t="s">
        <v>1506</v>
      </c>
      <c r="B956" s="218" t="s">
        <v>1507</v>
      </c>
      <c r="C956" s="223">
        <v>1</v>
      </c>
      <c r="D956" s="218" t="s">
        <v>1488</v>
      </c>
      <c r="E956" s="240">
        <v>6</v>
      </c>
      <c r="F956" s="226">
        <v>7239.7307609999998</v>
      </c>
      <c r="G956" s="223">
        <v>1975</v>
      </c>
      <c r="H956" s="223">
        <v>1</v>
      </c>
      <c r="I956" s="223">
        <v>0</v>
      </c>
      <c r="J956" s="223"/>
      <c r="K956" s="228">
        <v>250711.8763</v>
      </c>
      <c r="L956" s="241">
        <v>80</v>
      </c>
      <c r="M956" s="229">
        <v>50142.375249999997</v>
      </c>
      <c r="N956" s="230">
        <v>34.630000000000003</v>
      </c>
      <c r="O956" s="231">
        <v>0</v>
      </c>
      <c r="P956" s="314"/>
      <c r="Q956" s="276">
        <f t="shared" si="36"/>
        <v>7239.73</v>
      </c>
      <c r="R956" s="275">
        <f>(SUMIFS('Dec 31 2018 OFFS'!$AG:$AG,'Dec 31 2018 OFFS'!$AI:$AI,'T1 2019 Pipeline Data Lagasco'!$A956,'Dec 31 2018 OFFS'!$U:$U,'T1 2019 Pipeline Data Lagasco'!$E956,'Dec 31 2018 OFFS'!$AK:$AK,'T1 2019 Pipeline Data Lagasco'!$Q956,'Dec 31 2018 OFFS'!$W:$W,'T1 2019 Pipeline Data Lagasco'!$G956))/(MAX(COUNTIFS('Dec 31 2018 OFFS'!$AI:$AI,'T1 2019 Pipeline Data Lagasco'!$A956,'Dec 31 2018 OFFS'!$U:$U,'T1 2019 Pipeline Data Lagasco'!$E956,'Dec 31 2018 OFFS'!$AK:$AK,'T1 2019 Pipeline Data Lagasco'!$Q956,'Dec 31 2018 OFFS'!$W:$W,'T1 2019 Pipeline Data Lagasco'!$G956),1))</f>
        <v>0</v>
      </c>
      <c r="S956" s="275">
        <f t="shared" si="37"/>
        <v>0</v>
      </c>
    </row>
    <row r="957" spans="1:19" s="217" customFormat="1" ht="14.1" customHeight="1">
      <c r="A957" s="224" t="s">
        <v>1506</v>
      </c>
      <c r="B957" s="218" t="s">
        <v>1507</v>
      </c>
      <c r="C957" s="223">
        <v>1</v>
      </c>
      <c r="D957" s="218" t="s">
        <v>1488</v>
      </c>
      <c r="E957" s="240">
        <v>6</v>
      </c>
      <c r="F957" s="223">
        <v>7300</v>
      </c>
      <c r="G957" s="223">
        <v>1975</v>
      </c>
      <c r="H957" s="230">
        <v>0.75</v>
      </c>
      <c r="I957" s="223">
        <v>0</v>
      </c>
      <c r="J957" s="223"/>
      <c r="K957" s="240">
        <v>252799</v>
      </c>
      <c r="L957" s="241">
        <v>80</v>
      </c>
      <c r="M957" s="237">
        <v>50559.80</v>
      </c>
      <c r="N957" s="230">
        <v>34.630000000000003</v>
      </c>
      <c r="O957" s="231">
        <v>0</v>
      </c>
      <c r="P957" s="314"/>
      <c r="Q957" s="276">
        <f t="shared" si="36"/>
        <v>7300</v>
      </c>
      <c r="R957" s="275">
        <f>(SUMIFS('Dec 31 2018 OFFS'!$AG:$AG,'Dec 31 2018 OFFS'!$AI:$AI,'T1 2019 Pipeline Data Lagasco'!$A957,'Dec 31 2018 OFFS'!$U:$U,'T1 2019 Pipeline Data Lagasco'!$E957,'Dec 31 2018 OFFS'!$AK:$AK,'T1 2019 Pipeline Data Lagasco'!$Q957,'Dec 31 2018 OFFS'!$W:$W,'T1 2019 Pipeline Data Lagasco'!$G957))/(MAX(COUNTIFS('Dec 31 2018 OFFS'!$AI:$AI,'T1 2019 Pipeline Data Lagasco'!$A957,'Dec 31 2018 OFFS'!$U:$U,'T1 2019 Pipeline Data Lagasco'!$E957,'Dec 31 2018 OFFS'!$AK:$AK,'T1 2019 Pipeline Data Lagasco'!$Q957,'Dec 31 2018 OFFS'!$W:$W,'T1 2019 Pipeline Data Lagasco'!$G957),1))</f>
        <v>0</v>
      </c>
      <c r="S957" s="275">
        <f t="shared" si="37"/>
        <v>0</v>
      </c>
    </row>
    <row r="958" spans="1:19" s="217" customFormat="1" ht="14.1" customHeight="1">
      <c r="A958" s="224" t="s">
        <v>1506</v>
      </c>
      <c r="B958" s="218" t="s">
        <v>1507</v>
      </c>
      <c r="C958" s="223">
        <v>1</v>
      </c>
      <c r="D958" s="218" t="s">
        <v>1488</v>
      </c>
      <c r="E958" s="240">
        <v>6</v>
      </c>
      <c r="F958" s="223">
        <v>6639</v>
      </c>
      <c r="G958" s="223">
        <v>1971</v>
      </c>
      <c r="H958" s="230">
        <v>0.75</v>
      </c>
      <c r="I958" s="223">
        <v>0</v>
      </c>
      <c r="J958" s="223"/>
      <c r="K958" s="238">
        <v>229908.57</v>
      </c>
      <c r="L958" s="241">
        <v>80</v>
      </c>
      <c r="M958" s="239">
        <v>45981.714</v>
      </c>
      <c r="N958" s="230">
        <v>34.630000000000003</v>
      </c>
      <c r="O958" s="231">
        <v>0</v>
      </c>
      <c r="P958" s="314"/>
      <c r="Q958" s="276">
        <f t="shared" si="36"/>
        <v>6639</v>
      </c>
      <c r="R958" s="275">
        <f>(SUMIFS('Dec 31 2018 OFFS'!$AG:$AG,'Dec 31 2018 OFFS'!$AI:$AI,'T1 2019 Pipeline Data Lagasco'!$A958,'Dec 31 2018 OFFS'!$U:$U,'T1 2019 Pipeline Data Lagasco'!$E958,'Dec 31 2018 OFFS'!$AK:$AK,'T1 2019 Pipeline Data Lagasco'!$Q958,'Dec 31 2018 OFFS'!$W:$W,'T1 2019 Pipeline Data Lagasco'!$G958))/(MAX(COUNTIFS('Dec 31 2018 OFFS'!$AI:$AI,'T1 2019 Pipeline Data Lagasco'!$A958,'Dec 31 2018 OFFS'!$U:$U,'T1 2019 Pipeline Data Lagasco'!$E958,'Dec 31 2018 OFFS'!$AK:$AK,'T1 2019 Pipeline Data Lagasco'!$Q958,'Dec 31 2018 OFFS'!$W:$W,'T1 2019 Pipeline Data Lagasco'!$G958),1))</f>
        <v>0</v>
      </c>
      <c r="S958" s="275">
        <f t="shared" si="37"/>
        <v>0</v>
      </c>
    </row>
    <row r="959" spans="1:19" s="217" customFormat="1" ht="14.1" customHeight="1">
      <c r="A959" s="224" t="s">
        <v>1506</v>
      </c>
      <c r="B959" s="218" t="s">
        <v>1507</v>
      </c>
      <c r="C959" s="223">
        <v>1</v>
      </c>
      <c r="D959" s="218" t="s">
        <v>1488</v>
      </c>
      <c r="E959" s="240">
        <v>6</v>
      </c>
      <c r="F959" s="223">
        <v>6720</v>
      </c>
      <c r="G959" s="223">
        <v>1975</v>
      </c>
      <c r="H959" s="223">
        <v>1</v>
      </c>
      <c r="I959" s="223">
        <v>0</v>
      </c>
      <c r="J959" s="223"/>
      <c r="K959" s="237">
        <v>232713.60</v>
      </c>
      <c r="L959" s="241">
        <v>80</v>
      </c>
      <c r="M959" s="238">
        <v>46542.72</v>
      </c>
      <c r="N959" s="230">
        <v>34.630000000000003</v>
      </c>
      <c r="O959" s="231">
        <v>0</v>
      </c>
      <c r="P959" s="314"/>
      <c r="Q959" s="276">
        <f t="shared" si="36"/>
        <v>6720</v>
      </c>
      <c r="R959" s="275">
        <f>(SUMIFS('Dec 31 2018 OFFS'!$AG:$AG,'Dec 31 2018 OFFS'!$AI:$AI,'T1 2019 Pipeline Data Lagasco'!$A959,'Dec 31 2018 OFFS'!$U:$U,'T1 2019 Pipeline Data Lagasco'!$E959,'Dec 31 2018 OFFS'!$AK:$AK,'T1 2019 Pipeline Data Lagasco'!$Q959,'Dec 31 2018 OFFS'!$W:$W,'T1 2019 Pipeline Data Lagasco'!$G959))/(MAX(COUNTIFS('Dec 31 2018 OFFS'!$AI:$AI,'T1 2019 Pipeline Data Lagasco'!$A959,'Dec 31 2018 OFFS'!$U:$U,'T1 2019 Pipeline Data Lagasco'!$E959,'Dec 31 2018 OFFS'!$AK:$AK,'T1 2019 Pipeline Data Lagasco'!$Q959,'Dec 31 2018 OFFS'!$W:$W,'T1 2019 Pipeline Data Lagasco'!$G959),1))</f>
        <v>0</v>
      </c>
      <c r="S959" s="275">
        <f t="shared" si="37"/>
        <v>0</v>
      </c>
    </row>
    <row r="960" spans="1:19" s="217" customFormat="1" ht="14.1" customHeight="1">
      <c r="A960" s="224" t="s">
        <v>1506</v>
      </c>
      <c r="B960" s="218" t="s">
        <v>1507</v>
      </c>
      <c r="C960" s="223">
        <v>1</v>
      </c>
      <c r="D960" s="218" t="s">
        <v>1488</v>
      </c>
      <c r="E960" s="240">
        <v>6</v>
      </c>
      <c r="F960" s="223">
        <v>28350</v>
      </c>
      <c r="G960" s="223">
        <v>1975</v>
      </c>
      <c r="H960" s="223">
        <v>1</v>
      </c>
      <c r="I960" s="223">
        <v>0</v>
      </c>
      <c r="J960" s="223"/>
      <c r="K960" s="237">
        <v>981760.50</v>
      </c>
      <c r="L960" s="241">
        <v>80</v>
      </c>
      <c r="M960" s="237">
        <v>196352.10</v>
      </c>
      <c r="N960" s="230">
        <v>34.630000000000003</v>
      </c>
      <c r="O960" s="231">
        <v>0</v>
      </c>
      <c r="P960" s="314"/>
      <c r="Q960" s="276">
        <f t="shared" si="36"/>
        <v>28350</v>
      </c>
      <c r="R960" s="275">
        <f>(SUMIFS('Dec 31 2018 OFFS'!$AG:$AG,'Dec 31 2018 OFFS'!$AI:$AI,'T1 2019 Pipeline Data Lagasco'!$A960,'Dec 31 2018 OFFS'!$U:$U,'T1 2019 Pipeline Data Lagasco'!$E960,'Dec 31 2018 OFFS'!$AK:$AK,'T1 2019 Pipeline Data Lagasco'!$Q960,'Dec 31 2018 OFFS'!$W:$W,'T1 2019 Pipeline Data Lagasco'!$G960))/(MAX(COUNTIFS('Dec 31 2018 OFFS'!$AI:$AI,'T1 2019 Pipeline Data Lagasco'!$A960,'Dec 31 2018 OFFS'!$U:$U,'T1 2019 Pipeline Data Lagasco'!$E960,'Dec 31 2018 OFFS'!$AK:$AK,'T1 2019 Pipeline Data Lagasco'!$Q960,'Dec 31 2018 OFFS'!$W:$W,'T1 2019 Pipeline Data Lagasco'!$G960),1))</f>
        <v>0</v>
      </c>
      <c r="S960" s="275">
        <f t="shared" si="37"/>
        <v>0</v>
      </c>
    </row>
    <row r="961" spans="1:19" s="217" customFormat="1" ht="14.1" customHeight="1">
      <c r="A961" s="224" t="s">
        <v>1506</v>
      </c>
      <c r="B961" s="218" t="s">
        <v>1507</v>
      </c>
      <c r="C961" s="223">
        <v>1</v>
      </c>
      <c r="D961" s="218" t="s">
        <v>1488</v>
      </c>
      <c r="E961" s="240">
        <v>6</v>
      </c>
      <c r="F961" s="223">
        <v>6606</v>
      </c>
      <c r="G961" s="223">
        <v>1975</v>
      </c>
      <c r="H961" s="230">
        <v>0.75</v>
      </c>
      <c r="I961" s="223">
        <v>0</v>
      </c>
      <c r="J961" s="223"/>
      <c r="K961" s="238">
        <v>228765.78</v>
      </c>
      <c r="L961" s="241">
        <v>80</v>
      </c>
      <c r="M961" s="239">
        <v>45753.156000000003</v>
      </c>
      <c r="N961" s="230">
        <v>34.630000000000003</v>
      </c>
      <c r="O961" s="231">
        <v>0</v>
      </c>
      <c r="P961" s="314"/>
      <c r="Q961" s="276">
        <f t="shared" si="36"/>
        <v>6606</v>
      </c>
      <c r="R961" s="275">
        <f>(SUMIFS('Dec 31 2018 OFFS'!$AG:$AG,'Dec 31 2018 OFFS'!$AI:$AI,'T1 2019 Pipeline Data Lagasco'!$A961,'Dec 31 2018 OFFS'!$U:$U,'T1 2019 Pipeline Data Lagasco'!$E961,'Dec 31 2018 OFFS'!$AK:$AK,'T1 2019 Pipeline Data Lagasco'!$Q961,'Dec 31 2018 OFFS'!$W:$W,'T1 2019 Pipeline Data Lagasco'!$G961))/(MAX(COUNTIFS('Dec 31 2018 OFFS'!$AI:$AI,'T1 2019 Pipeline Data Lagasco'!$A961,'Dec 31 2018 OFFS'!$U:$U,'T1 2019 Pipeline Data Lagasco'!$E961,'Dec 31 2018 OFFS'!$AK:$AK,'T1 2019 Pipeline Data Lagasco'!$Q961,'Dec 31 2018 OFFS'!$W:$W,'T1 2019 Pipeline Data Lagasco'!$G961),1))</f>
        <v>0</v>
      </c>
      <c r="S961" s="275">
        <f t="shared" si="37"/>
        <v>0</v>
      </c>
    </row>
    <row r="962" spans="1:19" s="217" customFormat="1" ht="14.1" customHeight="1">
      <c r="A962" s="224" t="s">
        <v>1506</v>
      </c>
      <c r="B962" s="218" t="s">
        <v>1507</v>
      </c>
      <c r="C962" s="223">
        <v>1</v>
      </c>
      <c r="D962" s="218" t="s">
        <v>1488</v>
      </c>
      <c r="E962" s="240">
        <v>6</v>
      </c>
      <c r="F962" s="223">
        <v>14077</v>
      </c>
      <c r="G962" s="223">
        <v>1971</v>
      </c>
      <c r="H962" s="223">
        <v>1</v>
      </c>
      <c r="I962" s="223">
        <v>0</v>
      </c>
      <c r="J962" s="223"/>
      <c r="K962" s="238">
        <v>487486.51</v>
      </c>
      <c r="L962" s="241">
        <v>80</v>
      </c>
      <c r="M962" s="239">
        <v>97497.301999999996</v>
      </c>
      <c r="N962" s="230">
        <v>34.630000000000003</v>
      </c>
      <c r="O962" s="231">
        <v>0</v>
      </c>
      <c r="P962" s="314"/>
      <c r="Q962" s="276">
        <f t="shared" si="36"/>
        <v>14077</v>
      </c>
      <c r="R962" s="275">
        <f>(SUMIFS('Dec 31 2018 OFFS'!$AG:$AG,'Dec 31 2018 OFFS'!$AI:$AI,'T1 2019 Pipeline Data Lagasco'!$A962,'Dec 31 2018 OFFS'!$U:$U,'T1 2019 Pipeline Data Lagasco'!$E962,'Dec 31 2018 OFFS'!$AK:$AK,'T1 2019 Pipeline Data Lagasco'!$Q962,'Dec 31 2018 OFFS'!$W:$W,'T1 2019 Pipeline Data Lagasco'!$G962))/(MAX(COUNTIFS('Dec 31 2018 OFFS'!$AI:$AI,'T1 2019 Pipeline Data Lagasco'!$A962,'Dec 31 2018 OFFS'!$U:$U,'T1 2019 Pipeline Data Lagasco'!$E962,'Dec 31 2018 OFFS'!$AK:$AK,'T1 2019 Pipeline Data Lagasco'!$Q962,'Dec 31 2018 OFFS'!$W:$W,'T1 2019 Pipeline Data Lagasco'!$G962),1))</f>
        <v>0</v>
      </c>
      <c r="S962" s="275">
        <f t="shared" si="37"/>
        <v>0</v>
      </c>
    </row>
    <row r="963" spans="1:19" s="217" customFormat="1" ht="14.1" customHeight="1">
      <c r="A963" s="224" t="s">
        <v>1506</v>
      </c>
      <c r="B963" s="218" t="s">
        <v>1507</v>
      </c>
      <c r="C963" s="223">
        <v>1</v>
      </c>
      <c r="D963" s="218" t="s">
        <v>1488</v>
      </c>
      <c r="E963" s="240">
        <v>6</v>
      </c>
      <c r="F963" s="223">
        <v>14127</v>
      </c>
      <c r="G963" s="223">
        <v>1975</v>
      </c>
      <c r="H963" s="223">
        <v>1</v>
      </c>
      <c r="I963" s="223">
        <v>0</v>
      </c>
      <c r="J963" s="223"/>
      <c r="K963" s="238">
        <v>489218.01</v>
      </c>
      <c r="L963" s="241">
        <v>80</v>
      </c>
      <c r="M963" s="239">
        <v>97843.601999999999</v>
      </c>
      <c r="N963" s="230">
        <v>34.630000000000003</v>
      </c>
      <c r="O963" s="231">
        <v>0</v>
      </c>
      <c r="P963" s="314"/>
      <c r="Q963" s="276">
        <f t="shared" si="36"/>
        <v>14127</v>
      </c>
      <c r="R963" s="275">
        <f>(SUMIFS('Dec 31 2018 OFFS'!$AG:$AG,'Dec 31 2018 OFFS'!$AI:$AI,'T1 2019 Pipeline Data Lagasco'!$A963,'Dec 31 2018 OFFS'!$U:$U,'T1 2019 Pipeline Data Lagasco'!$E963,'Dec 31 2018 OFFS'!$AK:$AK,'T1 2019 Pipeline Data Lagasco'!$Q963,'Dec 31 2018 OFFS'!$W:$W,'T1 2019 Pipeline Data Lagasco'!$G963))/(MAX(COUNTIFS('Dec 31 2018 OFFS'!$AI:$AI,'T1 2019 Pipeline Data Lagasco'!$A963,'Dec 31 2018 OFFS'!$U:$U,'T1 2019 Pipeline Data Lagasco'!$E963,'Dec 31 2018 OFFS'!$AK:$AK,'T1 2019 Pipeline Data Lagasco'!$Q963,'Dec 31 2018 OFFS'!$W:$W,'T1 2019 Pipeline Data Lagasco'!$G963),1))</f>
        <v>0</v>
      </c>
      <c r="S963" s="275">
        <f t="shared" si="37"/>
        <v>0</v>
      </c>
    </row>
    <row r="964" spans="1:19" s="217" customFormat="1" ht="14.1" customHeight="1">
      <c r="A964" s="224" t="s">
        <v>1506</v>
      </c>
      <c r="B964" s="218" t="s">
        <v>1507</v>
      </c>
      <c r="C964" s="223">
        <v>1</v>
      </c>
      <c r="D964" s="218" t="s">
        <v>1488</v>
      </c>
      <c r="E964" s="240">
        <v>6</v>
      </c>
      <c r="F964" s="223">
        <v>14108</v>
      </c>
      <c r="G964" s="223">
        <v>1975</v>
      </c>
      <c r="H964" s="223">
        <v>1</v>
      </c>
      <c r="I964" s="223">
        <v>0</v>
      </c>
      <c r="J964" s="223"/>
      <c r="K964" s="238">
        <v>488560.04</v>
      </c>
      <c r="L964" s="241">
        <v>80</v>
      </c>
      <c r="M964" s="239">
        <v>97712.008000000002</v>
      </c>
      <c r="N964" s="230">
        <v>34.630000000000003</v>
      </c>
      <c r="O964" s="231">
        <v>0</v>
      </c>
      <c r="P964" s="314"/>
      <c r="Q964" s="276">
        <f t="shared" si="36"/>
        <v>14108</v>
      </c>
      <c r="R964" s="275">
        <f>(SUMIFS('Dec 31 2018 OFFS'!$AG:$AG,'Dec 31 2018 OFFS'!$AI:$AI,'T1 2019 Pipeline Data Lagasco'!$A964,'Dec 31 2018 OFFS'!$U:$U,'T1 2019 Pipeline Data Lagasco'!$E964,'Dec 31 2018 OFFS'!$AK:$AK,'T1 2019 Pipeline Data Lagasco'!$Q964,'Dec 31 2018 OFFS'!$W:$W,'T1 2019 Pipeline Data Lagasco'!$G964))/(MAX(COUNTIFS('Dec 31 2018 OFFS'!$AI:$AI,'T1 2019 Pipeline Data Lagasco'!$A964,'Dec 31 2018 OFFS'!$U:$U,'T1 2019 Pipeline Data Lagasco'!$E964,'Dec 31 2018 OFFS'!$AK:$AK,'T1 2019 Pipeline Data Lagasco'!$Q964,'Dec 31 2018 OFFS'!$W:$W,'T1 2019 Pipeline Data Lagasco'!$G964),1))</f>
        <v>0</v>
      </c>
      <c r="S964" s="275">
        <f t="shared" si="37"/>
        <v>0</v>
      </c>
    </row>
    <row r="965" spans="1:19" s="217" customFormat="1" ht="14.1" customHeight="1">
      <c r="A965" s="224" t="s">
        <v>1506</v>
      </c>
      <c r="B965" s="218" t="s">
        <v>1507</v>
      </c>
      <c r="C965" s="223">
        <v>1</v>
      </c>
      <c r="D965" s="218" t="s">
        <v>1488</v>
      </c>
      <c r="E965" s="240">
        <v>6</v>
      </c>
      <c r="F965" s="223">
        <v>9363</v>
      </c>
      <c r="G965" s="223">
        <v>1971</v>
      </c>
      <c r="H965" s="230">
        <v>0.75</v>
      </c>
      <c r="I965" s="223">
        <v>0</v>
      </c>
      <c r="J965" s="223"/>
      <c r="K965" s="238">
        <v>324240.69</v>
      </c>
      <c r="L965" s="241">
        <v>80</v>
      </c>
      <c r="M965" s="239">
        <v>64848.137999999999</v>
      </c>
      <c r="N965" s="230">
        <v>34.630000000000003</v>
      </c>
      <c r="O965" s="231">
        <v>0</v>
      </c>
      <c r="P965" s="314"/>
      <c r="Q965" s="276">
        <f t="shared" si="36"/>
        <v>9363</v>
      </c>
      <c r="R965" s="275">
        <f>(SUMIFS('Dec 31 2018 OFFS'!$AG:$AG,'Dec 31 2018 OFFS'!$AI:$AI,'T1 2019 Pipeline Data Lagasco'!$A965,'Dec 31 2018 OFFS'!$U:$U,'T1 2019 Pipeline Data Lagasco'!$E965,'Dec 31 2018 OFFS'!$AK:$AK,'T1 2019 Pipeline Data Lagasco'!$Q965,'Dec 31 2018 OFFS'!$W:$W,'T1 2019 Pipeline Data Lagasco'!$G965))/(MAX(COUNTIFS('Dec 31 2018 OFFS'!$AI:$AI,'T1 2019 Pipeline Data Lagasco'!$A965,'Dec 31 2018 OFFS'!$U:$U,'T1 2019 Pipeline Data Lagasco'!$E965,'Dec 31 2018 OFFS'!$AK:$AK,'T1 2019 Pipeline Data Lagasco'!$Q965,'Dec 31 2018 OFFS'!$W:$W,'T1 2019 Pipeline Data Lagasco'!$G965),1))</f>
        <v>0</v>
      </c>
      <c r="S965" s="275">
        <f t="shared" si="37"/>
        <v>0</v>
      </c>
    </row>
    <row r="966" spans="1:19" s="217" customFormat="1" ht="14.1" customHeight="1">
      <c r="A966" s="224" t="s">
        <v>1506</v>
      </c>
      <c r="B966" s="218" t="s">
        <v>1507</v>
      </c>
      <c r="C966" s="223">
        <v>1</v>
      </c>
      <c r="D966" s="218" t="s">
        <v>1488</v>
      </c>
      <c r="E966" s="240">
        <v>6</v>
      </c>
      <c r="F966" s="223">
        <v>9247</v>
      </c>
      <c r="G966" s="223">
        <v>1975</v>
      </c>
      <c r="H966" s="223">
        <v>1</v>
      </c>
      <c r="I966" s="223">
        <v>0</v>
      </c>
      <c r="J966" s="223"/>
      <c r="K966" s="238">
        <v>320223.61</v>
      </c>
      <c r="L966" s="241">
        <v>80</v>
      </c>
      <c r="M966" s="239">
        <v>64044.722000000002</v>
      </c>
      <c r="N966" s="230">
        <v>34.630000000000003</v>
      </c>
      <c r="O966" s="231">
        <v>0</v>
      </c>
      <c r="P966" s="314"/>
      <c r="Q966" s="276">
        <f t="shared" si="36"/>
        <v>9247</v>
      </c>
      <c r="R966" s="275">
        <f>(SUMIFS('Dec 31 2018 OFFS'!$AG:$AG,'Dec 31 2018 OFFS'!$AI:$AI,'T1 2019 Pipeline Data Lagasco'!$A966,'Dec 31 2018 OFFS'!$U:$U,'T1 2019 Pipeline Data Lagasco'!$E966,'Dec 31 2018 OFFS'!$AK:$AK,'T1 2019 Pipeline Data Lagasco'!$Q966,'Dec 31 2018 OFFS'!$W:$W,'T1 2019 Pipeline Data Lagasco'!$G966))/(MAX(COUNTIFS('Dec 31 2018 OFFS'!$AI:$AI,'T1 2019 Pipeline Data Lagasco'!$A966,'Dec 31 2018 OFFS'!$U:$U,'T1 2019 Pipeline Data Lagasco'!$E966,'Dec 31 2018 OFFS'!$AK:$AK,'T1 2019 Pipeline Data Lagasco'!$Q966,'Dec 31 2018 OFFS'!$W:$W,'T1 2019 Pipeline Data Lagasco'!$G966),1))</f>
        <v>0</v>
      </c>
      <c r="S966" s="275">
        <f t="shared" si="37"/>
        <v>0</v>
      </c>
    </row>
    <row r="967" spans="1:19" s="217" customFormat="1" ht="14.1" customHeight="1">
      <c r="A967" s="224" t="s">
        <v>1506</v>
      </c>
      <c r="B967" s="218" t="s">
        <v>1507</v>
      </c>
      <c r="C967" s="223">
        <v>1</v>
      </c>
      <c r="D967" s="218" t="s">
        <v>1488</v>
      </c>
      <c r="E967" s="240">
        <v>6</v>
      </c>
      <c r="F967" s="223">
        <v>9103</v>
      </c>
      <c r="G967" s="223">
        <v>1975</v>
      </c>
      <c r="H967" s="223">
        <v>1</v>
      </c>
      <c r="I967" s="223">
        <v>0</v>
      </c>
      <c r="J967" s="223"/>
      <c r="K967" s="238">
        <v>315236.89</v>
      </c>
      <c r="L967" s="241">
        <v>80</v>
      </c>
      <c r="M967" s="239">
        <v>63047.377999999997</v>
      </c>
      <c r="N967" s="230">
        <v>34.630000000000003</v>
      </c>
      <c r="O967" s="231">
        <v>0</v>
      </c>
      <c r="P967" s="314"/>
      <c r="Q967" s="276">
        <f t="shared" si="36"/>
        <v>9103</v>
      </c>
      <c r="R967" s="275">
        <f>(SUMIFS('Dec 31 2018 OFFS'!$AG:$AG,'Dec 31 2018 OFFS'!$AI:$AI,'T1 2019 Pipeline Data Lagasco'!$A967,'Dec 31 2018 OFFS'!$U:$U,'T1 2019 Pipeline Data Lagasco'!$E967,'Dec 31 2018 OFFS'!$AK:$AK,'T1 2019 Pipeline Data Lagasco'!$Q967,'Dec 31 2018 OFFS'!$W:$W,'T1 2019 Pipeline Data Lagasco'!$G967))/(MAX(COUNTIFS('Dec 31 2018 OFFS'!$AI:$AI,'T1 2019 Pipeline Data Lagasco'!$A967,'Dec 31 2018 OFFS'!$U:$U,'T1 2019 Pipeline Data Lagasco'!$E967,'Dec 31 2018 OFFS'!$AK:$AK,'T1 2019 Pipeline Data Lagasco'!$Q967,'Dec 31 2018 OFFS'!$W:$W,'T1 2019 Pipeline Data Lagasco'!$G967),1))</f>
        <v>0</v>
      </c>
      <c r="S967" s="275">
        <f t="shared" si="37"/>
        <v>0</v>
      </c>
    </row>
    <row r="968" spans="1:19" s="217" customFormat="1" ht="14.1" customHeight="1">
      <c r="A968" s="224" t="s">
        <v>1508</v>
      </c>
      <c r="B968" s="218" t="s">
        <v>1509</v>
      </c>
      <c r="C968" s="223">
        <v>1</v>
      </c>
      <c r="D968" s="218" t="s">
        <v>1488</v>
      </c>
      <c r="E968" s="240">
        <v>6</v>
      </c>
      <c r="F968" s="236">
        <v>10274.63881</v>
      </c>
      <c r="G968" s="223">
        <v>1971</v>
      </c>
      <c r="H968" s="230">
        <v>0.75</v>
      </c>
      <c r="I968" s="223">
        <v>0</v>
      </c>
      <c r="J968" s="223"/>
      <c r="K968" s="239">
        <v>355810.74200000003</v>
      </c>
      <c r="L968" s="241">
        <v>80</v>
      </c>
      <c r="M968" s="228">
        <v>71162.148400000005</v>
      </c>
      <c r="N968" s="230">
        <v>34.630000000000003</v>
      </c>
      <c r="O968" s="231">
        <v>0</v>
      </c>
      <c r="P968" s="314"/>
      <c r="Q968" s="276">
        <f t="shared" si="36"/>
        <v>10274.64</v>
      </c>
      <c r="R968" s="275">
        <f>(SUMIFS('Dec 31 2018 OFFS'!$AG:$AG,'Dec 31 2018 OFFS'!$AI:$AI,'T1 2019 Pipeline Data Lagasco'!$A968,'Dec 31 2018 OFFS'!$U:$U,'T1 2019 Pipeline Data Lagasco'!$E968,'Dec 31 2018 OFFS'!$AK:$AK,'T1 2019 Pipeline Data Lagasco'!$Q968,'Dec 31 2018 OFFS'!$W:$W,'T1 2019 Pipeline Data Lagasco'!$G968))/(MAX(COUNTIFS('Dec 31 2018 OFFS'!$AI:$AI,'T1 2019 Pipeline Data Lagasco'!$A968,'Dec 31 2018 OFFS'!$U:$U,'T1 2019 Pipeline Data Lagasco'!$E968,'Dec 31 2018 OFFS'!$AK:$AK,'T1 2019 Pipeline Data Lagasco'!$Q968,'Dec 31 2018 OFFS'!$W:$W,'T1 2019 Pipeline Data Lagasco'!$G968),1))</f>
        <v>0</v>
      </c>
      <c r="S968" s="275">
        <f t="shared" si="37"/>
        <v>0</v>
      </c>
    </row>
    <row r="969" spans="1:19" s="217" customFormat="1" ht="14.1" customHeight="1">
      <c r="A969" s="224" t="s">
        <v>1508</v>
      </c>
      <c r="B969" s="218" t="s">
        <v>1509</v>
      </c>
      <c r="C969" s="223">
        <v>1</v>
      </c>
      <c r="D969" s="218" t="s">
        <v>1488</v>
      </c>
      <c r="E969" s="240">
        <v>6</v>
      </c>
      <c r="F969" s="226">
        <v>9201.0824109999994</v>
      </c>
      <c r="G969" s="223">
        <v>1975</v>
      </c>
      <c r="H969" s="223">
        <v>1</v>
      </c>
      <c r="I969" s="223">
        <v>0</v>
      </c>
      <c r="J969" s="223"/>
      <c r="K969" s="228">
        <v>318633.48389999999</v>
      </c>
      <c r="L969" s="241">
        <v>80</v>
      </c>
      <c r="M969" s="229">
        <v>63726.696779999998</v>
      </c>
      <c r="N969" s="230">
        <v>34.630000000000003</v>
      </c>
      <c r="O969" s="231">
        <v>0</v>
      </c>
      <c r="P969" s="314"/>
      <c r="Q969" s="276">
        <f t="shared" si="36"/>
        <v>9201.08</v>
      </c>
      <c r="R969" s="275">
        <f>(SUMIFS('Dec 31 2018 OFFS'!$AG:$AG,'Dec 31 2018 OFFS'!$AI:$AI,'T1 2019 Pipeline Data Lagasco'!$A969,'Dec 31 2018 OFFS'!$U:$U,'T1 2019 Pipeline Data Lagasco'!$E969,'Dec 31 2018 OFFS'!$AK:$AK,'T1 2019 Pipeline Data Lagasco'!$Q969,'Dec 31 2018 OFFS'!$W:$W,'T1 2019 Pipeline Data Lagasco'!$G969))/(MAX(COUNTIFS('Dec 31 2018 OFFS'!$AI:$AI,'T1 2019 Pipeline Data Lagasco'!$A969,'Dec 31 2018 OFFS'!$U:$U,'T1 2019 Pipeline Data Lagasco'!$E969,'Dec 31 2018 OFFS'!$AK:$AK,'T1 2019 Pipeline Data Lagasco'!$Q969,'Dec 31 2018 OFFS'!$W:$W,'T1 2019 Pipeline Data Lagasco'!$G969),1))</f>
        <v>0</v>
      </c>
      <c r="S969" s="275">
        <f t="shared" si="37"/>
        <v>0</v>
      </c>
    </row>
    <row r="970" spans="1:19" s="217" customFormat="1" ht="14.1" customHeight="1">
      <c r="A970" s="224" t="s">
        <v>1508</v>
      </c>
      <c r="B970" s="218" t="s">
        <v>1509</v>
      </c>
      <c r="C970" s="223">
        <v>1</v>
      </c>
      <c r="D970" s="218" t="s">
        <v>1488</v>
      </c>
      <c r="E970" s="240">
        <v>6</v>
      </c>
      <c r="F970" s="223">
        <v>11567</v>
      </c>
      <c r="G970" s="223">
        <v>1975</v>
      </c>
      <c r="H970" s="230">
        <v>0.75</v>
      </c>
      <c r="I970" s="223">
        <v>0</v>
      </c>
      <c r="J970" s="223"/>
      <c r="K970" s="238">
        <v>400565.21</v>
      </c>
      <c r="L970" s="241">
        <v>80</v>
      </c>
      <c r="M970" s="239">
        <v>80113.042000000001</v>
      </c>
      <c r="N970" s="230">
        <v>34.630000000000003</v>
      </c>
      <c r="O970" s="231">
        <v>0</v>
      </c>
      <c r="P970" s="314"/>
      <c r="Q970" s="276">
        <f t="shared" si="36"/>
        <v>11567</v>
      </c>
      <c r="R970" s="275">
        <f>(SUMIFS('Dec 31 2018 OFFS'!$AG:$AG,'Dec 31 2018 OFFS'!$AI:$AI,'T1 2019 Pipeline Data Lagasco'!$A970,'Dec 31 2018 OFFS'!$U:$U,'T1 2019 Pipeline Data Lagasco'!$E970,'Dec 31 2018 OFFS'!$AK:$AK,'T1 2019 Pipeline Data Lagasco'!$Q970,'Dec 31 2018 OFFS'!$W:$W,'T1 2019 Pipeline Data Lagasco'!$G970))/(MAX(COUNTIFS('Dec 31 2018 OFFS'!$AI:$AI,'T1 2019 Pipeline Data Lagasco'!$A970,'Dec 31 2018 OFFS'!$U:$U,'T1 2019 Pipeline Data Lagasco'!$E970,'Dec 31 2018 OFFS'!$AK:$AK,'T1 2019 Pipeline Data Lagasco'!$Q970,'Dec 31 2018 OFFS'!$W:$W,'T1 2019 Pipeline Data Lagasco'!$G970),1))</f>
        <v>0</v>
      </c>
      <c r="S970" s="275">
        <f t="shared" si="37"/>
        <v>0</v>
      </c>
    </row>
    <row r="971" spans="1:19" s="217" customFormat="1" ht="14.1" customHeight="1">
      <c r="A971" s="224" t="s">
        <v>1508</v>
      </c>
      <c r="B971" s="218" t="s">
        <v>1509</v>
      </c>
      <c r="C971" s="223">
        <v>1</v>
      </c>
      <c r="D971" s="218" t="s">
        <v>1488</v>
      </c>
      <c r="E971" s="240">
        <v>6</v>
      </c>
      <c r="F971" s="226">
        <v>3495.2098729999998</v>
      </c>
      <c r="G971" s="223">
        <v>1975</v>
      </c>
      <c r="H971" s="223">
        <v>1</v>
      </c>
      <c r="I971" s="223">
        <v>0</v>
      </c>
      <c r="J971" s="223"/>
      <c r="K971" s="228">
        <v>121039.1179</v>
      </c>
      <c r="L971" s="241">
        <v>80</v>
      </c>
      <c r="M971" s="229">
        <v>24207.82358</v>
      </c>
      <c r="N971" s="230">
        <v>34.630000000000003</v>
      </c>
      <c r="O971" s="231">
        <v>0</v>
      </c>
      <c r="P971" s="314"/>
      <c r="Q971" s="276">
        <f t="shared" si="36"/>
        <v>3495.21</v>
      </c>
      <c r="R971" s="275">
        <f>(SUMIFS('Dec 31 2018 OFFS'!$AG:$AG,'Dec 31 2018 OFFS'!$AI:$AI,'T1 2019 Pipeline Data Lagasco'!$A971,'Dec 31 2018 OFFS'!$U:$U,'T1 2019 Pipeline Data Lagasco'!$E971,'Dec 31 2018 OFFS'!$AK:$AK,'T1 2019 Pipeline Data Lagasco'!$Q971,'Dec 31 2018 OFFS'!$W:$W,'T1 2019 Pipeline Data Lagasco'!$G971))/(MAX(COUNTIFS('Dec 31 2018 OFFS'!$AI:$AI,'T1 2019 Pipeline Data Lagasco'!$A971,'Dec 31 2018 OFFS'!$U:$U,'T1 2019 Pipeline Data Lagasco'!$E971,'Dec 31 2018 OFFS'!$AK:$AK,'T1 2019 Pipeline Data Lagasco'!$Q971,'Dec 31 2018 OFFS'!$W:$W,'T1 2019 Pipeline Data Lagasco'!$G971),1))</f>
        <v>0</v>
      </c>
      <c r="S971" s="275">
        <f t="shared" si="37"/>
        <v>0</v>
      </c>
    </row>
    <row r="972" spans="1:19" s="217" customFormat="1" ht="14.1" customHeight="1">
      <c r="A972" s="224" t="s">
        <v>1508</v>
      </c>
      <c r="B972" s="218" t="s">
        <v>1509</v>
      </c>
      <c r="C972" s="223">
        <v>1</v>
      </c>
      <c r="D972" s="218" t="s">
        <v>1488</v>
      </c>
      <c r="E972" s="240">
        <v>6</v>
      </c>
      <c r="F972" s="236">
        <v>3514.9277200000001</v>
      </c>
      <c r="G972" s="223">
        <v>1971</v>
      </c>
      <c r="H972" s="230">
        <v>0.75</v>
      </c>
      <c r="I972" s="223">
        <v>0</v>
      </c>
      <c r="J972" s="223"/>
      <c r="K972" s="228">
        <v>121721.9469</v>
      </c>
      <c r="L972" s="241">
        <v>80</v>
      </c>
      <c r="M972" s="229">
        <v>24344.38939</v>
      </c>
      <c r="N972" s="230">
        <v>34.630000000000003</v>
      </c>
      <c r="O972" s="231">
        <v>0</v>
      </c>
      <c r="P972" s="314"/>
      <c r="Q972" s="276">
        <f t="shared" si="36"/>
        <v>3514.93</v>
      </c>
      <c r="R972" s="275">
        <f>(SUMIFS('Dec 31 2018 OFFS'!$AG:$AG,'Dec 31 2018 OFFS'!$AI:$AI,'T1 2019 Pipeline Data Lagasco'!$A972,'Dec 31 2018 OFFS'!$U:$U,'T1 2019 Pipeline Data Lagasco'!$E972,'Dec 31 2018 OFFS'!$AK:$AK,'T1 2019 Pipeline Data Lagasco'!$Q972,'Dec 31 2018 OFFS'!$W:$W,'T1 2019 Pipeline Data Lagasco'!$G972))/(MAX(COUNTIFS('Dec 31 2018 OFFS'!$AI:$AI,'T1 2019 Pipeline Data Lagasco'!$A972,'Dec 31 2018 OFFS'!$U:$U,'T1 2019 Pipeline Data Lagasco'!$E972,'Dec 31 2018 OFFS'!$AK:$AK,'T1 2019 Pipeline Data Lagasco'!$Q972,'Dec 31 2018 OFFS'!$W:$W,'T1 2019 Pipeline Data Lagasco'!$G972),1))</f>
        <v>0</v>
      </c>
      <c r="S972" s="275">
        <f t="shared" si="37"/>
        <v>0</v>
      </c>
    </row>
    <row r="973" spans="1:19" s="217" customFormat="1" ht="14.1" customHeight="1">
      <c r="A973" s="224" t="s">
        <v>1508</v>
      </c>
      <c r="B973" s="218" t="s">
        <v>1509</v>
      </c>
      <c r="C973" s="223">
        <v>1</v>
      </c>
      <c r="D973" s="218" t="s">
        <v>1488</v>
      </c>
      <c r="E973" s="240">
        <v>6</v>
      </c>
      <c r="F973" s="223">
        <v>3656</v>
      </c>
      <c r="G973" s="223">
        <v>1975</v>
      </c>
      <c r="H973" s="230">
        <v>0.75</v>
      </c>
      <c r="I973" s="223">
        <v>0</v>
      </c>
      <c r="J973" s="223"/>
      <c r="K973" s="238">
        <v>126607.28</v>
      </c>
      <c r="L973" s="241">
        <v>80</v>
      </c>
      <c r="M973" s="239">
        <v>25321.455999999998</v>
      </c>
      <c r="N973" s="230">
        <v>34.630000000000003</v>
      </c>
      <c r="O973" s="231">
        <v>0</v>
      </c>
      <c r="P973" s="314"/>
      <c r="Q973" s="276">
        <f t="shared" si="36"/>
        <v>3656</v>
      </c>
      <c r="R973" s="275">
        <f>(SUMIFS('Dec 31 2018 OFFS'!$AG:$AG,'Dec 31 2018 OFFS'!$AI:$AI,'T1 2019 Pipeline Data Lagasco'!$A973,'Dec 31 2018 OFFS'!$U:$U,'T1 2019 Pipeline Data Lagasco'!$E973,'Dec 31 2018 OFFS'!$AK:$AK,'T1 2019 Pipeline Data Lagasco'!$Q973,'Dec 31 2018 OFFS'!$W:$W,'T1 2019 Pipeline Data Lagasco'!$G973))/(MAX(COUNTIFS('Dec 31 2018 OFFS'!$AI:$AI,'T1 2019 Pipeline Data Lagasco'!$A973,'Dec 31 2018 OFFS'!$U:$U,'T1 2019 Pipeline Data Lagasco'!$E973,'Dec 31 2018 OFFS'!$AK:$AK,'T1 2019 Pipeline Data Lagasco'!$Q973,'Dec 31 2018 OFFS'!$W:$W,'T1 2019 Pipeline Data Lagasco'!$G973),1))</f>
        <v>0</v>
      </c>
      <c r="S973" s="275">
        <f t="shared" si="37"/>
        <v>0</v>
      </c>
    </row>
    <row r="974" spans="1:18" s="217" customFormat="1" ht="14.1" customHeight="1">
      <c r="A974" s="224" t="s">
        <v>1508</v>
      </c>
      <c r="B974" s="218" t="s">
        <v>1509</v>
      </c>
      <c r="C974" s="223">
        <v>3</v>
      </c>
      <c r="D974" s="218" t="s">
        <v>1493</v>
      </c>
      <c r="E974" s="240">
        <v>6</v>
      </c>
      <c r="F974" s="246">
        <v>5469</v>
      </c>
      <c r="G974" s="223">
        <v>1970</v>
      </c>
      <c r="H974" s="223">
        <v>1</v>
      </c>
      <c r="I974" s="246">
        <v>0</v>
      </c>
      <c r="J974" s="223"/>
      <c r="K974" s="247">
        <v>251191.17</v>
      </c>
      <c r="L974" s="241">
        <v>65</v>
      </c>
      <c r="M974" s="247">
        <v>87916.909499999994</v>
      </c>
      <c r="N974" s="230">
        <v>45.93</v>
      </c>
      <c r="O974" s="248">
        <v>0</v>
      </c>
      <c r="P974" s="317" t="s">
        <v>1560</v>
      </c>
      <c r="R974" s="223"/>
    </row>
    <row r="975" spans="1:18" s="217" customFormat="1" ht="14.1" customHeight="1">
      <c r="A975" s="224" t="s">
        <v>1508</v>
      </c>
      <c r="B975" s="218" t="s">
        <v>1509</v>
      </c>
      <c r="C975" s="223">
        <v>3</v>
      </c>
      <c r="D975" s="218" t="s">
        <v>1493</v>
      </c>
      <c r="E975" s="240">
        <v>6</v>
      </c>
      <c r="F975" s="246">
        <v>5469</v>
      </c>
      <c r="G975" s="223">
        <v>1970</v>
      </c>
      <c r="H975" s="230">
        <v>0.75</v>
      </c>
      <c r="I975" s="246">
        <v>0</v>
      </c>
      <c r="J975" s="223"/>
      <c r="K975" s="247">
        <v>251191.17</v>
      </c>
      <c r="L975" s="241">
        <v>65</v>
      </c>
      <c r="M975" s="247">
        <v>87916.909499999994</v>
      </c>
      <c r="N975" s="230">
        <v>45.93</v>
      </c>
      <c r="O975" s="248">
        <v>0</v>
      </c>
      <c r="P975" s="317" t="s">
        <v>1560</v>
      </c>
      <c r="R975" s="223"/>
    </row>
    <row r="976" spans="1:19" s="217" customFormat="1" ht="14.1" customHeight="1">
      <c r="A976" s="224" t="s">
        <v>1510</v>
      </c>
      <c r="B976" s="218" t="s">
        <v>1511</v>
      </c>
      <c r="C976" s="223">
        <v>1</v>
      </c>
      <c r="D976" s="218" t="s">
        <v>1488</v>
      </c>
      <c r="E976" s="240">
        <v>6</v>
      </c>
      <c r="F976" s="230">
        <v>10210.629999999999</v>
      </c>
      <c r="G976" s="223">
        <v>1999</v>
      </c>
      <c r="H976" s="223">
        <v>1</v>
      </c>
      <c r="I976" s="223">
        <v>1</v>
      </c>
      <c r="J976" s="223"/>
      <c r="K976" s="228">
        <v>353594.11690000002</v>
      </c>
      <c r="L976" s="241">
        <v>62</v>
      </c>
      <c r="M976" s="228">
        <v>134365.76439999999</v>
      </c>
      <c r="N976" s="230">
        <v>34.630000000000003</v>
      </c>
      <c r="O976" s="231">
        <v>134365</v>
      </c>
      <c r="P976" s="314"/>
      <c r="Q976" s="276">
        <f t="shared" si="38" ref="Q976:Q984">ROUND(F976,2)</f>
        <v>10210.629999999999</v>
      </c>
      <c r="R976" s="275">
        <f>(SUMIFS('Dec 31 2018 OFFS'!$AG:$AG,'Dec 31 2018 OFFS'!$AI:$AI,'T1 2019 Pipeline Data Lagasco'!$A976,'Dec 31 2018 OFFS'!$U:$U,'T1 2019 Pipeline Data Lagasco'!$E976,'Dec 31 2018 OFFS'!$AK:$AK,'T1 2019 Pipeline Data Lagasco'!$Q976,'Dec 31 2018 OFFS'!$W:$W,'T1 2019 Pipeline Data Lagasco'!$G976))/(MAX(COUNTIFS('Dec 31 2018 OFFS'!$AI:$AI,'T1 2019 Pipeline Data Lagasco'!$A976,'Dec 31 2018 OFFS'!$U:$U,'T1 2019 Pipeline Data Lagasco'!$E976,'Dec 31 2018 OFFS'!$AK:$AK,'T1 2019 Pipeline Data Lagasco'!$Q976,'Dec 31 2018 OFFS'!$W:$W,'T1 2019 Pipeline Data Lagasco'!$G976),1))</f>
        <v>134365</v>
      </c>
      <c r="S976" s="275">
        <f t="shared" si="39" ref="S976:S984">O976-R976</f>
        <v>0</v>
      </c>
    </row>
    <row r="977" spans="1:19" s="217" customFormat="1" ht="14.1" customHeight="1">
      <c r="A977" s="224" t="s">
        <v>1510</v>
      </c>
      <c r="B977" s="218" t="s">
        <v>1511</v>
      </c>
      <c r="C977" s="223">
        <v>1</v>
      </c>
      <c r="D977" s="218" t="s">
        <v>1488</v>
      </c>
      <c r="E977" s="240">
        <v>6</v>
      </c>
      <c r="F977" s="230">
        <v>11406.86</v>
      </c>
      <c r="G977" s="223">
        <v>1999</v>
      </c>
      <c r="H977" s="223">
        <v>1</v>
      </c>
      <c r="I977" s="223">
        <v>1</v>
      </c>
      <c r="J977" s="223"/>
      <c r="K977" s="228">
        <v>395019.56180000002</v>
      </c>
      <c r="L977" s="241">
        <v>62</v>
      </c>
      <c r="M977" s="228">
        <v>150107.43350000001</v>
      </c>
      <c r="N977" s="230">
        <v>34.630000000000003</v>
      </c>
      <c r="O977" s="231">
        <v>150107</v>
      </c>
      <c r="P977" s="314"/>
      <c r="Q977" s="276">
        <f t="shared" si="38"/>
        <v>11406.86</v>
      </c>
      <c r="R977" s="275">
        <f>(SUMIFS('Dec 31 2018 OFFS'!$AG:$AG,'Dec 31 2018 OFFS'!$AI:$AI,'T1 2019 Pipeline Data Lagasco'!$A977,'Dec 31 2018 OFFS'!$U:$U,'T1 2019 Pipeline Data Lagasco'!$E977,'Dec 31 2018 OFFS'!$AK:$AK,'T1 2019 Pipeline Data Lagasco'!$Q977,'Dec 31 2018 OFFS'!$W:$W,'T1 2019 Pipeline Data Lagasco'!$G977))/(MAX(COUNTIFS('Dec 31 2018 OFFS'!$AI:$AI,'T1 2019 Pipeline Data Lagasco'!$A977,'Dec 31 2018 OFFS'!$U:$U,'T1 2019 Pipeline Data Lagasco'!$E977,'Dec 31 2018 OFFS'!$AK:$AK,'T1 2019 Pipeline Data Lagasco'!$Q977,'Dec 31 2018 OFFS'!$W:$W,'T1 2019 Pipeline Data Lagasco'!$G977),1))</f>
        <v>150107</v>
      </c>
      <c r="S977" s="275">
        <f t="shared" si="39"/>
        <v>0</v>
      </c>
    </row>
    <row r="978" spans="1:19" s="217" customFormat="1" ht="14.1" customHeight="1">
      <c r="A978" s="224" t="s">
        <v>1512</v>
      </c>
      <c r="B978" s="218" t="s">
        <v>1513</v>
      </c>
      <c r="C978" s="223">
        <v>1</v>
      </c>
      <c r="D978" s="218" t="s">
        <v>1488</v>
      </c>
      <c r="E978" s="240">
        <v>6</v>
      </c>
      <c r="F978" s="230">
        <v>569.69000000000005</v>
      </c>
      <c r="G978" s="223">
        <v>1999</v>
      </c>
      <c r="H978" s="223">
        <v>1</v>
      </c>
      <c r="I978" s="223">
        <v>1</v>
      </c>
      <c r="J978" s="223"/>
      <c r="K978" s="228">
        <v>19728.364699999998</v>
      </c>
      <c r="L978" s="241">
        <v>62</v>
      </c>
      <c r="M978" s="233">
        <v>7496.7785860000004</v>
      </c>
      <c r="N978" s="230">
        <v>34.630000000000003</v>
      </c>
      <c r="O978" s="231">
        <v>7496</v>
      </c>
      <c r="P978" s="314"/>
      <c r="Q978" s="276">
        <f t="shared" si="38"/>
        <v>569.69000000000005</v>
      </c>
      <c r="R978" s="275">
        <f>(SUMIFS('Dec 31 2018 OFFS'!$AG:$AG,'Dec 31 2018 OFFS'!$AI:$AI,'T1 2019 Pipeline Data Lagasco'!$A978,'Dec 31 2018 OFFS'!$U:$U,'T1 2019 Pipeline Data Lagasco'!$E978,'Dec 31 2018 OFFS'!$AK:$AK,'T1 2019 Pipeline Data Lagasco'!$Q978,'Dec 31 2018 OFFS'!$W:$W,'T1 2019 Pipeline Data Lagasco'!$G978))/(MAX(COUNTIFS('Dec 31 2018 OFFS'!$AI:$AI,'T1 2019 Pipeline Data Lagasco'!$A978,'Dec 31 2018 OFFS'!$U:$U,'T1 2019 Pipeline Data Lagasco'!$E978,'Dec 31 2018 OFFS'!$AK:$AK,'T1 2019 Pipeline Data Lagasco'!$Q978,'Dec 31 2018 OFFS'!$W:$W,'T1 2019 Pipeline Data Lagasco'!$G978),1))</f>
        <v>7496</v>
      </c>
      <c r="S978" s="275">
        <f t="shared" si="39"/>
        <v>0</v>
      </c>
    </row>
    <row r="979" spans="1:19" s="217" customFormat="1" ht="14.1" customHeight="1">
      <c r="A979" s="224" t="s">
        <v>1512</v>
      </c>
      <c r="B979" s="218" t="s">
        <v>1513</v>
      </c>
      <c r="C979" s="223">
        <v>1</v>
      </c>
      <c r="D979" s="218" t="s">
        <v>1488</v>
      </c>
      <c r="E979" s="240">
        <v>6</v>
      </c>
      <c r="F979" s="230">
        <v>11944.23</v>
      </c>
      <c r="G979" s="223">
        <v>1999</v>
      </c>
      <c r="H979" s="223">
        <v>1</v>
      </c>
      <c r="I979" s="223">
        <v>1</v>
      </c>
      <c r="J979" s="223"/>
      <c r="K979" s="228">
        <v>413628.68489999999</v>
      </c>
      <c r="L979" s="241">
        <v>62</v>
      </c>
      <c r="M979" s="228">
        <v>157178.90030000001</v>
      </c>
      <c r="N979" s="230">
        <v>34.630000000000003</v>
      </c>
      <c r="O979" s="231">
        <v>157178</v>
      </c>
      <c r="P979" s="314"/>
      <c r="Q979" s="276">
        <f t="shared" si="38"/>
        <v>11944.23</v>
      </c>
      <c r="R979" s="275">
        <f>(SUMIFS('Dec 31 2018 OFFS'!$AG:$AG,'Dec 31 2018 OFFS'!$AI:$AI,'T1 2019 Pipeline Data Lagasco'!$A979,'Dec 31 2018 OFFS'!$U:$U,'T1 2019 Pipeline Data Lagasco'!$E979,'Dec 31 2018 OFFS'!$AK:$AK,'T1 2019 Pipeline Data Lagasco'!$Q979,'Dec 31 2018 OFFS'!$W:$W,'T1 2019 Pipeline Data Lagasco'!$G979))/(MAX(COUNTIFS('Dec 31 2018 OFFS'!$AI:$AI,'T1 2019 Pipeline Data Lagasco'!$A979,'Dec 31 2018 OFFS'!$U:$U,'T1 2019 Pipeline Data Lagasco'!$E979,'Dec 31 2018 OFFS'!$AK:$AK,'T1 2019 Pipeline Data Lagasco'!$Q979,'Dec 31 2018 OFFS'!$W:$W,'T1 2019 Pipeline Data Lagasco'!$G979),1))</f>
        <v>157178</v>
      </c>
      <c r="S979" s="275">
        <f t="shared" si="39"/>
        <v>0</v>
      </c>
    </row>
    <row r="980" spans="1:19" s="217" customFormat="1" ht="14.1" customHeight="1">
      <c r="A980" s="224" t="s">
        <v>1512</v>
      </c>
      <c r="B980" s="218" t="s">
        <v>1513</v>
      </c>
      <c r="C980" s="223">
        <v>1</v>
      </c>
      <c r="D980" s="218" t="s">
        <v>1488</v>
      </c>
      <c r="E980" s="240">
        <v>6</v>
      </c>
      <c r="F980" s="230">
        <v>11977.99</v>
      </c>
      <c r="G980" s="223">
        <v>1999</v>
      </c>
      <c r="H980" s="223">
        <v>1</v>
      </c>
      <c r="I980" s="223">
        <v>1</v>
      </c>
      <c r="J980" s="223"/>
      <c r="K980" s="228">
        <v>414797.79369999998</v>
      </c>
      <c r="L980" s="241">
        <v>62</v>
      </c>
      <c r="M980" s="228">
        <v>157623.16159999999</v>
      </c>
      <c r="N980" s="230">
        <v>34.630000000000003</v>
      </c>
      <c r="O980" s="231">
        <v>157623</v>
      </c>
      <c r="P980" s="314"/>
      <c r="Q980" s="276">
        <f t="shared" si="38"/>
        <v>11977.99</v>
      </c>
      <c r="R980" s="275">
        <f>(SUMIFS('Dec 31 2018 OFFS'!$AG:$AG,'Dec 31 2018 OFFS'!$AI:$AI,'T1 2019 Pipeline Data Lagasco'!$A980,'Dec 31 2018 OFFS'!$U:$U,'T1 2019 Pipeline Data Lagasco'!$E980,'Dec 31 2018 OFFS'!$AK:$AK,'T1 2019 Pipeline Data Lagasco'!$Q980,'Dec 31 2018 OFFS'!$W:$W,'T1 2019 Pipeline Data Lagasco'!$G980))/(MAX(COUNTIFS('Dec 31 2018 OFFS'!$AI:$AI,'T1 2019 Pipeline Data Lagasco'!$A980,'Dec 31 2018 OFFS'!$U:$U,'T1 2019 Pipeline Data Lagasco'!$E980,'Dec 31 2018 OFFS'!$AK:$AK,'T1 2019 Pipeline Data Lagasco'!$Q980,'Dec 31 2018 OFFS'!$W:$W,'T1 2019 Pipeline Data Lagasco'!$G980),1))</f>
        <v>157623</v>
      </c>
      <c r="S980" s="275">
        <f t="shared" si="39"/>
        <v>0</v>
      </c>
    </row>
    <row r="981" spans="1:19" s="217" customFormat="1" ht="14.1" customHeight="1">
      <c r="A981" s="224" t="s">
        <v>1512</v>
      </c>
      <c r="B981" s="218" t="s">
        <v>1513</v>
      </c>
      <c r="C981" s="223">
        <v>1</v>
      </c>
      <c r="D981" s="218" t="s">
        <v>1488</v>
      </c>
      <c r="E981" s="240">
        <v>6</v>
      </c>
      <c r="F981" s="242">
        <v>11918.90</v>
      </c>
      <c r="G981" s="223">
        <v>1999</v>
      </c>
      <c r="H981" s="223">
        <v>1</v>
      </c>
      <c r="I981" s="223">
        <v>1</v>
      </c>
      <c r="J981" s="223"/>
      <c r="K981" s="239">
        <v>412751.50699999998</v>
      </c>
      <c r="L981" s="241">
        <v>62</v>
      </c>
      <c r="M981" s="228">
        <v>156845.57269999999</v>
      </c>
      <c r="N981" s="230">
        <v>34.630000000000003</v>
      </c>
      <c r="O981" s="231">
        <v>156845</v>
      </c>
      <c r="P981" s="314"/>
      <c r="Q981" s="276">
        <f t="shared" si="38"/>
        <v>11918.90</v>
      </c>
      <c r="R981" s="275">
        <f>(SUMIFS('Dec 31 2018 OFFS'!$AG:$AG,'Dec 31 2018 OFFS'!$AI:$AI,'T1 2019 Pipeline Data Lagasco'!$A981,'Dec 31 2018 OFFS'!$U:$U,'T1 2019 Pipeline Data Lagasco'!$E981,'Dec 31 2018 OFFS'!$AK:$AK,'T1 2019 Pipeline Data Lagasco'!$Q981,'Dec 31 2018 OFFS'!$W:$W,'T1 2019 Pipeline Data Lagasco'!$G981))/(MAX(COUNTIFS('Dec 31 2018 OFFS'!$AI:$AI,'T1 2019 Pipeline Data Lagasco'!$A981,'Dec 31 2018 OFFS'!$U:$U,'T1 2019 Pipeline Data Lagasco'!$E981,'Dec 31 2018 OFFS'!$AK:$AK,'T1 2019 Pipeline Data Lagasco'!$Q981,'Dec 31 2018 OFFS'!$W:$W,'T1 2019 Pipeline Data Lagasco'!$G981),1))</f>
        <v>156845</v>
      </c>
      <c r="S981" s="275">
        <f t="shared" si="39"/>
        <v>0</v>
      </c>
    </row>
    <row r="982" spans="1:19" s="217" customFormat="1" ht="14.1" customHeight="1">
      <c r="A982" s="224" t="s">
        <v>1512</v>
      </c>
      <c r="B982" s="218" t="s">
        <v>1513</v>
      </c>
      <c r="C982" s="223">
        <v>1</v>
      </c>
      <c r="D982" s="218" t="s">
        <v>1488</v>
      </c>
      <c r="E982" s="240">
        <v>6</v>
      </c>
      <c r="F982" s="230">
        <v>11963.88</v>
      </c>
      <c r="G982" s="223">
        <v>1999</v>
      </c>
      <c r="H982" s="223">
        <v>1</v>
      </c>
      <c r="I982" s="223">
        <v>1</v>
      </c>
      <c r="J982" s="223"/>
      <c r="K982" s="228">
        <v>414309.16440000001</v>
      </c>
      <c r="L982" s="241">
        <v>62</v>
      </c>
      <c r="M982" s="228">
        <v>157437.48250000001</v>
      </c>
      <c r="N982" s="230">
        <v>34.630000000000003</v>
      </c>
      <c r="O982" s="231">
        <v>157437</v>
      </c>
      <c r="P982" s="314"/>
      <c r="Q982" s="276">
        <f t="shared" si="38"/>
        <v>11963.88</v>
      </c>
      <c r="R982" s="275">
        <f>(SUMIFS('Dec 31 2018 OFFS'!$AG:$AG,'Dec 31 2018 OFFS'!$AI:$AI,'T1 2019 Pipeline Data Lagasco'!$A982,'Dec 31 2018 OFFS'!$U:$U,'T1 2019 Pipeline Data Lagasco'!$E982,'Dec 31 2018 OFFS'!$AK:$AK,'T1 2019 Pipeline Data Lagasco'!$Q982,'Dec 31 2018 OFFS'!$W:$W,'T1 2019 Pipeline Data Lagasco'!$G982))/(MAX(COUNTIFS('Dec 31 2018 OFFS'!$AI:$AI,'T1 2019 Pipeline Data Lagasco'!$A982,'Dec 31 2018 OFFS'!$U:$U,'T1 2019 Pipeline Data Lagasco'!$E982,'Dec 31 2018 OFFS'!$AK:$AK,'T1 2019 Pipeline Data Lagasco'!$Q982,'Dec 31 2018 OFFS'!$W:$W,'T1 2019 Pipeline Data Lagasco'!$G982),1))</f>
        <v>157437</v>
      </c>
      <c r="S982" s="275">
        <f t="shared" si="39"/>
        <v>0</v>
      </c>
    </row>
    <row r="983" spans="1:19" s="217" customFormat="1" ht="14.1" customHeight="1">
      <c r="A983" s="224" t="s">
        <v>1512</v>
      </c>
      <c r="B983" s="218" t="s">
        <v>1513</v>
      </c>
      <c r="C983" s="223">
        <v>1</v>
      </c>
      <c r="D983" s="218" t="s">
        <v>1488</v>
      </c>
      <c r="E983" s="240">
        <v>6</v>
      </c>
      <c r="F983" s="230">
        <v>11881.73</v>
      </c>
      <c r="G983" s="223">
        <v>1999</v>
      </c>
      <c r="H983" s="223">
        <v>1</v>
      </c>
      <c r="I983" s="223">
        <v>1</v>
      </c>
      <c r="J983" s="223"/>
      <c r="K983" s="228">
        <v>411464.30989999999</v>
      </c>
      <c r="L983" s="241">
        <v>62</v>
      </c>
      <c r="M983" s="228">
        <v>156356.43780000001</v>
      </c>
      <c r="N983" s="230">
        <v>34.630000000000003</v>
      </c>
      <c r="O983" s="231">
        <v>156356</v>
      </c>
      <c r="P983" s="314"/>
      <c r="Q983" s="276">
        <f t="shared" si="38"/>
        <v>11881.73</v>
      </c>
      <c r="R983" s="275">
        <f>(SUMIFS('Dec 31 2018 OFFS'!$AG:$AG,'Dec 31 2018 OFFS'!$AI:$AI,'T1 2019 Pipeline Data Lagasco'!$A983,'Dec 31 2018 OFFS'!$U:$U,'T1 2019 Pipeline Data Lagasco'!$E983,'Dec 31 2018 OFFS'!$AK:$AK,'T1 2019 Pipeline Data Lagasco'!$Q983,'Dec 31 2018 OFFS'!$W:$W,'T1 2019 Pipeline Data Lagasco'!$G983))/(MAX(COUNTIFS('Dec 31 2018 OFFS'!$AI:$AI,'T1 2019 Pipeline Data Lagasco'!$A983,'Dec 31 2018 OFFS'!$U:$U,'T1 2019 Pipeline Data Lagasco'!$E983,'Dec 31 2018 OFFS'!$AK:$AK,'T1 2019 Pipeline Data Lagasco'!$Q983,'Dec 31 2018 OFFS'!$W:$W,'T1 2019 Pipeline Data Lagasco'!$G983),1))</f>
        <v>156356</v>
      </c>
      <c r="S983" s="275">
        <f t="shared" si="39"/>
        <v>0</v>
      </c>
    </row>
    <row r="984" spans="1:19" s="217" customFormat="1" ht="14.1" customHeight="1">
      <c r="A984" s="224" t="s">
        <v>1512</v>
      </c>
      <c r="B984" s="218" t="s">
        <v>1513</v>
      </c>
      <c r="C984" s="223">
        <v>1</v>
      </c>
      <c r="D984" s="218" t="s">
        <v>1488</v>
      </c>
      <c r="E984" s="240">
        <v>6</v>
      </c>
      <c r="F984" s="230">
        <v>10241.83</v>
      </c>
      <c r="G984" s="223">
        <v>1999</v>
      </c>
      <c r="H984" s="223">
        <v>1</v>
      </c>
      <c r="I984" s="223">
        <v>1</v>
      </c>
      <c r="J984" s="223"/>
      <c r="K984" s="228">
        <v>354674.57290000003</v>
      </c>
      <c r="L984" s="241">
        <v>62</v>
      </c>
      <c r="M984" s="228">
        <v>134776.3377</v>
      </c>
      <c r="N984" s="230">
        <v>34.630000000000003</v>
      </c>
      <c r="O984" s="231">
        <v>134776</v>
      </c>
      <c r="P984" s="314"/>
      <c r="Q984" s="276">
        <f t="shared" si="38"/>
        <v>10241.83</v>
      </c>
      <c r="R984" s="275">
        <f>(SUMIFS('Dec 31 2018 OFFS'!$AG:$AG,'Dec 31 2018 OFFS'!$AI:$AI,'T1 2019 Pipeline Data Lagasco'!$A984,'Dec 31 2018 OFFS'!$U:$U,'T1 2019 Pipeline Data Lagasco'!$E984,'Dec 31 2018 OFFS'!$AK:$AK,'T1 2019 Pipeline Data Lagasco'!$Q984,'Dec 31 2018 OFFS'!$W:$W,'T1 2019 Pipeline Data Lagasco'!$G984))/(MAX(COUNTIFS('Dec 31 2018 OFFS'!$AI:$AI,'T1 2019 Pipeline Data Lagasco'!$A984,'Dec 31 2018 OFFS'!$U:$U,'T1 2019 Pipeline Data Lagasco'!$E984,'Dec 31 2018 OFFS'!$AK:$AK,'T1 2019 Pipeline Data Lagasco'!$Q984,'Dec 31 2018 OFFS'!$W:$W,'T1 2019 Pipeline Data Lagasco'!$G984),1))</f>
        <v>134776</v>
      </c>
      <c r="S984" s="275">
        <f t="shared" si="39"/>
        <v>0</v>
      </c>
    </row>
    <row r="985" spans="1:18" s="217" customFormat="1" ht="14.1" customHeight="1">
      <c r="A985" s="224" t="s">
        <v>1514</v>
      </c>
      <c r="B985" s="218" t="s">
        <v>1515</v>
      </c>
      <c r="C985" s="223">
        <v>2</v>
      </c>
      <c r="D985" s="218" t="s">
        <v>1516</v>
      </c>
      <c r="E985" s="240">
        <v>3</v>
      </c>
      <c r="F985" s="223">
        <v>31</v>
      </c>
      <c r="G985" s="223">
        <v>2000</v>
      </c>
      <c r="H985" s="223">
        <v>1</v>
      </c>
      <c r="I985" s="223">
        <v>1</v>
      </c>
      <c r="J985" s="223"/>
      <c r="K985" s="238">
        <v>464.69</v>
      </c>
      <c r="L985" s="241">
        <v>35</v>
      </c>
      <c r="M985" s="228">
        <v>302.04849999999999</v>
      </c>
      <c r="N985" s="230">
        <v>14.99</v>
      </c>
      <c r="O985" s="231">
        <v>302</v>
      </c>
      <c r="R985" s="223"/>
    </row>
    <row r="986" spans="1:18" s="217" customFormat="1" ht="14.1" customHeight="1">
      <c r="A986" s="224" t="s">
        <v>1514</v>
      </c>
      <c r="B986" s="218" t="s">
        <v>1515</v>
      </c>
      <c r="C986" s="223">
        <v>2</v>
      </c>
      <c r="D986" s="218" t="s">
        <v>1516</v>
      </c>
      <c r="E986" s="240">
        <v>3</v>
      </c>
      <c r="F986" s="223">
        <v>1737</v>
      </c>
      <c r="G986" s="223">
        <v>2000</v>
      </c>
      <c r="H986" s="223">
        <v>1</v>
      </c>
      <c r="I986" s="223">
        <v>1</v>
      </c>
      <c r="J986" s="223"/>
      <c r="K986" s="238">
        <v>26037.63</v>
      </c>
      <c r="L986" s="241">
        <v>35</v>
      </c>
      <c r="M986" s="228">
        <v>16924.459500000001</v>
      </c>
      <c r="N986" s="230">
        <v>14.99</v>
      </c>
      <c r="O986" s="231">
        <v>16924</v>
      </c>
      <c r="R986" s="223"/>
    </row>
    <row r="987" spans="1:18" s="217" customFormat="1" ht="15" customHeight="1">
      <c r="A987" s="224" t="s">
        <v>1514</v>
      </c>
      <c r="B987" s="218" t="s">
        <v>1515</v>
      </c>
      <c r="C987" s="223">
        <v>2</v>
      </c>
      <c r="D987" s="218" t="s">
        <v>1516</v>
      </c>
      <c r="E987" s="240">
        <v>3</v>
      </c>
      <c r="F987" s="223">
        <v>126</v>
      </c>
      <c r="G987" s="223">
        <v>2000</v>
      </c>
      <c r="H987" s="223">
        <v>1</v>
      </c>
      <c r="I987" s="223">
        <v>1</v>
      </c>
      <c r="J987" s="223"/>
      <c r="K987" s="238">
        <v>1888.74</v>
      </c>
      <c r="L987" s="241">
        <v>35</v>
      </c>
      <c r="M987" s="239">
        <v>1227.681</v>
      </c>
      <c r="N987" s="230">
        <v>14.99</v>
      </c>
      <c r="O987" s="231">
        <v>1227</v>
      </c>
      <c r="R987" s="223"/>
    </row>
    <row r="988" spans="1:17" s="217" customFormat="1" ht="15" customHeight="1">
      <c r="A988" s="224" t="s">
        <v>1514</v>
      </c>
      <c r="B988" s="218" t="s">
        <v>1515</v>
      </c>
      <c r="C988" s="223">
        <v>2</v>
      </c>
      <c r="D988" s="218" t="s">
        <v>1516</v>
      </c>
      <c r="E988" s="223">
        <v>3</v>
      </c>
      <c r="F988" s="223">
        <v>1782</v>
      </c>
      <c r="G988" s="223">
        <v>2000</v>
      </c>
      <c r="H988" s="223">
        <v>1</v>
      </c>
      <c r="I988" s="223">
        <v>1</v>
      </c>
      <c r="J988" s="223"/>
      <c r="K988" s="238">
        <v>26712.18</v>
      </c>
      <c r="L988" s="241">
        <v>35</v>
      </c>
      <c r="M988" s="239">
        <v>17362.917000000001</v>
      </c>
      <c r="N988" s="230">
        <v>14.99</v>
      </c>
      <c r="O988" s="231">
        <v>17362</v>
      </c>
      <c r="P988" s="230"/>
      <c r="Q988" s="230"/>
    </row>
    <row r="989" spans="1:17" s="217" customFormat="1" ht="14.1" customHeight="1">
      <c r="A989" s="224" t="s">
        <v>1514</v>
      </c>
      <c r="B989" s="218" t="s">
        <v>1515</v>
      </c>
      <c r="C989" s="223">
        <v>2</v>
      </c>
      <c r="D989" s="218" t="s">
        <v>1516</v>
      </c>
      <c r="E989" s="223">
        <v>3</v>
      </c>
      <c r="F989" s="223">
        <v>30</v>
      </c>
      <c r="G989" s="223">
        <v>2000</v>
      </c>
      <c r="H989" s="223">
        <v>1</v>
      </c>
      <c r="I989" s="223">
        <v>1</v>
      </c>
      <c r="J989" s="223"/>
      <c r="K989" s="237">
        <v>449.70</v>
      </c>
      <c r="L989" s="241">
        <v>35</v>
      </c>
      <c r="M989" s="239">
        <v>292.305</v>
      </c>
      <c r="N989" s="230">
        <v>14.99</v>
      </c>
      <c r="O989" s="231">
        <v>292</v>
      </c>
      <c r="P989" s="230"/>
      <c r="Q989" s="230"/>
    </row>
    <row r="990" spans="1:17" s="217" customFormat="1" ht="14.1" customHeight="1">
      <c r="A990" s="224" t="s">
        <v>1514</v>
      </c>
      <c r="B990" s="218" t="s">
        <v>1515</v>
      </c>
      <c r="C990" s="223">
        <v>2</v>
      </c>
      <c r="D990" s="218" t="s">
        <v>1516</v>
      </c>
      <c r="E990" s="223">
        <v>3</v>
      </c>
      <c r="F990" s="230">
        <v>387.37</v>
      </c>
      <c r="G990" s="223">
        <v>1993</v>
      </c>
      <c r="H990" s="223">
        <v>1</v>
      </c>
      <c r="I990" s="223">
        <v>1</v>
      </c>
      <c r="J990" s="223"/>
      <c r="K990" s="228">
        <v>5806.6763000000001</v>
      </c>
      <c r="L990" s="241">
        <v>50</v>
      </c>
      <c r="M990" s="229">
        <v>2903.33815</v>
      </c>
      <c r="N990" s="230">
        <v>14.99</v>
      </c>
      <c r="O990" s="231">
        <v>2903</v>
      </c>
      <c r="P990" s="230"/>
      <c r="Q990" s="230"/>
    </row>
    <row r="991" spans="1:17" s="217" customFormat="1" ht="14.1" customHeight="1">
      <c r="A991" s="224" t="s">
        <v>1514</v>
      </c>
      <c r="B991" s="218" t="s">
        <v>1515</v>
      </c>
      <c r="C991" s="223">
        <v>2</v>
      </c>
      <c r="D991" s="218" t="s">
        <v>1516</v>
      </c>
      <c r="E991" s="223">
        <v>3</v>
      </c>
      <c r="F991" s="230">
        <v>241.47</v>
      </c>
      <c r="G991" s="223">
        <v>1993</v>
      </c>
      <c r="H991" s="223">
        <v>1</v>
      </c>
      <c r="I991" s="223">
        <v>1</v>
      </c>
      <c r="J991" s="223"/>
      <c r="K991" s="228">
        <v>3619.6352999999999</v>
      </c>
      <c r="L991" s="241">
        <v>50</v>
      </c>
      <c r="M991" s="229">
        <v>1809.81765</v>
      </c>
      <c r="N991" s="230">
        <v>14.99</v>
      </c>
      <c r="O991" s="231">
        <v>1809</v>
      </c>
      <c r="P991" s="230"/>
      <c r="Q991" s="230"/>
    </row>
    <row r="992" spans="1:17" s="217" customFormat="1" ht="14.1" customHeight="1">
      <c r="A992" s="224" t="s">
        <v>1514</v>
      </c>
      <c r="B992" s="218" t="s">
        <v>1515</v>
      </c>
      <c r="C992" s="223">
        <v>2</v>
      </c>
      <c r="D992" s="218" t="s">
        <v>1516</v>
      </c>
      <c r="E992" s="223">
        <v>3</v>
      </c>
      <c r="F992" s="230">
        <v>290.42</v>
      </c>
      <c r="G992" s="223">
        <v>1993</v>
      </c>
      <c r="H992" s="223">
        <v>1</v>
      </c>
      <c r="I992" s="223">
        <v>1</v>
      </c>
      <c r="J992" s="223"/>
      <c r="K992" s="228">
        <v>4353.3958000000002</v>
      </c>
      <c r="L992" s="241">
        <v>50</v>
      </c>
      <c r="M992" s="228">
        <v>2176.6979000000001</v>
      </c>
      <c r="N992" s="230">
        <v>14.99</v>
      </c>
      <c r="O992" s="231">
        <v>2176</v>
      </c>
      <c r="P992" s="230"/>
      <c r="Q992" s="230"/>
    </row>
    <row r="993" spans="1:17" s="217" customFormat="1" ht="14.1" customHeight="1">
      <c r="A993" s="224" t="s">
        <v>1514</v>
      </c>
      <c r="B993" s="218" t="s">
        <v>1515</v>
      </c>
      <c r="C993" s="223">
        <v>2</v>
      </c>
      <c r="D993" s="218" t="s">
        <v>1516</v>
      </c>
      <c r="E993" s="223">
        <v>3</v>
      </c>
      <c r="F993" s="230">
        <v>627.53</v>
      </c>
      <c r="G993" s="223">
        <v>1992</v>
      </c>
      <c r="H993" s="223">
        <v>1</v>
      </c>
      <c r="I993" s="223">
        <v>1</v>
      </c>
      <c r="J993" s="223"/>
      <c r="K993" s="228">
        <v>9406.6746999999996</v>
      </c>
      <c r="L993" s="241">
        <v>51</v>
      </c>
      <c r="M993" s="233">
        <v>4609.2706029999999</v>
      </c>
      <c r="N993" s="230">
        <v>14.99</v>
      </c>
      <c r="O993" s="231">
        <v>4609</v>
      </c>
      <c r="P993" s="230"/>
      <c r="Q993" s="230"/>
    </row>
    <row r="994" spans="1:17" s="217" customFormat="1" ht="14.1" customHeight="1">
      <c r="A994" s="224" t="s">
        <v>1514</v>
      </c>
      <c r="B994" s="218" t="s">
        <v>1515</v>
      </c>
      <c r="C994" s="223">
        <v>2</v>
      </c>
      <c r="D994" s="218" t="s">
        <v>1516</v>
      </c>
      <c r="E994" s="223">
        <v>3</v>
      </c>
      <c r="F994" s="223">
        <v>52</v>
      </c>
      <c r="G994" s="223">
        <v>1992</v>
      </c>
      <c r="H994" s="223">
        <v>1</v>
      </c>
      <c r="I994" s="223">
        <v>1</v>
      </c>
      <c r="J994" s="223"/>
      <c r="K994" s="238">
        <v>779.48</v>
      </c>
      <c r="L994" s="241">
        <v>51</v>
      </c>
      <c r="M994" s="228">
        <v>381.9452</v>
      </c>
      <c r="N994" s="230">
        <v>14.99</v>
      </c>
      <c r="O994" s="231">
        <v>381</v>
      </c>
      <c r="P994" s="230"/>
      <c r="Q994" s="230"/>
    </row>
    <row r="995" spans="1:17" s="217" customFormat="1" ht="14.1" customHeight="1">
      <c r="A995" s="224" t="s">
        <v>1514</v>
      </c>
      <c r="B995" s="218" t="s">
        <v>1515</v>
      </c>
      <c r="C995" s="223">
        <v>2</v>
      </c>
      <c r="D995" s="218" t="s">
        <v>1516</v>
      </c>
      <c r="E995" s="223">
        <v>3</v>
      </c>
      <c r="F995" s="230">
        <v>1803.88</v>
      </c>
      <c r="G995" s="223">
        <v>1992</v>
      </c>
      <c r="H995" s="223">
        <v>1</v>
      </c>
      <c r="I995" s="223">
        <v>1</v>
      </c>
      <c r="J995" s="223"/>
      <c r="K995" s="228">
        <v>27040.161199999999</v>
      </c>
      <c r="L995" s="241">
        <v>51</v>
      </c>
      <c r="M995" s="229">
        <v>13249.67899</v>
      </c>
      <c r="N995" s="230">
        <v>14.99</v>
      </c>
      <c r="O995" s="231">
        <v>13249</v>
      </c>
      <c r="P995" s="230"/>
      <c r="Q995" s="230"/>
    </row>
    <row r="996" spans="1:17" s="217" customFormat="1" ht="14.1" customHeight="1">
      <c r="A996" s="249" t="s">
        <v>1514</v>
      </c>
      <c r="B996" s="250" t="s">
        <v>1515</v>
      </c>
      <c r="C996" s="251">
        <v>2</v>
      </c>
      <c r="D996" s="250" t="s">
        <v>1516</v>
      </c>
      <c r="E996" s="251">
        <v>3</v>
      </c>
      <c r="F996" s="252">
        <v>452.94</v>
      </c>
      <c r="G996" s="251">
        <v>1992</v>
      </c>
      <c r="H996" s="251">
        <v>1</v>
      </c>
      <c r="I996" s="251">
        <v>0</v>
      </c>
      <c r="J996" s="251"/>
      <c r="K996" s="253" t="s">
        <v>1517</v>
      </c>
      <c r="L996" s="254">
        <v>51</v>
      </c>
      <c r="M996" s="255" t="s">
        <v>1518</v>
      </c>
      <c r="N996" s="252">
        <v>14.99</v>
      </c>
      <c r="O996" s="256">
        <v>0</v>
      </c>
      <c r="P996" s="252" t="s">
        <v>1519</v>
      </c>
      <c r="Q996" s="252"/>
    </row>
    <row r="997" spans="1:17" s="217" customFormat="1" ht="14.1" customHeight="1">
      <c r="A997" s="224" t="s">
        <v>1514</v>
      </c>
      <c r="B997" s="218" t="s">
        <v>1515</v>
      </c>
      <c r="C997" s="223">
        <v>2</v>
      </c>
      <c r="D997" s="218" t="s">
        <v>1516</v>
      </c>
      <c r="E997" s="223">
        <v>3</v>
      </c>
      <c r="F997" s="246">
        <v>1600</v>
      </c>
      <c r="G997" s="223">
        <v>1990</v>
      </c>
      <c r="H997" s="223">
        <v>1</v>
      </c>
      <c r="I997" s="246">
        <v>0</v>
      </c>
      <c r="J997" s="223"/>
      <c r="K997" s="247">
        <v>23984</v>
      </c>
      <c r="L997" s="241">
        <v>52</v>
      </c>
      <c r="M997" s="247">
        <v>11512.32</v>
      </c>
      <c r="N997" s="230">
        <v>14.99</v>
      </c>
      <c r="O997" s="248">
        <v>0</v>
      </c>
      <c r="P997" s="317" t="s">
        <v>1560</v>
      </c>
      <c r="Q997" s="230"/>
    </row>
    <row r="998" spans="1:17" s="217" customFormat="1" ht="14.1" customHeight="1">
      <c r="A998" s="224" t="s">
        <v>1514</v>
      </c>
      <c r="B998" s="218" t="s">
        <v>1515</v>
      </c>
      <c r="C998" s="223">
        <v>2</v>
      </c>
      <c r="D998" s="218" t="s">
        <v>1516</v>
      </c>
      <c r="E998" s="223">
        <v>3</v>
      </c>
      <c r="F998" s="257">
        <v>848.05</v>
      </c>
      <c r="G998" s="223">
        <v>1990</v>
      </c>
      <c r="H998" s="223">
        <v>1</v>
      </c>
      <c r="I998" s="246">
        <v>0</v>
      </c>
      <c r="J998" s="223"/>
      <c r="K998" s="247">
        <v>12712.2695</v>
      </c>
      <c r="L998" s="241">
        <v>52</v>
      </c>
      <c r="M998" s="247">
        <v>6101.8893600000001</v>
      </c>
      <c r="N998" s="230">
        <v>14.99</v>
      </c>
      <c r="O998" s="248">
        <v>0</v>
      </c>
      <c r="P998" s="317" t="s">
        <v>1560</v>
      </c>
      <c r="Q998" s="230"/>
    </row>
    <row r="999" spans="1:17" s="217" customFormat="1" ht="14.1" customHeight="1">
      <c r="A999" s="224" t="s">
        <v>1514</v>
      </c>
      <c r="B999" s="218" t="s">
        <v>1515</v>
      </c>
      <c r="C999" s="223">
        <v>2</v>
      </c>
      <c r="D999" s="218" t="s">
        <v>1516</v>
      </c>
      <c r="E999" s="223">
        <v>3</v>
      </c>
      <c r="F999" s="230">
        <v>1492.78</v>
      </c>
      <c r="G999" s="223">
        <v>1995</v>
      </c>
      <c r="H999" s="223">
        <v>1</v>
      </c>
      <c r="I999" s="223">
        <v>0</v>
      </c>
      <c r="J999" s="223"/>
      <c r="K999" s="228">
        <v>22376.772199999999</v>
      </c>
      <c r="L999" s="241">
        <v>47</v>
      </c>
      <c r="M999" s="229">
        <v>11859.689270000001</v>
      </c>
      <c r="N999" s="230">
        <v>14.99</v>
      </c>
      <c r="O999" s="231">
        <v>0</v>
      </c>
      <c r="P999" s="230"/>
      <c r="Q999" s="230"/>
    </row>
    <row r="1000" spans="1:17" s="217" customFormat="1" ht="14.1" customHeight="1">
      <c r="A1000" s="224" t="s">
        <v>1514</v>
      </c>
      <c r="B1000" s="218" t="s">
        <v>1515</v>
      </c>
      <c r="C1000" s="223">
        <v>2</v>
      </c>
      <c r="D1000" s="218" t="s">
        <v>1516</v>
      </c>
      <c r="E1000" s="223">
        <v>3</v>
      </c>
      <c r="F1000" s="242">
        <v>1125.70</v>
      </c>
      <c r="G1000" s="223">
        <v>1995</v>
      </c>
      <c r="H1000" s="223">
        <v>1</v>
      </c>
      <c r="I1000" s="223">
        <v>0</v>
      </c>
      <c r="J1000" s="223"/>
      <c r="K1000" s="239">
        <v>16874.242999999999</v>
      </c>
      <c r="L1000" s="241">
        <v>47</v>
      </c>
      <c r="M1000" s="229">
        <v>8943.34879</v>
      </c>
      <c r="N1000" s="230">
        <v>14.99</v>
      </c>
      <c r="O1000" s="231">
        <v>0</v>
      </c>
      <c r="P1000" s="230"/>
      <c r="Q1000" s="230"/>
    </row>
    <row r="1001" spans="1:17" s="217" customFormat="1" ht="14.1" customHeight="1">
      <c r="A1001" s="224" t="s">
        <v>1514</v>
      </c>
      <c r="B1001" s="218" t="s">
        <v>1515</v>
      </c>
      <c r="C1001" s="223">
        <v>2</v>
      </c>
      <c r="D1001" s="218" t="s">
        <v>1516</v>
      </c>
      <c r="E1001" s="223">
        <v>3</v>
      </c>
      <c r="F1001" s="257">
        <v>1594.15</v>
      </c>
      <c r="G1001" s="223">
        <v>1995</v>
      </c>
      <c r="H1001" s="223">
        <v>1</v>
      </c>
      <c r="I1001" s="246">
        <v>0</v>
      </c>
      <c r="J1001" s="223"/>
      <c r="K1001" s="247">
        <v>23896.308499999999</v>
      </c>
      <c r="L1001" s="241">
        <v>47</v>
      </c>
      <c r="M1001" s="247">
        <v>12665.04351</v>
      </c>
      <c r="N1001" s="230">
        <v>14.99</v>
      </c>
      <c r="O1001" s="248">
        <v>0</v>
      </c>
      <c r="P1001" s="317" t="s">
        <v>1560</v>
      </c>
      <c r="Q1001" s="230"/>
    </row>
    <row r="1002" spans="1:17" s="217" customFormat="1" ht="14.1" customHeight="1">
      <c r="A1002" s="224" t="s">
        <v>1514</v>
      </c>
      <c r="B1002" s="218" t="s">
        <v>1515</v>
      </c>
      <c r="C1002" s="223">
        <v>2</v>
      </c>
      <c r="D1002" s="218" t="s">
        <v>1516</v>
      </c>
      <c r="E1002" s="223">
        <v>3</v>
      </c>
      <c r="F1002" s="257">
        <v>1190.6199999999999</v>
      </c>
      <c r="G1002" s="223">
        <v>1990</v>
      </c>
      <c r="H1002" s="223">
        <v>1</v>
      </c>
      <c r="I1002" s="246">
        <v>0</v>
      </c>
      <c r="J1002" s="223"/>
      <c r="K1002" s="247">
        <v>17847.393800000002</v>
      </c>
      <c r="L1002" s="241">
        <v>52</v>
      </c>
      <c r="M1002" s="247">
        <v>8566.7490240000006</v>
      </c>
      <c r="N1002" s="230">
        <v>14.99</v>
      </c>
      <c r="O1002" s="248">
        <v>0</v>
      </c>
      <c r="P1002" s="317" t="s">
        <v>1560</v>
      </c>
      <c r="Q1002" s="230"/>
    </row>
    <row r="1003" spans="1:17" s="217" customFormat="1" ht="14.1" customHeight="1">
      <c r="A1003" s="224" t="s">
        <v>1514</v>
      </c>
      <c r="B1003" s="218" t="s">
        <v>1515</v>
      </c>
      <c r="C1003" s="223">
        <v>2</v>
      </c>
      <c r="D1003" s="218" t="s">
        <v>1516</v>
      </c>
      <c r="E1003" s="223">
        <v>3</v>
      </c>
      <c r="F1003" s="230">
        <v>540.62</v>
      </c>
      <c r="G1003" s="223">
        <v>1990</v>
      </c>
      <c r="H1003" s="223">
        <v>1</v>
      </c>
      <c r="I1003" s="223">
        <v>0</v>
      </c>
      <c r="J1003" s="223"/>
      <c r="K1003" s="228">
        <v>8103.8937999999998</v>
      </c>
      <c r="L1003" s="241">
        <v>52</v>
      </c>
      <c r="M1003" s="233">
        <v>3889.8690240000001</v>
      </c>
      <c r="N1003" s="230">
        <v>14.99</v>
      </c>
      <c r="O1003" s="231">
        <v>0</v>
      </c>
      <c r="P1003" s="230"/>
      <c r="Q1003" s="230"/>
    </row>
    <row r="1004" spans="1:17" s="217" customFormat="1" ht="14.1" customHeight="1">
      <c r="A1004" s="224" t="s">
        <v>1514</v>
      </c>
      <c r="B1004" s="218" t="s">
        <v>1515</v>
      </c>
      <c r="C1004" s="223">
        <v>2</v>
      </c>
      <c r="D1004" s="218" t="s">
        <v>1516</v>
      </c>
      <c r="E1004" s="223">
        <v>3</v>
      </c>
      <c r="F1004" s="230">
        <v>417.85</v>
      </c>
      <c r="G1004" s="223">
        <v>1990</v>
      </c>
      <c r="H1004" s="223">
        <v>1</v>
      </c>
      <c r="I1004" s="223">
        <v>0</v>
      </c>
      <c r="J1004" s="223"/>
      <c r="K1004" s="228">
        <v>6263.5715</v>
      </c>
      <c r="L1004" s="241">
        <v>52</v>
      </c>
      <c r="M1004" s="229">
        <v>3006.5143200000002</v>
      </c>
      <c r="N1004" s="230">
        <v>14.99</v>
      </c>
      <c r="O1004" s="231">
        <v>0</v>
      </c>
      <c r="P1004" s="230"/>
      <c r="Q1004" s="230"/>
    </row>
    <row r="1005" spans="1:17" s="217" customFormat="1" ht="14.1" customHeight="1">
      <c r="A1005" s="224" t="s">
        <v>1514</v>
      </c>
      <c r="B1005" s="218" t="s">
        <v>1515</v>
      </c>
      <c r="C1005" s="223">
        <v>2</v>
      </c>
      <c r="D1005" s="218" t="s">
        <v>1516</v>
      </c>
      <c r="E1005" s="223">
        <v>3</v>
      </c>
      <c r="F1005" s="230">
        <v>117.78</v>
      </c>
      <c r="G1005" s="223">
        <v>1988</v>
      </c>
      <c r="H1005" s="223">
        <v>1</v>
      </c>
      <c r="I1005" s="223">
        <v>1</v>
      </c>
      <c r="J1005" s="223"/>
      <c r="K1005" s="228">
        <v>1765.5222000000001</v>
      </c>
      <c r="L1005" s="241">
        <v>54</v>
      </c>
      <c r="M1005" s="233">
        <v>812.14021200000002</v>
      </c>
      <c r="N1005" s="230">
        <v>14.99</v>
      </c>
      <c r="O1005" s="231">
        <v>812</v>
      </c>
      <c r="P1005" s="230"/>
      <c r="Q1005" s="230"/>
    </row>
    <row r="1006" spans="1:17" s="217" customFormat="1" ht="14.1" customHeight="1">
      <c r="A1006" s="224" t="s">
        <v>1514</v>
      </c>
      <c r="B1006" s="218" t="s">
        <v>1515</v>
      </c>
      <c r="C1006" s="223">
        <v>2</v>
      </c>
      <c r="D1006" s="218" t="s">
        <v>1516</v>
      </c>
      <c r="E1006" s="223">
        <v>3</v>
      </c>
      <c r="F1006" s="230">
        <v>2095.0100000000002</v>
      </c>
      <c r="G1006" s="223">
        <v>1988</v>
      </c>
      <c r="H1006" s="223">
        <v>1</v>
      </c>
      <c r="I1006" s="223">
        <v>1</v>
      </c>
      <c r="J1006" s="223"/>
      <c r="K1006" s="228">
        <v>31404.1999</v>
      </c>
      <c r="L1006" s="241">
        <v>54</v>
      </c>
      <c r="M1006" s="229">
        <v>14445.93195</v>
      </c>
      <c r="N1006" s="230">
        <v>14.99</v>
      </c>
      <c r="O1006" s="231">
        <v>14445</v>
      </c>
      <c r="P1006" s="230"/>
      <c r="Q1006" s="230"/>
    </row>
    <row r="1007" spans="1:17" s="217" customFormat="1" ht="14.1" customHeight="1">
      <c r="A1007" s="224" t="s">
        <v>1514</v>
      </c>
      <c r="B1007" s="218" t="s">
        <v>1515</v>
      </c>
      <c r="C1007" s="223">
        <v>2</v>
      </c>
      <c r="D1007" s="218" t="s">
        <v>1516</v>
      </c>
      <c r="E1007" s="223">
        <v>3</v>
      </c>
      <c r="F1007" s="230">
        <v>1096.98</v>
      </c>
      <c r="G1007" s="223">
        <v>1988</v>
      </c>
      <c r="H1007" s="223">
        <v>1</v>
      </c>
      <c r="I1007" s="223">
        <v>1</v>
      </c>
      <c r="J1007" s="223"/>
      <c r="K1007" s="228">
        <v>16443.730200000002</v>
      </c>
      <c r="L1007" s="241">
        <v>54</v>
      </c>
      <c r="M1007" s="233">
        <v>7564.1158919999998</v>
      </c>
      <c r="N1007" s="230">
        <v>14.99</v>
      </c>
      <c r="O1007" s="231">
        <v>7564</v>
      </c>
      <c r="P1007" s="230"/>
      <c r="Q1007" s="230"/>
    </row>
    <row r="1008" spans="1:17" s="217" customFormat="1" ht="14.1" customHeight="1">
      <c r="A1008" s="224" t="s">
        <v>1514</v>
      </c>
      <c r="B1008" s="218" t="s">
        <v>1515</v>
      </c>
      <c r="C1008" s="223">
        <v>2</v>
      </c>
      <c r="D1008" s="218" t="s">
        <v>1516</v>
      </c>
      <c r="E1008" s="223">
        <v>3</v>
      </c>
      <c r="F1008" s="230">
        <v>879.63</v>
      </c>
      <c r="G1008" s="223">
        <v>1988</v>
      </c>
      <c r="H1008" s="223">
        <v>1</v>
      </c>
      <c r="I1008" s="223">
        <v>1</v>
      </c>
      <c r="J1008" s="223"/>
      <c r="K1008" s="228">
        <v>13185.653700000001</v>
      </c>
      <c r="L1008" s="241">
        <v>54</v>
      </c>
      <c r="M1008" s="233">
        <v>6065.4007019999999</v>
      </c>
      <c r="N1008" s="230">
        <v>14.99</v>
      </c>
      <c r="O1008" s="231">
        <v>6065</v>
      </c>
      <c r="P1008" s="230"/>
      <c r="Q1008" s="230"/>
    </row>
    <row r="1009" spans="1:17" s="217" customFormat="1" ht="14.1" customHeight="1">
      <c r="A1009" s="224" t="s">
        <v>1514</v>
      </c>
      <c r="B1009" s="218" t="s">
        <v>1515</v>
      </c>
      <c r="C1009" s="223">
        <v>2</v>
      </c>
      <c r="D1009" s="218" t="s">
        <v>1516</v>
      </c>
      <c r="E1009" s="223">
        <v>3</v>
      </c>
      <c r="F1009" s="230">
        <v>547.11</v>
      </c>
      <c r="G1009" s="223">
        <v>1990</v>
      </c>
      <c r="H1009" s="223">
        <v>1</v>
      </c>
      <c r="I1009" s="225">
        <v>0</v>
      </c>
      <c r="J1009" s="223"/>
      <c r="K1009" s="247">
        <v>8201.1789000000008</v>
      </c>
      <c r="L1009" s="241">
        <v>52</v>
      </c>
      <c r="M1009" s="247">
        <v>3936.5658720000001</v>
      </c>
      <c r="N1009" s="230">
        <v>14.99</v>
      </c>
      <c r="O1009" s="287">
        <v>0</v>
      </c>
      <c r="P1009" s="316" t="s">
        <v>1568</v>
      </c>
      <c r="Q1009" s="230"/>
    </row>
    <row r="1010" spans="1:17" s="217" customFormat="1" ht="14.1" customHeight="1">
      <c r="A1010" s="224" t="s">
        <v>1514</v>
      </c>
      <c r="B1010" s="218" t="s">
        <v>1515</v>
      </c>
      <c r="C1010" s="223">
        <v>2</v>
      </c>
      <c r="D1010" s="218" t="s">
        <v>1516</v>
      </c>
      <c r="E1010" s="223">
        <v>3</v>
      </c>
      <c r="F1010" s="230">
        <v>434.71</v>
      </c>
      <c r="G1010" s="223">
        <v>1990</v>
      </c>
      <c r="H1010" s="223">
        <v>1</v>
      </c>
      <c r="I1010" s="225">
        <v>0</v>
      </c>
      <c r="J1010" s="223"/>
      <c r="K1010" s="247">
        <v>6516.3028999999997</v>
      </c>
      <c r="L1010" s="241">
        <v>52</v>
      </c>
      <c r="M1010" s="247">
        <v>3127.8253920000002</v>
      </c>
      <c r="N1010" s="230">
        <v>14.99</v>
      </c>
      <c r="O1010" s="287">
        <v>0</v>
      </c>
      <c r="P1010" s="316" t="s">
        <v>1568</v>
      </c>
      <c r="Q1010" s="230"/>
    </row>
    <row r="1011" spans="1:17" s="217" customFormat="1" ht="14.1" customHeight="1">
      <c r="A1011" s="224" t="s">
        <v>1514</v>
      </c>
      <c r="B1011" s="218" t="s">
        <v>1515</v>
      </c>
      <c r="C1011" s="223">
        <v>2</v>
      </c>
      <c r="D1011" s="218" t="s">
        <v>1516</v>
      </c>
      <c r="E1011" s="223">
        <v>3</v>
      </c>
      <c r="F1011" s="230">
        <v>399.44</v>
      </c>
      <c r="G1011" s="223">
        <v>1990</v>
      </c>
      <c r="H1011" s="223">
        <v>1</v>
      </c>
      <c r="I1011" s="225">
        <v>0</v>
      </c>
      <c r="J1011" s="223"/>
      <c r="K1011" s="247">
        <v>5987.6055999999999</v>
      </c>
      <c r="L1011" s="241">
        <v>52</v>
      </c>
      <c r="M1011" s="247">
        <v>2874.0506879999998</v>
      </c>
      <c r="N1011" s="230">
        <v>14.99</v>
      </c>
      <c r="O1011" s="287">
        <v>0</v>
      </c>
      <c r="P1011" s="316" t="s">
        <v>1568</v>
      </c>
      <c r="Q1011" s="230"/>
    </row>
    <row r="1012" spans="1:17" s="217" customFormat="1" ht="14.1" customHeight="1">
      <c r="A1012" s="224" t="s">
        <v>1514</v>
      </c>
      <c r="B1012" s="218" t="s">
        <v>1515</v>
      </c>
      <c r="C1012" s="223">
        <v>2</v>
      </c>
      <c r="D1012" s="218" t="s">
        <v>1516</v>
      </c>
      <c r="E1012" s="223">
        <v>3</v>
      </c>
      <c r="F1012" s="230">
        <v>407.58</v>
      </c>
      <c r="G1012" s="223">
        <v>1988</v>
      </c>
      <c r="H1012" s="223">
        <v>1</v>
      </c>
      <c r="I1012" s="223">
        <v>1</v>
      </c>
      <c r="J1012" s="223"/>
      <c r="K1012" s="228">
        <v>6109.6242000000002</v>
      </c>
      <c r="L1012" s="241">
        <v>54</v>
      </c>
      <c r="M1012" s="233">
        <v>2810.4271319999998</v>
      </c>
      <c r="N1012" s="230">
        <v>14.99</v>
      </c>
      <c r="O1012" s="231">
        <v>2810</v>
      </c>
      <c r="P1012" s="230"/>
      <c r="Q1012" s="230"/>
    </row>
    <row r="1013" spans="1:17" s="217" customFormat="1" ht="14.1" customHeight="1">
      <c r="A1013" s="224" t="s">
        <v>1514</v>
      </c>
      <c r="B1013" s="218" t="s">
        <v>1515</v>
      </c>
      <c r="C1013" s="223">
        <v>2</v>
      </c>
      <c r="D1013" s="218" t="s">
        <v>1516</v>
      </c>
      <c r="E1013" s="223">
        <v>3</v>
      </c>
      <c r="F1013" s="230">
        <v>643.47</v>
      </c>
      <c r="G1013" s="223">
        <v>1988</v>
      </c>
      <c r="H1013" s="223">
        <v>1</v>
      </c>
      <c r="I1013" s="223">
        <v>1</v>
      </c>
      <c r="J1013" s="223"/>
      <c r="K1013" s="228">
        <v>9645.6152999999995</v>
      </c>
      <c r="L1013" s="241">
        <v>54</v>
      </c>
      <c r="M1013" s="233">
        <v>4436.9830380000003</v>
      </c>
      <c r="N1013" s="230">
        <v>14.99</v>
      </c>
      <c r="O1013" s="231">
        <v>4436</v>
      </c>
      <c r="P1013" s="230"/>
      <c r="Q1013" s="230"/>
    </row>
    <row r="1014" spans="1:17" s="217" customFormat="1" ht="14.1" customHeight="1">
      <c r="A1014" s="224" t="s">
        <v>1514</v>
      </c>
      <c r="B1014" s="218" t="s">
        <v>1515</v>
      </c>
      <c r="C1014" s="223">
        <v>2</v>
      </c>
      <c r="D1014" s="218" t="s">
        <v>1516</v>
      </c>
      <c r="E1014" s="223">
        <v>3</v>
      </c>
      <c r="F1014" s="230">
        <v>1076.1199999999999</v>
      </c>
      <c r="G1014" s="223">
        <v>1988</v>
      </c>
      <c r="H1014" s="223">
        <v>1</v>
      </c>
      <c r="I1014" s="223">
        <v>1</v>
      </c>
      <c r="J1014" s="223"/>
      <c r="K1014" s="228">
        <v>16131.0388</v>
      </c>
      <c r="L1014" s="241">
        <v>54</v>
      </c>
      <c r="M1014" s="233">
        <v>7420.2778479999997</v>
      </c>
      <c r="N1014" s="230">
        <v>14.99</v>
      </c>
      <c r="O1014" s="231">
        <v>7420</v>
      </c>
      <c r="P1014" s="230"/>
      <c r="Q1014" s="230"/>
    </row>
    <row r="1015" spans="1:17" s="217" customFormat="1" ht="14.1" customHeight="1">
      <c r="A1015" s="224" t="s">
        <v>1514</v>
      </c>
      <c r="B1015" s="218" t="s">
        <v>1515</v>
      </c>
      <c r="C1015" s="223">
        <v>2</v>
      </c>
      <c r="D1015" s="218" t="s">
        <v>1516</v>
      </c>
      <c r="E1015" s="223">
        <v>3</v>
      </c>
      <c r="F1015" s="230">
        <v>907.91</v>
      </c>
      <c r="G1015" s="223">
        <v>1988</v>
      </c>
      <c r="H1015" s="223">
        <v>1</v>
      </c>
      <c r="I1015" s="223">
        <v>1</v>
      </c>
      <c r="J1015" s="223"/>
      <c r="K1015" s="228">
        <v>13609.570900000001</v>
      </c>
      <c r="L1015" s="241">
        <v>54</v>
      </c>
      <c r="M1015" s="233">
        <v>6260.4026139999996</v>
      </c>
      <c r="N1015" s="230">
        <v>14.99</v>
      </c>
      <c r="O1015" s="231">
        <v>6260</v>
      </c>
      <c r="P1015" s="230"/>
      <c r="Q1015" s="230"/>
    </row>
    <row r="1016" spans="1:17" s="217" customFormat="1" ht="14.1" customHeight="1">
      <c r="A1016" s="224" t="s">
        <v>1514</v>
      </c>
      <c r="B1016" s="218" t="s">
        <v>1515</v>
      </c>
      <c r="C1016" s="223">
        <v>2</v>
      </c>
      <c r="D1016" s="218" t="s">
        <v>1516</v>
      </c>
      <c r="E1016" s="223">
        <v>3</v>
      </c>
      <c r="F1016" s="230">
        <v>539.57000000000005</v>
      </c>
      <c r="G1016" s="223">
        <v>1990</v>
      </c>
      <c r="H1016" s="223">
        <v>1</v>
      </c>
      <c r="I1016" s="223">
        <v>1</v>
      </c>
      <c r="J1016" s="223"/>
      <c r="K1016" s="228">
        <v>8088.1543000000001</v>
      </c>
      <c r="L1016" s="241">
        <v>52</v>
      </c>
      <c r="M1016" s="233">
        <v>3882.3140640000001</v>
      </c>
      <c r="N1016" s="230">
        <v>14.99</v>
      </c>
      <c r="O1016" s="231">
        <v>3882</v>
      </c>
      <c r="P1016" s="230"/>
      <c r="Q1016" s="230"/>
    </row>
    <row r="1017" spans="1:17" s="217" customFormat="1" ht="14.1" customHeight="1">
      <c r="A1017" s="224" t="s">
        <v>1514</v>
      </c>
      <c r="B1017" s="218" t="s">
        <v>1515</v>
      </c>
      <c r="C1017" s="223">
        <v>2</v>
      </c>
      <c r="D1017" s="218" t="s">
        <v>1516</v>
      </c>
      <c r="E1017" s="223">
        <v>3</v>
      </c>
      <c r="F1017" s="230">
        <v>405.41</v>
      </c>
      <c r="G1017" s="223">
        <v>1990</v>
      </c>
      <c r="H1017" s="223">
        <v>1</v>
      </c>
      <c r="I1017" s="223">
        <v>1</v>
      </c>
      <c r="J1017" s="223"/>
      <c r="K1017" s="228">
        <v>6077.0959000000003</v>
      </c>
      <c r="L1017" s="241">
        <v>52</v>
      </c>
      <c r="M1017" s="233">
        <v>2917.0060319999998</v>
      </c>
      <c r="N1017" s="230">
        <v>14.99</v>
      </c>
      <c r="O1017" s="231">
        <v>2917</v>
      </c>
      <c r="P1017" s="230"/>
      <c r="Q1017" s="230"/>
    </row>
    <row r="1018" spans="1:17" s="217" customFormat="1" ht="14.1" customHeight="1">
      <c r="A1018" s="224" t="s">
        <v>1514</v>
      </c>
      <c r="B1018" s="218" t="s">
        <v>1515</v>
      </c>
      <c r="C1018" s="223">
        <v>2</v>
      </c>
      <c r="D1018" s="218" t="s">
        <v>1516</v>
      </c>
      <c r="E1018" s="223">
        <v>3</v>
      </c>
      <c r="F1018" s="230">
        <v>397.47</v>
      </c>
      <c r="G1018" s="223">
        <v>1990</v>
      </c>
      <c r="H1018" s="223">
        <v>1</v>
      </c>
      <c r="I1018" s="223">
        <v>1</v>
      </c>
      <c r="J1018" s="223"/>
      <c r="K1018" s="228">
        <v>5958.0753000000004</v>
      </c>
      <c r="L1018" s="241">
        <v>52</v>
      </c>
      <c r="M1018" s="233">
        <v>2859.8761439999998</v>
      </c>
      <c r="N1018" s="230">
        <v>14.99</v>
      </c>
      <c r="O1018" s="231">
        <v>2859</v>
      </c>
      <c r="P1018" s="230"/>
      <c r="Q1018" s="230"/>
    </row>
    <row r="1019" spans="1:17" s="217" customFormat="1" ht="14.1" customHeight="1">
      <c r="A1019" s="224" t="s">
        <v>1514</v>
      </c>
      <c r="B1019" s="218" t="s">
        <v>1515</v>
      </c>
      <c r="C1019" s="223">
        <v>2</v>
      </c>
      <c r="D1019" s="218" t="s">
        <v>1516</v>
      </c>
      <c r="E1019" s="223">
        <v>3</v>
      </c>
      <c r="F1019" s="230">
        <v>390.03</v>
      </c>
      <c r="G1019" s="223">
        <v>1990</v>
      </c>
      <c r="H1019" s="223">
        <v>1</v>
      </c>
      <c r="I1019" s="223">
        <v>1</v>
      </c>
      <c r="J1019" s="223"/>
      <c r="K1019" s="228">
        <v>5846.5496999999996</v>
      </c>
      <c r="L1019" s="241">
        <v>52</v>
      </c>
      <c r="M1019" s="233">
        <v>2806.343856</v>
      </c>
      <c r="N1019" s="230">
        <v>14.99</v>
      </c>
      <c r="O1019" s="231">
        <v>2806</v>
      </c>
      <c r="P1019" s="230"/>
      <c r="Q1019" s="230"/>
    </row>
    <row r="1020" spans="1:17" s="217" customFormat="1" ht="14.1" customHeight="1">
      <c r="A1020" s="224" t="s">
        <v>1514</v>
      </c>
      <c r="B1020" s="218" t="s">
        <v>1515</v>
      </c>
      <c r="C1020" s="223">
        <v>2</v>
      </c>
      <c r="D1020" s="218" t="s">
        <v>1516</v>
      </c>
      <c r="E1020" s="223">
        <v>3</v>
      </c>
      <c r="F1020" s="230">
        <v>541.57000000000005</v>
      </c>
      <c r="G1020" s="223">
        <v>1990</v>
      </c>
      <c r="H1020" s="223">
        <v>1</v>
      </c>
      <c r="I1020" s="223">
        <v>1</v>
      </c>
      <c r="J1020" s="223"/>
      <c r="K1020" s="228">
        <v>8118.1342999999997</v>
      </c>
      <c r="L1020" s="241">
        <v>52</v>
      </c>
      <c r="M1020" s="233">
        <v>3896.7044639999999</v>
      </c>
      <c r="N1020" s="230">
        <v>14.99</v>
      </c>
      <c r="O1020" s="231">
        <v>3896</v>
      </c>
      <c r="P1020" s="230"/>
      <c r="Q1020" s="230"/>
    </row>
    <row r="1021" spans="1:17" s="217" customFormat="1" ht="14.1" customHeight="1">
      <c r="A1021" s="224" t="s">
        <v>1514</v>
      </c>
      <c r="B1021" s="218" t="s">
        <v>1515</v>
      </c>
      <c r="C1021" s="223">
        <v>2</v>
      </c>
      <c r="D1021" s="218" t="s">
        <v>1516</v>
      </c>
      <c r="E1021" s="223">
        <v>3</v>
      </c>
      <c r="F1021" s="223">
        <v>450</v>
      </c>
      <c r="G1021" s="223">
        <v>1990</v>
      </c>
      <c r="H1021" s="223">
        <v>1</v>
      </c>
      <c r="I1021" s="225">
        <v>0</v>
      </c>
      <c r="J1021" s="223"/>
      <c r="K1021" s="247">
        <v>6745.50</v>
      </c>
      <c r="L1021" s="241">
        <v>52</v>
      </c>
      <c r="M1021" s="247">
        <v>3237.84</v>
      </c>
      <c r="N1021" s="230">
        <v>14.99</v>
      </c>
      <c r="O1021" s="287">
        <v>0</v>
      </c>
      <c r="P1021" s="316" t="s">
        <v>1568</v>
      </c>
      <c r="Q1021" s="230"/>
    </row>
    <row r="1022" spans="1:17" s="217" customFormat="1" ht="14.1" customHeight="1">
      <c r="A1022" s="224" t="s">
        <v>1514</v>
      </c>
      <c r="B1022" s="218" t="s">
        <v>1515</v>
      </c>
      <c r="C1022" s="223">
        <v>2</v>
      </c>
      <c r="D1022" s="218" t="s">
        <v>1516</v>
      </c>
      <c r="E1022" s="223">
        <v>3</v>
      </c>
      <c r="F1022" s="230">
        <v>430.48</v>
      </c>
      <c r="G1022" s="223">
        <v>1990</v>
      </c>
      <c r="H1022" s="223">
        <v>1</v>
      </c>
      <c r="I1022" s="223">
        <v>1</v>
      </c>
      <c r="J1022" s="223"/>
      <c r="K1022" s="228">
        <v>6452.8951999999999</v>
      </c>
      <c r="L1022" s="241">
        <v>52</v>
      </c>
      <c r="M1022" s="233">
        <v>3097.3896960000002</v>
      </c>
      <c r="N1022" s="230">
        <v>14.99</v>
      </c>
      <c r="O1022" s="231">
        <v>3097</v>
      </c>
      <c r="P1022" s="230"/>
      <c r="Q1022" s="230"/>
    </row>
    <row r="1023" spans="1:17" s="217" customFormat="1" ht="14.1" customHeight="1">
      <c r="A1023" s="224" t="s">
        <v>1514</v>
      </c>
      <c r="B1023" s="218" t="s">
        <v>1515</v>
      </c>
      <c r="C1023" s="223">
        <v>2</v>
      </c>
      <c r="D1023" s="218" t="s">
        <v>1516</v>
      </c>
      <c r="E1023" s="223">
        <v>3</v>
      </c>
      <c r="F1023" s="230">
        <v>1689.27</v>
      </c>
      <c r="G1023" s="223">
        <v>1998</v>
      </c>
      <c r="H1023" s="223">
        <v>1</v>
      </c>
      <c r="I1023" s="223">
        <v>0</v>
      </c>
      <c r="J1023" s="223"/>
      <c r="K1023" s="228">
        <v>25322.157299999999</v>
      </c>
      <c r="L1023" s="241">
        <v>40</v>
      </c>
      <c r="M1023" s="229">
        <v>15193.294379999999</v>
      </c>
      <c r="N1023" s="230">
        <v>14.99</v>
      </c>
      <c r="O1023" s="231">
        <v>0</v>
      </c>
      <c r="P1023" s="230"/>
      <c r="Q1023" s="230"/>
    </row>
    <row r="1024" spans="1:17" s="217" customFormat="1" ht="14.1" customHeight="1">
      <c r="A1024" s="224" t="s">
        <v>1514</v>
      </c>
      <c r="B1024" s="218" t="s">
        <v>1515</v>
      </c>
      <c r="C1024" s="223">
        <v>2</v>
      </c>
      <c r="D1024" s="218" t="s">
        <v>1516</v>
      </c>
      <c r="E1024" s="223">
        <v>3</v>
      </c>
      <c r="F1024" s="223">
        <v>856</v>
      </c>
      <c r="G1024" s="223">
        <v>1993</v>
      </c>
      <c r="H1024" s="223">
        <v>1</v>
      </c>
      <c r="I1024" s="223">
        <v>0</v>
      </c>
      <c r="J1024" s="223"/>
      <c r="K1024" s="238">
        <v>12831.44</v>
      </c>
      <c r="L1024" s="241">
        <v>50</v>
      </c>
      <c r="M1024" s="238">
        <v>6415.72</v>
      </c>
      <c r="N1024" s="230">
        <v>14.99</v>
      </c>
      <c r="O1024" s="231">
        <v>0</v>
      </c>
      <c r="P1024" s="230"/>
      <c r="Q1024" s="230"/>
    </row>
    <row r="1025" spans="1:17" s="217" customFormat="1" ht="14.1" customHeight="1">
      <c r="A1025" s="224" t="s">
        <v>1514</v>
      </c>
      <c r="B1025" s="218" t="s">
        <v>1515</v>
      </c>
      <c r="C1025" s="223">
        <v>2</v>
      </c>
      <c r="D1025" s="218" t="s">
        <v>1516</v>
      </c>
      <c r="E1025" s="223">
        <v>3</v>
      </c>
      <c r="F1025" s="230">
        <v>495.01</v>
      </c>
      <c r="G1025" s="223">
        <v>1990</v>
      </c>
      <c r="H1025" s="223">
        <v>1</v>
      </c>
      <c r="I1025" s="223">
        <v>0</v>
      </c>
      <c r="J1025" s="223"/>
      <c r="K1025" s="228">
        <v>7420.1998999999996</v>
      </c>
      <c r="L1025" s="241">
        <v>52</v>
      </c>
      <c r="M1025" s="233">
        <v>3561.695952</v>
      </c>
      <c r="N1025" s="230">
        <v>14.99</v>
      </c>
      <c r="O1025" s="231">
        <v>0</v>
      </c>
      <c r="P1025" s="230"/>
      <c r="Q1025" s="230"/>
    </row>
    <row r="1026" spans="1:17" s="217" customFormat="1" ht="14.1" customHeight="1">
      <c r="A1026" s="224" t="s">
        <v>1514</v>
      </c>
      <c r="B1026" s="218" t="s">
        <v>1515</v>
      </c>
      <c r="C1026" s="223">
        <v>2</v>
      </c>
      <c r="D1026" s="218" t="s">
        <v>1516</v>
      </c>
      <c r="E1026" s="223">
        <v>3</v>
      </c>
      <c r="F1026" s="230">
        <v>328.02</v>
      </c>
      <c r="G1026" s="223">
        <v>1990</v>
      </c>
      <c r="H1026" s="223">
        <v>1</v>
      </c>
      <c r="I1026" s="223">
        <v>0</v>
      </c>
      <c r="J1026" s="223"/>
      <c r="K1026" s="228">
        <v>4917.0198</v>
      </c>
      <c r="L1026" s="241">
        <v>52</v>
      </c>
      <c r="M1026" s="233">
        <v>2360.169504</v>
      </c>
      <c r="N1026" s="230">
        <v>14.99</v>
      </c>
      <c r="O1026" s="231">
        <v>0</v>
      </c>
      <c r="P1026" s="230"/>
      <c r="Q1026" s="230"/>
    </row>
    <row r="1027" spans="1:17" s="217" customFormat="1" ht="14.1" customHeight="1">
      <c r="A1027" s="224" t="s">
        <v>1514</v>
      </c>
      <c r="B1027" s="218" t="s">
        <v>1515</v>
      </c>
      <c r="C1027" s="223">
        <v>2</v>
      </c>
      <c r="D1027" s="218" t="s">
        <v>1516</v>
      </c>
      <c r="E1027" s="223">
        <v>3</v>
      </c>
      <c r="F1027" s="230">
        <v>333.53</v>
      </c>
      <c r="G1027" s="223">
        <v>1990</v>
      </c>
      <c r="H1027" s="223">
        <v>1</v>
      </c>
      <c r="I1027" s="223">
        <v>0</v>
      </c>
      <c r="J1027" s="223"/>
      <c r="K1027" s="228">
        <v>4999.6147000000001</v>
      </c>
      <c r="L1027" s="241">
        <v>52</v>
      </c>
      <c r="M1027" s="233">
        <v>2399.8150559999999</v>
      </c>
      <c r="N1027" s="230">
        <v>14.99</v>
      </c>
      <c r="O1027" s="231">
        <v>0</v>
      </c>
      <c r="P1027" s="230"/>
      <c r="Q1027" s="230"/>
    </row>
    <row r="1028" spans="1:17" s="217" customFormat="1" ht="14.1" customHeight="1">
      <c r="A1028" s="224" t="s">
        <v>1514</v>
      </c>
      <c r="B1028" s="218" t="s">
        <v>1515</v>
      </c>
      <c r="C1028" s="223">
        <v>2</v>
      </c>
      <c r="D1028" s="218" t="s">
        <v>1516</v>
      </c>
      <c r="E1028" s="223">
        <v>3</v>
      </c>
      <c r="F1028" s="230">
        <v>1599.97</v>
      </c>
      <c r="G1028" s="223">
        <v>1990</v>
      </c>
      <c r="H1028" s="223">
        <v>1</v>
      </c>
      <c r="I1028" s="223">
        <v>0</v>
      </c>
      <c r="J1028" s="223"/>
      <c r="K1028" s="228">
        <v>23983.550299999999</v>
      </c>
      <c r="L1028" s="241">
        <v>52</v>
      </c>
      <c r="M1028" s="229">
        <v>11512.104139999999</v>
      </c>
      <c r="N1028" s="230">
        <v>14.99</v>
      </c>
      <c r="O1028" s="231">
        <v>0</v>
      </c>
      <c r="P1028" s="230"/>
      <c r="Q1028" s="230"/>
    </row>
    <row r="1029" spans="1:17" s="217" customFormat="1" ht="14.1" customHeight="1">
      <c r="A1029" s="224" t="s">
        <v>1514</v>
      </c>
      <c r="B1029" s="218" t="s">
        <v>1515</v>
      </c>
      <c r="C1029" s="223">
        <v>2</v>
      </c>
      <c r="D1029" s="218" t="s">
        <v>1516</v>
      </c>
      <c r="E1029" s="223">
        <v>3</v>
      </c>
      <c r="F1029" s="230">
        <v>216.83</v>
      </c>
      <c r="G1029" s="223">
        <v>1990</v>
      </c>
      <c r="H1029" s="223">
        <v>1</v>
      </c>
      <c r="I1029" s="223">
        <v>0</v>
      </c>
      <c r="J1029" s="223"/>
      <c r="K1029" s="228">
        <v>3250.2817</v>
      </c>
      <c r="L1029" s="241">
        <v>52</v>
      </c>
      <c r="M1029" s="233">
        <v>1560.1352159999999</v>
      </c>
      <c r="N1029" s="230">
        <v>14.99</v>
      </c>
      <c r="O1029" s="231">
        <v>0</v>
      </c>
      <c r="P1029" s="230"/>
      <c r="Q1029" s="230"/>
    </row>
    <row r="1030" spans="1:17" s="217" customFormat="1" ht="15" customHeight="1">
      <c r="A1030" s="224" t="s">
        <v>1514</v>
      </c>
      <c r="B1030" s="218" t="s">
        <v>1515</v>
      </c>
      <c r="C1030" s="223">
        <v>2</v>
      </c>
      <c r="D1030" s="218" t="s">
        <v>1516</v>
      </c>
      <c r="E1030" s="223">
        <v>3</v>
      </c>
      <c r="F1030" s="230">
        <v>2027.72</v>
      </c>
      <c r="G1030" s="223">
        <v>1990</v>
      </c>
      <c r="H1030" s="223">
        <v>1</v>
      </c>
      <c r="I1030" s="223">
        <v>0</v>
      </c>
      <c r="J1030" s="223"/>
      <c r="K1030" s="228">
        <v>30395.522799999999</v>
      </c>
      <c r="L1030" s="241">
        <v>52</v>
      </c>
      <c r="M1030" s="229">
        <v>14589.85094</v>
      </c>
      <c r="N1030" s="230">
        <v>14.99</v>
      </c>
      <c r="O1030" s="231">
        <v>0</v>
      </c>
      <c r="P1030" s="230"/>
      <c r="Q1030" s="230"/>
    </row>
    <row r="1031" spans="1:17" s="217" customFormat="1" ht="15" customHeight="1">
      <c r="A1031" s="224" t="s">
        <v>1514</v>
      </c>
      <c r="B1031" s="218" t="s">
        <v>1515</v>
      </c>
      <c r="C1031" s="223">
        <v>2</v>
      </c>
      <c r="D1031" s="218" t="s">
        <v>1516</v>
      </c>
      <c r="E1031" s="223">
        <v>3</v>
      </c>
      <c r="F1031" s="230">
        <v>589.01</v>
      </c>
      <c r="G1031" s="223">
        <v>1990</v>
      </c>
      <c r="H1031" s="223">
        <v>1</v>
      </c>
      <c r="I1031" s="223">
        <v>0</v>
      </c>
      <c r="J1031" s="223"/>
      <c r="K1031" s="228">
        <v>8829.2598999999991</v>
      </c>
      <c r="L1031" s="241">
        <v>52</v>
      </c>
      <c r="M1031" s="233">
        <v>4238.0447519999998</v>
      </c>
      <c r="N1031" s="230">
        <v>14.99</v>
      </c>
      <c r="O1031" s="231">
        <v>0</v>
      </c>
      <c r="P1031" s="230"/>
      <c r="Q1031" s="230"/>
    </row>
    <row r="1032" spans="1:17" s="217" customFormat="1" ht="14.1" customHeight="1">
      <c r="A1032" s="249" t="s">
        <v>1514</v>
      </c>
      <c r="B1032" s="250" t="s">
        <v>1515</v>
      </c>
      <c r="C1032" s="251">
        <v>2</v>
      </c>
      <c r="D1032" s="250" t="s">
        <v>1516</v>
      </c>
      <c r="E1032" s="251">
        <v>3</v>
      </c>
      <c r="F1032" s="252">
        <v>702.03</v>
      </c>
      <c r="G1032" s="251">
        <v>1990</v>
      </c>
      <c r="H1032" s="251">
        <v>1</v>
      </c>
      <c r="I1032" s="251">
        <v>0</v>
      </c>
      <c r="J1032" s="251"/>
      <c r="K1032" s="253" t="s">
        <v>1520</v>
      </c>
      <c r="L1032" s="254">
        <v>52</v>
      </c>
      <c r="M1032" s="255" t="s">
        <v>1521</v>
      </c>
      <c r="N1032" s="252">
        <v>14.99</v>
      </c>
      <c r="O1032" s="256">
        <v>0</v>
      </c>
      <c r="P1032" s="252" t="s">
        <v>1519</v>
      </c>
      <c r="Q1032" s="252"/>
    </row>
    <row r="1033" spans="1:17" s="217" customFormat="1" ht="14.1" customHeight="1">
      <c r="A1033" s="249" t="s">
        <v>1514</v>
      </c>
      <c r="B1033" s="250" t="s">
        <v>1515</v>
      </c>
      <c r="C1033" s="251">
        <v>2</v>
      </c>
      <c r="D1033" s="250" t="s">
        <v>1516</v>
      </c>
      <c r="E1033" s="251">
        <v>3</v>
      </c>
      <c r="F1033" s="252">
        <v>2010.17</v>
      </c>
      <c r="G1033" s="251">
        <v>1990</v>
      </c>
      <c r="H1033" s="251">
        <v>1</v>
      </c>
      <c r="I1033" s="251">
        <v>0</v>
      </c>
      <c r="J1033" s="251"/>
      <c r="K1033" s="253" t="s">
        <v>1522</v>
      </c>
      <c r="L1033" s="254">
        <v>52</v>
      </c>
      <c r="M1033" s="258" t="s">
        <v>1523</v>
      </c>
      <c r="N1033" s="252">
        <v>14.99</v>
      </c>
      <c r="O1033" s="256">
        <v>0</v>
      </c>
      <c r="P1033" s="252" t="s">
        <v>1519</v>
      </c>
      <c r="Q1033" s="252"/>
    </row>
    <row r="1034" spans="1:17" s="217" customFormat="1" ht="14.1" customHeight="1">
      <c r="A1034" s="224" t="s">
        <v>1514</v>
      </c>
      <c r="B1034" s="218" t="s">
        <v>1515</v>
      </c>
      <c r="C1034" s="223">
        <v>2</v>
      </c>
      <c r="D1034" s="218" t="s">
        <v>1516</v>
      </c>
      <c r="E1034" s="223">
        <v>3</v>
      </c>
      <c r="F1034" s="230">
        <v>1039.53</v>
      </c>
      <c r="G1034" s="223">
        <v>1988</v>
      </c>
      <c r="H1034" s="223">
        <v>1</v>
      </c>
      <c r="I1034" s="223">
        <v>0</v>
      </c>
      <c r="J1034" s="223"/>
      <c r="K1034" s="228">
        <v>15582.554700000001</v>
      </c>
      <c r="L1034" s="241">
        <v>54</v>
      </c>
      <c r="M1034" s="233">
        <v>7167.9751619999997</v>
      </c>
      <c r="N1034" s="230">
        <v>14.99</v>
      </c>
      <c r="O1034" s="231">
        <v>0</v>
      </c>
      <c r="P1034" s="230"/>
      <c r="Q1034" s="230"/>
    </row>
    <row r="1035" spans="1:17" s="217" customFormat="1" ht="14.1" customHeight="1">
      <c r="A1035" s="224" t="s">
        <v>1514</v>
      </c>
      <c r="B1035" s="218" t="s">
        <v>1515</v>
      </c>
      <c r="C1035" s="223">
        <v>2</v>
      </c>
      <c r="D1035" s="218" t="s">
        <v>1516</v>
      </c>
      <c r="E1035" s="223">
        <v>3</v>
      </c>
      <c r="F1035" s="230">
        <v>913.45</v>
      </c>
      <c r="G1035" s="223">
        <v>1988</v>
      </c>
      <c r="H1035" s="223">
        <v>1</v>
      </c>
      <c r="I1035" s="223">
        <v>0</v>
      </c>
      <c r="J1035" s="223"/>
      <c r="K1035" s="228">
        <v>13692.6155</v>
      </c>
      <c r="L1035" s="241">
        <v>54</v>
      </c>
      <c r="M1035" s="229">
        <v>6298.6031300000004</v>
      </c>
      <c r="N1035" s="230">
        <v>14.99</v>
      </c>
      <c r="O1035" s="231">
        <v>0</v>
      </c>
      <c r="P1035" s="230"/>
      <c r="Q1035" s="230"/>
    </row>
    <row r="1036" spans="1:17" s="217" customFormat="1" ht="14.1" customHeight="1">
      <c r="A1036" s="224" t="s">
        <v>1514</v>
      </c>
      <c r="B1036" s="218" t="s">
        <v>1515</v>
      </c>
      <c r="C1036" s="223">
        <v>2</v>
      </c>
      <c r="D1036" s="218" t="s">
        <v>1516</v>
      </c>
      <c r="E1036" s="223">
        <v>3</v>
      </c>
      <c r="F1036" s="230">
        <v>138.58000000000001</v>
      </c>
      <c r="G1036" s="223">
        <v>1988</v>
      </c>
      <c r="H1036" s="223">
        <v>1</v>
      </c>
      <c r="I1036" s="223">
        <v>0</v>
      </c>
      <c r="J1036" s="223"/>
      <c r="K1036" s="228">
        <v>2077.3141999999998</v>
      </c>
      <c r="L1036" s="241">
        <v>54</v>
      </c>
      <c r="M1036" s="233">
        <v>955.56453199999999</v>
      </c>
      <c r="N1036" s="230">
        <v>14.99</v>
      </c>
      <c r="O1036" s="231">
        <v>0</v>
      </c>
      <c r="P1036" s="230"/>
      <c r="Q1036" s="230"/>
    </row>
    <row r="1037" spans="1:17" s="217" customFormat="1" ht="14.1" customHeight="1">
      <c r="A1037" s="224" t="s">
        <v>1514</v>
      </c>
      <c r="B1037" s="218" t="s">
        <v>1515</v>
      </c>
      <c r="C1037" s="223">
        <v>2</v>
      </c>
      <c r="D1037" s="218" t="s">
        <v>1516</v>
      </c>
      <c r="E1037" s="223">
        <v>3</v>
      </c>
      <c r="F1037" s="230">
        <v>1169.82</v>
      </c>
      <c r="G1037" s="223">
        <v>1988</v>
      </c>
      <c r="H1037" s="223">
        <v>1</v>
      </c>
      <c r="I1037" s="223">
        <v>0</v>
      </c>
      <c r="J1037" s="223"/>
      <c r="K1037" s="228">
        <v>17535.6018</v>
      </c>
      <c r="L1037" s="241">
        <v>54</v>
      </c>
      <c r="M1037" s="233">
        <v>8066.3768280000004</v>
      </c>
      <c r="N1037" s="230">
        <v>14.99</v>
      </c>
      <c r="O1037" s="231">
        <v>0</v>
      </c>
      <c r="P1037" s="230"/>
      <c r="Q1037" s="230"/>
    </row>
    <row r="1038" spans="1:17" s="217" customFormat="1" ht="14.1" customHeight="1">
      <c r="A1038" s="224" t="s">
        <v>1514</v>
      </c>
      <c r="B1038" s="218" t="s">
        <v>1515</v>
      </c>
      <c r="C1038" s="223">
        <v>2</v>
      </c>
      <c r="D1038" s="218" t="s">
        <v>1516</v>
      </c>
      <c r="E1038" s="223">
        <v>3</v>
      </c>
      <c r="F1038" s="230">
        <v>467.68</v>
      </c>
      <c r="G1038" s="223">
        <v>1988</v>
      </c>
      <c r="H1038" s="223">
        <v>1</v>
      </c>
      <c r="I1038" s="223">
        <v>0</v>
      </c>
      <c r="J1038" s="223"/>
      <c r="K1038" s="228">
        <v>7010.5231999999996</v>
      </c>
      <c r="L1038" s="241">
        <v>54</v>
      </c>
      <c r="M1038" s="233">
        <v>3224.8406719999998</v>
      </c>
      <c r="N1038" s="230">
        <v>14.99</v>
      </c>
      <c r="O1038" s="231">
        <v>0</v>
      </c>
      <c r="P1038" s="230"/>
      <c r="Q1038" s="230"/>
    </row>
    <row r="1039" spans="1:17" s="217" customFormat="1" ht="14.1" customHeight="1">
      <c r="A1039" s="224" t="s">
        <v>1514</v>
      </c>
      <c r="B1039" s="218" t="s">
        <v>1515</v>
      </c>
      <c r="C1039" s="223">
        <v>2</v>
      </c>
      <c r="D1039" s="218" t="s">
        <v>1516</v>
      </c>
      <c r="E1039" s="223">
        <v>3</v>
      </c>
      <c r="F1039" s="230">
        <v>350.43</v>
      </c>
      <c r="G1039" s="223">
        <v>1988</v>
      </c>
      <c r="H1039" s="223">
        <v>1</v>
      </c>
      <c r="I1039" s="223">
        <v>0</v>
      </c>
      <c r="J1039" s="223"/>
      <c r="K1039" s="228">
        <v>5252.9457000000002</v>
      </c>
      <c r="L1039" s="241">
        <v>54</v>
      </c>
      <c r="M1039" s="233">
        <v>2416.3550220000002</v>
      </c>
      <c r="N1039" s="230">
        <v>14.99</v>
      </c>
      <c r="O1039" s="231">
        <v>0</v>
      </c>
      <c r="P1039" s="230"/>
      <c r="Q1039" s="230"/>
    </row>
    <row r="1040" spans="1:17" s="217" customFormat="1" ht="14.1" customHeight="1">
      <c r="A1040" s="249" t="s">
        <v>1514</v>
      </c>
      <c r="B1040" s="250" t="s">
        <v>1515</v>
      </c>
      <c r="C1040" s="251">
        <v>2</v>
      </c>
      <c r="D1040" s="250" t="s">
        <v>1516</v>
      </c>
      <c r="E1040" s="251">
        <v>3</v>
      </c>
      <c r="F1040" s="252">
        <v>441.21</v>
      </c>
      <c r="G1040" s="251">
        <v>1996</v>
      </c>
      <c r="H1040" s="251">
        <v>1</v>
      </c>
      <c r="I1040" s="251">
        <v>0</v>
      </c>
      <c r="J1040" s="251"/>
      <c r="K1040" s="253" t="s">
        <v>1524</v>
      </c>
      <c r="L1040" s="254">
        <v>44</v>
      </c>
      <c r="M1040" s="255" t="s">
        <v>1525</v>
      </c>
      <c r="N1040" s="252">
        <v>14.99</v>
      </c>
      <c r="O1040" s="256">
        <v>0</v>
      </c>
      <c r="P1040" s="252" t="s">
        <v>1519</v>
      </c>
      <c r="Q1040" s="252"/>
    </row>
    <row r="1041" spans="1:17" s="217" customFormat="1" ht="14.1" customHeight="1">
      <c r="A1041" s="224" t="s">
        <v>1514</v>
      </c>
      <c r="B1041" s="218" t="s">
        <v>1515</v>
      </c>
      <c r="C1041" s="223">
        <v>2</v>
      </c>
      <c r="D1041" s="218" t="s">
        <v>1516</v>
      </c>
      <c r="E1041" s="223">
        <v>3</v>
      </c>
      <c r="F1041" s="230">
        <v>678.81</v>
      </c>
      <c r="G1041" s="223">
        <v>1990</v>
      </c>
      <c r="H1041" s="223">
        <v>1</v>
      </c>
      <c r="I1041" s="223">
        <v>0</v>
      </c>
      <c r="J1041" s="223"/>
      <c r="K1041" s="228">
        <v>10175.3619</v>
      </c>
      <c r="L1041" s="241">
        <v>52</v>
      </c>
      <c r="M1041" s="233">
        <v>4884.1737119999998</v>
      </c>
      <c r="N1041" s="230">
        <v>14.99</v>
      </c>
      <c r="O1041" s="231">
        <v>0</v>
      </c>
      <c r="P1041" s="230"/>
      <c r="Q1041" s="230"/>
    </row>
    <row r="1042" spans="1:17" s="217" customFormat="1" ht="14.1" customHeight="1">
      <c r="A1042" s="224" t="s">
        <v>1514</v>
      </c>
      <c r="B1042" s="218" t="s">
        <v>1515</v>
      </c>
      <c r="C1042" s="223">
        <v>2</v>
      </c>
      <c r="D1042" s="218" t="s">
        <v>1516</v>
      </c>
      <c r="E1042" s="223">
        <v>3</v>
      </c>
      <c r="F1042" s="230">
        <v>814.11</v>
      </c>
      <c r="G1042" s="223">
        <v>1990</v>
      </c>
      <c r="H1042" s="223">
        <v>1</v>
      </c>
      <c r="I1042" s="223">
        <v>0</v>
      </c>
      <c r="J1042" s="223"/>
      <c r="K1042" s="228">
        <v>12203.508900000001</v>
      </c>
      <c r="L1042" s="241">
        <v>52</v>
      </c>
      <c r="M1042" s="233">
        <v>5857.6842720000004</v>
      </c>
      <c r="N1042" s="230">
        <v>14.99</v>
      </c>
      <c r="O1042" s="231">
        <v>0</v>
      </c>
      <c r="P1042" s="230"/>
      <c r="Q1042" s="230"/>
    </row>
    <row r="1043" spans="1:17" s="217" customFormat="1" ht="14.1" customHeight="1">
      <c r="A1043" s="224" t="s">
        <v>1514</v>
      </c>
      <c r="B1043" s="218" t="s">
        <v>1515</v>
      </c>
      <c r="C1043" s="223">
        <v>2</v>
      </c>
      <c r="D1043" s="218" t="s">
        <v>1516</v>
      </c>
      <c r="E1043" s="223">
        <v>3</v>
      </c>
      <c r="F1043" s="230">
        <v>759.71</v>
      </c>
      <c r="G1043" s="223">
        <v>1992</v>
      </c>
      <c r="H1043" s="223">
        <v>1</v>
      </c>
      <c r="I1043" s="223">
        <v>1</v>
      </c>
      <c r="J1043" s="223"/>
      <c r="K1043" s="228">
        <v>11388.052900000001</v>
      </c>
      <c r="L1043" s="241">
        <v>51</v>
      </c>
      <c r="M1043" s="233">
        <v>5580.1459210000003</v>
      </c>
      <c r="N1043" s="230">
        <v>14.99</v>
      </c>
      <c r="O1043" s="231">
        <v>5580</v>
      </c>
      <c r="P1043" s="230"/>
      <c r="Q1043" s="230"/>
    </row>
    <row r="1044" spans="1:17" s="217" customFormat="1" ht="14.1" customHeight="1">
      <c r="A1044" s="224" t="s">
        <v>1514</v>
      </c>
      <c r="B1044" s="218" t="s">
        <v>1515</v>
      </c>
      <c r="C1044" s="223">
        <v>2</v>
      </c>
      <c r="D1044" s="218" t="s">
        <v>1516</v>
      </c>
      <c r="E1044" s="223">
        <v>3</v>
      </c>
      <c r="F1044" s="230">
        <v>252.46</v>
      </c>
      <c r="G1044" s="223">
        <v>1992</v>
      </c>
      <c r="H1044" s="223">
        <v>1</v>
      </c>
      <c r="I1044" s="223">
        <v>1</v>
      </c>
      <c r="J1044" s="223"/>
      <c r="K1044" s="228">
        <v>3784.3753999999999</v>
      </c>
      <c r="L1044" s="241">
        <v>51</v>
      </c>
      <c r="M1044" s="233">
        <v>1854.343946</v>
      </c>
      <c r="N1044" s="230">
        <v>14.99</v>
      </c>
      <c r="O1044" s="231">
        <v>1854</v>
      </c>
      <c r="P1044" s="230"/>
      <c r="Q1044" s="230"/>
    </row>
    <row r="1045" spans="1:17" s="217" customFormat="1" ht="14.1" customHeight="1">
      <c r="A1045" s="224" t="s">
        <v>1514</v>
      </c>
      <c r="B1045" s="218" t="s">
        <v>1515</v>
      </c>
      <c r="C1045" s="223">
        <v>2</v>
      </c>
      <c r="D1045" s="218" t="s">
        <v>1516</v>
      </c>
      <c r="E1045" s="223">
        <v>3</v>
      </c>
      <c r="F1045" s="230">
        <v>1954.86</v>
      </c>
      <c r="G1045" s="223">
        <v>1997</v>
      </c>
      <c r="H1045" s="223">
        <v>1</v>
      </c>
      <c r="I1045" s="223">
        <v>1</v>
      </c>
      <c r="J1045" s="223"/>
      <c r="K1045" s="228">
        <v>29303.3514</v>
      </c>
      <c r="L1045" s="241">
        <v>42</v>
      </c>
      <c r="M1045" s="229">
        <v>16995.943810000001</v>
      </c>
      <c r="N1045" s="230">
        <v>14.99</v>
      </c>
      <c r="O1045" s="231">
        <v>16995</v>
      </c>
      <c r="P1045" s="230"/>
      <c r="Q1045" s="230"/>
    </row>
    <row r="1046" spans="1:17" s="217" customFormat="1" ht="14.1" customHeight="1">
      <c r="A1046" s="224" t="s">
        <v>1514</v>
      </c>
      <c r="B1046" s="218" t="s">
        <v>1515</v>
      </c>
      <c r="C1046" s="223">
        <v>2</v>
      </c>
      <c r="D1046" s="218" t="s">
        <v>1516</v>
      </c>
      <c r="E1046" s="223">
        <v>3</v>
      </c>
      <c r="F1046" s="230">
        <v>1586.15</v>
      </c>
      <c r="G1046" s="223">
        <v>1997</v>
      </c>
      <c r="H1046" s="223">
        <v>1</v>
      </c>
      <c r="I1046" s="223">
        <v>1</v>
      </c>
      <c r="J1046" s="223"/>
      <c r="K1046" s="228">
        <v>23776.388500000001</v>
      </c>
      <c r="L1046" s="241">
        <v>42</v>
      </c>
      <c r="M1046" s="229">
        <v>13790.305329999999</v>
      </c>
      <c r="N1046" s="230">
        <v>14.99</v>
      </c>
      <c r="O1046" s="231">
        <v>13790</v>
      </c>
      <c r="P1046" s="230"/>
      <c r="Q1046" s="230"/>
    </row>
    <row r="1047" spans="1:17" s="217" customFormat="1" ht="14.1" customHeight="1">
      <c r="A1047" s="224" t="s">
        <v>1514</v>
      </c>
      <c r="B1047" s="218" t="s">
        <v>1515</v>
      </c>
      <c r="C1047" s="223">
        <v>2</v>
      </c>
      <c r="D1047" s="218" t="s">
        <v>1516</v>
      </c>
      <c r="E1047" s="223">
        <v>3</v>
      </c>
      <c r="F1047" s="230">
        <v>1484.32</v>
      </c>
      <c r="G1047" s="223">
        <v>1997</v>
      </c>
      <c r="H1047" s="223">
        <v>1</v>
      </c>
      <c r="I1047" s="223">
        <v>1</v>
      </c>
      <c r="J1047" s="223"/>
      <c r="K1047" s="228">
        <v>22249.9568</v>
      </c>
      <c r="L1047" s="241">
        <v>42</v>
      </c>
      <c r="M1047" s="229">
        <v>12904.97494</v>
      </c>
      <c r="N1047" s="230">
        <v>14.99</v>
      </c>
      <c r="O1047" s="231">
        <v>12904</v>
      </c>
      <c r="P1047" s="230"/>
      <c r="Q1047" s="230"/>
    </row>
    <row r="1048" spans="1:17" s="217" customFormat="1" ht="14.1" customHeight="1">
      <c r="A1048" s="224" t="s">
        <v>1514</v>
      </c>
      <c r="B1048" s="218" t="s">
        <v>1515</v>
      </c>
      <c r="C1048" s="223">
        <v>2</v>
      </c>
      <c r="D1048" s="218" t="s">
        <v>1516</v>
      </c>
      <c r="E1048" s="223">
        <v>3</v>
      </c>
      <c r="F1048" s="230">
        <v>228.87</v>
      </c>
      <c r="G1048" s="223">
        <v>1992</v>
      </c>
      <c r="H1048" s="223">
        <v>1</v>
      </c>
      <c r="I1048" s="223">
        <v>1</v>
      </c>
      <c r="J1048" s="223"/>
      <c r="K1048" s="228">
        <v>3430.7613000000001</v>
      </c>
      <c r="L1048" s="241">
        <v>51</v>
      </c>
      <c r="M1048" s="233">
        <v>1681.0730370000001</v>
      </c>
      <c r="N1048" s="230">
        <v>14.99</v>
      </c>
      <c r="O1048" s="231">
        <v>1681</v>
      </c>
      <c r="P1048" s="230"/>
      <c r="Q1048" s="230"/>
    </row>
    <row r="1049" spans="1:17" s="217" customFormat="1" ht="14.1" customHeight="1">
      <c r="A1049" s="224" t="s">
        <v>1514</v>
      </c>
      <c r="B1049" s="218" t="s">
        <v>1515</v>
      </c>
      <c r="C1049" s="223">
        <v>2</v>
      </c>
      <c r="D1049" s="218" t="s">
        <v>1516</v>
      </c>
      <c r="E1049" s="223">
        <v>3</v>
      </c>
      <c r="F1049" s="230">
        <v>876.02</v>
      </c>
      <c r="G1049" s="223">
        <v>1997</v>
      </c>
      <c r="H1049" s="223">
        <v>1</v>
      </c>
      <c r="I1049" s="223">
        <v>1</v>
      </c>
      <c r="J1049" s="223"/>
      <c r="K1049" s="228">
        <v>13131.5398</v>
      </c>
      <c r="L1049" s="241">
        <v>42</v>
      </c>
      <c r="M1049" s="233">
        <v>7616.2930839999999</v>
      </c>
      <c r="N1049" s="230">
        <v>14.99</v>
      </c>
      <c r="O1049" s="231">
        <v>7616</v>
      </c>
      <c r="P1049" s="230"/>
      <c r="Q1049" s="230"/>
    </row>
    <row r="1050" spans="1:17" s="217" customFormat="1" ht="14.1" customHeight="1">
      <c r="A1050" s="224" t="s">
        <v>1514</v>
      </c>
      <c r="B1050" s="218" t="s">
        <v>1515</v>
      </c>
      <c r="C1050" s="223">
        <v>2</v>
      </c>
      <c r="D1050" s="218" t="s">
        <v>1516</v>
      </c>
      <c r="E1050" s="223">
        <v>3</v>
      </c>
      <c r="F1050" s="230">
        <v>2577.9899999999998</v>
      </c>
      <c r="G1050" s="223">
        <v>1992</v>
      </c>
      <c r="H1050" s="223">
        <v>1</v>
      </c>
      <c r="I1050" s="223">
        <v>1</v>
      </c>
      <c r="J1050" s="223"/>
      <c r="K1050" s="228">
        <v>38644.070099999997</v>
      </c>
      <c r="L1050" s="241">
        <v>51</v>
      </c>
      <c r="M1050" s="229">
        <v>18935.594349999999</v>
      </c>
      <c r="N1050" s="230">
        <v>14.99</v>
      </c>
      <c r="O1050" s="231">
        <v>18935</v>
      </c>
      <c r="P1050" s="230"/>
      <c r="Q1050" s="230"/>
    </row>
    <row r="1051" spans="1:17" s="217" customFormat="1" ht="14.1" customHeight="1">
      <c r="A1051" s="224" t="s">
        <v>1514</v>
      </c>
      <c r="B1051" s="218" t="s">
        <v>1515</v>
      </c>
      <c r="C1051" s="223">
        <v>2</v>
      </c>
      <c r="D1051" s="218" t="s">
        <v>1516</v>
      </c>
      <c r="E1051" s="223">
        <v>3</v>
      </c>
      <c r="F1051" s="230">
        <v>1671.85</v>
      </c>
      <c r="G1051" s="223">
        <v>1992</v>
      </c>
      <c r="H1051" s="223">
        <v>1</v>
      </c>
      <c r="I1051" s="223">
        <v>1</v>
      </c>
      <c r="J1051" s="223"/>
      <c r="K1051" s="228">
        <v>25061.031500000001</v>
      </c>
      <c r="L1051" s="241">
        <v>51</v>
      </c>
      <c r="M1051" s="229">
        <v>12279.90544</v>
      </c>
      <c r="N1051" s="230">
        <v>14.99</v>
      </c>
      <c r="O1051" s="231">
        <v>12279</v>
      </c>
      <c r="P1051" s="230"/>
      <c r="Q1051" s="230"/>
    </row>
    <row r="1052" spans="1:17" s="217" customFormat="1" ht="14.1" customHeight="1">
      <c r="A1052" s="224" t="s">
        <v>1514</v>
      </c>
      <c r="B1052" s="218" t="s">
        <v>1515</v>
      </c>
      <c r="C1052" s="223">
        <v>2</v>
      </c>
      <c r="D1052" s="218" t="s">
        <v>1516</v>
      </c>
      <c r="E1052" s="223">
        <v>3</v>
      </c>
      <c r="F1052" s="230">
        <v>121.06</v>
      </c>
      <c r="G1052" s="223">
        <v>1993</v>
      </c>
      <c r="H1052" s="223">
        <v>1</v>
      </c>
      <c r="I1052" s="223">
        <v>1</v>
      </c>
      <c r="J1052" s="223"/>
      <c r="K1052" s="228">
        <v>1814.6894</v>
      </c>
      <c r="L1052" s="241">
        <v>50</v>
      </c>
      <c r="M1052" s="228">
        <v>907.34469999999999</v>
      </c>
      <c r="N1052" s="230">
        <v>14.99</v>
      </c>
      <c r="O1052" s="231">
        <v>907</v>
      </c>
      <c r="P1052" s="230"/>
      <c r="Q1052" s="230"/>
    </row>
    <row r="1053" spans="1:17" s="217" customFormat="1" ht="14.1" customHeight="1">
      <c r="A1053" s="224" t="s">
        <v>1514</v>
      </c>
      <c r="B1053" s="218" t="s">
        <v>1515</v>
      </c>
      <c r="C1053" s="223">
        <v>2</v>
      </c>
      <c r="D1053" s="218" t="s">
        <v>1516</v>
      </c>
      <c r="E1053" s="223">
        <v>3</v>
      </c>
      <c r="F1053" s="230">
        <v>356.59</v>
      </c>
      <c r="G1053" s="223">
        <v>1993</v>
      </c>
      <c r="H1053" s="223">
        <v>1</v>
      </c>
      <c r="I1053" s="223">
        <v>1</v>
      </c>
      <c r="J1053" s="223"/>
      <c r="K1053" s="228">
        <v>5345.2840999999999</v>
      </c>
      <c r="L1053" s="241">
        <v>50</v>
      </c>
      <c r="M1053" s="229">
        <v>2672.6420499999999</v>
      </c>
      <c r="N1053" s="230">
        <v>14.99</v>
      </c>
      <c r="O1053" s="231">
        <v>2672</v>
      </c>
      <c r="P1053" s="230"/>
      <c r="Q1053" s="230"/>
    </row>
    <row r="1054" spans="1:17" s="217" customFormat="1" ht="14.1" customHeight="1">
      <c r="A1054" s="224" t="s">
        <v>1514</v>
      </c>
      <c r="B1054" s="218" t="s">
        <v>1515</v>
      </c>
      <c r="C1054" s="223">
        <v>2</v>
      </c>
      <c r="D1054" s="218" t="s">
        <v>1516</v>
      </c>
      <c r="E1054" s="223">
        <v>3</v>
      </c>
      <c r="F1054" s="223">
        <v>30</v>
      </c>
      <c r="G1054" s="223">
        <v>1992</v>
      </c>
      <c r="H1054" s="223">
        <v>1</v>
      </c>
      <c r="I1054" s="223">
        <v>1</v>
      </c>
      <c r="J1054" s="223"/>
      <c r="K1054" s="237">
        <v>449.70</v>
      </c>
      <c r="L1054" s="241">
        <v>51</v>
      </c>
      <c r="M1054" s="239">
        <v>220.35300000000001</v>
      </c>
      <c r="N1054" s="230">
        <v>14.99</v>
      </c>
      <c r="O1054" s="231">
        <v>220</v>
      </c>
      <c r="P1054" s="230"/>
      <c r="Q1054" s="230"/>
    </row>
    <row r="1055" spans="1:17" s="217" customFormat="1" ht="14.1" customHeight="1">
      <c r="A1055" s="224" t="s">
        <v>1514</v>
      </c>
      <c r="B1055" s="218" t="s">
        <v>1515</v>
      </c>
      <c r="C1055" s="223">
        <v>2</v>
      </c>
      <c r="D1055" s="218" t="s">
        <v>1516</v>
      </c>
      <c r="E1055" s="223">
        <v>3</v>
      </c>
      <c r="F1055" s="230">
        <v>356.59</v>
      </c>
      <c r="G1055" s="223">
        <v>1990</v>
      </c>
      <c r="H1055" s="223">
        <v>1</v>
      </c>
      <c r="I1055" s="223">
        <v>0</v>
      </c>
      <c r="J1055" s="223"/>
      <c r="K1055" s="228">
        <v>5345.2840999999999</v>
      </c>
      <c r="L1055" s="241">
        <v>52</v>
      </c>
      <c r="M1055" s="233">
        <v>2565.7363679999999</v>
      </c>
      <c r="N1055" s="230">
        <v>14.99</v>
      </c>
      <c r="O1055" s="231">
        <v>0</v>
      </c>
      <c r="P1055" s="230"/>
      <c r="Q1055" s="230"/>
    </row>
    <row r="1056" spans="1:17" s="217" customFormat="1" ht="14.1" customHeight="1">
      <c r="A1056" s="224" t="s">
        <v>1514</v>
      </c>
      <c r="B1056" s="218" t="s">
        <v>1515</v>
      </c>
      <c r="C1056" s="223">
        <v>2</v>
      </c>
      <c r="D1056" s="218" t="s">
        <v>1516</v>
      </c>
      <c r="E1056" s="223">
        <v>3</v>
      </c>
      <c r="F1056" s="230">
        <v>374.77</v>
      </c>
      <c r="G1056" s="223">
        <v>2013</v>
      </c>
      <c r="H1056" s="223">
        <v>1</v>
      </c>
      <c r="I1056" s="223">
        <v>1</v>
      </c>
      <c r="J1056" s="223"/>
      <c r="K1056" s="228">
        <v>5617.8023000000003</v>
      </c>
      <c r="L1056" s="240">
        <v>8</v>
      </c>
      <c r="M1056" s="233">
        <v>5168.3781159999999</v>
      </c>
      <c r="N1056" s="230">
        <v>14.99</v>
      </c>
      <c r="O1056" s="231">
        <v>5168</v>
      </c>
      <c r="P1056" s="230"/>
      <c r="Q1056" s="230"/>
    </row>
    <row r="1057" spans="1:17" s="217" customFormat="1" ht="14.1" customHeight="1">
      <c r="A1057" s="224" t="s">
        <v>1514</v>
      </c>
      <c r="B1057" s="218" t="s">
        <v>1515</v>
      </c>
      <c r="C1057" s="223">
        <v>2</v>
      </c>
      <c r="D1057" s="218" t="s">
        <v>1516</v>
      </c>
      <c r="E1057" s="223">
        <v>3</v>
      </c>
      <c r="F1057" s="223">
        <v>352</v>
      </c>
      <c r="G1057" s="223">
        <v>2013</v>
      </c>
      <c r="H1057" s="223">
        <v>1</v>
      </c>
      <c r="I1057" s="223">
        <v>1</v>
      </c>
      <c r="J1057" s="223"/>
      <c r="K1057" s="238">
        <v>5276.48</v>
      </c>
      <c r="L1057" s="240">
        <v>8</v>
      </c>
      <c r="M1057" s="228">
        <v>4854.3616000000002</v>
      </c>
      <c r="N1057" s="230">
        <v>14.99</v>
      </c>
      <c r="O1057" s="231">
        <v>4854</v>
      </c>
      <c r="P1057" s="230"/>
      <c r="Q1057" s="230"/>
    </row>
    <row r="1058" spans="1:17" s="217" customFormat="1" ht="14.1" customHeight="1">
      <c r="A1058" s="224" t="s">
        <v>1514</v>
      </c>
      <c r="B1058" s="218" t="s">
        <v>1515</v>
      </c>
      <c r="C1058" s="223">
        <v>2</v>
      </c>
      <c r="D1058" s="218" t="s">
        <v>1516</v>
      </c>
      <c r="E1058" s="223">
        <v>3</v>
      </c>
      <c r="F1058" s="230">
        <v>1130.68</v>
      </c>
      <c r="G1058" s="223">
        <v>1996</v>
      </c>
      <c r="H1058" s="223">
        <v>1</v>
      </c>
      <c r="I1058" s="223">
        <v>1</v>
      </c>
      <c r="J1058" s="223"/>
      <c r="K1058" s="228">
        <v>16948.893199999999</v>
      </c>
      <c r="L1058" s="241">
        <v>44</v>
      </c>
      <c r="M1058" s="233">
        <v>9491.3801920000005</v>
      </c>
      <c r="N1058" s="230">
        <v>14.99</v>
      </c>
      <c r="O1058" s="231">
        <v>9491</v>
      </c>
      <c r="P1058" s="230"/>
      <c r="Q1058" s="230"/>
    </row>
    <row r="1059" spans="1:17" s="217" customFormat="1" ht="14.1" customHeight="1">
      <c r="A1059" s="224" t="s">
        <v>1514</v>
      </c>
      <c r="B1059" s="218" t="s">
        <v>1515</v>
      </c>
      <c r="C1059" s="223">
        <v>2</v>
      </c>
      <c r="D1059" s="218" t="s">
        <v>1516</v>
      </c>
      <c r="E1059" s="223">
        <v>3</v>
      </c>
      <c r="F1059" s="223">
        <v>569</v>
      </c>
      <c r="G1059" s="223">
        <v>1992</v>
      </c>
      <c r="H1059" s="223">
        <v>1</v>
      </c>
      <c r="I1059" s="223">
        <v>1</v>
      </c>
      <c r="J1059" s="223"/>
      <c r="K1059" s="238">
        <v>8529.31</v>
      </c>
      <c r="L1059" s="241">
        <v>51</v>
      </c>
      <c r="M1059" s="228">
        <v>4179.3618999999999</v>
      </c>
      <c r="N1059" s="230">
        <v>14.99</v>
      </c>
      <c r="O1059" s="231">
        <v>4179</v>
      </c>
      <c r="P1059" s="230"/>
      <c r="Q1059" s="230"/>
    </row>
    <row r="1060" spans="1:17" s="217" customFormat="1" ht="14.1" customHeight="1">
      <c r="A1060" s="224" t="s">
        <v>1514</v>
      </c>
      <c r="B1060" s="218" t="s">
        <v>1515</v>
      </c>
      <c r="C1060" s="223">
        <v>2</v>
      </c>
      <c r="D1060" s="218" t="s">
        <v>1516</v>
      </c>
      <c r="E1060" s="223">
        <v>3</v>
      </c>
      <c r="F1060" s="223">
        <v>569</v>
      </c>
      <c r="G1060" s="223">
        <v>1992</v>
      </c>
      <c r="H1060" s="223">
        <v>1</v>
      </c>
      <c r="I1060" s="223">
        <v>1</v>
      </c>
      <c r="J1060" s="223"/>
      <c r="K1060" s="238">
        <v>8529.31</v>
      </c>
      <c r="L1060" s="241">
        <v>51</v>
      </c>
      <c r="M1060" s="228">
        <v>4179.3618999999999</v>
      </c>
      <c r="N1060" s="230">
        <v>14.99</v>
      </c>
      <c r="O1060" s="231">
        <v>4179</v>
      </c>
      <c r="P1060" s="230"/>
      <c r="Q1060" s="230"/>
    </row>
    <row r="1061" spans="1:17" s="217" customFormat="1" ht="14.1" customHeight="1">
      <c r="A1061" s="224" t="s">
        <v>1514</v>
      </c>
      <c r="B1061" s="218" t="s">
        <v>1515</v>
      </c>
      <c r="C1061" s="223">
        <v>2</v>
      </c>
      <c r="D1061" s="218" t="s">
        <v>1516</v>
      </c>
      <c r="E1061" s="223">
        <v>3</v>
      </c>
      <c r="F1061" s="223">
        <v>2618</v>
      </c>
      <c r="G1061" s="223">
        <v>1992</v>
      </c>
      <c r="H1061" s="223">
        <v>1</v>
      </c>
      <c r="I1061" s="223">
        <v>1</v>
      </c>
      <c r="J1061" s="223"/>
      <c r="K1061" s="238">
        <v>39243.82</v>
      </c>
      <c r="L1061" s="241">
        <v>51</v>
      </c>
      <c r="M1061" s="228">
        <v>19229.471799999999</v>
      </c>
      <c r="N1061" s="230">
        <v>14.99</v>
      </c>
      <c r="O1061" s="231">
        <v>19229</v>
      </c>
      <c r="P1061" s="230"/>
      <c r="Q1061" s="230"/>
    </row>
    <row r="1062" spans="1:17" s="217" customFormat="1" ht="14.1" customHeight="1">
      <c r="A1062" s="224" t="s">
        <v>1514</v>
      </c>
      <c r="B1062" s="218" t="s">
        <v>1515</v>
      </c>
      <c r="C1062" s="223">
        <v>2</v>
      </c>
      <c r="D1062" s="218" t="s">
        <v>1516</v>
      </c>
      <c r="E1062" s="223">
        <v>3</v>
      </c>
      <c r="F1062" s="223">
        <v>2618</v>
      </c>
      <c r="G1062" s="223">
        <v>1992</v>
      </c>
      <c r="H1062" s="223">
        <v>1</v>
      </c>
      <c r="I1062" s="223">
        <v>1</v>
      </c>
      <c r="J1062" s="223"/>
      <c r="K1062" s="238">
        <v>39243.82</v>
      </c>
      <c r="L1062" s="241">
        <v>51</v>
      </c>
      <c r="M1062" s="228">
        <v>19229.471799999999</v>
      </c>
      <c r="N1062" s="230">
        <v>14.99</v>
      </c>
      <c r="O1062" s="231">
        <v>19229</v>
      </c>
      <c r="P1062" s="230"/>
      <c r="Q1062" s="230"/>
    </row>
    <row r="1063" spans="1:17" s="217" customFormat="1" ht="14.1" customHeight="1">
      <c r="A1063" s="224" t="s">
        <v>1514</v>
      </c>
      <c r="B1063" s="218" t="s">
        <v>1515</v>
      </c>
      <c r="C1063" s="223">
        <v>2</v>
      </c>
      <c r="D1063" s="218" t="s">
        <v>1516</v>
      </c>
      <c r="E1063" s="223">
        <v>3</v>
      </c>
      <c r="F1063" s="223">
        <v>1617</v>
      </c>
      <c r="G1063" s="223">
        <v>1992</v>
      </c>
      <c r="H1063" s="223">
        <v>1</v>
      </c>
      <c r="I1063" s="223">
        <v>1</v>
      </c>
      <c r="J1063" s="223"/>
      <c r="K1063" s="238">
        <v>24238.83</v>
      </c>
      <c r="L1063" s="241">
        <v>51</v>
      </c>
      <c r="M1063" s="228">
        <v>11877.0267</v>
      </c>
      <c r="N1063" s="230">
        <v>14.99</v>
      </c>
      <c r="O1063" s="231">
        <v>11877</v>
      </c>
      <c r="P1063" s="230"/>
      <c r="Q1063" s="230"/>
    </row>
    <row r="1064" spans="1:17" s="217" customFormat="1" ht="14.1" customHeight="1">
      <c r="A1064" s="224" t="s">
        <v>1514</v>
      </c>
      <c r="B1064" s="218" t="s">
        <v>1515</v>
      </c>
      <c r="C1064" s="223">
        <v>2</v>
      </c>
      <c r="D1064" s="218" t="s">
        <v>1516</v>
      </c>
      <c r="E1064" s="223">
        <v>4</v>
      </c>
      <c r="F1064" s="223">
        <v>250</v>
      </c>
      <c r="G1064" s="223">
        <v>2001</v>
      </c>
      <c r="H1064" s="223">
        <v>1</v>
      </c>
      <c r="I1064" s="223">
        <v>1</v>
      </c>
      <c r="J1064" s="223"/>
      <c r="K1064" s="240">
        <v>4515</v>
      </c>
      <c r="L1064" s="241">
        <v>32</v>
      </c>
      <c r="M1064" s="237">
        <v>3070.20</v>
      </c>
      <c r="N1064" s="230">
        <v>18.06</v>
      </c>
      <c r="O1064" s="231">
        <v>3070</v>
      </c>
      <c r="P1064" s="230"/>
      <c r="Q1064" s="230"/>
    </row>
    <row r="1065" spans="1:17" s="217" customFormat="1" ht="14.1" customHeight="1">
      <c r="A1065" s="224" t="s">
        <v>1514</v>
      </c>
      <c r="B1065" s="218" t="s">
        <v>1515</v>
      </c>
      <c r="C1065" s="223">
        <v>2</v>
      </c>
      <c r="D1065" s="218" t="s">
        <v>1516</v>
      </c>
      <c r="E1065" s="223">
        <v>4</v>
      </c>
      <c r="F1065" s="223">
        <v>1361</v>
      </c>
      <c r="G1065" s="223">
        <v>2001</v>
      </c>
      <c r="H1065" s="223">
        <v>1</v>
      </c>
      <c r="I1065" s="223">
        <v>1</v>
      </c>
      <c r="J1065" s="223"/>
      <c r="K1065" s="238">
        <v>24579.66</v>
      </c>
      <c r="L1065" s="241">
        <v>32</v>
      </c>
      <c r="M1065" s="228">
        <v>16714.168799999999</v>
      </c>
      <c r="N1065" s="230">
        <v>18.06</v>
      </c>
      <c r="O1065" s="231">
        <v>16714</v>
      </c>
      <c r="P1065" s="230"/>
      <c r="Q1065" s="230"/>
    </row>
    <row r="1066" spans="1:17" s="217" customFormat="1" ht="14.1" customHeight="1">
      <c r="A1066" s="224" t="s">
        <v>1514</v>
      </c>
      <c r="B1066" s="218" t="s">
        <v>1515</v>
      </c>
      <c r="C1066" s="223">
        <v>2</v>
      </c>
      <c r="D1066" s="218" t="s">
        <v>1516</v>
      </c>
      <c r="E1066" s="223">
        <v>4</v>
      </c>
      <c r="F1066" s="223">
        <v>94</v>
      </c>
      <c r="G1066" s="223">
        <v>2001</v>
      </c>
      <c r="H1066" s="223">
        <v>1</v>
      </c>
      <c r="I1066" s="223">
        <v>0</v>
      </c>
      <c r="J1066" s="223"/>
      <c r="K1066" s="238">
        <v>1697.64</v>
      </c>
      <c r="L1066" s="241">
        <v>32</v>
      </c>
      <c r="M1066" s="228">
        <v>1154.3951999999999</v>
      </c>
      <c r="N1066" s="230">
        <v>18.06</v>
      </c>
      <c r="O1066" s="231">
        <v>0</v>
      </c>
      <c r="P1066" s="230"/>
      <c r="Q1066" s="230"/>
    </row>
    <row r="1067" spans="1:17" s="217" customFormat="1" ht="14.1" customHeight="1">
      <c r="A1067" s="224" t="s">
        <v>1514</v>
      </c>
      <c r="B1067" s="218" t="s">
        <v>1515</v>
      </c>
      <c r="C1067" s="223">
        <v>2</v>
      </c>
      <c r="D1067" s="218" t="s">
        <v>1516</v>
      </c>
      <c r="E1067" s="223">
        <v>4</v>
      </c>
      <c r="F1067" s="223">
        <v>2618</v>
      </c>
      <c r="G1067" s="223">
        <v>2001</v>
      </c>
      <c r="H1067" s="223">
        <v>1</v>
      </c>
      <c r="I1067" s="223">
        <v>0</v>
      </c>
      <c r="J1067" s="223"/>
      <c r="K1067" s="238">
        <v>47281.08</v>
      </c>
      <c r="L1067" s="241">
        <v>32</v>
      </c>
      <c r="M1067" s="228">
        <v>32151.134399999999</v>
      </c>
      <c r="N1067" s="230">
        <v>18.06</v>
      </c>
      <c r="O1067" s="231">
        <v>0</v>
      </c>
      <c r="P1067" s="230"/>
      <c r="Q1067" s="230"/>
    </row>
    <row r="1068" spans="1:17" s="217" customFormat="1" ht="14.1" customHeight="1">
      <c r="A1068" s="224" t="s">
        <v>1514</v>
      </c>
      <c r="B1068" s="218" t="s">
        <v>1515</v>
      </c>
      <c r="C1068" s="223">
        <v>2</v>
      </c>
      <c r="D1068" s="218" t="s">
        <v>1516</v>
      </c>
      <c r="E1068" s="223">
        <v>4</v>
      </c>
      <c r="F1068" s="223">
        <v>46</v>
      </c>
      <c r="G1068" s="223">
        <v>2001</v>
      </c>
      <c r="H1068" s="223">
        <v>1</v>
      </c>
      <c r="I1068" s="223">
        <v>0</v>
      </c>
      <c r="J1068" s="223"/>
      <c r="K1068" s="238">
        <v>830.76</v>
      </c>
      <c r="L1068" s="241">
        <v>32</v>
      </c>
      <c r="M1068" s="228">
        <v>564.91679999999997</v>
      </c>
      <c r="N1068" s="230">
        <v>18.06</v>
      </c>
      <c r="O1068" s="231">
        <v>0</v>
      </c>
      <c r="P1068" s="230"/>
      <c r="Q1068" s="230"/>
    </row>
    <row r="1069" spans="1:17" s="217" customFormat="1" ht="14.1" customHeight="1">
      <c r="A1069" s="224" t="s">
        <v>1514</v>
      </c>
      <c r="B1069" s="218" t="s">
        <v>1515</v>
      </c>
      <c r="C1069" s="223">
        <v>2</v>
      </c>
      <c r="D1069" s="218" t="s">
        <v>1516</v>
      </c>
      <c r="E1069" s="223">
        <v>4</v>
      </c>
      <c r="F1069" s="223">
        <v>370</v>
      </c>
      <c r="G1069" s="223">
        <v>2001</v>
      </c>
      <c r="H1069" s="223">
        <v>1</v>
      </c>
      <c r="I1069" s="223">
        <v>1</v>
      </c>
      <c r="J1069" s="223"/>
      <c r="K1069" s="237">
        <v>6682.20</v>
      </c>
      <c r="L1069" s="241">
        <v>32</v>
      </c>
      <c r="M1069" s="239">
        <v>4543.8959999999997</v>
      </c>
      <c r="N1069" s="230">
        <v>18.06</v>
      </c>
      <c r="O1069" s="231">
        <v>4543</v>
      </c>
      <c r="P1069" s="230"/>
      <c r="Q1069" s="230"/>
    </row>
    <row r="1070" spans="1:17" s="217" customFormat="1" ht="14.1" customHeight="1">
      <c r="A1070" s="224" t="s">
        <v>1514</v>
      </c>
      <c r="B1070" s="218" t="s">
        <v>1515</v>
      </c>
      <c r="C1070" s="223">
        <v>2</v>
      </c>
      <c r="D1070" s="218" t="s">
        <v>1516</v>
      </c>
      <c r="E1070" s="223">
        <v>4</v>
      </c>
      <c r="F1070" s="223">
        <v>493</v>
      </c>
      <c r="G1070" s="223">
        <v>2001</v>
      </c>
      <c r="H1070" s="223">
        <v>1</v>
      </c>
      <c r="I1070" s="223">
        <v>1</v>
      </c>
      <c r="J1070" s="223"/>
      <c r="K1070" s="238">
        <v>8903.58</v>
      </c>
      <c r="L1070" s="241">
        <v>32</v>
      </c>
      <c r="M1070" s="228">
        <v>6054.4344000000001</v>
      </c>
      <c r="N1070" s="230">
        <v>18.06</v>
      </c>
      <c r="O1070" s="231">
        <v>6054</v>
      </c>
      <c r="P1070" s="230"/>
      <c r="Q1070" s="230"/>
    </row>
    <row r="1071" spans="1:17" s="217" customFormat="1" ht="14.1" customHeight="1">
      <c r="A1071" s="224" t="s">
        <v>1514</v>
      </c>
      <c r="B1071" s="218" t="s">
        <v>1515</v>
      </c>
      <c r="C1071" s="223">
        <v>2</v>
      </c>
      <c r="D1071" s="218" t="s">
        <v>1516</v>
      </c>
      <c r="E1071" s="223">
        <v>4</v>
      </c>
      <c r="F1071" s="223">
        <v>971</v>
      </c>
      <c r="G1071" s="223">
        <v>2001</v>
      </c>
      <c r="H1071" s="223">
        <v>1</v>
      </c>
      <c r="I1071" s="223">
        <v>1</v>
      </c>
      <c r="J1071" s="223"/>
      <c r="K1071" s="238">
        <v>17536.259999999998</v>
      </c>
      <c r="L1071" s="241">
        <v>32</v>
      </c>
      <c r="M1071" s="228">
        <v>11924.656800000001</v>
      </c>
      <c r="N1071" s="230">
        <v>18.06</v>
      </c>
      <c r="O1071" s="231">
        <v>11924</v>
      </c>
      <c r="P1071" s="230"/>
      <c r="Q1071" s="230"/>
    </row>
    <row r="1072" spans="1:17" s="217" customFormat="1" ht="14.1" customHeight="1">
      <c r="A1072" s="224" t="s">
        <v>1514</v>
      </c>
      <c r="B1072" s="218" t="s">
        <v>1515</v>
      </c>
      <c r="C1072" s="223">
        <v>2</v>
      </c>
      <c r="D1072" s="218" t="s">
        <v>1516</v>
      </c>
      <c r="E1072" s="223">
        <v>4</v>
      </c>
      <c r="F1072" s="223">
        <v>1468</v>
      </c>
      <c r="G1072" s="223">
        <v>2001</v>
      </c>
      <c r="H1072" s="223">
        <v>1</v>
      </c>
      <c r="I1072" s="223">
        <v>1</v>
      </c>
      <c r="J1072" s="223"/>
      <c r="K1072" s="238">
        <v>26512.08</v>
      </c>
      <c r="L1072" s="241">
        <v>32</v>
      </c>
      <c r="M1072" s="228">
        <v>18028.214400000001</v>
      </c>
      <c r="N1072" s="230">
        <v>18.06</v>
      </c>
      <c r="O1072" s="231">
        <v>18028</v>
      </c>
      <c r="P1072" s="230"/>
      <c r="Q1072" s="230"/>
    </row>
    <row r="1073" spans="1:17" s="217" customFormat="1" ht="15" customHeight="1">
      <c r="A1073" s="224" t="s">
        <v>1514</v>
      </c>
      <c r="B1073" s="218" t="s">
        <v>1515</v>
      </c>
      <c r="C1073" s="223">
        <v>2</v>
      </c>
      <c r="D1073" s="218" t="s">
        <v>1516</v>
      </c>
      <c r="E1073" s="223">
        <v>4</v>
      </c>
      <c r="F1073" s="223">
        <v>416</v>
      </c>
      <c r="G1073" s="223">
        <v>2001</v>
      </c>
      <c r="H1073" s="223">
        <v>1</v>
      </c>
      <c r="I1073" s="223">
        <v>1</v>
      </c>
      <c r="J1073" s="223"/>
      <c r="K1073" s="238">
        <v>7512.96</v>
      </c>
      <c r="L1073" s="241">
        <v>32</v>
      </c>
      <c r="M1073" s="228">
        <v>5108.8127999999997</v>
      </c>
      <c r="N1073" s="230">
        <v>18.06</v>
      </c>
      <c r="O1073" s="231">
        <v>5108</v>
      </c>
      <c r="P1073" s="230"/>
      <c r="Q1073" s="230"/>
    </row>
    <row r="1074" spans="1:18" s="217" customFormat="1" ht="15" customHeight="1">
      <c r="A1074" s="224" t="s">
        <v>1514</v>
      </c>
      <c r="B1074" s="218" t="s">
        <v>1515</v>
      </c>
      <c r="C1074" s="223">
        <v>2</v>
      </c>
      <c r="D1074" s="218" t="s">
        <v>1516</v>
      </c>
      <c r="E1074" s="223">
        <v>4</v>
      </c>
      <c r="F1074" s="223">
        <v>765</v>
      </c>
      <c r="G1074" s="223">
        <v>2001</v>
      </c>
      <c r="H1074" s="223">
        <v>1</v>
      </c>
      <c r="I1074" s="223">
        <v>1</v>
      </c>
      <c r="J1074" s="223"/>
      <c r="K1074" s="237">
        <v>13815.90</v>
      </c>
      <c r="L1074" s="241">
        <v>32</v>
      </c>
      <c r="M1074" s="239">
        <v>9394.8119999999999</v>
      </c>
      <c r="N1074" s="230">
        <v>18.06</v>
      </c>
      <c r="O1074" s="231">
        <v>9394</v>
      </c>
      <c r="R1074" s="223"/>
    </row>
    <row r="1075" spans="1:18" s="217" customFormat="1" ht="14.1" customHeight="1">
      <c r="A1075" s="224" t="s">
        <v>1514</v>
      </c>
      <c r="B1075" s="218" t="s">
        <v>1515</v>
      </c>
      <c r="C1075" s="223">
        <v>2</v>
      </c>
      <c r="D1075" s="218" t="s">
        <v>1516</v>
      </c>
      <c r="E1075" s="223">
        <v>4</v>
      </c>
      <c r="F1075" s="246">
        <v>3812</v>
      </c>
      <c r="G1075" s="223">
        <v>2000</v>
      </c>
      <c r="H1075" s="223">
        <v>1</v>
      </c>
      <c r="I1075" s="246">
        <v>0</v>
      </c>
      <c r="J1075" s="242"/>
      <c r="K1075" s="247">
        <v>68844.72</v>
      </c>
      <c r="L1075" s="241">
        <v>35</v>
      </c>
      <c r="M1075" s="247">
        <v>44749.067999999999</v>
      </c>
      <c r="N1075" s="230">
        <v>18.06</v>
      </c>
      <c r="O1075" s="248">
        <v>0</v>
      </c>
      <c r="P1075" s="317" t="s">
        <v>1560</v>
      </c>
      <c r="R1075" s="223"/>
    </row>
    <row r="1076" spans="1:18" s="217" customFormat="1" ht="14.1" customHeight="1">
      <c r="A1076" s="224" t="s">
        <v>1514</v>
      </c>
      <c r="B1076" s="218" t="s">
        <v>1515</v>
      </c>
      <c r="C1076" s="223">
        <v>2</v>
      </c>
      <c r="D1076" s="218" t="s">
        <v>1516</v>
      </c>
      <c r="E1076" s="223">
        <v>4</v>
      </c>
      <c r="F1076" s="246">
        <v>3812</v>
      </c>
      <c r="G1076" s="223">
        <v>2000</v>
      </c>
      <c r="H1076" s="223">
        <v>1</v>
      </c>
      <c r="I1076" s="246">
        <v>0</v>
      </c>
      <c r="J1076" s="223"/>
      <c r="K1076" s="247">
        <v>68844.72</v>
      </c>
      <c r="L1076" s="241">
        <v>35</v>
      </c>
      <c r="M1076" s="247">
        <v>44749.067999999999</v>
      </c>
      <c r="N1076" s="230">
        <v>18.06</v>
      </c>
      <c r="O1076" s="248">
        <v>0</v>
      </c>
      <c r="P1076" s="317" t="s">
        <v>1560</v>
      </c>
      <c r="R1076" s="223"/>
    </row>
    <row r="1077" spans="1:18" s="217" customFormat="1" ht="14.1" customHeight="1">
      <c r="A1077" s="224" t="s">
        <v>1514</v>
      </c>
      <c r="B1077" s="218" t="s">
        <v>1515</v>
      </c>
      <c r="C1077" s="223">
        <v>2</v>
      </c>
      <c r="D1077" s="218" t="s">
        <v>1516</v>
      </c>
      <c r="E1077" s="223">
        <v>4</v>
      </c>
      <c r="F1077" s="246">
        <v>5134</v>
      </c>
      <c r="G1077" s="223">
        <v>2000</v>
      </c>
      <c r="H1077" s="223">
        <v>1</v>
      </c>
      <c r="I1077" s="246">
        <v>0</v>
      </c>
      <c r="J1077" s="242"/>
      <c r="K1077" s="247">
        <v>92720.04</v>
      </c>
      <c r="L1077" s="241">
        <v>35</v>
      </c>
      <c r="M1077" s="247">
        <v>60268.025999999998</v>
      </c>
      <c r="N1077" s="230">
        <v>18.06</v>
      </c>
      <c r="O1077" s="248">
        <v>0</v>
      </c>
      <c r="P1077" s="317" t="s">
        <v>1560</v>
      </c>
      <c r="R1077" s="223"/>
    </row>
    <row r="1078" spans="1:18" s="217" customFormat="1" ht="14.1" customHeight="1">
      <c r="A1078" s="224" t="s">
        <v>1514</v>
      </c>
      <c r="B1078" s="218" t="s">
        <v>1515</v>
      </c>
      <c r="C1078" s="223">
        <v>2</v>
      </c>
      <c r="D1078" s="218" t="s">
        <v>1516</v>
      </c>
      <c r="E1078" s="223">
        <v>4</v>
      </c>
      <c r="F1078" s="223">
        <v>5134</v>
      </c>
      <c r="G1078" s="223">
        <v>2000</v>
      </c>
      <c r="H1078" s="223">
        <v>1</v>
      </c>
      <c r="I1078" s="223">
        <v>1</v>
      </c>
      <c r="J1078" s="223"/>
      <c r="K1078" s="238">
        <v>92720.04</v>
      </c>
      <c r="L1078" s="241">
        <v>35</v>
      </c>
      <c r="M1078" s="239">
        <v>60268.025999999998</v>
      </c>
      <c r="N1078" s="230">
        <v>18.06</v>
      </c>
      <c r="O1078" s="231">
        <v>60268</v>
      </c>
      <c r="R1078" s="223"/>
    </row>
    <row r="1079" spans="1:18" s="217" customFormat="1" ht="14.1" customHeight="1">
      <c r="A1079" s="224" t="s">
        <v>1514</v>
      </c>
      <c r="B1079" s="218" t="s">
        <v>1515</v>
      </c>
      <c r="C1079" s="223">
        <v>2</v>
      </c>
      <c r="D1079" s="218" t="s">
        <v>1516</v>
      </c>
      <c r="E1079" s="223">
        <v>4</v>
      </c>
      <c r="F1079" s="223">
        <v>48</v>
      </c>
      <c r="G1079" s="223">
        <v>2000</v>
      </c>
      <c r="H1079" s="223">
        <v>1</v>
      </c>
      <c r="I1079" s="223">
        <v>1</v>
      </c>
      <c r="J1079" s="223"/>
      <c r="K1079" s="238">
        <v>866.88</v>
      </c>
      <c r="L1079" s="241">
        <v>35</v>
      </c>
      <c r="M1079" s="239">
        <v>563.47199999999998</v>
      </c>
      <c r="N1079" s="230">
        <v>18.06</v>
      </c>
      <c r="O1079" s="231">
        <v>563</v>
      </c>
      <c r="R1079" s="223"/>
    </row>
    <row r="1080" spans="1:18" s="217" customFormat="1" ht="14.1" customHeight="1">
      <c r="A1080" s="224" t="s">
        <v>1514</v>
      </c>
      <c r="B1080" s="218" t="s">
        <v>1515</v>
      </c>
      <c r="C1080" s="223">
        <v>2</v>
      </c>
      <c r="D1080" s="218" t="s">
        <v>1516</v>
      </c>
      <c r="E1080" s="223">
        <v>4</v>
      </c>
      <c r="F1080" s="223">
        <v>2780</v>
      </c>
      <c r="G1080" s="223">
        <v>2000</v>
      </c>
      <c r="H1080" s="223">
        <v>1</v>
      </c>
      <c r="I1080" s="223">
        <v>1</v>
      </c>
      <c r="J1080" s="223"/>
      <c r="K1080" s="237">
        <v>50206.80</v>
      </c>
      <c r="L1080" s="241">
        <v>35</v>
      </c>
      <c r="M1080" s="238">
        <v>32634.42</v>
      </c>
      <c r="N1080" s="230">
        <v>18.06</v>
      </c>
      <c r="O1080" s="231">
        <v>32634</v>
      </c>
      <c r="R1080" s="223"/>
    </row>
    <row r="1081" spans="1:18" s="217" customFormat="1" ht="14.1" customHeight="1">
      <c r="A1081" s="224" t="s">
        <v>1514</v>
      </c>
      <c r="B1081" s="218" t="s">
        <v>1515</v>
      </c>
      <c r="C1081" s="223">
        <v>2</v>
      </c>
      <c r="D1081" s="218" t="s">
        <v>1516</v>
      </c>
      <c r="E1081" s="223">
        <v>4</v>
      </c>
      <c r="F1081" s="230">
        <v>1434.91</v>
      </c>
      <c r="G1081" s="223">
        <v>1997</v>
      </c>
      <c r="H1081" s="223">
        <v>1</v>
      </c>
      <c r="I1081" s="223">
        <v>1</v>
      </c>
      <c r="J1081" s="223"/>
      <c r="K1081" s="228">
        <v>25914.474600000001</v>
      </c>
      <c r="L1081" s="241">
        <v>42</v>
      </c>
      <c r="M1081" s="229">
        <v>15030.395270000001</v>
      </c>
      <c r="N1081" s="230">
        <v>18.06</v>
      </c>
      <c r="O1081" s="231">
        <v>15030</v>
      </c>
      <c r="R1081" s="223"/>
    </row>
    <row r="1082" spans="1:18" s="217" customFormat="1" ht="14.1" customHeight="1">
      <c r="A1082" s="224" t="s">
        <v>1514</v>
      </c>
      <c r="B1082" s="218" t="s">
        <v>1515</v>
      </c>
      <c r="C1082" s="223">
        <v>2</v>
      </c>
      <c r="D1082" s="218" t="s">
        <v>1516</v>
      </c>
      <c r="E1082" s="223">
        <v>4</v>
      </c>
      <c r="F1082" s="230">
        <v>2156.7600000000002</v>
      </c>
      <c r="G1082" s="223">
        <v>1998</v>
      </c>
      <c r="H1082" s="223">
        <v>1</v>
      </c>
      <c r="I1082" s="223">
        <v>1</v>
      </c>
      <c r="J1082" s="223"/>
      <c r="K1082" s="228">
        <v>38951.085599999999</v>
      </c>
      <c r="L1082" s="241">
        <v>40</v>
      </c>
      <c r="M1082" s="229">
        <v>23370.65136</v>
      </c>
      <c r="N1082" s="230">
        <v>18.06</v>
      </c>
      <c r="O1082" s="231">
        <v>23370</v>
      </c>
      <c r="R1082" s="223"/>
    </row>
    <row r="1083" spans="1:18" s="217" customFormat="1" ht="14.1" customHeight="1">
      <c r="A1083" s="224" t="s">
        <v>1514</v>
      </c>
      <c r="B1083" s="218" t="s">
        <v>1515</v>
      </c>
      <c r="C1083" s="223">
        <v>2</v>
      </c>
      <c r="D1083" s="218" t="s">
        <v>1516</v>
      </c>
      <c r="E1083" s="223">
        <v>4</v>
      </c>
      <c r="F1083" s="230">
        <v>167.62</v>
      </c>
      <c r="G1083" s="223">
        <v>1990</v>
      </c>
      <c r="H1083" s="223">
        <v>1</v>
      </c>
      <c r="I1083" s="223">
        <v>0</v>
      </c>
      <c r="J1083" s="223"/>
      <c r="K1083" s="228">
        <v>3027.2172</v>
      </c>
      <c r="L1083" s="241">
        <v>52</v>
      </c>
      <c r="M1083" s="233">
        <v>1453.0642559999999</v>
      </c>
      <c r="N1083" s="230">
        <v>18.06</v>
      </c>
      <c r="O1083" s="231">
        <v>0</v>
      </c>
      <c r="R1083" s="223"/>
    </row>
    <row r="1084" spans="1:18" s="217" customFormat="1" ht="14.1" customHeight="1">
      <c r="A1084" s="224" t="s">
        <v>1514</v>
      </c>
      <c r="B1084" s="218" t="s">
        <v>1515</v>
      </c>
      <c r="C1084" s="223">
        <v>2</v>
      </c>
      <c r="D1084" s="218" t="s">
        <v>1516</v>
      </c>
      <c r="E1084" s="223">
        <v>4</v>
      </c>
      <c r="F1084" s="230">
        <v>2117.4899999999998</v>
      </c>
      <c r="G1084" s="223">
        <v>1990</v>
      </c>
      <c r="H1084" s="223">
        <v>1</v>
      </c>
      <c r="I1084" s="223">
        <v>0</v>
      </c>
      <c r="J1084" s="223"/>
      <c r="K1084" s="228">
        <v>38241.869400000003</v>
      </c>
      <c r="L1084" s="241">
        <v>52</v>
      </c>
      <c r="M1084" s="229">
        <v>18356.097310000001</v>
      </c>
      <c r="N1084" s="230">
        <v>18.06</v>
      </c>
      <c r="O1084" s="231">
        <v>0</v>
      </c>
      <c r="R1084" s="223"/>
    </row>
    <row r="1085" spans="1:18" s="217" customFormat="1" ht="14.1" customHeight="1">
      <c r="A1085" s="224" t="s">
        <v>1514</v>
      </c>
      <c r="B1085" s="218" t="s">
        <v>1515</v>
      </c>
      <c r="C1085" s="223">
        <v>2</v>
      </c>
      <c r="D1085" s="218" t="s">
        <v>1516</v>
      </c>
      <c r="E1085" s="223">
        <v>4</v>
      </c>
      <c r="F1085" s="230">
        <v>149.34</v>
      </c>
      <c r="G1085" s="223">
        <v>1990</v>
      </c>
      <c r="H1085" s="223">
        <v>1</v>
      </c>
      <c r="I1085" s="223">
        <v>1</v>
      </c>
      <c r="J1085" s="223"/>
      <c r="K1085" s="228">
        <v>2697.0803999999998</v>
      </c>
      <c r="L1085" s="241">
        <v>52</v>
      </c>
      <c r="M1085" s="233">
        <v>1294.5985920000001</v>
      </c>
      <c r="N1085" s="230">
        <v>18.06</v>
      </c>
      <c r="O1085" s="231">
        <v>1294</v>
      </c>
      <c r="R1085" s="223"/>
    </row>
    <row r="1086" spans="1:18" s="217" customFormat="1" ht="14.1" customHeight="1">
      <c r="A1086" s="224" t="s">
        <v>1514</v>
      </c>
      <c r="B1086" s="218" t="s">
        <v>1515</v>
      </c>
      <c r="C1086" s="223">
        <v>2</v>
      </c>
      <c r="D1086" s="218" t="s">
        <v>1516</v>
      </c>
      <c r="E1086" s="223">
        <v>4</v>
      </c>
      <c r="F1086" s="230">
        <v>1439.95</v>
      </c>
      <c r="G1086" s="223">
        <v>1992</v>
      </c>
      <c r="H1086" s="223">
        <v>1</v>
      </c>
      <c r="I1086" s="223">
        <v>1</v>
      </c>
      <c r="J1086" s="223"/>
      <c r="K1086" s="239">
        <v>26005.496999999999</v>
      </c>
      <c r="L1086" s="241">
        <v>51</v>
      </c>
      <c r="M1086" s="229">
        <v>12742.69353</v>
      </c>
      <c r="N1086" s="230">
        <v>18.06</v>
      </c>
      <c r="O1086" s="231">
        <v>12742</v>
      </c>
      <c r="R1086" s="223"/>
    </row>
    <row r="1087" spans="1:18" s="217" customFormat="1" ht="14.1" customHeight="1">
      <c r="A1087" s="224" t="s">
        <v>1514</v>
      </c>
      <c r="B1087" s="218" t="s">
        <v>1515</v>
      </c>
      <c r="C1087" s="223">
        <v>2</v>
      </c>
      <c r="D1087" s="218" t="s">
        <v>1516</v>
      </c>
      <c r="E1087" s="223">
        <v>4</v>
      </c>
      <c r="F1087" s="230">
        <v>955.77</v>
      </c>
      <c r="G1087" s="223">
        <v>1990</v>
      </c>
      <c r="H1087" s="223">
        <v>1</v>
      </c>
      <c r="I1087" s="223">
        <v>1</v>
      </c>
      <c r="J1087" s="223"/>
      <c r="K1087" s="228">
        <v>17261.206200000001</v>
      </c>
      <c r="L1087" s="241">
        <v>52</v>
      </c>
      <c r="M1087" s="233">
        <v>8285.378976</v>
      </c>
      <c r="N1087" s="230">
        <v>18.06</v>
      </c>
      <c r="O1087" s="231">
        <v>8285</v>
      </c>
      <c r="R1087" s="223"/>
    </row>
    <row r="1088" spans="1:18" s="217" customFormat="1" ht="14.1" customHeight="1">
      <c r="A1088" s="224" t="s">
        <v>1514</v>
      </c>
      <c r="B1088" s="218" t="s">
        <v>1515</v>
      </c>
      <c r="C1088" s="223">
        <v>2</v>
      </c>
      <c r="D1088" s="218" t="s">
        <v>1516</v>
      </c>
      <c r="E1088" s="223">
        <v>4</v>
      </c>
      <c r="F1088" s="230">
        <v>2592.85</v>
      </c>
      <c r="G1088" s="223">
        <v>1990</v>
      </c>
      <c r="H1088" s="223">
        <v>1</v>
      </c>
      <c r="I1088" s="223">
        <v>1</v>
      </c>
      <c r="J1088" s="223"/>
      <c r="K1088" s="239">
        <v>46826.870999999999</v>
      </c>
      <c r="L1088" s="241">
        <v>52</v>
      </c>
      <c r="M1088" s="229">
        <v>22476.898079999999</v>
      </c>
      <c r="N1088" s="230">
        <v>18.06</v>
      </c>
      <c r="O1088" s="231">
        <v>22476</v>
      </c>
      <c r="R1088" s="223"/>
    </row>
    <row r="1089" spans="1:18" s="217" customFormat="1" ht="14.1" customHeight="1">
      <c r="A1089" s="224" t="s">
        <v>1514</v>
      </c>
      <c r="B1089" s="218" t="s">
        <v>1515</v>
      </c>
      <c r="C1089" s="223">
        <v>2</v>
      </c>
      <c r="D1089" s="218" t="s">
        <v>1516</v>
      </c>
      <c r="E1089" s="223">
        <v>4</v>
      </c>
      <c r="F1089" s="223">
        <v>602</v>
      </c>
      <c r="G1089" s="223">
        <v>1990</v>
      </c>
      <c r="H1089" s="223">
        <v>1</v>
      </c>
      <c r="I1089" s="225">
        <v>0</v>
      </c>
      <c r="J1089" s="223"/>
      <c r="K1089" s="247">
        <v>10872.12</v>
      </c>
      <c r="L1089" s="241">
        <v>52</v>
      </c>
      <c r="M1089" s="247">
        <v>5218.6175999999996</v>
      </c>
      <c r="N1089" s="230">
        <v>18.06</v>
      </c>
      <c r="O1089" s="287">
        <v>0</v>
      </c>
      <c r="P1089" s="316" t="s">
        <v>1568</v>
      </c>
      <c r="R1089" s="223"/>
    </row>
    <row r="1090" spans="1:18" s="217" customFormat="1" ht="14.1" customHeight="1">
      <c r="A1090" s="224" t="s">
        <v>1514</v>
      </c>
      <c r="B1090" s="218" t="s">
        <v>1515</v>
      </c>
      <c r="C1090" s="223">
        <v>2</v>
      </c>
      <c r="D1090" s="218" t="s">
        <v>1516</v>
      </c>
      <c r="E1090" s="223">
        <v>4</v>
      </c>
      <c r="F1090" s="230">
        <v>392.72</v>
      </c>
      <c r="G1090" s="223">
        <v>1992</v>
      </c>
      <c r="H1090" s="223">
        <v>1</v>
      </c>
      <c r="I1090" s="223">
        <v>1</v>
      </c>
      <c r="J1090" s="223"/>
      <c r="K1090" s="228">
        <v>7092.5231999999996</v>
      </c>
      <c r="L1090" s="241">
        <v>51</v>
      </c>
      <c r="M1090" s="233">
        <v>3475.3363680000002</v>
      </c>
      <c r="N1090" s="230">
        <v>18.06</v>
      </c>
      <c r="O1090" s="231">
        <v>3475</v>
      </c>
      <c r="R1090" s="223"/>
    </row>
    <row r="1091" spans="1:18" s="217" customFormat="1" ht="14.1" customHeight="1">
      <c r="A1091" s="224" t="s">
        <v>1514</v>
      </c>
      <c r="B1091" s="218" t="s">
        <v>1515</v>
      </c>
      <c r="C1091" s="223">
        <v>2</v>
      </c>
      <c r="D1091" s="218" t="s">
        <v>1516</v>
      </c>
      <c r="E1091" s="223">
        <v>4</v>
      </c>
      <c r="F1091" s="230">
        <v>464.18</v>
      </c>
      <c r="G1091" s="223">
        <v>1992</v>
      </c>
      <c r="H1091" s="223">
        <v>1</v>
      </c>
      <c r="I1091" s="223">
        <v>1</v>
      </c>
      <c r="J1091" s="223"/>
      <c r="K1091" s="228">
        <v>8383.0907999999999</v>
      </c>
      <c r="L1091" s="241">
        <v>51</v>
      </c>
      <c r="M1091" s="233">
        <v>4107.7144920000001</v>
      </c>
      <c r="N1091" s="230">
        <v>18.06</v>
      </c>
      <c r="O1091" s="231">
        <v>4107</v>
      </c>
      <c r="R1091" s="223"/>
    </row>
    <row r="1092" spans="1:18" s="217" customFormat="1" ht="14.1" customHeight="1">
      <c r="A1092" s="224" t="s">
        <v>1514</v>
      </c>
      <c r="B1092" s="218" t="s">
        <v>1515</v>
      </c>
      <c r="C1092" s="223">
        <v>2</v>
      </c>
      <c r="D1092" s="218" t="s">
        <v>1516</v>
      </c>
      <c r="E1092" s="223">
        <v>4</v>
      </c>
      <c r="F1092" s="230">
        <v>93.32</v>
      </c>
      <c r="G1092" s="223">
        <v>1992</v>
      </c>
      <c r="H1092" s="223">
        <v>1</v>
      </c>
      <c r="I1092" s="223">
        <v>1</v>
      </c>
      <c r="J1092" s="223"/>
      <c r="K1092" s="228">
        <v>1685.3592000000001</v>
      </c>
      <c r="L1092" s="241">
        <v>51</v>
      </c>
      <c r="M1092" s="233">
        <v>825.826008</v>
      </c>
      <c r="N1092" s="230">
        <v>18.06</v>
      </c>
      <c r="O1092" s="231">
        <v>825</v>
      </c>
      <c r="R1092" s="223"/>
    </row>
    <row r="1093" spans="1:18" s="217" customFormat="1" ht="14.1" customHeight="1">
      <c r="A1093" s="224" t="s">
        <v>1514</v>
      </c>
      <c r="B1093" s="218" t="s">
        <v>1515</v>
      </c>
      <c r="C1093" s="223">
        <v>2</v>
      </c>
      <c r="D1093" s="218" t="s">
        <v>1516</v>
      </c>
      <c r="E1093" s="223">
        <v>4</v>
      </c>
      <c r="F1093" s="230">
        <v>319.11</v>
      </c>
      <c r="G1093" s="223">
        <v>1992</v>
      </c>
      <c r="H1093" s="223">
        <v>1</v>
      </c>
      <c r="I1093" s="223">
        <v>1</v>
      </c>
      <c r="J1093" s="223"/>
      <c r="K1093" s="228">
        <v>5763.1265999999996</v>
      </c>
      <c r="L1093" s="241">
        <v>51</v>
      </c>
      <c r="M1093" s="233">
        <v>2823.9320339999999</v>
      </c>
      <c r="N1093" s="230">
        <v>18.06</v>
      </c>
      <c r="O1093" s="231">
        <v>2823</v>
      </c>
      <c r="R1093" s="223"/>
    </row>
    <row r="1094" spans="1:18" s="217" customFormat="1" ht="14.1" customHeight="1">
      <c r="A1094" s="224" t="s">
        <v>1514</v>
      </c>
      <c r="B1094" s="218" t="s">
        <v>1515</v>
      </c>
      <c r="C1094" s="223">
        <v>2</v>
      </c>
      <c r="D1094" s="218" t="s">
        <v>1516</v>
      </c>
      <c r="E1094" s="223">
        <v>4</v>
      </c>
      <c r="F1094" s="230">
        <v>2123.39</v>
      </c>
      <c r="G1094" s="223">
        <v>1992</v>
      </c>
      <c r="H1094" s="223">
        <v>1</v>
      </c>
      <c r="I1094" s="223">
        <v>1</v>
      </c>
      <c r="J1094" s="223"/>
      <c r="K1094" s="228">
        <v>38348.4234</v>
      </c>
      <c r="L1094" s="241">
        <v>51</v>
      </c>
      <c r="M1094" s="229">
        <v>18790.727470000002</v>
      </c>
      <c r="N1094" s="230">
        <v>18.06</v>
      </c>
      <c r="O1094" s="231">
        <v>18790</v>
      </c>
      <c r="R1094" s="223"/>
    </row>
    <row r="1095" spans="1:18" s="217" customFormat="1" ht="14.1" customHeight="1">
      <c r="A1095" s="224" t="s">
        <v>1514</v>
      </c>
      <c r="B1095" s="218" t="s">
        <v>1515</v>
      </c>
      <c r="C1095" s="223">
        <v>2</v>
      </c>
      <c r="D1095" s="218" t="s">
        <v>1516</v>
      </c>
      <c r="E1095" s="223">
        <v>4</v>
      </c>
      <c r="F1095" s="223">
        <v>6298</v>
      </c>
      <c r="G1095" s="223">
        <v>2002</v>
      </c>
      <c r="H1095" s="223">
        <v>1</v>
      </c>
      <c r="I1095" s="223">
        <v>1</v>
      </c>
      <c r="J1095" s="223"/>
      <c r="K1095" s="238">
        <v>113741.88</v>
      </c>
      <c r="L1095" s="241">
        <v>30</v>
      </c>
      <c r="M1095" s="239">
        <v>79619.316000000006</v>
      </c>
      <c r="N1095" s="230">
        <v>18.06</v>
      </c>
      <c r="O1095" s="231">
        <v>79619</v>
      </c>
      <c r="R1095" s="223"/>
    </row>
    <row r="1096" spans="1:18" s="217" customFormat="1" ht="14.1" customHeight="1">
      <c r="A1096" s="224" t="s">
        <v>1514</v>
      </c>
      <c r="B1096" s="218" t="s">
        <v>1515</v>
      </c>
      <c r="C1096" s="223">
        <v>2</v>
      </c>
      <c r="D1096" s="218" t="s">
        <v>1516</v>
      </c>
      <c r="E1096" s="223">
        <v>4</v>
      </c>
      <c r="F1096" s="230">
        <v>357.08</v>
      </c>
      <c r="G1096" s="223">
        <v>2002</v>
      </c>
      <c r="H1096" s="223">
        <v>1</v>
      </c>
      <c r="I1096" s="223">
        <v>1</v>
      </c>
      <c r="J1096" s="223"/>
      <c r="K1096" s="228">
        <v>6448.8648000000003</v>
      </c>
      <c r="L1096" s="241">
        <v>30</v>
      </c>
      <c r="M1096" s="229">
        <v>4514.2053599999999</v>
      </c>
      <c r="N1096" s="230">
        <v>18.06</v>
      </c>
      <c r="O1096" s="231">
        <v>4514</v>
      </c>
      <c r="R1096" s="223"/>
    </row>
    <row r="1097" spans="1:18" s="217" customFormat="1" ht="14.1" customHeight="1">
      <c r="A1097" s="224" t="s">
        <v>1514</v>
      </c>
      <c r="B1097" s="218" t="s">
        <v>1515</v>
      </c>
      <c r="C1097" s="223">
        <v>2</v>
      </c>
      <c r="D1097" s="218" t="s">
        <v>1516</v>
      </c>
      <c r="E1097" s="223">
        <v>4</v>
      </c>
      <c r="F1097" s="242">
        <v>1528.30</v>
      </c>
      <c r="G1097" s="223">
        <v>2002</v>
      </c>
      <c r="H1097" s="223">
        <v>1</v>
      </c>
      <c r="I1097" s="223">
        <v>1</v>
      </c>
      <c r="J1097" s="223"/>
      <c r="K1097" s="239">
        <v>27601.098000000002</v>
      </c>
      <c r="L1097" s="241">
        <v>30</v>
      </c>
      <c r="M1097" s="228">
        <v>19320.768599999999</v>
      </c>
      <c r="N1097" s="230">
        <v>18.06</v>
      </c>
      <c r="O1097" s="231">
        <v>19320</v>
      </c>
      <c r="R1097" s="223"/>
    </row>
    <row r="1098" spans="1:18" s="217" customFormat="1" ht="14.1" customHeight="1">
      <c r="A1098" s="224" t="s">
        <v>1514</v>
      </c>
      <c r="B1098" s="218" t="s">
        <v>1515</v>
      </c>
      <c r="C1098" s="223">
        <v>2</v>
      </c>
      <c r="D1098" s="218" t="s">
        <v>1516</v>
      </c>
      <c r="E1098" s="223">
        <v>4</v>
      </c>
      <c r="F1098" s="230">
        <v>490.37</v>
      </c>
      <c r="G1098" s="223">
        <v>2002</v>
      </c>
      <c r="H1098" s="223">
        <v>1</v>
      </c>
      <c r="I1098" s="223">
        <v>1</v>
      </c>
      <c r="J1098" s="223"/>
      <c r="K1098" s="228">
        <v>8856.0822000000007</v>
      </c>
      <c r="L1098" s="241">
        <v>30</v>
      </c>
      <c r="M1098" s="229">
        <v>6199.2575399999996</v>
      </c>
      <c r="N1098" s="230">
        <v>18.06</v>
      </c>
      <c r="O1098" s="231">
        <v>6199</v>
      </c>
      <c r="R1098" s="223"/>
    </row>
    <row r="1099" spans="1:18" s="217" customFormat="1" ht="14.1" customHeight="1">
      <c r="A1099" s="224" t="s">
        <v>1514</v>
      </c>
      <c r="B1099" s="218" t="s">
        <v>1515</v>
      </c>
      <c r="C1099" s="223">
        <v>2</v>
      </c>
      <c r="D1099" s="218" t="s">
        <v>1516</v>
      </c>
      <c r="E1099" s="223">
        <v>4</v>
      </c>
      <c r="F1099" s="223">
        <v>91</v>
      </c>
      <c r="G1099" s="223">
        <v>2005</v>
      </c>
      <c r="H1099" s="223">
        <v>1</v>
      </c>
      <c r="I1099" s="223">
        <v>1</v>
      </c>
      <c r="J1099" s="223"/>
      <c r="K1099" s="238">
        <v>1643.46</v>
      </c>
      <c r="L1099" s="241">
        <v>22</v>
      </c>
      <c r="M1099" s="228">
        <v>1281.8987999999999</v>
      </c>
      <c r="N1099" s="230">
        <v>18.06</v>
      </c>
      <c r="O1099" s="231">
        <v>1281</v>
      </c>
      <c r="R1099" s="223"/>
    </row>
    <row r="1100" spans="1:18" s="217" customFormat="1" ht="14.1" customHeight="1">
      <c r="A1100" s="224" t="s">
        <v>1514</v>
      </c>
      <c r="B1100" s="218" t="s">
        <v>1515</v>
      </c>
      <c r="C1100" s="223">
        <v>2</v>
      </c>
      <c r="D1100" s="218" t="s">
        <v>1516</v>
      </c>
      <c r="E1100" s="223">
        <v>4</v>
      </c>
      <c r="F1100" s="223">
        <v>325</v>
      </c>
      <c r="G1100" s="223">
        <v>2005</v>
      </c>
      <c r="H1100" s="223">
        <v>1</v>
      </c>
      <c r="I1100" s="223">
        <v>1</v>
      </c>
      <c r="J1100" s="223"/>
      <c r="K1100" s="237">
        <v>5869.50</v>
      </c>
      <c r="L1100" s="241">
        <v>22</v>
      </c>
      <c r="M1100" s="238">
        <v>4578.21</v>
      </c>
      <c r="N1100" s="230">
        <v>18.06</v>
      </c>
      <c r="O1100" s="231">
        <v>4578</v>
      </c>
      <c r="R1100" s="223"/>
    </row>
    <row r="1101" spans="1:18" s="217" customFormat="1" ht="14.1" customHeight="1">
      <c r="A1101" s="224" t="s">
        <v>1514</v>
      </c>
      <c r="B1101" s="218" t="s">
        <v>1515</v>
      </c>
      <c r="C1101" s="223">
        <v>2</v>
      </c>
      <c r="D1101" s="218" t="s">
        <v>1516</v>
      </c>
      <c r="E1101" s="223">
        <v>4</v>
      </c>
      <c r="F1101" s="223">
        <v>1907</v>
      </c>
      <c r="G1101" s="223">
        <v>2005</v>
      </c>
      <c r="H1101" s="223">
        <v>1</v>
      </c>
      <c r="I1101" s="223">
        <v>1</v>
      </c>
      <c r="J1101" s="223"/>
      <c r="K1101" s="238">
        <v>34440.42</v>
      </c>
      <c r="L1101" s="241">
        <v>22</v>
      </c>
      <c r="M1101" s="228">
        <v>26863.527600000001</v>
      </c>
      <c r="N1101" s="230">
        <v>18.06</v>
      </c>
      <c r="O1101" s="231">
        <v>26863</v>
      </c>
      <c r="R1101" s="223"/>
    </row>
    <row r="1102" spans="1:18" s="217" customFormat="1" ht="14.1" customHeight="1">
      <c r="A1102" s="224" t="s">
        <v>1514</v>
      </c>
      <c r="B1102" s="218" t="s">
        <v>1515</v>
      </c>
      <c r="C1102" s="223">
        <v>2</v>
      </c>
      <c r="D1102" s="218" t="s">
        <v>1516</v>
      </c>
      <c r="E1102" s="223">
        <v>4</v>
      </c>
      <c r="F1102" s="223">
        <v>5511</v>
      </c>
      <c r="G1102" s="223">
        <v>2005</v>
      </c>
      <c r="H1102" s="223">
        <v>1</v>
      </c>
      <c r="I1102" s="223">
        <v>1</v>
      </c>
      <c r="J1102" s="223"/>
      <c r="K1102" s="238">
        <v>99528.66</v>
      </c>
      <c r="L1102" s="241">
        <v>22</v>
      </c>
      <c r="M1102" s="228">
        <v>77632.354800000001</v>
      </c>
      <c r="N1102" s="230">
        <v>18.06</v>
      </c>
      <c r="O1102" s="231">
        <v>77632</v>
      </c>
      <c r="R1102" s="223"/>
    </row>
    <row r="1103" spans="1:18" s="217" customFormat="1" ht="14.1" customHeight="1">
      <c r="A1103" s="224" t="s">
        <v>1514</v>
      </c>
      <c r="B1103" s="218" t="s">
        <v>1515</v>
      </c>
      <c r="C1103" s="223">
        <v>2</v>
      </c>
      <c r="D1103" s="218" t="s">
        <v>1516</v>
      </c>
      <c r="E1103" s="223">
        <v>4</v>
      </c>
      <c r="F1103" s="223">
        <v>668</v>
      </c>
      <c r="G1103" s="223">
        <v>2005</v>
      </c>
      <c r="H1103" s="223">
        <v>1</v>
      </c>
      <c r="I1103" s="223">
        <v>1</v>
      </c>
      <c r="J1103" s="223"/>
      <c r="K1103" s="238">
        <v>12064.08</v>
      </c>
      <c r="L1103" s="241">
        <v>22</v>
      </c>
      <c r="M1103" s="228">
        <v>9409.9824000000008</v>
      </c>
      <c r="N1103" s="230">
        <v>18.06</v>
      </c>
      <c r="O1103" s="231">
        <v>9409</v>
      </c>
      <c r="R1103" s="223"/>
    </row>
    <row r="1104" spans="1:18" s="217" customFormat="1" ht="14.1" customHeight="1">
      <c r="A1104" s="224" t="s">
        <v>1514</v>
      </c>
      <c r="B1104" s="218" t="s">
        <v>1515</v>
      </c>
      <c r="C1104" s="223">
        <v>2</v>
      </c>
      <c r="D1104" s="218" t="s">
        <v>1516</v>
      </c>
      <c r="E1104" s="223">
        <v>4</v>
      </c>
      <c r="F1104" s="223">
        <v>1321</v>
      </c>
      <c r="G1104" s="223">
        <v>2005</v>
      </c>
      <c r="H1104" s="223">
        <v>1</v>
      </c>
      <c r="I1104" s="223">
        <v>1</v>
      </c>
      <c r="J1104" s="223"/>
      <c r="K1104" s="238">
        <v>23857.26</v>
      </c>
      <c r="L1104" s="241">
        <v>22</v>
      </c>
      <c r="M1104" s="228">
        <v>18608.662799999998</v>
      </c>
      <c r="N1104" s="230">
        <v>18.06</v>
      </c>
      <c r="O1104" s="231">
        <v>18608</v>
      </c>
      <c r="R1104" s="223"/>
    </row>
    <row r="1105" spans="1:18" s="217" customFormat="1" ht="14.1" customHeight="1">
      <c r="A1105" s="224" t="s">
        <v>1514</v>
      </c>
      <c r="B1105" s="218" t="s">
        <v>1515</v>
      </c>
      <c r="C1105" s="223">
        <v>2</v>
      </c>
      <c r="D1105" s="218" t="s">
        <v>1516</v>
      </c>
      <c r="E1105" s="223">
        <v>4</v>
      </c>
      <c r="F1105" s="223">
        <v>4573</v>
      </c>
      <c r="G1105" s="223">
        <v>2005</v>
      </c>
      <c r="H1105" s="223">
        <v>1</v>
      </c>
      <c r="I1105" s="223">
        <v>1</v>
      </c>
      <c r="J1105" s="223"/>
      <c r="K1105" s="238">
        <v>82588.38</v>
      </c>
      <c r="L1105" s="241">
        <v>22</v>
      </c>
      <c r="M1105" s="228">
        <v>64418.936399999999</v>
      </c>
      <c r="N1105" s="230">
        <v>18.06</v>
      </c>
      <c r="O1105" s="231">
        <v>64418</v>
      </c>
      <c r="R1105" s="223"/>
    </row>
    <row r="1106" spans="1:18" s="217" customFormat="1" ht="14.1" customHeight="1">
      <c r="A1106" s="224" t="s">
        <v>1514</v>
      </c>
      <c r="B1106" s="218" t="s">
        <v>1515</v>
      </c>
      <c r="C1106" s="223">
        <v>2</v>
      </c>
      <c r="D1106" s="218" t="s">
        <v>1516</v>
      </c>
      <c r="E1106" s="223">
        <v>4</v>
      </c>
      <c r="F1106" s="223">
        <v>1162</v>
      </c>
      <c r="G1106" s="223">
        <v>2005</v>
      </c>
      <c r="H1106" s="223">
        <v>1</v>
      </c>
      <c r="I1106" s="223">
        <v>1</v>
      </c>
      <c r="J1106" s="223"/>
      <c r="K1106" s="238">
        <v>20985.72</v>
      </c>
      <c r="L1106" s="241">
        <v>22</v>
      </c>
      <c r="M1106" s="228">
        <v>16368.8616</v>
      </c>
      <c r="N1106" s="230">
        <v>18.06</v>
      </c>
      <c r="O1106" s="231">
        <v>16368</v>
      </c>
      <c r="R1106" s="223"/>
    </row>
    <row r="1107" spans="1:18" s="217" customFormat="1" ht="14.1" customHeight="1">
      <c r="A1107" s="224" t="s">
        <v>1514</v>
      </c>
      <c r="B1107" s="218" t="s">
        <v>1515</v>
      </c>
      <c r="C1107" s="223">
        <v>2</v>
      </c>
      <c r="D1107" s="218" t="s">
        <v>1516</v>
      </c>
      <c r="E1107" s="223">
        <v>4</v>
      </c>
      <c r="F1107" s="223">
        <v>566</v>
      </c>
      <c r="G1107" s="223">
        <v>2005</v>
      </c>
      <c r="H1107" s="223">
        <v>1</v>
      </c>
      <c r="I1107" s="223">
        <v>1</v>
      </c>
      <c r="J1107" s="223"/>
      <c r="K1107" s="238">
        <v>10221.959999999999</v>
      </c>
      <c r="L1107" s="241">
        <v>22</v>
      </c>
      <c r="M1107" s="228">
        <v>7973.1288000000004</v>
      </c>
      <c r="N1107" s="230">
        <v>18.06</v>
      </c>
      <c r="O1107" s="231">
        <v>7973</v>
      </c>
      <c r="R1107" s="223"/>
    </row>
    <row r="1108" spans="1:18" s="217" customFormat="1" ht="14.1" customHeight="1">
      <c r="A1108" s="224" t="s">
        <v>1514</v>
      </c>
      <c r="B1108" s="218" t="s">
        <v>1515</v>
      </c>
      <c r="C1108" s="223">
        <v>2</v>
      </c>
      <c r="D1108" s="218" t="s">
        <v>1516</v>
      </c>
      <c r="E1108" s="223">
        <v>4</v>
      </c>
      <c r="F1108" s="223">
        <v>22</v>
      </c>
      <c r="G1108" s="223">
        <v>2005</v>
      </c>
      <c r="H1108" s="223">
        <v>1</v>
      </c>
      <c r="I1108" s="223">
        <v>1</v>
      </c>
      <c r="J1108" s="223"/>
      <c r="K1108" s="238">
        <v>397.32</v>
      </c>
      <c r="L1108" s="241">
        <v>22</v>
      </c>
      <c r="M1108" s="228">
        <v>309.90960000000001</v>
      </c>
      <c r="N1108" s="230">
        <v>18.06</v>
      </c>
      <c r="O1108" s="231">
        <v>309</v>
      </c>
      <c r="R1108" s="223"/>
    </row>
    <row r="1109" spans="1:18" s="217" customFormat="1" ht="14.1" customHeight="1">
      <c r="A1109" s="224" t="s">
        <v>1514</v>
      </c>
      <c r="B1109" s="218" t="s">
        <v>1515</v>
      </c>
      <c r="C1109" s="223">
        <v>3</v>
      </c>
      <c r="D1109" s="218" t="s">
        <v>1493</v>
      </c>
      <c r="E1109" s="223">
        <v>3</v>
      </c>
      <c r="F1109" s="230">
        <v>278.75</v>
      </c>
      <c r="G1109" s="223">
        <v>1996</v>
      </c>
      <c r="H1109" s="223">
        <v>1</v>
      </c>
      <c r="I1109" s="223">
        <v>1</v>
      </c>
      <c r="J1109" s="223"/>
      <c r="K1109" s="237">
        <v>8540.90</v>
      </c>
      <c r="L1109" s="241">
        <v>44</v>
      </c>
      <c r="M1109" s="239">
        <v>4782.9040000000005</v>
      </c>
      <c r="N1109" s="230">
        <v>30.64</v>
      </c>
      <c r="O1109" s="231">
        <v>4782</v>
      </c>
      <c r="R1109" s="223"/>
    </row>
    <row r="1110" spans="1:18" s="217" customFormat="1" ht="14.1" customHeight="1">
      <c r="A1110" s="224" t="s">
        <v>1514</v>
      </c>
      <c r="B1110" s="218" t="s">
        <v>1515</v>
      </c>
      <c r="C1110" s="223">
        <v>3</v>
      </c>
      <c r="D1110" s="218" t="s">
        <v>1493</v>
      </c>
      <c r="E1110" s="223">
        <v>3</v>
      </c>
      <c r="F1110" s="242">
        <v>329.40</v>
      </c>
      <c r="G1110" s="223">
        <v>1990</v>
      </c>
      <c r="H1110" s="223">
        <v>1</v>
      </c>
      <c r="I1110" s="223">
        <v>1</v>
      </c>
      <c r="J1110" s="223"/>
      <c r="K1110" s="239">
        <v>10092.816000000001</v>
      </c>
      <c r="L1110" s="241">
        <v>52</v>
      </c>
      <c r="M1110" s="229">
        <v>4844.5516799999996</v>
      </c>
      <c r="N1110" s="230">
        <v>30.64</v>
      </c>
      <c r="O1110" s="231">
        <v>4844</v>
      </c>
      <c r="R1110" s="223"/>
    </row>
    <row r="1111" spans="1:18" s="217" customFormat="1" ht="14.1" customHeight="1">
      <c r="A1111" s="224" t="s">
        <v>1514</v>
      </c>
      <c r="B1111" s="218" t="s">
        <v>1515</v>
      </c>
      <c r="C1111" s="223">
        <v>3</v>
      </c>
      <c r="D1111" s="218" t="s">
        <v>1493</v>
      </c>
      <c r="E1111" s="223">
        <v>3</v>
      </c>
      <c r="F1111" s="230">
        <v>472.08</v>
      </c>
      <c r="G1111" s="223">
        <v>1990</v>
      </c>
      <c r="H1111" s="223">
        <v>1</v>
      </c>
      <c r="I1111" s="223">
        <v>1</v>
      </c>
      <c r="J1111" s="223"/>
      <c r="K1111" s="228">
        <v>14464.531199999999</v>
      </c>
      <c r="L1111" s="241">
        <v>52</v>
      </c>
      <c r="M1111" s="233">
        <v>6942.9749760000004</v>
      </c>
      <c r="N1111" s="230">
        <v>30.64</v>
      </c>
      <c r="O1111" s="231">
        <v>6942</v>
      </c>
      <c r="R1111" s="223"/>
    </row>
    <row r="1112" spans="1:18" s="217" customFormat="1" ht="14.1" customHeight="1">
      <c r="A1112" s="224" t="s">
        <v>1514</v>
      </c>
      <c r="B1112" s="218" t="s">
        <v>1515</v>
      </c>
      <c r="C1112" s="223">
        <v>3</v>
      </c>
      <c r="D1112" s="218" t="s">
        <v>1493</v>
      </c>
      <c r="E1112" s="223">
        <v>3</v>
      </c>
      <c r="F1112" s="230">
        <v>2066.75</v>
      </c>
      <c r="G1112" s="223">
        <v>1990</v>
      </c>
      <c r="H1112" s="223">
        <v>1</v>
      </c>
      <c r="I1112" s="223">
        <v>1</v>
      </c>
      <c r="J1112" s="223"/>
      <c r="K1112" s="238">
        <v>63325.22</v>
      </c>
      <c r="L1112" s="241">
        <v>52</v>
      </c>
      <c r="M1112" s="228">
        <v>30396.105599999999</v>
      </c>
      <c r="N1112" s="230">
        <v>30.64</v>
      </c>
      <c r="O1112" s="231">
        <v>30396</v>
      </c>
      <c r="R1112" s="223"/>
    </row>
    <row r="1113" spans="1:18" s="217" customFormat="1" ht="14.1" customHeight="1">
      <c r="A1113" s="224" t="s">
        <v>1514</v>
      </c>
      <c r="B1113" s="218" t="s">
        <v>1515</v>
      </c>
      <c r="C1113" s="223">
        <v>3</v>
      </c>
      <c r="D1113" s="218" t="s">
        <v>1493</v>
      </c>
      <c r="E1113" s="223">
        <v>3</v>
      </c>
      <c r="F1113" s="230">
        <v>8135.85</v>
      </c>
      <c r="G1113" s="223">
        <v>1990</v>
      </c>
      <c r="H1113" s="223">
        <v>1</v>
      </c>
      <c r="I1113" s="223">
        <v>1</v>
      </c>
      <c r="J1113" s="223"/>
      <c r="K1113" s="239">
        <v>249282.44399999999</v>
      </c>
      <c r="L1113" s="241">
        <v>52</v>
      </c>
      <c r="M1113" s="228">
        <v>119655.57309999999</v>
      </c>
      <c r="N1113" s="230">
        <v>30.64</v>
      </c>
      <c r="O1113" s="231">
        <v>119655</v>
      </c>
      <c r="R1113" s="223"/>
    </row>
    <row r="1114" spans="1:18" s="217" customFormat="1" ht="14.1" customHeight="1">
      <c r="A1114" s="224" t="s">
        <v>1514</v>
      </c>
      <c r="B1114" s="218" t="s">
        <v>1515</v>
      </c>
      <c r="C1114" s="223">
        <v>3</v>
      </c>
      <c r="D1114" s="218" t="s">
        <v>1493</v>
      </c>
      <c r="E1114" s="223">
        <v>3</v>
      </c>
      <c r="F1114" s="242">
        <v>2669.60</v>
      </c>
      <c r="G1114" s="223">
        <v>1990</v>
      </c>
      <c r="H1114" s="223">
        <v>1</v>
      </c>
      <c r="I1114" s="223">
        <v>1</v>
      </c>
      <c r="J1114" s="223"/>
      <c r="K1114" s="239">
        <v>81796.543999999994</v>
      </c>
      <c r="L1114" s="241">
        <v>52</v>
      </c>
      <c r="M1114" s="229">
        <v>39262.341119999997</v>
      </c>
      <c r="N1114" s="230">
        <v>30.64</v>
      </c>
      <c r="O1114" s="231">
        <v>39262</v>
      </c>
      <c r="R1114" s="223"/>
    </row>
    <row r="1115" spans="1:18" s="217" customFormat="1" ht="14.1" customHeight="1">
      <c r="A1115" s="224" t="s">
        <v>1514</v>
      </c>
      <c r="B1115" s="218" t="s">
        <v>1515</v>
      </c>
      <c r="C1115" s="223">
        <v>3</v>
      </c>
      <c r="D1115" s="218" t="s">
        <v>1493</v>
      </c>
      <c r="E1115" s="223">
        <v>3</v>
      </c>
      <c r="F1115" s="230">
        <v>922.97</v>
      </c>
      <c r="G1115" s="223">
        <v>1990</v>
      </c>
      <c r="H1115" s="223">
        <v>1</v>
      </c>
      <c r="I1115" s="225">
        <v>0</v>
      </c>
      <c r="J1115" s="223"/>
      <c r="K1115" s="247">
        <v>28279.800800000001</v>
      </c>
      <c r="L1115" s="241">
        <v>52</v>
      </c>
      <c r="M1115" s="247">
        <v>13574.30438</v>
      </c>
      <c r="N1115" s="230">
        <v>30.64</v>
      </c>
      <c r="O1115" s="287">
        <v>0</v>
      </c>
      <c r="P1115" s="316" t="s">
        <v>1568</v>
      </c>
      <c r="R1115" s="223"/>
    </row>
    <row r="1116" spans="1:18" s="217" customFormat="1" ht="15" customHeight="1">
      <c r="A1116" s="224" t="s">
        <v>1514</v>
      </c>
      <c r="B1116" s="218" t="s">
        <v>1515</v>
      </c>
      <c r="C1116" s="223">
        <v>3</v>
      </c>
      <c r="D1116" s="218" t="s">
        <v>1493</v>
      </c>
      <c r="E1116" s="223">
        <v>3</v>
      </c>
      <c r="F1116" s="230">
        <v>369.98</v>
      </c>
      <c r="G1116" s="223">
        <v>1990</v>
      </c>
      <c r="H1116" s="223">
        <v>1</v>
      </c>
      <c r="I1116" s="223">
        <v>1</v>
      </c>
      <c r="J1116" s="223"/>
      <c r="K1116" s="228">
        <v>11336.1872</v>
      </c>
      <c r="L1116" s="241">
        <v>52</v>
      </c>
      <c r="M1116" s="233">
        <v>5441.3698560000003</v>
      </c>
      <c r="N1116" s="230">
        <v>30.64</v>
      </c>
      <c r="O1116" s="231">
        <v>5441</v>
      </c>
      <c r="R1116" s="223"/>
    </row>
    <row r="1117" spans="1:18" s="217" customFormat="1" ht="15" customHeight="1">
      <c r="A1117" s="224" t="s">
        <v>1514</v>
      </c>
      <c r="B1117" s="218" t="s">
        <v>1515</v>
      </c>
      <c r="C1117" s="223">
        <v>3</v>
      </c>
      <c r="D1117" s="218" t="s">
        <v>1493</v>
      </c>
      <c r="E1117" s="240">
        <v>3</v>
      </c>
      <c r="F1117" s="230">
        <v>495.31</v>
      </c>
      <c r="G1117" s="223">
        <v>1990</v>
      </c>
      <c r="H1117" s="223">
        <v>1</v>
      </c>
      <c r="I1117" s="223">
        <v>1</v>
      </c>
      <c r="J1117" s="223"/>
      <c r="K1117" s="228">
        <v>15176.2984</v>
      </c>
      <c r="L1117" s="241">
        <v>52</v>
      </c>
      <c r="M1117" s="233">
        <v>7284.6232319999999</v>
      </c>
      <c r="N1117" s="230">
        <v>30.64</v>
      </c>
      <c r="O1117" s="231">
        <v>7284</v>
      </c>
      <c r="R1117" s="223"/>
    </row>
    <row r="1118" spans="1:18" s="217" customFormat="1" ht="14.1" customHeight="1">
      <c r="A1118" s="224" t="s">
        <v>1514</v>
      </c>
      <c r="B1118" s="218" t="s">
        <v>1515</v>
      </c>
      <c r="C1118" s="223">
        <v>3</v>
      </c>
      <c r="D1118" s="218" t="s">
        <v>1493</v>
      </c>
      <c r="E1118" s="240">
        <v>3</v>
      </c>
      <c r="F1118" s="230">
        <v>2002.94</v>
      </c>
      <c r="G1118" s="223">
        <v>1990</v>
      </c>
      <c r="H1118" s="223">
        <v>1</v>
      </c>
      <c r="I1118" s="223">
        <v>1</v>
      </c>
      <c r="J1118" s="223"/>
      <c r="K1118" s="228">
        <v>61370.081599999998</v>
      </c>
      <c r="L1118" s="241">
        <v>52</v>
      </c>
      <c r="M1118" s="229">
        <v>29457.639169999999</v>
      </c>
      <c r="N1118" s="230">
        <v>30.64</v>
      </c>
      <c r="O1118" s="231">
        <v>29457</v>
      </c>
      <c r="R1118" s="223"/>
    </row>
    <row r="1119" spans="1:18" s="217" customFormat="1" ht="14.1" customHeight="1">
      <c r="A1119" s="224" t="s">
        <v>1514</v>
      </c>
      <c r="B1119" s="218" t="s">
        <v>1515</v>
      </c>
      <c r="C1119" s="223">
        <v>3</v>
      </c>
      <c r="D1119" s="218" t="s">
        <v>1493</v>
      </c>
      <c r="E1119" s="240">
        <v>3</v>
      </c>
      <c r="F1119" s="230">
        <v>8135.85</v>
      </c>
      <c r="G1119" s="223">
        <v>1990</v>
      </c>
      <c r="H1119" s="223">
        <v>1</v>
      </c>
      <c r="I1119" s="223">
        <v>1</v>
      </c>
      <c r="J1119" s="223"/>
      <c r="K1119" s="239">
        <v>249282.44399999999</v>
      </c>
      <c r="L1119" s="241">
        <v>52</v>
      </c>
      <c r="M1119" s="228">
        <v>119655.57309999999</v>
      </c>
      <c r="N1119" s="230">
        <v>30.64</v>
      </c>
      <c r="O1119" s="231">
        <v>119655</v>
      </c>
      <c r="R1119" s="223"/>
    </row>
    <row r="1120" spans="1:18" s="217" customFormat="1" ht="14.1" customHeight="1">
      <c r="A1120" s="224" t="s">
        <v>1514</v>
      </c>
      <c r="B1120" s="218" t="s">
        <v>1515</v>
      </c>
      <c r="C1120" s="223">
        <v>3</v>
      </c>
      <c r="D1120" s="218" t="s">
        <v>1493</v>
      </c>
      <c r="E1120" s="240">
        <v>3</v>
      </c>
      <c r="F1120" s="242">
        <v>2669.60</v>
      </c>
      <c r="G1120" s="223">
        <v>1990</v>
      </c>
      <c r="H1120" s="223">
        <v>1</v>
      </c>
      <c r="I1120" s="223">
        <v>1</v>
      </c>
      <c r="J1120" s="223"/>
      <c r="K1120" s="239">
        <v>81796.543999999994</v>
      </c>
      <c r="L1120" s="241">
        <v>52</v>
      </c>
      <c r="M1120" s="229">
        <v>39262.341119999997</v>
      </c>
      <c r="N1120" s="230">
        <v>30.64</v>
      </c>
      <c r="O1120" s="231">
        <v>39262</v>
      </c>
      <c r="R1120" s="223"/>
    </row>
    <row r="1121" spans="1:18" s="217" customFormat="1" ht="14.1" customHeight="1">
      <c r="A1121" s="224" t="s">
        <v>1514</v>
      </c>
      <c r="B1121" s="218" t="s">
        <v>1515</v>
      </c>
      <c r="C1121" s="223">
        <v>3</v>
      </c>
      <c r="D1121" s="218" t="s">
        <v>1493</v>
      </c>
      <c r="E1121" s="240">
        <v>3</v>
      </c>
      <c r="F1121" s="230">
        <v>1302.17</v>
      </c>
      <c r="G1121" s="223">
        <v>1990</v>
      </c>
      <c r="H1121" s="223">
        <v>1</v>
      </c>
      <c r="I1121" s="225">
        <v>0</v>
      </c>
      <c r="J1121" s="223"/>
      <c r="K1121" s="247">
        <v>39898.488799999999</v>
      </c>
      <c r="L1121" s="241">
        <v>52</v>
      </c>
      <c r="M1121" s="247">
        <v>19151.27462</v>
      </c>
      <c r="N1121" s="230">
        <v>30.64</v>
      </c>
      <c r="O1121" s="287">
        <v>0</v>
      </c>
      <c r="P1121" s="316" t="s">
        <v>1568</v>
      </c>
      <c r="R1121" s="223"/>
    </row>
    <row r="1122" spans="1:18" s="217" customFormat="1" ht="14.1" customHeight="1">
      <c r="A1122" s="224" t="s">
        <v>1514</v>
      </c>
      <c r="B1122" s="218" t="s">
        <v>1515</v>
      </c>
      <c r="C1122" s="223">
        <v>3</v>
      </c>
      <c r="D1122" s="218" t="s">
        <v>1493</v>
      </c>
      <c r="E1122" s="240">
        <v>3</v>
      </c>
      <c r="F1122" s="230">
        <v>3305.87</v>
      </c>
      <c r="G1122" s="223">
        <v>1996</v>
      </c>
      <c r="H1122" s="223">
        <v>1</v>
      </c>
      <c r="I1122" s="223">
        <v>1</v>
      </c>
      <c r="J1122" s="223"/>
      <c r="K1122" s="228">
        <v>101291.85679999999</v>
      </c>
      <c r="L1122" s="241">
        <v>44</v>
      </c>
      <c r="M1122" s="229">
        <v>56723.439810000003</v>
      </c>
      <c r="N1122" s="230">
        <v>30.64</v>
      </c>
      <c r="O1122" s="231">
        <v>56723</v>
      </c>
      <c r="R1122" s="223"/>
    </row>
    <row r="1123" spans="1:18" s="217" customFormat="1" ht="14.1" customHeight="1">
      <c r="A1123" s="224" t="s">
        <v>1514</v>
      </c>
      <c r="B1123" s="218" t="s">
        <v>1515</v>
      </c>
      <c r="C1123" s="223">
        <v>3</v>
      </c>
      <c r="D1123" s="218" t="s">
        <v>1493</v>
      </c>
      <c r="E1123" s="240">
        <v>3</v>
      </c>
      <c r="F1123" s="230">
        <v>417.81</v>
      </c>
      <c r="G1123" s="223">
        <v>1996</v>
      </c>
      <c r="H1123" s="223">
        <v>1</v>
      </c>
      <c r="I1123" s="223">
        <v>1</v>
      </c>
      <c r="J1123" s="223"/>
      <c r="K1123" s="228">
        <v>12801.698399999999</v>
      </c>
      <c r="L1123" s="241">
        <v>44</v>
      </c>
      <c r="M1123" s="233">
        <v>7168.9511039999998</v>
      </c>
      <c r="N1123" s="230">
        <v>30.64</v>
      </c>
      <c r="O1123" s="231">
        <v>7168</v>
      </c>
      <c r="R1123" s="223"/>
    </row>
    <row r="1124" spans="1:18" s="217" customFormat="1" ht="14.1" customHeight="1">
      <c r="A1124" s="224" t="s">
        <v>1514</v>
      </c>
      <c r="B1124" s="218" t="s">
        <v>1515</v>
      </c>
      <c r="C1124" s="223">
        <v>3</v>
      </c>
      <c r="D1124" s="218" t="s">
        <v>1493</v>
      </c>
      <c r="E1124" s="240">
        <v>3</v>
      </c>
      <c r="F1124" s="230">
        <v>293.27</v>
      </c>
      <c r="G1124" s="223">
        <v>1991</v>
      </c>
      <c r="H1124" s="223">
        <v>1</v>
      </c>
      <c r="I1124" s="223">
        <v>1</v>
      </c>
      <c r="J1124" s="223"/>
      <c r="K1124" s="228">
        <v>8985.7927999999993</v>
      </c>
      <c r="L1124" s="241">
        <v>52</v>
      </c>
      <c r="M1124" s="233">
        <v>4313.1805439999998</v>
      </c>
      <c r="N1124" s="230">
        <v>30.64</v>
      </c>
      <c r="O1124" s="231">
        <v>4313</v>
      </c>
      <c r="R1124" s="223"/>
    </row>
    <row r="1125" spans="1:18" s="217" customFormat="1" ht="14.1" customHeight="1">
      <c r="A1125" s="224" t="s">
        <v>1514</v>
      </c>
      <c r="B1125" s="218" t="s">
        <v>1515</v>
      </c>
      <c r="C1125" s="223">
        <v>3</v>
      </c>
      <c r="D1125" s="218" t="s">
        <v>1493</v>
      </c>
      <c r="E1125" s="240">
        <v>3</v>
      </c>
      <c r="F1125" s="230">
        <v>62.75</v>
      </c>
      <c r="G1125" s="223">
        <v>1991</v>
      </c>
      <c r="H1125" s="223">
        <v>1</v>
      </c>
      <c r="I1125" s="223">
        <v>1</v>
      </c>
      <c r="J1125" s="223"/>
      <c r="K1125" s="238">
        <v>1922.66</v>
      </c>
      <c r="L1125" s="241">
        <v>52</v>
      </c>
      <c r="M1125" s="228">
        <v>922.8768</v>
      </c>
      <c r="N1125" s="230">
        <v>30.64</v>
      </c>
      <c r="O1125" s="231">
        <v>922</v>
      </c>
      <c r="R1125" s="223"/>
    </row>
    <row r="1126" spans="1:18" s="217" customFormat="1" ht="14.1" customHeight="1">
      <c r="A1126" s="224" t="s">
        <v>1514</v>
      </c>
      <c r="B1126" s="218" t="s">
        <v>1515</v>
      </c>
      <c r="C1126" s="223">
        <v>3</v>
      </c>
      <c r="D1126" s="218" t="s">
        <v>1493</v>
      </c>
      <c r="E1126" s="240">
        <v>3</v>
      </c>
      <c r="F1126" s="230">
        <v>6547.04</v>
      </c>
      <c r="G1126" s="223">
        <v>1991</v>
      </c>
      <c r="H1126" s="223">
        <v>1</v>
      </c>
      <c r="I1126" s="223">
        <v>1</v>
      </c>
      <c r="J1126" s="223"/>
      <c r="K1126" s="228">
        <v>200601.30559999999</v>
      </c>
      <c r="L1126" s="241">
        <v>52</v>
      </c>
      <c r="M1126" s="229">
        <v>96288.626690000005</v>
      </c>
      <c r="N1126" s="230">
        <v>30.64</v>
      </c>
      <c r="O1126" s="231">
        <v>96288</v>
      </c>
      <c r="R1126" s="223"/>
    </row>
    <row r="1127" spans="1:18" s="217" customFormat="1" ht="14.1" customHeight="1">
      <c r="A1127" s="224" t="s">
        <v>1514</v>
      </c>
      <c r="B1127" s="218" t="s">
        <v>1515</v>
      </c>
      <c r="C1127" s="223">
        <v>3</v>
      </c>
      <c r="D1127" s="218" t="s">
        <v>1493</v>
      </c>
      <c r="E1127" s="240">
        <v>3</v>
      </c>
      <c r="F1127" s="230">
        <v>1186.8800000000001</v>
      </c>
      <c r="G1127" s="223">
        <v>1991</v>
      </c>
      <c r="H1127" s="223">
        <v>1</v>
      </c>
      <c r="I1127" s="223">
        <v>1</v>
      </c>
      <c r="J1127" s="223"/>
      <c r="K1127" s="228">
        <v>36366.003199999999</v>
      </c>
      <c r="L1127" s="241">
        <v>52</v>
      </c>
      <c r="M1127" s="229">
        <v>17455.681540000001</v>
      </c>
      <c r="N1127" s="230">
        <v>30.64</v>
      </c>
      <c r="O1127" s="231">
        <v>17455</v>
      </c>
      <c r="R1127" s="223"/>
    </row>
    <row r="1128" spans="1:18" s="217" customFormat="1" ht="14.1" customHeight="1">
      <c r="A1128" s="224" t="s">
        <v>1514</v>
      </c>
      <c r="B1128" s="218" t="s">
        <v>1515</v>
      </c>
      <c r="C1128" s="223">
        <v>3</v>
      </c>
      <c r="D1128" s="218" t="s">
        <v>1493</v>
      </c>
      <c r="E1128" s="240">
        <v>3</v>
      </c>
      <c r="F1128" s="223">
        <v>2901</v>
      </c>
      <c r="G1128" s="223">
        <v>1992</v>
      </c>
      <c r="H1128" s="223">
        <v>1</v>
      </c>
      <c r="I1128" s="223">
        <v>0</v>
      </c>
      <c r="J1128" s="223"/>
      <c r="K1128" s="238">
        <v>88886.64</v>
      </c>
      <c r="L1128" s="241">
        <v>51</v>
      </c>
      <c r="M1128" s="228">
        <v>43554.453600000001</v>
      </c>
      <c r="N1128" s="230">
        <v>30.64</v>
      </c>
      <c r="O1128" s="231">
        <v>0</v>
      </c>
      <c r="R1128" s="223"/>
    </row>
    <row r="1129" spans="1:18" s="217" customFormat="1" ht="14.1" customHeight="1">
      <c r="A1129" s="224" t="s">
        <v>1514</v>
      </c>
      <c r="B1129" s="218" t="s">
        <v>1515</v>
      </c>
      <c r="C1129" s="223">
        <v>3</v>
      </c>
      <c r="D1129" s="218" t="s">
        <v>1493</v>
      </c>
      <c r="E1129" s="240">
        <v>3</v>
      </c>
      <c r="F1129" s="230">
        <v>1451.95</v>
      </c>
      <c r="G1129" s="223">
        <v>1992</v>
      </c>
      <c r="H1129" s="223">
        <v>1</v>
      </c>
      <c r="I1129" s="223">
        <v>0</v>
      </c>
      <c r="J1129" s="223"/>
      <c r="K1129" s="239">
        <v>44487.748</v>
      </c>
      <c r="L1129" s="241">
        <v>51</v>
      </c>
      <c r="M1129" s="229">
        <v>21798.996520000001</v>
      </c>
      <c r="N1129" s="230">
        <v>30.64</v>
      </c>
      <c r="O1129" s="231">
        <v>0</v>
      </c>
      <c r="R1129" s="223"/>
    </row>
    <row r="1130" spans="1:18" s="217" customFormat="1" ht="14.1" customHeight="1">
      <c r="A1130" s="224" t="s">
        <v>1514</v>
      </c>
      <c r="B1130" s="218" t="s">
        <v>1515</v>
      </c>
      <c r="C1130" s="223">
        <v>3</v>
      </c>
      <c r="D1130" s="218" t="s">
        <v>1493</v>
      </c>
      <c r="E1130" s="240">
        <v>3</v>
      </c>
      <c r="F1130" s="257">
        <v>2710.54</v>
      </c>
      <c r="G1130" s="223">
        <v>1992</v>
      </c>
      <c r="H1130" s="223">
        <v>1</v>
      </c>
      <c r="I1130" s="246">
        <v>0</v>
      </c>
      <c r="J1130" s="223"/>
      <c r="K1130" s="247">
        <v>83050.945600000006</v>
      </c>
      <c r="L1130" s="241">
        <v>51</v>
      </c>
      <c r="M1130" s="247">
        <v>40694.963340000002</v>
      </c>
      <c r="N1130" s="230">
        <v>30.64</v>
      </c>
      <c r="O1130" s="248">
        <v>0</v>
      </c>
      <c r="P1130" s="317" t="s">
        <v>1560</v>
      </c>
      <c r="R1130" s="223"/>
    </row>
    <row r="1131" spans="1:18" s="217" customFormat="1" ht="14.1" customHeight="1">
      <c r="A1131" s="224" t="s">
        <v>1514</v>
      </c>
      <c r="B1131" s="218" t="s">
        <v>1515</v>
      </c>
      <c r="C1131" s="223">
        <v>3</v>
      </c>
      <c r="D1131" s="218" t="s">
        <v>1493</v>
      </c>
      <c r="E1131" s="240">
        <v>3</v>
      </c>
      <c r="F1131" s="230">
        <v>689.46</v>
      </c>
      <c r="G1131" s="223">
        <v>1992</v>
      </c>
      <c r="H1131" s="223">
        <v>1</v>
      </c>
      <c r="I1131" s="223">
        <v>0</v>
      </c>
      <c r="J1131" s="223"/>
      <c r="K1131" s="228">
        <v>21125.054400000001</v>
      </c>
      <c r="L1131" s="241">
        <v>51</v>
      </c>
      <c r="M1131" s="229">
        <v>10351.27666</v>
      </c>
      <c r="N1131" s="230">
        <v>30.64</v>
      </c>
      <c r="O1131" s="231">
        <v>0</v>
      </c>
      <c r="R1131" s="223"/>
    </row>
    <row r="1132" spans="1:18" s="217" customFormat="1" ht="14.1" customHeight="1">
      <c r="A1132" s="224" t="s">
        <v>1514</v>
      </c>
      <c r="B1132" s="218" t="s">
        <v>1515</v>
      </c>
      <c r="C1132" s="223">
        <v>3</v>
      </c>
      <c r="D1132" s="218" t="s">
        <v>1493</v>
      </c>
      <c r="E1132" s="240">
        <v>3</v>
      </c>
      <c r="F1132" s="230">
        <v>2539.27</v>
      </c>
      <c r="G1132" s="223">
        <v>1992</v>
      </c>
      <c r="H1132" s="223">
        <v>1</v>
      </c>
      <c r="I1132" s="223">
        <v>0</v>
      </c>
      <c r="J1132" s="223"/>
      <c r="K1132" s="228">
        <v>77803.232799999998</v>
      </c>
      <c r="L1132" s="241">
        <v>51</v>
      </c>
      <c r="M1132" s="229">
        <v>38123.584069999997</v>
      </c>
      <c r="N1132" s="230">
        <v>30.64</v>
      </c>
      <c r="O1132" s="231">
        <v>0</v>
      </c>
      <c r="R1132" s="223"/>
    </row>
    <row r="1133" spans="1:18" s="217" customFormat="1" ht="14.1" customHeight="1">
      <c r="A1133" s="224" t="s">
        <v>1514</v>
      </c>
      <c r="B1133" s="218" t="s">
        <v>1515</v>
      </c>
      <c r="C1133" s="223">
        <v>3</v>
      </c>
      <c r="D1133" s="218" t="s">
        <v>1493</v>
      </c>
      <c r="E1133" s="240">
        <v>3</v>
      </c>
      <c r="F1133" s="230">
        <v>1003.12</v>
      </c>
      <c r="G1133" s="223">
        <v>1992</v>
      </c>
      <c r="H1133" s="223">
        <v>1</v>
      </c>
      <c r="I1133" s="223">
        <v>0</v>
      </c>
      <c r="J1133" s="223"/>
      <c r="K1133" s="228">
        <v>30735.596799999999</v>
      </c>
      <c r="L1133" s="241">
        <v>51</v>
      </c>
      <c r="M1133" s="229">
        <v>15060.442429999999</v>
      </c>
      <c r="N1133" s="230">
        <v>30.64</v>
      </c>
      <c r="O1133" s="231">
        <v>0</v>
      </c>
      <c r="R1133" s="223"/>
    </row>
    <row r="1134" spans="1:19" s="217" customFormat="1" ht="14.1" customHeight="1">
      <c r="A1134" s="224" t="s">
        <v>1526</v>
      </c>
      <c r="B1134" s="218" t="s">
        <v>1515</v>
      </c>
      <c r="C1134" s="223">
        <v>1</v>
      </c>
      <c r="D1134" s="218" t="s">
        <v>1488</v>
      </c>
      <c r="E1134" s="240">
        <v>2</v>
      </c>
      <c r="F1134" s="226">
        <v>1528.510454</v>
      </c>
      <c r="G1134" s="223">
        <v>1957</v>
      </c>
      <c r="H1134" s="223">
        <v>1</v>
      </c>
      <c r="I1134" s="223">
        <v>0</v>
      </c>
      <c r="J1134" s="223"/>
      <c r="K1134" s="229">
        <v>24823.00978</v>
      </c>
      <c r="L1134" s="241">
        <v>80</v>
      </c>
      <c r="M1134" s="233">
        <v>4964.6019560000004</v>
      </c>
      <c r="N1134" s="230">
        <v>16.239999999999998</v>
      </c>
      <c r="O1134" s="231">
        <v>0</v>
      </c>
      <c r="P1134" s="314"/>
      <c r="Q1134" s="276">
        <f t="shared" si="40" ref="Q1134:Q1197">ROUND(F1134,2)</f>
        <v>1528.51</v>
      </c>
      <c r="R1134" s="275">
        <f>(SUMIFS('Dec 31 2018 OFFS'!$AG:$AG,'Dec 31 2018 OFFS'!$AI:$AI,'T1 2019 Pipeline Data Lagasco'!$A1134,'Dec 31 2018 OFFS'!$U:$U,'T1 2019 Pipeline Data Lagasco'!$E1134,'Dec 31 2018 OFFS'!$AK:$AK,'T1 2019 Pipeline Data Lagasco'!$Q1134,'Dec 31 2018 OFFS'!$W:$W,'T1 2019 Pipeline Data Lagasco'!$G1134))/(MAX(COUNTIFS('Dec 31 2018 OFFS'!$AI:$AI,'T1 2019 Pipeline Data Lagasco'!$A1134,'Dec 31 2018 OFFS'!$U:$U,'T1 2019 Pipeline Data Lagasco'!$E1134,'Dec 31 2018 OFFS'!$AK:$AK,'T1 2019 Pipeline Data Lagasco'!$Q1134,'Dec 31 2018 OFFS'!$W:$W,'T1 2019 Pipeline Data Lagasco'!$G1134),1))</f>
        <v>0</v>
      </c>
      <c r="S1134" s="275">
        <f t="shared" si="41" ref="S1134:S1197">O1134-R1134</f>
        <v>0</v>
      </c>
    </row>
    <row r="1135" spans="1:19" s="217" customFormat="1" ht="14.1" customHeight="1">
      <c r="A1135" s="224" t="s">
        <v>1526</v>
      </c>
      <c r="B1135" s="218" t="s">
        <v>1515</v>
      </c>
      <c r="C1135" s="223">
        <v>1</v>
      </c>
      <c r="D1135" s="218" t="s">
        <v>1488</v>
      </c>
      <c r="E1135" s="240">
        <v>2</v>
      </c>
      <c r="F1135" s="226">
        <v>2712.401496</v>
      </c>
      <c r="G1135" s="223">
        <v>1957</v>
      </c>
      <c r="H1135" s="223">
        <v>1</v>
      </c>
      <c r="I1135" s="223">
        <v>1</v>
      </c>
      <c r="J1135" s="223"/>
      <c r="K1135" s="228">
        <v>44049.400300000001</v>
      </c>
      <c r="L1135" s="241">
        <v>80</v>
      </c>
      <c r="M1135" s="229">
        <v>8809.8800599999995</v>
      </c>
      <c r="N1135" s="230">
        <v>16.239999999999998</v>
      </c>
      <c r="O1135" s="231">
        <v>8809</v>
      </c>
      <c r="P1135" s="314"/>
      <c r="Q1135" s="276">
        <f t="shared" si="40"/>
        <v>2712.40</v>
      </c>
      <c r="R1135" s="275">
        <f>(SUMIFS('Dec 31 2018 OFFS'!$AG:$AG,'Dec 31 2018 OFFS'!$AI:$AI,'T1 2019 Pipeline Data Lagasco'!$A1135,'Dec 31 2018 OFFS'!$U:$U,'T1 2019 Pipeline Data Lagasco'!$E1135,'Dec 31 2018 OFFS'!$AK:$AK,'T1 2019 Pipeline Data Lagasco'!$Q1135,'Dec 31 2018 OFFS'!$W:$W,'T1 2019 Pipeline Data Lagasco'!$G1135))/(MAX(COUNTIFS('Dec 31 2018 OFFS'!$AI:$AI,'T1 2019 Pipeline Data Lagasco'!$A1135,'Dec 31 2018 OFFS'!$U:$U,'T1 2019 Pipeline Data Lagasco'!$E1135,'Dec 31 2018 OFFS'!$AK:$AK,'T1 2019 Pipeline Data Lagasco'!$Q1135,'Dec 31 2018 OFFS'!$W:$W,'T1 2019 Pipeline Data Lagasco'!$G1135),1))</f>
        <v>8809</v>
      </c>
      <c r="S1135" s="275">
        <f t="shared" si="41"/>
        <v>0</v>
      </c>
    </row>
    <row r="1136" spans="1:19" s="217" customFormat="1" ht="14.1" customHeight="1">
      <c r="A1136" s="224" t="s">
        <v>1526</v>
      </c>
      <c r="B1136" s="218" t="s">
        <v>1515</v>
      </c>
      <c r="C1136" s="223">
        <v>1</v>
      </c>
      <c r="D1136" s="218" t="s">
        <v>1488</v>
      </c>
      <c r="E1136" s="240">
        <v>3</v>
      </c>
      <c r="F1136" s="230">
        <v>2162.0100000000002</v>
      </c>
      <c r="G1136" s="223">
        <v>1957</v>
      </c>
      <c r="H1136" s="223">
        <v>1</v>
      </c>
      <c r="I1136" s="223">
        <v>1</v>
      </c>
      <c r="J1136" s="223"/>
      <c r="K1136" s="228">
        <v>51001.815900000001</v>
      </c>
      <c r="L1136" s="241">
        <v>80</v>
      </c>
      <c r="M1136" s="229">
        <v>10200.36318</v>
      </c>
      <c r="N1136" s="230">
        <v>23.59</v>
      </c>
      <c r="O1136" s="231">
        <v>10200</v>
      </c>
      <c r="P1136" s="314"/>
      <c r="Q1136" s="276">
        <f t="shared" si="40"/>
        <v>2162.0100000000002</v>
      </c>
      <c r="R1136" s="275">
        <f>(SUMIFS('Dec 31 2018 OFFS'!$AG:$AG,'Dec 31 2018 OFFS'!$AI:$AI,'T1 2019 Pipeline Data Lagasco'!$A1136,'Dec 31 2018 OFFS'!$U:$U,'T1 2019 Pipeline Data Lagasco'!$E1136,'Dec 31 2018 OFFS'!$AK:$AK,'T1 2019 Pipeline Data Lagasco'!$Q1136,'Dec 31 2018 OFFS'!$W:$W,'T1 2019 Pipeline Data Lagasco'!$G1136))/(MAX(COUNTIFS('Dec 31 2018 OFFS'!$AI:$AI,'T1 2019 Pipeline Data Lagasco'!$A1136,'Dec 31 2018 OFFS'!$U:$U,'T1 2019 Pipeline Data Lagasco'!$E1136,'Dec 31 2018 OFFS'!$AK:$AK,'T1 2019 Pipeline Data Lagasco'!$Q1136,'Dec 31 2018 OFFS'!$W:$W,'T1 2019 Pipeline Data Lagasco'!$G1136),1))</f>
        <v>10200</v>
      </c>
      <c r="S1136" s="275">
        <f t="shared" si="41"/>
        <v>0</v>
      </c>
    </row>
    <row r="1137" spans="1:20" ht="14.1" customHeight="1">
      <c r="A1137" s="224" t="s">
        <v>1526</v>
      </c>
      <c r="B1137" s="218" t="s">
        <v>1515</v>
      </c>
      <c r="C1137" s="223">
        <v>1</v>
      </c>
      <c r="D1137" s="218" t="s">
        <v>1488</v>
      </c>
      <c r="E1137" s="240">
        <v>3</v>
      </c>
      <c r="F1137" s="236">
        <v>2438.7138399999999</v>
      </c>
      <c r="G1137" s="223">
        <v>1957</v>
      </c>
      <c r="H1137" s="223">
        <v>1</v>
      </c>
      <c r="I1137" s="223">
        <v>0</v>
      </c>
      <c r="J1137" s="223"/>
      <c r="K1137" s="229">
        <v>57529.259489999997</v>
      </c>
      <c r="L1137" s="241">
        <v>80</v>
      </c>
      <c r="M1137" s="228">
        <v>11505.8519</v>
      </c>
      <c r="N1137" s="230">
        <v>23.59</v>
      </c>
      <c r="O1137" s="231">
        <v>0</v>
      </c>
      <c r="P1137" s="314"/>
      <c r="Q1137" s="276">
        <f t="shared" si="40"/>
        <v>2438.71</v>
      </c>
      <c r="R1137" s="275">
        <f>(SUMIFS('Dec 31 2018 OFFS'!$AG:$AG,'Dec 31 2018 OFFS'!$AI:$AI,'T1 2019 Pipeline Data Lagasco'!$A1137,'Dec 31 2018 OFFS'!$U:$U,'T1 2019 Pipeline Data Lagasco'!$E1137,'Dec 31 2018 OFFS'!$AK:$AK,'T1 2019 Pipeline Data Lagasco'!$Q1137,'Dec 31 2018 OFFS'!$W:$W,'T1 2019 Pipeline Data Lagasco'!$G1137))/(MAX(COUNTIFS('Dec 31 2018 OFFS'!$AI:$AI,'T1 2019 Pipeline Data Lagasco'!$A1137,'Dec 31 2018 OFFS'!$U:$U,'T1 2019 Pipeline Data Lagasco'!$E1137,'Dec 31 2018 OFFS'!$AK:$AK,'T1 2019 Pipeline Data Lagasco'!$Q1137,'Dec 31 2018 OFFS'!$W:$W,'T1 2019 Pipeline Data Lagasco'!$G1137),1))</f>
        <v>0</v>
      </c>
      <c r="S1137" s="275">
        <f t="shared" si="41"/>
        <v>0</v>
      </c>
      <c r="T1137" s="217"/>
    </row>
    <row r="1138" spans="1:20" ht="14.1" customHeight="1">
      <c r="A1138" s="224" t="s">
        <v>1526</v>
      </c>
      <c r="B1138" s="218" t="s">
        <v>1515</v>
      </c>
      <c r="C1138" s="223">
        <v>1</v>
      </c>
      <c r="D1138" s="218" t="s">
        <v>1488</v>
      </c>
      <c r="E1138" s="240">
        <v>3</v>
      </c>
      <c r="F1138" s="226">
        <v>3353.4447850000001</v>
      </c>
      <c r="G1138" s="223">
        <v>1957</v>
      </c>
      <c r="H1138" s="223">
        <v>1</v>
      </c>
      <c r="I1138" s="223">
        <v>1</v>
      </c>
      <c r="J1138" s="223"/>
      <c r="K1138" s="229">
        <v>79107.762470000001</v>
      </c>
      <c r="L1138" s="241">
        <v>80</v>
      </c>
      <c r="M1138" s="229">
        <v>15821.55249</v>
      </c>
      <c r="N1138" s="230">
        <v>23.59</v>
      </c>
      <c r="O1138" s="231">
        <v>15821</v>
      </c>
      <c r="P1138" s="314"/>
      <c r="Q1138" s="276">
        <f t="shared" si="40"/>
        <v>3353.44</v>
      </c>
      <c r="R1138" s="275">
        <f>(SUMIFS('Dec 31 2018 OFFS'!$AG:$AG,'Dec 31 2018 OFFS'!$AI:$AI,'T1 2019 Pipeline Data Lagasco'!$A1138,'Dec 31 2018 OFFS'!$U:$U,'T1 2019 Pipeline Data Lagasco'!$E1138,'Dec 31 2018 OFFS'!$AK:$AK,'T1 2019 Pipeline Data Lagasco'!$Q1138,'Dec 31 2018 OFFS'!$W:$W,'T1 2019 Pipeline Data Lagasco'!$G1138))/(MAX(COUNTIFS('Dec 31 2018 OFFS'!$AI:$AI,'T1 2019 Pipeline Data Lagasco'!$A1138,'Dec 31 2018 OFFS'!$U:$U,'T1 2019 Pipeline Data Lagasco'!$E1138,'Dec 31 2018 OFFS'!$AK:$AK,'T1 2019 Pipeline Data Lagasco'!$Q1138,'Dec 31 2018 OFFS'!$W:$W,'T1 2019 Pipeline Data Lagasco'!$G1138),1))</f>
        <v>15821</v>
      </c>
      <c r="S1138" s="275">
        <f t="shared" si="41"/>
        <v>0</v>
      </c>
      <c r="T1138" s="217"/>
    </row>
    <row r="1139" spans="1:20" ht="14.1" customHeight="1">
      <c r="A1139" s="224" t="s">
        <v>1526</v>
      </c>
      <c r="B1139" s="218" t="s">
        <v>1515</v>
      </c>
      <c r="C1139" s="223">
        <v>1</v>
      </c>
      <c r="D1139" s="218" t="s">
        <v>1488</v>
      </c>
      <c r="E1139" s="240">
        <v>3</v>
      </c>
      <c r="F1139" s="226">
        <v>1945.6036180000001</v>
      </c>
      <c r="G1139" s="223">
        <v>1957</v>
      </c>
      <c r="H1139" s="223">
        <v>1</v>
      </c>
      <c r="I1139" s="223">
        <v>0</v>
      </c>
      <c r="J1139" s="223"/>
      <c r="K1139" s="229">
        <v>45896.789349999999</v>
      </c>
      <c r="L1139" s="241">
        <v>80</v>
      </c>
      <c r="M1139" s="233">
        <v>9179.3578710000002</v>
      </c>
      <c r="N1139" s="230">
        <v>23.59</v>
      </c>
      <c r="O1139" s="231">
        <v>0</v>
      </c>
      <c r="P1139" s="314"/>
      <c r="Q1139" s="276">
        <f t="shared" si="40"/>
        <v>1945.60</v>
      </c>
      <c r="R1139" s="275">
        <f>(SUMIFS('Dec 31 2018 OFFS'!$AG:$AG,'Dec 31 2018 OFFS'!$AI:$AI,'T1 2019 Pipeline Data Lagasco'!$A1139,'Dec 31 2018 OFFS'!$U:$U,'T1 2019 Pipeline Data Lagasco'!$E1139,'Dec 31 2018 OFFS'!$AK:$AK,'T1 2019 Pipeline Data Lagasco'!$Q1139,'Dec 31 2018 OFFS'!$W:$W,'T1 2019 Pipeline Data Lagasco'!$G1139))/(MAX(COUNTIFS('Dec 31 2018 OFFS'!$AI:$AI,'T1 2019 Pipeline Data Lagasco'!$A1139,'Dec 31 2018 OFFS'!$U:$U,'T1 2019 Pipeline Data Lagasco'!$E1139,'Dec 31 2018 OFFS'!$AK:$AK,'T1 2019 Pipeline Data Lagasco'!$Q1139,'Dec 31 2018 OFFS'!$W:$W,'T1 2019 Pipeline Data Lagasco'!$G1139),1))</f>
        <v>0</v>
      </c>
      <c r="S1139" s="275">
        <f t="shared" si="41"/>
        <v>0</v>
      </c>
      <c r="T1139" s="217"/>
    </row>
    <row r="1140" spans="1:20" ht="14.1" customHeight="1">
      <c r="A1140" s="224" t="s">
        <v>1526</v>
      </c>
      <c r="B1140" s="218" t="s">
        <v>1515</v>
      </c>
      <c r="C1140" s="223">
        <v>1</v>
      </c>
      <c r="D1140" s="218" t="s">
        <v>1488</v>
      </c>
      <c r="E1140" s="240">
        <v>3</v>
      </c>
      <c r="F1140" s="226">
        <v>2420.0130530000001</v>
      </c>
      <c r="G1140" s="223">
        <v>1957</v>
      </c>
      <c r="H1140" s="223">
        <v>1</v>
      </c>
      <c r="I1140" s="223">
        <v>1</v>
      </c>
      <c r="J1140" s="223"/>
      <c r="K1140" s="229">
        <v>57088.107929999998</v>
      </c>
      <c r="L1140" s="241">
        <v>80</v>
      </c>
      <c r="M1140" s="229">
        <v>11417.621590000001</v>
      </c>
      <c r="N1140" s="230">
        <v>23.59</v>
      </c>
      <c r="O1140" s="231">
        <v>11417</v>
      </c>
      <c r="P1140" s="314"/>
      <c r="Q1140" s="276">
        <f t="shared" si="40"/>
        <v>2420.0100000000002</v>
      </c>
      <c r="R1140" s="275">
        <f>(SUMIFS('Dec 31 2018 OFFS'!$AG:$AG,'Dec 31 2018 OFFS'!$AI:$AI,'T1 2019 Pipeline Data Lagasco'!$A1140,'Dec 31 2018 OFFS'!$U:$U,'T1 2019 Pipeline Data Lagasco'!$E1140,'Dec 31 2018 OFFS'!$AK:$AK,'T1 2019 Pipeline Data Lagasco'!$Q1140,'Dec 31 2018 OFFS'!$W:$W,'T1 2019 Pipeline Data Lagasco'!$G1140))/(MAX(COUNTIFS('Dec 31 2018 OFFS'!$AI:$AI,'T1 2019 Pipeline Data Lagasco'!$A1140,'Dec 31 2018 OFFS'!$U:$U,'T1 2019 Pipeline Data Lagasco'!$E1140,'Dec 31 2018 OFFS'!$AK:$AK,'T1 2019 Pipeline Data Lagasco'!$Q1140,'Dec 31 2018 OFFS'!$W:$W,'T1 2019 Pipeline Data Lagasco'!$G1140),1))</f>
        <v>11417</v>
      </c>
      <c r="S1140" s="275">
        <f t="shared" si="41"/>
        <v>0</v>
      </c>
      <c r="T1140" s="217"/>
    </row>
    <row r="1141" spans="1:20" ht="14.1" customHeight="1">
      <c r="A1141" s="224" t="s">
        <v>1526</v>
      </c>
      <c r="B1141" s="218" t="s">
        <v>1515</v>
      </c>
      <c r="C1141" s="223">
        <v>1</v>
      </c>
      <c r="D1141" s="218" t="s">
        <v>1488</v>
      </c>
      <c r="E1141" s="240">
        <v>3</v>
      </c>
      <c r="F1141" s="223">
        <v>936</v>
      </c>
      <c r="G1141" s="223">
        <v>2008</v>
      </c>
      <c r="H1141" s="223">
        <v>1</v>
      </c>
      <c r="I1141" s="223">
        <v>1</v>
      </c>
      <c r="J1141" s="223"/>
      <c r="K1141" s="238">
        <v>22080.24</v>
      </c>
      <c r="L1141" s="241">
        <v>49</v>
      </c>
      <c r="M1141" s="228">
        <v>11260.922399999999</v>
      </c>
      <c r="N1141" s="230">
        <v>23.59</v>
      </c>
      <c r="O1141" s="231">
        <v>11260</v>
      </c>
      <c r="P1141" s="314"/>
      <c r="Q1141" s="276">
        <f t="shared" si="40"/>
        <v>936</v>
      </c>
      <c r="R1141" s="275">
        <f>(SUMIFS('Dec 31 2018 OFFS'!$AG:$AG,'Dec 31 2018 OFFS'!$AI:$AI,'T1 2019 Pipeline Data Lagasco'!$A1141,'Dec 31 2018 OFFS'!$U:$U,'T1 2019 Pipeline Data Lagasco'!$E1141,'Dec 31 2018 OFFS'!$AK:$AK,'T1 2019 Pipeline Data Lagasco'!$Q1141,'Dec 31 2018 OFFS'!$W:$W,'T1 2019 Pipeline Data Lagasco'!$G1141))/(MAX(COUNTIFS('Dec 31 2018 OFFS'!$AI:$AI,'T1 2019 Pipeline Data Lagasco'!$A1141,'Dec 31 2018 OFFS'!$U:$U,'T1 2019 Pipeline Data Lagasco'!$E1141,'Dec 31 2018 OFFS'!$AK:$AK,'T1 2019 Pipeline Data Lagasco'!$Q1141,'Dec 31 2018 OFFS'!$W:$W,'T1 2019 Pipeline Data Lagasco'!$G1141),1))</f>
        <v>11260</v>
      </c>
      <c r="S1141" s="275">
        <f t="shared" si="41"/>
        <v>0</v>
      </c>
      <c r="T1141" s="217"/>
    </row>
    <row r="1142" spans="1:20" ht="14.1" customHeight="1">
      <c r="A1142" s="224" t="s">
        <v>1526</v>
      </c>
      <c r="B1142" s="218" t="s">
        <v>1515</v>
      </c>
      <c r="C1142" s="223">
        <v>1</v>
      </c>
      <c r="D1142" s="218" t="s">
        <v>1488</v>
      </c>
      <c r="E1142" s="240">
        <v>3</v>
      </c>
      <c r="F1142" s="226">
        <v>1650.229611</v>
      </c>
      <c r="G1142" s="223">
        <v>1957</v>
      </c>
      <c r="H1142" s="223">
        <v>1</v>
      </c>
      <c r="I1142" s="223">
        <v>0</v>
      </c>
      <c r="J1142" s="223"/>
      <c r="K1142" s="229">
        <v>38928.916519999999</v>
      </c>
      <c r="L1142" s="241">
        <v>80</v>
      </c>
      <c r="M1142" s="233">
        <v>7785.7833049999999</v>
      </c>
      <c r="N1142" s="230">
        <v>23.59</v>
      </c>
      <c r="O1142" s="231">
        <v>0</v>
      </c>
      <c r="P1142" s="314"/>
      <c r="Q1142" s="276">
        <f t="shared" si="40"/>
        <v>1650.23</v>
      </c>
      <c r="R1142" s="275">
        <f>(SUMIFS('Dec 31 2018 OFFS'!$AG:$AG,'Dec 31 2018 OFFS'!$AI:$AI,'T1 2019 Pipeline Data Lagasco'!$A1142,'Dec 31 2018 OFFS'!$U:$U,'T1 2019 Pipeline Data Lagasco'!$E1142,'Dec 31 2018 OFFS'!$AK:$AK,'T1 2019 Pipeline Data Lagasco'!$Q1142,'Dec 31 2018 OFFS'!$W:$W,'T1 2019 Pipeline Data Lagasco'!$G1142))/(MAX(COUNTIFS('Dec 31 2018 OFFS'!$AI:$AI,'T1 2019 Pipeline Data Lagasco'!$A1142,'Dec 31 2018 OFFS'!$U:$U,'T1 2019 Pipeline Data Lagasco'!$E1142,'Dec 31 2018 OFFS'!$AK:$AK,'T1 2019 Pipeline Data Lagasco'!$Q1142,'Dec 31 2018 OFFS'!$W:$W,'T1 2019 Pipeline Data Lagasco'!$G1142),1))</f>
        <v>0</v>
      </c>
      <c r="S1142" s="275">
        <f t="shared" si="41"/>
        <v>0</v>
      </c>
      <c r="T1142" s="217"/>
    </row>
    <row r="1143" spans="1:20" ht="14.1" customHeight="1">
      <c r="A1143" s="224" t="s">
        <v>1526</v>
      </c>
      <c r="B1143" s="218" t="s">
        <v>1515</v>
      </c>
      <c r="C1143" s="223">
        <v>1</v>
      </c>
      <c r="D1143" s="218" t="s">
        <v>1488</v>
      </c>
      <c r="E1143" s="240">
        <v>3</v>
      </c>
      <c r="F1143" s="236">
        <v>1484.5800099999999</v>
      </c>
      <c r="G1143" s="223">
        <v>1995</v>
      </c>
      <c r="H1143" s="223">
        <v>1</v>
      </c>
      <c r="I1143" s="223">
        <v>0</v>
      </c>
      <c r="J1143" s="223"/>
      <c r="K1143" s="229">
        <v>35021.242420000002</v>
      </c>
      <c r="L1143" s="241">
        <v>67</v>
      </c>
      <c r="M1143" s="238">
        <v>11557.01</v>
      </c>
      <c r="N1143" s="230">
        <v>23.59</v>
      </c>
      <c r="O1143" s="231">
        <v>0</v>
      </c>
      <c r="P1143" s="314"/>
      <c r="Q1143" s="276">
        <f t="shared" si="40"/>
        <v>1484.58</v>
      </c>
      <c r="R1143" s="275">
        <f>(SUMIFS('Dec 31 2018 OFFS'!$AG:$AG,'Dec 31 2018 OFFS'!$AI:$AI,'T1 2019 Pipeline Data Lagasco'!$A1143,'Dec 31 2018 OFFS'!$U:$U,'T1 2019 Pipeline Data Lagasco'!$E1143,'Dec 31 2018 OFFS'!$AK:$AK,'T1 2019 Pipeline Data Lagasco'!$Q1143,'Dec 31 2018 OFFS'!$W:$W,'T1 2019 Pipeline Data Lagasco'!$G1143))/(MAX(COUNTIFS('Dec 31 2018 OFFS'!$AI:$AI,'T1 2019 Pipeline Data Lagasco'!$A1143,'Dec 31 2018 OFFS'!$U:$U,'T1 2019 Pipeline Data Lagasco'!$E1143,'Dec 31 2018 OFFS'!$AK:$AK,'T1 2019 Pipeline Data Lagasco'!$Q1143,'Dec 31 2018 OFFS'!$W:$W,'T1 2019 Pipeline Data Lagasco'!$G1143),1))</f>
        <v>0</v>
      </c>
      <c r="S1143" s="275">
        <f t="shared" si="41"/>
        <v>0</v>
      </c>
      <c r="T1143" s="217"/>
    </row>
    <row r="1144" spans="1:20" ht="14.1" customHeight="1">
      <c r="A1144" s="224" t="s">
        <v>1526</v>
      </c>
      <c r="B1144" s="218" t="s">
        <v>1515</v>
      </c>
      <c r="C1144" s="223">
        <v>1</v>
      </c>
      <c r="D1144" s="218" t="s">
        <v>1488</v>
      </c>
      <c r="E1144" s="240">
        <v>3</v>
      </c>
      <c r="F1144" s="226">
        <v>2606.5287960000001</v>
      </c>
      <c r="G1144" s="223">
        <v>1957</v>
      </c>
      <c r="H1144" s="223">
        <v>1</v>
      </c>
      <c r="I1144" s="223">
        <v>1</v>
      </c>
      <c r="J1144" s="223"/>
      <c r="K1144" s="228">
        <v>61488.014300000003</v>
      </c>
      <c r="L1144" s="241">
        <v>80</v>
      </c>
      <c r="M1144" s="229">
        <v>12297.602860000001</v>
      </c>
      <c r="N1144" s="230">
        <v>23.59</v>
      </c>
      <c r="O1144" s="231">
        <v>12297</v>
      </c>
      <c r="P1144" s="314"/>
      <c r="Q1144" s="276">
        <f t="shared" si="40"/>
        <v>2606.5300000000002</v>
      </c>
      <c r="R1144" s="275">
        <f>(SUMIFS('Dec 31 2018 OFFS'!$AG:$AG,'Dec 31 2018 OFFS'!$AI:$AI,'T1 2019 Pipeline Data Lagasco'!$A1144,'Dec 31 2018 OFFS'!$U:$U,'T1 2019 Pipeline Data Lagasco'!$E1144,'Dec 31 2018 OFFS'!$AK:$AK,'T1 2019 Pipeline Data Lagasco'!$Q1144,'Dec 31 2018 OFFS'!$W:$W,'T1 2019 Pipeline Data Lagasco'!$G1144))/(MAX(COUNTIFS('Dec 31 2018 OFFS'!$AI:$AI,'T1 2019 Pipeline Data Lagasco'!$A1144,'Dec 31 2018 OFFS'!$U:$U,'T1 2019 Pipeline Data Lagasco'!$E1144,'Dec 31 2018 OFFS'!$AK:$AK,'T1 2019 Pipeline Data Lagasco'!$Q1144,'Dec 31 2018 OFFS'!$W:$W,'T1 2019 Pipeline Data Lagasco'!$G1144),1))</f>
        <v>12297</v>
      </c>
      <c r="S1144" s="275">
        <f t="shared" si="41"/>
        <v>0</v>
      </c>
      <c r="T1144" s="217"/>
    </row>
    <row r="1145" spans="1:20" ht="14.1" customHeight="1">
      <c r="A1145" s="224" t="s">
        <v>1526</v>
      </c>
      <c r="B1145" s="218" t="s">
        <v>1515</v>
      </c>
      <c r="C1145" s="223">
        <v>1</v>
      </c>
      <c r="D1145" s="218" t="s">
        <v>1488</v>
      </c>
      <c r="E1145" s="240">
        <v>3</v>
      </c>
      <c r="F1145" s="226">
        <v>2571.751894</v>
      </c>
      <c r="G1145" s="223">
        <v>1957</v>
      </c>
      <c r="H1145" s="223">
        <v>1</v>
      </c>
      <c r="I1145" s="246">
        <v>0</v>
      </c>
      <c r="J1145" s="223"/>
      <c r="K1145" s="229">
        <v>60667.627180000003</v>
      </c>
      <c r="L1145" s="241">
        <v>80</v>
      </c>
      <c r="M1145" s="229">
        <v>12133.525439999999</v>
      </c>
      <c r="N1145" s="230">
        <v>23.59</v>
      </c>
      <c r="O1145" s="248">
        <f>12133*0</f>
        <v>0</v>
      </c>
      <c r="P1145" s="319" t="s">
        <v>1560</v>
      </c>
      <c r="Q1145" s="276">
        <f t="shared" si="40"/>
        <v>2571.75</v>
      </c>
      <c r="R1145" s="275">
        <f>(SUMIFS('Dec 31 2018 OFFS'!$AG:$AG,'Dec 31 2018 OFFS'!$AI:$AI,'T1 2019 Pipeline Data Lagasco'!$A1145,'Dec 31 2018 OFFS'!$U:$U,'T1 2019 Pipeline Data Lagasco'!$E1145,'Dec 31 2018 OFFS'!$AK:$AK,'T1 2019 Pipeline Data Lagasco'!$Q1145,'Dec 31 2018 OFFS'!$W:$W,'T1 2019 Pipeline Data Lagasco'!$G1145))/(MAX(COUNTIFS('Dec 31 2018 OFFS'!$AI:$AI,'T1 2019 Pipeline Data Lagasco'!$A1145,'Dec 31 2018 OFFS'!$U:$U,'T1 2019 Pipeline Data Lagasco'!$E1145,'Dec 31 2018 OFFS'!$AK:$AK,'T1 2019 Pipeline Data Lagasco'!$Q1145,'Dec 31 2018 OFFS'!$W:$W,'T1 2019 Pipeline Data Lagasco'!$G1145),1))</f>
        <v>0</v>
      </c>
      <c r="S1145" s="275">
        <f t="shared" si="41"/>
        <v>0</v>
      </c>
      <c r="T1145" s="278" t="e">
        <f>R1145/O1145</f>
        <v>#DIV/0!</v>
      </c>
    </row>
    <row r="1146" spans="1:20" ht="14.1" customHeight="1">
      <c r="A1146" s="224" t="s">
        <v>1526</v>
      </c>
      <c r="B1146" s="218" t="s">
        <v>1515</v>
      </c>
      <c r="C1146" s="223">
        <v>1</v>
      </c>
      <c r="D1146" s="218" t="s">
        <v>1488</v>
      </c>
      <c r="E1146" s="240">
        <v>3</v>
      </c>
      <c r="F1146" s="236">
        <v>15329.75677</v>
      </c>
      <c r="G1146" s="223">
        <v>1997</v>
      </c>
      <c r="H1146" s="223">
        <v>1</v>
      </c>
      <c r="I1146" s="223">
        <v>1</v>
      </c>
      <c r="J1146" s="223"/>
      <c r="K1146" s="228">
        <v>361628.96230000001</v>
      </c>
      <c r="L1146" s="241">
        <v>65</v>
      </c>
      <c r="M1146" s="228">
        <v>126570.13679999999</v>
      </c>
      <c r="N1146" s="230">
        <v>23.59</v>
      </c>
      <c r="O1146" s="231">
        <v>126570</v>
      </c>
      <c r="P1146" s="314"/>
      <c r="Q1146" s="276">
        <f t="shared" si="40"/>
        <v>15329.76</v>
      </c>
      <c r="R1146" s="275">
        <f>(SUMIFS('Dec 31 2018 OFFS'!$AG:$AG,'Dec 31 2018 OFFS'!$AI:$AI,'T1 2019 Pipeline Data Lagasco'!$A1146,'Dec 31 2018 OFFS'!$U:$U,'T1 2019 Pipeline Data Lagasco'!$E1146,'Dec 31 2018 OFFS'!$AK:$AK,'T1 2019 Pipeline Data Lagasco'!$Q1146,'Dec 31 2018 OFFS'!$W:$W,'T1 2019 Pipeline Data Lagasco'!$G1146))/(MAX(COUNTIFS('Dec 31 2018 OFFS'!$AI:$AI,'T1 2019 Pipeline Data Lagasco'!$A1146,'Dec 31 2018 OFFS'!$U:$U,'T1 2019 Pipeline Data Lagasco'!$E1146,'Dec 31 2018 OFFS'!$AK:$AK,'T1 2019 Pipeline Data Lagasco'!$Q1146,'Dec 31 2018 OFFS'!$W:$W,'T1 2019 Pipeline Data Lagasco'!$G1146),1))</f>
        <v>126570</v>
      </c>
      <c r="S1146" s="275">
        <f t="shared" si="41"/>
        <v>0</v>
      </c>
      <c r="T1146" s="217"/>
    </row>
    <row r="1147" spans="1:20" ht="14.1" customHeight="1">
      <c r="A1147" s="224" t="s">
        <v>1526</v>
      </c>
      <c r="B1147" s="218" t="s">
        <v>1515</v>
      </c>
      <c r="C1147" s="223">
        <v>1</v>
      </c>
      <c r="D1147" s="218" t="s">
        <v>1488</v>
      </c>
      <c r="E1147" s="240">
        <v>3</v>
      </c>
      <c r="F1147" s="223">
        <v>1</v>
      </c>
      <c r="G1147" s="223">
        <v>1957</v>
      </c>
      <c r="H1147" s="223">
        <v>1</v>
      </c>
      <c r="I1147" s="223">
        <v>1</v>
      </c>
      <c r="J1147" s="223"/>
      <c r="K1147" s="238">
        <v>23.59</v>
      </c>
      <c r="L1147" s="241">
        <v>80</v>
      </c>
      <c r="M1147" s="239">
        <v>4.718</v>
      </c>
      <c r="N1147" s="230">
        <v>23.59</v>
      </c>
      <c r="O1147" s="231">
        <v>4</v>
      </c>
      <c r="P1147" s="314"/>
      <c r="Q1147" s="276">
        <f t="shared" si="40"/>
        <v>1</v>
      </c>
      <c r="R1147" s="275">
        <f>(SUMIFS('Dec 31 2018 OFFS'!$AG:$AG,'Dec 31 2018 OFFS'!$AI:$AI,'T1 2019 Pipeline Data Lagasco'!$A1147,'Dec 31 2018 OFFS'!$U:$U,'T1 2019 Pipeline Data Lagasco'!$E1147,'Dec 31 2018 OFFS'!$AK:$AK,'T1 2019 Pipeline Data Lagasco'!$Q1147,'Dec 31 2018 OFFS'!$W:$W,'T1 2019 Pipeline Data Lagasco'!$G1147))/(MAX(COUNTIFS('Dec 31 2018 OFFS'!$AI:$AI,'T1 2019 Pipeline Data Lagasco'!$A1147,'Dec 31 2018 OFFS'!$U:$U,'T1 2019 Pipeline Data Lagasco'!$E1147,'Dec 31 2018 OFFS'!$AK:$AK,'T1 2019 Pipeline Data Lagasco'!$Q1147,'Dec 31 2018 OFFS'!$W:$W,'T1 2019 Pipeline Data Lagasco'!$G1147),1))</f>
        <v>4</v>
      </c>
      <c r="S1147" s="275">
        <f t="shared" si="41"/>
        <v>0</v>
      </c>
      <c r="T1147" s="217"/>
    </row>
    <row r="1148" spans="1:20" ht="14.1" customHeight="1">
      <c r="A1148" s="224" t="s">
        <v>1526</v>
      </c>
      <c r="B1148" s="218" t="s">
        <v>1515</v>
      </c>
      <c r="C1148" s="223">
        <v>1</v>
      </c>
      <c r="D1148" s="218" t="s">
        <v>1488</v>
      </c>
      <c r="E1148" s="240">
        <v>3</v>
      </c>
      <c r="F1148" s="226">
        <v>9191.8632510000007</v>
      </c>
      <c r="G1148" s="223">
        <v>1998</v>
      </c>
      <c r="H1148" s="223">
        <v>1</v>
      </c>
      <c r="I1148" s="223">
        <v>1</v>
      </c>
      <c r="J1148" s="223"/>
      <c r="K1148" s="228">
        <v>216836.05410000001</v>
      </c>
      <c r="L1148" s="241">
        <v>63</v>
      </c>
      <c r="M1148" s="229">
        <v>80229.34001</v>
      </c>
      <c r="N1148" s="230">
        <v>23.59</v>
      </c>
      <c r="O1148" s="231">
        <v>80229</v>
      </c>
      <c r="P1148" s="314"/>
      <c r="Q1148" s="276">
        <f t="shared" si="40"/>
        <v>9191.86</v>
      </c>
      <c r="R1148" s="275">
        <f>(SUMIFS('Dec 31 2018 OFFS'!$AG:$AG,'Dec 31 2018 OFFS'!$AI:$AI,'T1 2019 Pipeline Data Lagasco'!$A1148,'Dec 31 2018 OFFS'!$U:$U,'T1 2019 Pipeline Data Lagasco'!$E1148,'Dec 31 2018 OFFS'!$AK:$AK,'T1 2019 Pipeline Data Lagasco'!$Q1148,'Dec 31 2018 OFFS'!$W:$W,'T1 2019 Pipeline Data Lagasco'!$G1148))/(MAX(COUNTIFS('Dec 31 2018 OFFS'!$AI:$AI,'T1 2019 Pipeline Data Lagasco'!$A1148,'Dec 31 2018 OFFS'!$U:$U,'T1 2019 Pipeline Data Lagasco'!$E1148,'Dec 31 2018 OFFS'!$AK:$AK,'T1 2019 Pipeline Data Lagasco'!$Q1148,'Dec 31 2018 OFFS'!$W:$W,'T1 2019 Pipeline Data Lagasco'!$G1148),1))</f>
        <v>80229</v>
      </c>
      <c r="S1148" s="275">
        <f t="shared" si="41"/>
        <v>0</v>
      </c>
      <c r="T1148" s="217"/>
    </row>
    <row r="1149" spans="1:20" ht="14.1" customHeight="1">
      <c r="A1149" s="224" t="s">
        <v>1526</v>
      </c>
      <c r="B1149" s="218" t="s">
        <v>1515</v>
      </c>
      <c r="C1149" s="223">
        <v>1</v>
      </c>
      <c r="D1149" s="218" t="s">
        <v>1488</v>
      </c>
      <c r="E1149" s="240">
        <v>3</v>
      </c>
      <c r="F1149" s="230">
        <v>1316.67</v>
      </c>
      <c r="G1149" s="223">
        <v>1957</v>
      </c>
      <c r="H1149" s="223">
        <v>1</v>
      </c>
      <c r="I1149" s="223">
        <v>0</v>
      </c>
      <c r="J1149" s="223"/>
      <c r="K1149" s="228">
        <v>31060.245299999999</v>
      </c>
      <c r="L1149" s="241">
        <v>80</v>
      </c>
      <c r="M1149" s="229">
        <v>6212.0490600000003</v>
      </c>
      <c r="N1149" s="230">
        <v>23.59</v>
      </c>
      <c r="O1149" s="231">
        <v>0</v>
      </c>
      <c r="P1149" s="314"/>
      <c r="Q1149" s="276">
        <f t="shared" si="40"/>
        <v>1316.67</v>
      </c>
      <c r="R1149" s="275">
        <f>(SUMIFS('Dec 31 2018 OFFS'!$AG:$AG,'Dec 31 2018 OFFS'!$AI:$AI,'T1 2019 Pipeline Data Lagasco'!$A1149,'Dec 31 2018 OFFS'!$U:$U,'T1 2019 Pipeline Data Lagasco'!$E1149,'Dec 31 2018 OFFS'!$AK:$AK,'T1 2019 Pipeline Data Lagasco'!$Q1149,'Dec 31 2018 OFFS'!$W:$W,'T1 2019 Pipeline Data Lagasco'!$G1149))/(MAX(COUNTIFS('Dec 31 2018 OFFS'!$AI:$AI,'T1 2019 Pipeline Data Lagasco'!$A1149,'Dec 31 2018 OFFS'!$U:$U,'T1 2019 Pipeline Data Lagasco'!$E1149,'Dec 31 2018 OFFS'!$AK:$AK,'T1 2019 Pipeline Data Lagasco'!$Q1149,'Dec 31 2018 OFFS'!$W:$W,'T1 2019 Pipeline Data Lagasco'!$G1149),1))</f>
        <v>0</v>
      </c>
      <c r="S1149" s="275">
        <f t="shared" si="41"/>
        <v>0</v>
      </c>
      <c r="T1149" s="217"/>
    </row>
    <row r="1150" spans="1:20" ht="14.1" customHeight="1">
      <c r="A1150" s="224" t="s">
        <v>1526</v>
      </c>
      <c r="B1150" s="218" t="s">
        <v>1515</v>
      </c>
      <c r="C1150" s="223">
        <v>1</v>
      </c>
      <c r="D1150" s="218" t="s">
        <v>1488</v>
      </c>
      <c r="E1150" s="240">
        <v>3</v>
      </c>
      <c r="F1150" s="226">
        <v>1235.6626940000001</v>
      </c>
      <c r="G1150" s="223">
        <v>1995</v>
      </c>
      <c r="H1150" s="223">
        <v>1</v>
      </c>
      <c r="I1150" s="223">
        <v>1</v>
      </c>
      <c r="J1150" s="223"/>
      <c r="K1150" s="229">
        <v>29149.282950000001</v>
      </c>
      <c r="L1150" s="241">
        <v>67</v>
      </c>
      <c r="M1150" s="233">
        <v>9619.2633729999998</v>
      </c>
      <c r="N1150" s="230">
        <v>23.59</v>
      </c>
      <c r="O1150" s="231">
        <v>9619</v>
      </c>
      <c r="P1150" s="314"/>
      <c r="Q1150" s="276">
        <f t="shared" si="40"/>
        <v>1235.6600000000001</v>
      </c>
      <c r="R1150" s="275">
        <f>(SUMIFS('Dec 31 2018 OFFS'!$AG:$AG,'Dec 31 2018 OFFS'!$AI:$AI,'T1 2019 Pipeline Data Lagasco'!$A1150,'Dec 31 2018 OFFS'!$U:$U,'T1 2019 Pipeline Data Lagasco'!$E1150,'Dec 31 2018 OFFS'!$AK:$AK,'T1 2019 Pipeline Data Lagasco'!$Q1150,'Dec 31 2018 OFFS'!$W:$W,'T1 2019 Pipeline Data Lagasco'!$G1150))/(MAX(COUNTIFS('Dec 31 2018 OFFS'!$AI:$AI,'T1 2019 Pipeline Data Lagasco'!$A1150,'Dec 31 2018 OFFS'!$U:$U,'T1 2019 Pipeline Data Lagasco'!$E1150,'Dec 31 2018 OFFS'!$AK:$AK,'T1 2019 Pipeline Data Lagasco'!$Q1150,'Dec 31 2018 OFFS'!$W:$W,'T1 2019 Pipeline Data Lagasco'!$G1150),1))</f>
        <v>9619</v>
      </c>
      <c r="S1150" s="275">
        <f t="shared" si="41"/>
        <v>0</v>
      </c>
      <c r="T1150" s="217"/>
    </row>
    <row r="1151" spans="1:20" ht="14.1" customHeight="1">
      <c r="A1151" s="224" t="s">
        <v>1526</v>
      </c>
      <c r="B1151" s="218" t="s">
        <v>1515</v>
      </c>
      <c r="C1151" s="223">
        <v>1</v>
      </c>
      <c r="D1151" s="218" t="s">
        <v>1488</v>
      </c>
      <c r="E1151" s="240">
        <v>3</v>
      </c>
      <c r="F1151" s="226">
        <v>3418.4382209999999</v>
      </c>
      <c r="G1151" s="223">
        <v>1957</v>
      </c>
      <c r="H1151" s="223">
        <v>1</v>
      </c>
      <c r="I1151" s="223">
        <v>1</v>
      </c>
      <c r="J1151" s="223"/>
      <c r="K1151" s="229">
        <v>80640.957639999993</v>
      </c>
      <c r="L1151" s="241">
        <v>80</v>
      </c>
      <c r="M1151" s="229">
        <v>16128.19153</v>
      </c>
      <c r="N1151" s="230">
        <v>23.59</v>
      </c>
      <c r="O1151" s="231">
        <v>16128</v>
      </c>
      <c r="P1151" s="314"/>
      <c r="Q1151" s="276">
        <f t="shared" si="40"/>
        <v>3418.44</v>
      </c>
      <c r="R1151" s="275">
        <f>(SUMIFS('Dec 31 2018 OFFS'!$AG:$AG,'Dec 31 2018 OFFS'!$AI:$AI,'T1 2019 Pipeline Data Lagasco'!$A1151,'Dec 31 2018 OFFS'!$U:$U,'T1 2019 Pipeline Data Lagasco'!$E1151,'Dec 31 2018 OFFS'!$AK:$AK,'T1 2019 Pipeline Data Lagasco'!$Q1151,'Dec 31 2018 OFFS'!$W:$W,'T1 2019 Pipeline Data Lagasco'!$G1151))/(MAX(COUNTIFS('Dec 31 2018 OFFS'!$AI:$AI,'T1 2019 Pipeline Data Lagasco'!$A1151,'Dec 31 2018 OFFS'!$U:$U,'T1 2019 Pipeline Data Lagasco'!$E1151,'Dec 31 2018 OFFS'!$AK:$AK,'T1 2019 Pipeline Data Lagasco'!$Q1151,'Dec 31 2018 OFFS'!$W:$W,'T1 2019 Pipeline Data Lagasco'!$G1151),1))</f>
        <v>16128</v>
      </c>
      <c r="S1151" s="275">
        <f t="shared" si="41"/>
        <v>0</v>
      </c>
      <c r="T1151" s="217"/>
    </row>
    <row r="1152" spans="1:20" ht="14.1" customHeight="1">
      <c r="A1152" s="224" t="s">
        <v>1526</v>
      </c>
      <c r="B1152" s="218" t="s">
        <v>1515</v>
      </c>
      <c r="C1152" s="223">
        <v>1</v>
      </c>
      <c r="D1152" s="218" t="s">
        <v>1488</v>
      </c>
      <c r="E1152" s="240">
        <v>3</v>
      </c>
      <c r="F1152" s="226">
        <v>2735.728267</v>
      </c>
      <c r="G1152" s="223">
        <v>1957</v>
      </c>
      <c r="H1152" s="223">
        <v>1</v>
      </c>
      <c r="I1152" s="223">
        <v>1</v>
      </c>
      <c r="J1152" s="223"/>
      <c r="K1152" s="229">
        <v>64535.829819999999</v>
      </c>
      <c r="L1152" s="241">
        <v>80</v>
      </c>
      <c r="M1152" s="229">
        <v>12907.16596</v>
      </c>
      <c r="N1152" s="230">
        <v>23.59</v>
      </c>
      <c r="O1152" s="231">
        <v>12907</v>
      </c>
      <c r="P1152" s="314"/>
      <c r="Q1152" s="276">
        <f t="shared" si="40"/>
        <v>2735.73</v>
      </c>
      <c r="R1152" s="275">
        <f>(SUMIFS('Dec 31 2018 OFFS'!$AG:$AG,'Dec 31 2018 OFFS'!$AI:$AI,'T1 2019 Pipeline Data Lagasco'!$A1152,'Dec 31 2018 OFFS'!$U:$U,'T1 2019 Pipeline Data Lagasco'!$E1152,'Dec 31 2018 OFFS'!$AK:$AK,'T1 2019 Pipeline Data Lagasco'!$Q1152,'Dec 31 2018 OFFS'!$W:$W,'T1 2019 Pipeline Data Lagasco'!$G1152))/(MAX(COUNTIFS('Dec 31 2018 OFFS'!$AI:$AI,'T1 2019 Pipeline Data Lagasco'!$A1152,'Dec 31 2018 OFFS'!$U:$U,'T1 2019 Pipeline Data Lagasco'!$E1152,'Dec 31 2018 OFFS'!$AK:$AK,'T1 2019 Pipeline Data Lagasco'!$Q1152,'Dec 31 2018 OFFS'!$W:$W,'T1 2019 Pipeline Data Lagasco'!$G1152),1))</f>
        <v>12907</v>
      </c>
      <c r="S1152" s="275">
        <f t="shared" si="41"/>
        <v>0</v>
      </c>
      <c r="T1152" s="217"/>
    </row>
    <row r="1153" spans="1:19" s="217" customFormat="1" ht="14.1" customHeight="1">
      <c r="A1153" s="224" t="s">
        <v>1526</v>
      </c>
      <c r="B1153" s="218" t="s">
        <v>1515</v>
      </c>
      <c r="C1153" s="223">
        <v>1</v>
      </c>
      <c r="D1153" s="218" t="s">
        <v>1488</v>
      </c>
      <c r="E1153" s="240">
        <v>3</v>
      </c>
      <c r="F1153" s="230">
        <v>4030.51</v>
      </c>
      <c r="G1153" s="223">
        <v>1957</v>
      </c>
      <c r="H1153" s="223">
        <v>1</v>
      </c>
      <c r="I1153" s="223">
        <v>0</v>
      </c>
      <c r="J1153" s="223"/>
      <c r="K1153" s="228">
        <v>95079.730899999995</v>
      </c>
      <c r="L1153" s="241">
        <v>80</v>
      </c>
      <c r="M1153" s="229">
        <v>19015.946179999999</v>
      </c>
      <c r="N1153" s="230">
        <v>23.59</v>
      </c>
      <c r="O1153" s="231">
        <v>0</v>
      </c>
      <c r="P1153" s="314"/>
      <c r="Q1153" s="276">
        <f t="shared" si="40"/>
        <v>4030.51</v>
      </c>
      <c r="R1153" s="275">
        <f>(SUMIFS('Dec 31 2018 OFFS'!$AG:$AG,'Dec 31 2018 OFFS'!$AI:$AI,'T1 2019 Pipeline Data Lagasco'!$A1153,'Dec 31 2018 OFFS'!$U:$U,'T1 2019 Pipeline Data Lagasco'!$E1153,'Dec 31 2018 OFFS'!$AK:$AK,'T1 2019 Pipeline Data Lagasco'!$Q1153,'Dec 31 2018 OFFS'!$W:$W,'T1 2019 Pipeline Data Lagasco'!$G1153))/(MAX(COUNTIFS('Dec 31 2018 OFFS'!$AI:$AI,'T1 2019 Pipeline Data Lagasco'!$A1153,'Dec 31 2018 OFFS'!$U:$U,'T1 2019 Pipeline Data Lagasco'!$E1153,'Dec 31 2018 OFFS'!$AK:$AK,'T1 2019 Pipeline Data Lagasco'!$Q1153,'Dec 31 2018 OFFS'!$W:$W,'T1 2019 Pipeline Data Lagasco'!$G1153),1))</f>
        <v>0</v>
      </c>
      <c r="S1153" s="275">
        <f t="shared" si="41"/>
        <v>0</v>
      </c>
    </row>
    <row r="1154" spans="1:19" s="217" customFormat="1" ht="14.1" customHeight="1">
      <c r="A1154" s="224" t="s">
        <v>1526</v>
      </c>
      <c r="B1154" s="218" t="s">
        <v>1515</v>
      </c>
      <c r="C1154" s="223">
        <v>1</v>
      </c>
      <c r="D1154" s="218" t="s">
        <v>1488</v>
      </c>
      <c r="E1154" s="240">
        <v>3</v>
      </c>
      <c r="F1154" s="230">
        <v>4601.18</v>
      </c>
      <c r="G1154" s="223">
        <v>1957</v>
      </c>
      <c r="H1154" s="223">
        <v>1</v>
      </c>
      <c r="I1154" s="223">
        <v>0</v>
      </c>
      <c r="J1154" s="223"/>
      <c r="K1154" s="228">
        <v>108541.83620000001</v>
      </c>
      <c r="L1154" s="241">
        <v>80</v>
      </c>
      <c r="M1154" s="229">
        <v>21708.36724</v>
      </c>
      <c r="N1154" s="230">
        <v>23.59</v>
      </c>
      <c r="O1154" s="231">
        <v>0</v>
      </c>
      <c r="P1154" s="314"/>
      <c r="Q1154" s="276">
        <f t="shared" si="40"/>
        <v>4601.18</v>
      </c>
      <c r="R1154" s="275">
        <f>(SUMIFS('Dec 31 2018 OFFS'!$AG:$AG,'Dec 31 2018 OFFS'!$AI:$AI,'T1 2019 Pipeline Data Lagasco'!$A1154,'Dec 31 2018 OFFS'!$U:$U,'T1 2019 Pipeline Data Lagasco'!$E1154,'Dec 31 2018 OFFS'!$AK:$AK,'T1 2019 Pipeline Data Lagasco'!$Q1154,'Dec 31 2018 OFFS'!$W:$W,'T1 2019 Pipeline Data Lagasco'!$G1154))/(MAX(COUNTIFS('Dec 31 2018 OFFS'!$AI:$AI,'T1 2019 Pipeline Data Lagasco'!$A1154,'Dec 31 2018 OFFS'!$U:$U,'T1 2019 Pipeline Data Lagasco'!$E1154,'Dec 31 2018 OFFS'!$AK:$AK,'T1 2019 Pipeline Data Lagasco'!$Q1154,'Dec 31 2018 OFFS'!$W:$W,'T1 2019 Pipeline Data Lagasco'!$G1154),1))</f>
        <v>0</v>
      </c>
      <c r="S1154" s="275">
        <f t="shared" si="41"/>
        <v>0</v>
      </c>
    </row>
    <row r="1155" spans="1:19" s="217" customFormat="1" ht="14.1" customHeight="1">
      <c r="A1155" s="224" t="s">
        <v>1526</v>
      </c>
      <c r="B1155" s="218" t="s">
        <v>1515</v>
      </c>
      <c r="C1155" s="223">
        <v>1</v>
      </c>
      <c r="D1155" s="218" t="s">
        <v>1488</v>
      </c>
      <c r="E1155" s="240">
        <v>3</v>
      </c>
      <c r="F1155" s="223">
        <v>1284</v>
      </c>
      <c r="G1155" s="223">
        <v>1995</v>
      </c>
      <c r="H1155" s="223">
        <v>1</v>
      </c>
      <c r="I1155" s="223">
        <v>1</v>
      </c>
      <c r="J1155" s="223"/>
      <c r="K1155" s="238">
        <v>30289.56</v>
      </c>
      <c r="L1155" s="241">
        <v>67</v>
      </c>
      <c r="M1155" s="228">
        <v>9995.5547999999999</v>
      </c>
      <c r="N1155" s="230">
        <v>23.59</v>
      </c>
      <c r="O1155" s="231">
        <v>9995</v>
      </c>
      <c r="P1155" s="314"/>
      <c r="Q1155" s="276">
        <f t="shared" si="40"/>
        <v>1284</v>
      </c>
      <c r="R1155" s="275">
        <f>(SUMIFS('Dec 31 2018 OFFS'!$AG:$AG,'Dec 31 2018 OFFS'!$AI:$AI,'T1 2019 Pipeline Data Lagasco'!$A1155,'Dec 31 2018 OFFS'!$U:$U,'T1 2019 Pipeline Data Lagasco'!$E1155,'Dec 31 2018 OFFS'!$AK:$AK,'T1 2019 Pipeline Data Lagasco'!$Q1155,'Dec 31 2018 OFFS'!$W:$W,'T1 2019 Pipeline Data Lagasco'!$G1155))/(MAX(COUNTIFS('Dec 31 2018 OFFS'!$AI:$AI,'T1 2019 Pipeline Data Lagasco'!$A1155,'Dec 31 2018 OFFS'!$U:$U,'T1 2019 Pipeline Data Lagasco'!$E1155,'Dec 31 2018 OFFS'!$AK:$AK,'T1 2019 Pipeline Data Lagasco'!$Q1155,'Dec 31 2018 OFFS'!$W:$W,'T1 2019 Pipeline Data Lagasco'!$G1155),1))</f>
        <v>9995</v>
      </c>
      <c r="S1155" s="275">
        <f t="shared" si="41"/>
        <v>0</v>
      </c>
    </row>
    <row r="1156" spans="1:19" s="217" customFormat="1" ht="14.1" customHeight="1">
      <c r="A1156" s="224" t="s">
        <v>1526</v>
      </c>
      <c r="B1156" s="218" t="s">
        <v>1515</v>
      </c>
      <c r="C1156" s="223">
        <v>1</v>
      </c>
      <c r="D1156" s="218" t="s">
        <v>1488</v>
      </c>
      <c r="E1156" s="240">
        <v>3</v>
      </c>
      <c r="F1156" s="230">
        <v>4061.68</v>
      </c>
      <c r="G1156" s="223">
        <v>1957</v>
      </c>
      <c r="H1156" s="223">
        <v>1</v>
      </c>
      <c r="I1156" s="223">
        <v>0</v>
      </c>
      <c r="J1156" s="223"/>
      <c r="K1156" s="228">
        <v>95815.031199999998</v>
      </c>
      <c r="L1156" s="241">
        <v>80</v>
      </c>
      <c r="M1156" s="229">
        <v>19163.006239999999</v>
      </c>
      <c r="N1156" s="230">
        <v>23.59</v>
      </c>
      <c r="O1156" s="231">
        <v>0</v>
      </c>
      <c r="P1156" s="314"/>
      <c r="Q1156" s="276">
        <f t="shared" si="40"/>
        <v>4061.68</v>
      </c>
      <c r="R1156" s="275">
        <f>(SUMIFS('Dec 31 2018 OFFS'!$AG:$AG,'Dec 31 2018 OFFS'!$AI:$AI,'T1 2019 Pipeline Data Lagasco'!$A1156,'Dec 31 2018 OFFS'!$U:$U,'T1 2019 Pipeline Data Lagasco'!$E1156,'Dec 31 2018 OFFS'!$AK:$AK,'T1 2019 Pipeline Data Lagasco'!$Q1156,'Dec 31 2018 OFFS'!$W:$W,'T1 2019 Pipeline Data Lagasco'!$G1156))/(MAX(COUNTIFS('Dec 31 2018 OFFS'!$AI:$AI,'T1 2019 Pipeline Data Lagasco'!$A1156,'Dec 31 2018 OFFS'!$U:$U,'T1 2019 Pipeline Data Lagasco'!$E1156,'Dec 31 2018 OFFS'!$AK:$AK,'T1 2019 Pipeline Data Lagasco'!$Q1156,'Dec 31 2018 OFFS'!$W:$W,'T1 2019 Pipeline Data Lagasco'!$G1156),1))</f>
        <v>0</v>
      </c>
      <c r="S1156" s="275">
        <f t="shared" si="41"/>
        <v>0</v>
      </c>
    </row>
    <row r="1157" spans="1:19" s="217" customFormat="1" ht="14.1" customHeight="1">
      <c r="A1157" s="224" t="s">
        <v>1526</v>
      </c>
      <c r="B1157" s="218" t="s">
        <v>1515</v>
      </c>
      <c r="C1157" s="223">
        <v>1</v>
      </c>
      <c r="D1157" s="218" t="s">
        <v>1488</v>
      </c>
      <c r="E1157" s="240">
        <v>3</v>
      </c>
      <c r="F1157" s="230">
        <v>1367.22</v>
      </c>
      <c r="G1157" s="223">
        <v>1957</v>
      </c>
      <c r="H1157" s="223">
        <v>1</v>
      </c>
      <c r="I1157" s="223">
        <v>0</v>
      </c>
      <c r="J1157" s="223"/>
      <c r="K1157" s="228">
        <v>32252.719799999999</v>
      </c>
      <c r="L1157" s="241">
        <v>80</v>
      </c>
      <c r="M1157" s="229">
        <v>6450.54396</v>
      </c>
      <c r="N1157" s="230">
        <v>23.59</v>
      </c>
      <c r="O1157" s="231">
        <v>0</v>
      </c>
      <c r="P1157" s="314"/>
      <c r="Q1157" s="276">
        <f t="shared" si="40"/>
        <v>1367.22</v>
      </c>
      <c r="R1157" s="275">
        <f>(SUMIFS('Dec 31 2018 OFFS'!$AG:$AG,'Dec 31 2018 OFFS'!$AI:$AI,'T1 2019 Pipeline Data Lagasco'!$A1157,'Dec 31 2018 OFFS'!$U:$U,'T1 2019 Pipeline Data Lagasco'!$E1157,'Dec 31 2018 OFFS'!$AK:$AK,'T1 2019 Pipeline Data Lagasco'!$Q1157,'Dec 31 2018 OFFS'!$W:$W,'T1 2019 Pipeline Data Lagasco'!$G1157))/(MAX(COUNTIFS('Dec 31 2018 OFFS'!$AI:$AI,'T1 2019 Pipeline Data Lagasco'!$A1157,'Dec 31 2018 OFFS'!$U:$U,'T1 2019 Pipeline Data Lagasco'!$E1157,'Dec 31 2018 OFFS'!$AK:$AK,'T1 2019 Pipeline Data Lagasco'!$Q1157,'Dec 31 2018 OFFS'!$W:$W,'T1 2019 Pipeline Data Lagasco'!$G1157),1))</f>
        <v>0</v>
      </c>
      <c r="S1157" s="275">
        <f t="shared" si="41"/>
        <v>0</v>
      </c>
    </row>
    <row r="1158" spans="1:19" s="217" customFormat="1" ht="14.1" customHeight="1">
      <c r="A1158" s="224" t="s">
        <v>1526</v>
      </c>
      <c r="B1158" s="218" t="s">
        <v>1515</v>
      </c>
      <c r="C1158" s="223">
        <v>1</v>
      </c>
      <c r="D1158" s="218" t="s">
        <v>1488</v>
      </c>
      <c r="E1158" s="240">
        <v>3</v>
      </c>
      <c r="F1158" s="230">
        <v>3542.16</v>
      </c>
      <c r="G1158" s="223">
        <v>1957</v>
      </c>
      <c r="H1158" s="223">
        <v>1</v>
      </c>
      <c r="I1158" s="223">
        <v>0</v>
      </c>
      <c r="J1158" s="223"/>
      <c r="K1158" s="228">
        <v>83559.554399999994</v>
      </c>
      <c r="L1158" s="241">
        <v>80</v>
      </c>
      <c r="M1158" s="229">
        <v>16711.910879999999</v>
      </c>
      <c r="N1158" s="230">
        <v>23.59</v>
      </c>
      <c r="O1158" s="231">
        <v>0</v>
      </c>
      <c r="P1158" s="314"/>
      <c r="Q1158" s="276">
        <f t="shared" si="40"/>
        <v>3542.16</v>
      </c>
      <c r="R1158" s="275">
        <f>(SUMIFS('Dec 31 2018 OFFS'!$AG:$AG,'Dec 31 2018 OFFS'!$AI:$AI,'T1 2019 Pipeline Data Lagasco'!$A1158,'Dec 31 2018 OFFS'!$U:$U,'T1 2019 Pipeline Data Lagasco'!$E1158,'Dec 31 2018 OFFS'!$AK:$AK,'T1 2019 Pipeline Data Lagasco'!$Q1158,'Dec 31 2018 OFFS'!$W:$W,'T1 2019 Pipeline Data Lagasco'!$G1158))/(MAX(COUNTIFS('Dec 31 2018 OFFS'!$AI:$AI,'T1 2019 Pipeline Data Lagasco'!$A1158,'Dec 31 2018 OFFS'!$U:$U,'T1 2019 Pipeline Data Lagasco'!$E1158,'Dec 31 2018 OFFS'!$AK:$AK,'T1 2019 Pipeline Data Lagasco'!$Q1158,'Dec 31 2018 OFFS'!$W:$W,'T1 2019 Pipeline Data Lagasco'!$G1158),1))</f>
        <v>0</v>
      </c>
      <c r="S1158" s="275">
        <f t="shared" si="41"/>
        <v>0</v>
      </c>
    </row>
    <row r="1159" spans="1:19" s="217" customFormat="1" ht="15" customHeight="1">
      <c r="A1159" s="224" t="s">
        <v>1526</v>
      </c>
      <c r="B1159" s="218" t="s">
        <v>1515</v>
      </c>
      <c r="C1159" s="223">
        <v>1</v>
      </c>
      <c r="D1159" s="218" t="s">
        <v>1488</v>
      </c>
      <c r="E1159" s="240">
        <v>3</v>
      </c>
      <c r="F1159" s="226">
        <v>2672.5721010000002</v>
      </c>
      <c r="G1159" s="223">
        <v>1957</v>
      </c>
      <c r="H1159" s="223">
        <v>1</v>
      </c>
      <c r="I1159" s="223">
        <v>0</v>
      </c>
      <c r="J1159" s="223"/>
      <c r="K1159" s="229">
        <v>63045.975859999999</v>
      </c>
      <c r="L1159" s="241">
        <v>80</v>
      </c>
      <c r="M1159" s="229">
        <v>12609.195170000001</v>
      </c>
      <c r="N1159" s="230">
        <v>23.59</v>
      </c>
      <c r="O1159" s="231">
        <v>0</v>
      </c>
      <c r="P1159" s="314"/>
      <c r="Q1159" s="276">
        <f t="shared" si="40"/>
        <v>2672.57</v>
      </c>
      <c r="R1159" s="275">
        <f>(SUMIFS('Dec 31 2018 OFFS'!$AG:$AG,'Dec 31 2018 OFFS'!$AI:$AI,'T1 2019 Pipeline Data Lagasco'!$A1159,'Dec 31 2018 OFFS'!$U:$U,'T1 2019 Pipeline Data Lagasco'!$E1159,'Dec 31 2018 OFFS'!$AK:$AK,'T1 2019 Pipeline Data Lagasco'!$Q1159,'Dec 31 2018 OFFS'!$W:$W,'T1 2019 Pipeline Data Lagasco'!$G1159))/(MAX(COUNTIFS('Dec 31 2018 OFFS'!$AI:$AI,'T1 2019 Pipeline Data Lagasco'!$A1159,'Dec 31 2018 OFFS'!$U:$U,'T1 2019 Pipeline Data Lagasco'!$E1159,'Dec 31 2018 OFFS'!$AK:$AK,'T1 2019 Pipeline Data Lagasco'!$Q1159,'Dec 31 2018 OFFS'!$W:$W,'T1 2019 Pipeline Data Lagasco'!$G1159),1))</f>
        <v>0</v>
      </c>
      <c r="S1159" s="275">
        <f t="shared" si="41"/>
        <v>0</v>
      </c>
    </row>
    <row r="1160" spans="1:19" s="217" customFormat="1" ht="15" customHeight="1">
      <c r="A1160" s="224" t="s">
        <v>1526</v>
      </c>
      <c r="B1160" s="218" t="s">
        <v>1515</v>
      </c>
      <c r="C1160" s="223">
        <v>1</v>
      </c>
      <c r="D1160" s="218" t="s">
        <v>1488</v>
      </c>
      <c r="E1160" s="240">
        <v>3</v>
      </c>
      <c r="F1160" s="226">
        <v>2417.2243389999999</v>
      </c>
      <c r="G1160" s="223">
        <v>1957</v>
      </c>
      <c r="H1160" s="223">
        <v>1</v>
      </c>
      <c r="I1160" s="223">
        <v>1</v>
      </c>
      <c r="J1160" s="223"/>
      <c r="K1160" s="229">
        <v>57022.322169999999</v>
      </c>
      <c r="L1160" s="241">
        <v>80</v>
      </c>
      <c r="M1160" s="229">
        <v>11404.46443</v>
      </c>
      <c r="N1160" s="230">
        <v>23.59</v>
      </c>
      <c r="O1160" s="231">
        <v>11404</v>
      </c>
      <c r="P1160" s="314"/>
      <c r="Q1160" s="276">
        <f t="shared" si="40"/>
        <v>2417.2199999999998</v>
      </c>
      <c r="R1160" s="275">
        <f>(SUMIFS('Dec 31 2018 OFFS'!$AG:$AG,'Dec 31 2018 OFFS'!$AI:$AI,'T1 2019 Pipeline Data Lagasco'!$A1160,'Dec 31 2018 OFFS'!$U:$U,'T1 2019 Pipeline Data Lagasco'!$E1160,'Dec 31 2018 OFFS'!$AK:$AK,'T1 2019 Pipeline Data Lagasco'!$Q1160,'Dec 31 2018 OFFS'!$W:$W,'T1 2019 Pipeline Data Lagasco'!$G1160))/(MAX(COUNTIFS('Dec 31 2018 OFFS'!$AI:$AI,'T1 2019 Pipeline Data Lagasco'!$A1160,'Dec 31 2018 OFFS'!$U:$U,'T1 2019 Pipeline Data Lagasco'!$E1160,'Dec 31 2018 OFFS'!$AK:$AK,'T1 2019 Pipeline Data Lagasco'!$Q1160,'Dec 31 2018 OFFS'!$W:$W,'T1 2019 Pipeline Data Lagasco'!$G1160),1))</f>
        <v>11404</v>
      </c>
      <c r="S1160" s="275">
        <f t="shared" si="41"/>
        <v>0</v>
      </c>
    </row>
    <row r="1161" spans="1:19" s="217" customFormat="1" ht="14.1" customHeight="1">
      <c r="A1161" s="224" t="s">
        <v>1526</v>
      </c>
      <c r="B1161" s="218" t="s">
        <v>1515</v>
      </c>
      <c r="C1161" s="223">
        <v>1</v>
      </c>
      <c r="D1161" s="218" t="s">
        <v>1488</v>
      </c>
      <c r="E1161" s="240">
        <v>3</v>
      </c>
      <c r="F1161" s="226">
        <v>4361.4171969999998</v>
      </c>
      <c r="G1161" s="223">
        <v>1957</v>
      </c>
      <c r="H1161" s="223">
        <v>1</v>
      </c>
      <c r="I1161" s="223">
        <v>1</v>
      </c>
      <c r="J1161" s="223"/>
      <c r="K1161" s="228">
        <v>102885.8317</v>
      </c>
      <c r="L1161" s="241">
        <v>80</v>
      </c>
      <c r="M1161" s="229">
        <v>20577.16633</v>
      </c>
      <c r="N1161" s="230">
        <v>23.59</v>
      </c>
      <c r="O1161" s="231">
        <v>20577</v>
      </c>
      <c r="P1161" s="314"/>
      <c r="Q1161" s="276">
        <f t="shared" si="40"/>
        <v>4361.42</v>
      </c>
      <c r="R1161" s="275">
        <f>(SUMIFS('Dec 31 2018 OFFS'!$AG:$AG,'Dec 31 2018 OFFS'!$AI:$AI,'T1 2019 Pipeline Data Lagasco'!$A1161,'Dec 31 2018 OFFS'!$U:$U,'T1 2019 Pipeline Data Lagasco'!$E1161,'Dec 31 2018 OFFS'!$AK:$AK,'T1 2019 Pipeline Data Lagasco'!$Q1161,'Dec 31 2018 OFFS'!$W:$W,'T1 2019 Pipeline Data Lagasco'!$G1161))/(MAX(COUNTIFS('Dec 31 2018 OFFS'!$AI:$AI,'T1 2019 Pipeline Data Lagasco'!$A1161,'Dec 31 2018 OFFS'!$U:$U,'T1 2019 Pipeline Data Lagasco'!$E1161,'Dec 31 2018 OFFS'!$AK:$AK,'T1 2019 Pipeline Data Lagasco'!$Q1161,'Dec 31 2018 OFFS'!$W:$W,'T1 2019 Pipeline Data Lagasco'!$G1161),1))</f>
        <v>20577</v>
      </c>
      <c r="S1161" s="275">
        <f t="shared" si="41"/>
        <v>0</v>
      </c>
    </row>
    <row r="1162" spans="1:19" s="217" customFormat="1" ht="14.1" customHeight="1">
      <c r="A1162" s="224" t="s">
        <v>1526</v>
      </c>
      <c r="B1162" s="218" t="s">
        <v>1515</v>
      </c>
      <c r="C1162" s="223">
        <v>1</v>
      </c>
      <c r="D1162" s="218" t="s">
        <v>1488</v>
      </c>
      <c r="E1162" s="240">
        <v>3</v>
      </c>
      <c r="F1162" s="226">
        <v>2971.7846909999998</v>
      </c>
      <c r="G1162" s="223">
        <v>1957</v>
      </c>
      <c r="H1162" s="223">
        <v>1</v>
      </c>
      <c r="I1162" s="223">
        <v>0</v>
      </c>
      <c r="J1162" s="223"/>
      <c r="K1162" s="229">
        <v>70104.400859999994</v>
      </c>
      <c r="L1162" s="241">
        <v>80</v>
      </c>
      <c r="M1162" s="229">
        <v>14020.88017</v>
      </c>
      <c r="N1162" s="230">
        <v>23.59</v>
      </c>
      <c r="O1162" s="231">
        <v>0</v>
      </c>
      <c r="P1162" s="314"/>
      <c r="Q1162" s="276">
        <f t="shared" si="40"/>
        <v>2971.78</v>
      </c>
      <c r="R1162" s="275">
        <f>(SUMIFS('Dec 31 2018 OFFS'!$AG:$AG,'Dec 31 2018 OFFS'!$AI:$AI,'T1 2019 Pipeline Data Lagasco'!$A1162,'Dec 31 2018 OFFS'!$U:$U,'T1 2019 Pipeline Data Lagasco'!$E1162,'Dec 31 2018 OFFS'!$AK:$AK,'T1 2019 Pipeline Data Lagasco'!$Q1162,'Dec 31 2018 OFFS'!$W:$W,'T1 2019 Pipeline Data Lagasco'!$G1162))/(MAX(COUNTIFS('Dec 31 2018 OFFS'!$AI:$AI,'T1 2019 Pipeline Data Lagasco'!$A1162,'Dec 31 2018 OFFS'!$U:$U,'T1 2019 Pipeline Data Lagasco'!$E1162,'Dec 31 2018 OFFS'!$AK:$AK,'T1 2019 Pipeline Data Lagasco'!$Q1162,'Dec 31 2018 OFFS'!$W:$W,'T1 2019 Pipeline Data Lagasco'!$G1162),1))</f>
        <v>0</v>
      </c>
      <c r="S1162" s="275">
        <f t="shared" si="41"/>
        <v>0</v>
      </c>
    </row>
    <row r="1163" spans="1:19" s="217" customFormat="1" ht="14.1" customHeight="1">
      <c r="A1163" s="224" t="s">
        <v>1526</v>
      </c>
      <c r="B1163" s="218" t="s">
        <v>1515</v>
      </c>
      <c r="C1163" s="223">
        <v>1</v>
      </c>
      <c r="D1163" s="218" t="s">
        <v>1488</v>
      </c>
      <c r="E1163" s="240">
        <v>3</v>
      </c>
      <c r="F1163" s="226">
        <v>2826.6731460000001</v>
      </c>
      <c r="G1163" s="223">
        <v>1957</v>
      </c>
      <c r="H1163" s="223">
        <v>1</v>
      </c>
      <c r="I1163" s="223">
        <v>0</v>
      </c>
      <c r="J1163" s="223"/>
      <c r="K1163" s="229">
        <v>66681.219530000002</v>
      </c>
      <c r="L1163" s="241">
        <v>80</v>
      </c>
      <c r="M1163" s="229">
        <v>13336.243909999999</v>
      </c>
      <c r="N1163" s="230">
        <v>23.59</v>
      </c>
      <c r="O1163" s="231">
        <v>0</v>
      </c>
      <c r="P1163" s="314"/>
      <c r="Q1163" s="276">
        <f t="shared" si="40"/>
        <v>2826.67</v>
      </c>
      <c r="R1163" s="275">
        <f>(SUMIFS('Dec 31 2018 OFFS'!$AG:$AG,'Dec 31 2018 OFFS'!$AI:$AI,'T1 2019 Pipeline Data Lagasco'!$A1163,'Dec 31 2018 OFFS'!$U:$U,'T1 2019 Pipeline Data Lagasco'!$E1163,'Dec 31 2018 OFFS'!$AK:$AK,'T1 2019 Pipeline Data Lagasco'!$Q1163,'Dec 31 2018 OFFS'!$W:$W,'T1 2019 Pipeline Data Lagasco'!$G1163))/(MAX(COUNTIFS('Dec 31 2018 OFFS'!$AI:$AI,'T1 2019 Pipeline Data Lagasco'!$A1163,'Dec 31 2018 OFFS'!$U:$U,'T1 2019 Pipeline Data Lagasco'!$E1163,'Dec 31 2018 OFFS'!$AK:$AK,'T1 2019 Pipeline Data Lagasco'!$Q1163,'Dec 31 2018 OFFS'!$W:$W,'T1 2019 Pipeline Data Lagasco'!$G1163),1))</f>
        <v>0</v>
      </c>
      <c r="S1163" s="275">
        <f t="shared" si="41"/>
        <v>0</v>
      </c>
    </row>
    <row r="1164" spans="1:19" s="217" customFormat="1" ht="14.1" customHeight="1">
      <c r="A1164" s="224" t="s">
        <v>1526</v>
      </c>
      <c r="B1164" s="218" t="s">
        <v>1515</v>
      </c>
      <c r="C1164" s="223">
        <v>1</v>
      </c>
      <c r="D1164" s="218" t="s">
        <v>1488</v>
      </c>
      <c r="E1164" s="240">
        <v>3</v>
      </c>
      <c r="F1164" s="226">
        <v>2681.6600269999999</v>
      </c>
      <c r="G1164" s="223">
        <v>1957</v>
      </c>
      <c r="H1164" s="223">
        <v>1</v>
      </c>
      <c r="I1164" s="223">
        <v>1</v>
      </c>
      <c r="J1164" s="223"/>
      <c r="K1164" s="229">
        <v>63260.36004</v>
      </c>
      <c r="L1164" s="241">
        <v>80</v>
      </c>
      <c r="M1164" s="229">
        <v>12652.07201</v>
      </c>
      <c r="N1164" s="230">
        <v>23.59</v>
      </c>
      <c r="O1164" s="231">
        <v>12652</v>
      </c>
      <c r="P1164" s="314"/>
      <c r="Q1164" s="276">
        <f t="shared" si="40"/>
        <v>2681.66</v>
      </c>
      <c r="R1164" s="275">
        <f>(SUMIFS('Dec 31 2018 OFFS'!$AG:$AG,'Dec 31 2018 OFFS'!$AI:$AI,'T1 2019 Pipeline Data Lagasco'!$A1164,'Dec 31 2018 OFFS'!$U:$U,'T1 2019 Pipeline Data Lagasco'!$E1164,'Dec 31 2018 OFFS'!$AK:$AK,'T1 2019 Pipeline Data Lagasco'!$Q1164,'Dec 31 2018 OFFS'!$W:$W,'T1 2019 Pipeline Data Lagasco'!$G1164))/(MAX(COUNTIFS('Dec 31 2018 OFFS'!$AI:$AI,'T1 2019 Pipeline Data Lagasco'!$A1164,'Dec 31 2018 OFFS'!$U:$U,'T1 2019 Pipeline Data Lagasco'!$E1164,'Dec 31 2018 OFFS'!$AK:$AK,'T1 2019 Pipeline Data Lagasco'!$Q1164,'Dec 31 2018 OFFS'!$W:$W,'T1 2019 Pipeline Data Lagasco'!$G1164),1))</f>
        <v>12652</v>
      </c>
      <c r="S1164" s="275">
        <f t="shared" si="41"/>
        <v>0</v>
      </c>
    </row>
    <row r="1165" spans="1:19" s="217" customFormat="1" ht="14.1" customHeight="1">
      <c r="A1165" s="224" t="s">
        <v>1526</v>
      </c>
      <c r="B1165" s="218" t="s">
        <v>1515</v>
      </c>
      <c r="C1165" s="223">
        <v>1</v>
      </c>
      <c r="D1165" s="218" t="s">
        <v>1488</v>
      </c>
      <c r="E1165" s="240">
        <v>3</v>
      </c>
      <c r="F1165" s="226">
        <v>3421.7518690000002</v>
      </c>
      <c r="G1165" s="223">
        <v>1957</v>
      </c>
      <c r="H1165" s="223">
        <v>1</v>
      </c>
      <c r="I1165" s="223">
        <v>1</v>
      </c>
      <c r="J1165" s="223"/>
      <c r="K1165" s="228">
        <v>80719.126600000003</v>
      </c>
      <c r="L1165" s="241">
        <v>80</v>
      </c>
      <c r="M1165" s="229">
        <v>16143.82532</v>
      </c>
      <c r="N1165" s="230">
        <v>23.59</v>
      </c>
      <c r="O1165" s="231">
        <v>16143</v>
      </c>
      <c r="P1165" s="314"/>
      <c r="Q1165" s="276">
        <f t="shared" si="40"/>
        <v>3421.75</v>
      </c>
      <c r="R1165" s="275">
        <f>(SUMIFS('Dec 31 2018 OFFS'!$AG:$AG,'Dec 31 2018 OFFS'!$AI:$AI,'T1 2019 Pipeline Data Lagasco'!$A1165,'Dec 31 2018 OFFS'!$U:$U,'T1 2019 Pipeline Data Lagasco'!$E1165,'Dec 31 2018 OFFS'!$AK:$AK,'T1 2019 Pipeline Data Lagasco'!$Q1165,'Dec 31 2018 OFFS'!$W:$W,'T1 2019 Pipeline Data Lagasco'!$G1165))/(MAX(COUNTIFS('Dec 31 2018 OFFS'!$AI:$AI,'T1 2019 Pipeline Data Lagasco'!$A1165,'Dec 31 2018 OFFS'!$U:$U,'T1 2019 Pipeline Data Lagasco'!$E1165,'Dec 31 2018 OFFS'!$AK:$AK,'T1 2019 Pipeline Data Lagasco'!$Q1165,'Dec 31 2018 OFFS'!$W:$W,'T1 2019 Pipeline Data Lagasco'!$G1165),1))</f>
        <v>16143</v>
      </c>
      <c r="S1165" s="275">
        <f t="shared" si="41"/>
        <v>0</v>
      </c>
    </row>
    <row r="1166" spans="1:19" s="217" customFormat="1" ht="14.1" customHeight="1">
      <c r="A1166" s="224" t="s">
        <v>1526</v>
      </c>
      <c r="B1166" s="218" t="s">
        <v>1515</v>
      </c>
      <c r="C1166" s="223">
        <v>1</v>
      </c>
      <c r="D1166" s="218" t="s">
        <v>1488</v>
      </c>
      <c r="E1166" s="240">
        <v>3</v>
      </c>
      <c r="F1166" s="226">
        <v>1979.8555859999999</v>
      </c>
      <c r="G1166" s="223">
        <v>1957</v>
      </c>
      <c r="H1166" s="223">
        <v>1</v>
      </c>
      <c r="I1166" s="223">
        <v>1</v>
      </c>
      <c r="J1166" s="223"/>
      <c r="K1166" s="229">
        <v>46704.793270000002</v>
      </c>
      <c r="L1166" s="241">
        <v>80</v>
      </c>
      <c r="M1166" s="233">
        <v>9340.9586529999997</v>
      </c>
      <c r="N1166" s="230">
        <v>23.59</v>
      </c>
      <c r="O1166" s="231">
        <v>9340</v>
      </c>
      <c r="P1166" s="314"/>
      <c r="Q1166" s="276">
        <f t="shared" si="40"/>
        <v>1979.86</v>
      </c>
      <c r="R1166" s="275">
        <f>(SUMIFS('Dec 31 2018 OFFS'!$AG:$AG,'Dec 31 2018 OFFS'!$AI:$AI,'T1 2019 Pipeline Data Lagasco'!$A1166,'Dec 31 2018 OFFS'!$U:$U,'T1 2019 Pipeline Data Lagasco'!$E1166,'Dec 31 2018 OFFS'!$AK:$AK,'T1 2019 Pipeline Data Lagasco'!$Q1166,'Dec 31 2018 OFFS'!$W:$W,'T1 2019 Pipeline Data Lagasco'!$G1166))/(MAX(COUNTIFS('Dec 31 2018 OFFS'!$AI:$AI,'T1 2019 Pipeline Data Lagasco'!$A1166,'Dec 31 2018 OFFS'!$U:$U,'T1 2019 Pipeline Data Lagasco'!$E1166,'Dec 31 2018 OFFS'!$AK:$AK,'T1 2019 Pipeline Data Lagasco'!$Q1166,'Dec 31 2018 OFFS'!$W:$W,'T1 2019 Pipeline Data Lagasco'!$G1166),1))</f>
        <v>9340</v>
      </c>
      <c r="S1166" s="275">
        <f t="shared" si="41"/>
        <v>0</v>
      </c>
    </row>
    <row r="1167" spans="1:19" s="217" customFormat="1" ht="14.1" customHeight="1">
      <c r="A1167" s="224" t="s">
        <v>1526</v>
      </c>
      <c r="B1167" s="218" t="s">
        <v>1515</v>
      </c>
      <c r="C1167" s="223">
        <v>1</v>
      </c>
      <c r="D1167" s="218" t="s">
        <v>1488</v>
      </c>
      <c r="E1167" s="240">
        <v>3</v>
      </c>
      <c r="F1167" s="226">
        <v>2712.3358790000002</v>
      </c>
      <c r="G1167" s="223">
        <v>1957</v>
      </c>
      <c r="H1167" s="223">
        <v>1</v>
      </c>
      <c r="I1167" s="223">
        <v>1</v>
      </c>
      <c r="J1167" s="223"/>
      <c r="K1167" s="228">
        <v>63984.003400000001</v>
      </c>
      <c r="L1167" s="241">
        <v>80</v>
      </c>
      <c r="M1167" s="229">
        <v>12796.80068</v>
      </c>
      <c r="N1167" s="230">
        <v>23.59</v>
      </c>
      <c r="O1167" s="231">
        <v>12796</v>
      </c>
      <c r="P1167" s="314"/>
      <c r="Q1167" s="276">
        <f t="shared" si="40"/>
        <v>2712.34</v>
      </c>
      <c r="R1167" s="275">
        <f>(SUMIFS('Dec 31 2018 OFFS'!$AG:$AG,'Dec 31 2018 OFFS'!$AI:$AI,'T1 2019 Pipeline Data Lagasco'!$A1167,'Dec 31 2018 OFFS'!$U:$U,'T1 2019 Pipeline Data Lagasco'!$E1167,'Dec 31 2018 OFFS'!$AK:$AK,'T1 2019 Pipeline Data Lagasco'!$Q1167,'Dec 31 2018 OFFS'!$W:$W,'T1 2019 Pipeline Data Lagasco'!$G1167))/(MAX(COUNTIFS('Dec 31 2018 OFFS'!$AI:$AI,'T1 2019 Pipeline Data Lagasco'!$A1167,'Dec 31 2018 OFFS'!$U:$U,'T1 2019 Pipeline Data Lagasco'!$E1167,'Dec 31 2018 OFFS'!$AK:$AK,'T1 2019 Pipeline Data Lagasco'!$Q1167,'Dec 31 2018 OFFS'!$W:$W,'T1 2019 Pipeline Data Lagasco'!$G1167),1))</f>
        <v>12796</v>
      </c>
      <c r="S1167" s="275">
        <f t="shared" si="41"/>
        <v>0</v>
      </c>
    </row>
    <row r="1168" spans="1:19" s="217" customFormat="1" ht="14.1" customHeight="1">
      <c r="A1168" s="224" t="s">
        <v>1526</v>
      </c>
      <c r="B1168" s="218" t="s">
        <v>1515</v>
      </c>
      <c r="C1168" s="223">
        <v>1</v>
      </c>
      <c r="D1168" s="218" t="s">
        <v>1488</v>
      </c>
      <c r="E1168" s="240">
        <v>3</v>
      </c>
      <c r="F1168" s="226">
        <v>4111.6796709999999</v>
      </c>
      <c r="G1168" s="223">
        <v>1957</v>
      </c>
      <c r="H1168" s="223">
        <v>1</v>
      </c>
      <c r="I1168" s="223">
        <v>1</v>
      </c>
      <c r="J1168" s="223"/>
      <c r="K1168" s="229">
        <v>96994.523440000004</v>
      </c>
      <c r="L1168" s="241">
        <v>80</v>
      </c>
      <c r="M1168" s="229">
        <v>19398.904689999999</v>
      </c>
      <c r="N1168" s="230">
        <v>23.59</v>
      </c>
      <c r="O1168" s="231">
        <v>19398</v>
      </c>
      <c r="P1168" s="314"/>
      <c r="Q1168" s="276">
        <f t="shared" si="40"/>
        <v>4111.68</v>
      </c>
      <c r="R1168" s="275">
        <f>(SUMIFS('Dec 31 2018 OFFS'!$AG:$AG,'Dec 31 2018 OFFS'!$AI:$AI,'T1 2019 Pipeline Data Lagasco'!$A1168,'Dec 31 2018 OFFS'!$U:$U,'T1 2019 Pipeline Data Lagasco'!$E1168,'Dec 31 2018 OFFS'!$AK:$AK,'T1 2019 Pipeline Data Lagasco'!$Q1168,'Dec 31 2018 OFFS'!$W:$W,'T1 2019 Pipeline Data Lagasco'!$G1168))/(MAX(COUNTIFS('Dec 31 2018 OFFS'!$AI:$AI,'T1 2019 Pipeline Data Lagasco'!$A1168,'Dec 31 2018 OFFS'!$U:$U,'T1 2019 Pipeline Data Lagasco'!$E1168,'Dec 31 2018 OFFS'!$AK:$AK,'T1 2019 Pipeline Data Lagasco'!$Q1168,'Dec 31 2018 OFFS'!$W:$W,'T1 2019 Pipeline Data Lagasco'!$G1168),1))</f>
        <v>19398</v>
      </c>
      <c r="S1168" s="275">
        <f t="shared" si="41"/>
        <v>0</v>
      </c>
    </row>
    <row r="1169" spans="1:19" s="217" customFormat="1" ht="14.1" customHeight="1">
      <c r="A1169" s="224" t="s">
        <v>1526</v>
      </c>
      <c r="B1169" s="218" t="s">
        <v>1515</v>
      </c>
      <c r="C1169" s="223">
        <v>1</v>
      </c>
      <c r="D1169" s="218" t="s">
        <v>1488</v>
      </c>
      <c r="E1169" s="240">
        <v>3</v>
      </c>
      <c r="F1169" s="230">
        <v>665.88</v>
      </c>
      <c r="G1169" s="223">
        <v>1957</v>
      </c>
      <c r="H1169" s="223">
        <v>1</v>
      </c>
      <c r="I1169" s="223">
        <v>0</v>
      </c>
      <c r="J1169" s="223"/>
      <c r="K1169" s="228">
        <v>15708.109200000001</v>
      </c>
      <c r="L1169" s="241">
        <v>80</v>
      </c>
      <c r="M1169" s="229">
        <v>3141.6218399999998</v>
      </c>
      <c r="N1169" s="230">
        <v>23.59</v>
      </c>
      <c r="O1169" s="231">
        <v>0</v>
      </c>
      <c r="P1169" s="314"/>
      <c r="Q1169" s="276">
        <f t="shared" si="40"/>
        <v>665.88</v>
      </c>
      <c r="R1169" s="275">
        <f>(SUMIFS('Dec 31 2018 OFFS'!$AG:$AG,'Dec 31 2018 OFFS'!$AI:$AI,'T1 2019 Pipeline Data Lagasco'!$A1169,'Dec 31 2018 OFFS'!$U:$U,'T1 2019 Pipeline Data Lagasco'!$E1169,'Dec 31 2018 OFFS'!$AK:$AK,'T1 2019 Pipeline Data Lagasco'!$Q1169,'Dec 31 2018 OFFS'!$W:$W,'T1 2019 Pipeline Data Lagasco'!$G1169))/(MAX(COUNTIFS('Dec 31 2018 OFFS'!$AI:$AI,'T1 2019 Pipeline Data Lagasco'!$A1169,'Dec 31 2018 OFFS'!$U:$U,'T1 2019 Pipeline Data Lagasco'!$E1169,'Dec 31 2018 OFFS'!$AK:$AK,'T1 2019 Pipeline Data Lagasco'!$Q1169,'Dec 31 2018 OFFS'!$W:$W,'T1 2019 Pipeline Data Lagasco'!$G1169),1))</f>
        <v>0</v>
      </c>
      <c r="S1169" s="275">
        <f t="shared" si="41"/>
        <v>0</v>
      </c>
    </row>
    <row r="1170" spans="1:19" s="217" customFormat="1" ht="14.1" customHeight="1">
      <c r="A1170" s="224" t="s">
        <v>1526</v>
      </c>
      <c r="B1170" s="218" t="s">
        <v>1515</v>
      </c>
      <c r="C1170" s="223">
        <v>1</v>
      </c>
      <c r="D1170" s="218" t="s">
        <v>1488</v>
      </c>
      <c r="E1170" s="240">
        <v>3</v>
      </c>
      <c r="F1170" s="226">
        <v>1062.5655859999999</v>
      </c>
      <c r="G1170" s="223">
        <v>1957</v>
      </c>
      <c r="H1170" s="223">
        <v>1</v>
      </c>
      <c r="I1170" s="223">
        <v>1</v>
      </c>
      <c r="J1170" s="223"/>
      <c r="K1170" s="229">
        <v>25065.922170000002</v>
      </c>
      <c r="L1170" s="241">
        <v>80</v>
      </c>
      <c r="M1170" s="233">
        <v>5013.1844350000001</v>
      </c>
      <c r="N1170" s="230">
        <v>23.59</v>
      </c>
      <c r="O1170" s="231">
        <v>5013</v>
      </c>
      <c r="P1170" s="314"/>
      <c r="Q1170" s="276">
        <f t="shared" si="40"/>
        <v>1062.57</v>
      </c>
      <c r="R1170" s="275">
        <f>(SUMIFS('Dec 31 2018 OFFS'!$AG:$AG,'Dec 31 2018 OFFS'!$AI:$AI,'T1 2019 Pipeline Data Lagasco'!$A1170,'Dec 31 2018 OFFS'!$U:$U,'T1 2019 Pipeline Data Lagasco'!$E1170,'Dec 31 2018 OFFS'!$AK:$AK,'T1 2019 Pipeline Data Lagasco'!$Q1170,'Dec 31 2018 OFFS'!$W:$W,'T1 2019 Pipeline Data Lagasco'!$G1170))/(MAX(COUNTIFS('Dec 31 2018 OFFS'!$AI:$AI,'T1 2019 Pipeline Data Lagasco'!$A1170,'Dec 31 2018 OFFS'!$U:$U,'T1 2019 Pipeline Data Lagasco'!$E1170,'Dec 31 2018 OFFS'!$AK:$AK,'T1 2019 Pipeline Data Lagasco'!$Q1170,'Dec 31 2018 OFFS'!$W:$W,'T1 2019 Pipeline Data Lagasco'!$G1170),1))</f>
        <v>5013</v>
      </c>
      <c r="S1170" s="275">
        <f t="shared" si="41"/>
        <v>0</v>
      </c>
    </row>
    <row r="1171" spans="1:19" s="217" customFormat="1" ht="14.1" customHeight="1">
      <c r="A1171" s="224" t="s">
        <v>1526</v>
      </c>
      <c r="B1171" s="218" t="s">
        <v>1515</v>
      </c>
      <c r="C1171" s="223">
        <v>1</v>
      </c>
      <c r="D1171" s="218" t="s">
        <v>1488</v>
      </c>
      <c r="E1171" s="240">
        <v>3</v>
      </c>
      <c r="F1171" s="226">
        <v>649.57347200000004</v>
      </c>
      <c r="G1171" s="223">
        <v>1957</v>
      </c>
      <c r="H1171" s="223">
        <v>1</v>
      </c>
      <c r="I1171" s="223">
        <v>1</v>
      </c>
      <c r="J1171" s="223"/>
      <c r="K1171" s="228">
        <v>15323.438200000001</v>
      </c>
      <c r="L1171" s="241">
        <v>80</v>
      </c>
      <c r="M1171" s="233">
        <v>3064.687641</v>
      </c>
      <c r="N1171" s="230">
        <v>23.59</v>
      </c>
      <c r="O1171" s="231">
        <v>3064</v>
      </c>
      <c r="P1171" s="314"/>
      <c r="Q1171" s="276">
        <f t="shared" si="40"/>
        <v>649.57000000000005</v>
      </c>
      <c r="R1171" s="275">
        <f>(SUMIFS('Dec 31 2018 OFFS'!$AG:$AG,'Dec 31 2018 OFFS'!$AI:$AI,'T1 2019 Pipeline Data Lagasco'!$A1171,'Dec 31 2018 OFFS'!$U:$U,'T1 2019 Pipeline Data Lagasco'!$E1171,'Dec 31 2018 OFFS'!$AK:$AK,'T1 2019 Pipeline Data Lagasco'!$Q1171,'Dec 31 2018 OFFS'!$W:$W,'T1 2019 Pipeline Data Lagasco'!$G1171))/(MAX(COUNTIFS('Dec 31 2018 OFFS'!$AI:$AI,'T1 2019 Pipeline Data Lagasco'!$A1171,'Dec 31 2018 OFFS'!$U:$U,'T1 2019 Pipeline Data Lagasco'!$E1171,'Dec 31 2018 OFFS'!$AK:$AK,'T1 2019 Pipeline Data Lagasco'!$Q1171,'Dec 31 2018 OFFS'!$W:$W,'T1 2019 Pipeline Data Lagasco'!$G1171),1))</f>
        <v>3064</v>
      </c>
      <c r="S1171" s="275">
        <f t="shared" si="41"/>
        <v>0</v>
      </c>
    </row>
    <row r="1172" spans="1:19" s="217" customFormat="1" ht="14.1" customHeight="1">
      <c r="A1172" s="224" t="s">
        <v>1526</v>
      </c>
      <c r="B1172" s="218" t="s">
        <v>1515</v>
      </c>
      <c r="C1172" s="223">
        <v>1</v>
      </c>
      <c r="D1172" s="218" t="s">
        <v>1488</v>
      </c>
      <c r="E1172" s="240">
        <v>3</v>
      </c>
      <c r="F1172" s="226">
        <v>1122.1456370000001</v>
      </c>
      <c r="G1172" s="223">
        <v>1957</v>
      </c>
      <c r="H1172" s="223">
        <v>1</v>
      </c>
      <c r="I1172" s="223">
        <v>1</v>
      </c>
      <c r="J1172" s="223"/>
      <c r="K1172" s="229">
        <v>26471.415570000001</v>
      </c>
      <c r="L1172" s="241">
        <v>80</v>
      </c>
      <c r="M1172" s="233">
        <v>5294.2831139999998</v>
      </c>
      <c r="N1172" s="230">
        <v>23.59</v>
      </c>
      <c r="O1172" s="231">
        <v>5294</v>
      </c>
      <c r="P1172" s="314"/>
      <c r="Q1172" s="276">
        <f t="shared" si="40"/>
        <v>1122.1500000000001</v>
      </c>
      <c r="R1172" s="275">
        <f>(SUMIFS('Dec 31 2018 OFFS'!$AG:$AG,'Dec 31 2018 OFFS'!$AI:$AI,'T1 2019 Pipeline Data Lagasco'!$A1172,'Dec 31 2018 OFFS'!$U:$U,'T1 2019 Pipeline Data Lagasco'!$E1172,'Dec 31 2018 OFFS'!$AK:$AK,'T1 2019 Pipeline Data Lagasco'!$Q1172,'Dec 31 2018 OFFS'!$W:$W,'T1 2019 Pipeline Data Lagasco'!$G1172))/(MAX(COUNTIFS('Dec 31 2018 OFFS'!$AI:$AI,'T1 2019 Pipeline Data Lagasco'!$A1172,'Dec 31 2018 OFFS'!$U:$U,'T1 2019 Pipeline Data Lagasco'!$E1172,'Dec 31 2018 OFFS'!$AK:$AK,'T1 2019 Pipeline Data Lagasco'!$Q1172,'Dec 31 2018 OFFS'!$W:$W,'T1 2019 Pipeline Data Lagasco'!$G1172),1))</f>
        <v>5294</v>
      </c>
      <c r="S1172" s="275">
        <f t="shared" si="41"/>
        <v>0</v>
      </c>
    </row>
    <row r="1173" spans="1:19" s="217" customFormat="1" ht="14.1" customHeight="1">
      <c r="A1173" s="224" t="s">
        <v>1526</v>
      </c>
      <c r="B1173" s="218" t="s">
        <v>1515</v>
      </c>
      <c r="C1173" s="223">
        <v>1</v>
      </c>
      <c r="D1173" s="218" t="s">
        <v>1488</v>
      </c>
      <c r="E1173" s="240">
        <v>3</v>
      </c>
      <c r="F1173" s="232">
        <v>532.41468269999996</v>
      </c>
      <c r="G1173" s="223">
        <v>1957</v>
      </c>
      <c r="H1173" s="223">
        <v>1</v>
      </c>
      <c r="I1173" s="223">
        <v>1</v>
      </c>
      <c r="J1173" s="223"/>
      <c r="K1173" s="229">
        <v>12559.66237</v>
      </c>
      <c r="L1173" s="241">
        <v>80</v>
      </c>
      <c r="M1173" s="233">
        <v>2511.9324729999998</v>
      </c>
      <c r="N1173" s="230">
        <v>23.59</v>
      </c>
      <c r="O1173" s="231">
        <v>2511</v>
      </c>
      <c r="P1173" s="314"/>
      <c r="Q1173" s="276">
        <f t="shared" si="40"/>
        <v>532.41</v>
      </c>
      <c r="R1173" s="275">
        <f>(SUMIFS('Dec 31 2018 OFFS'!$AG:$AG,'Dec 31 2018 OFFS'!$AI:$AI,'T1 2019 Pipeline Data Lagasco'!$A1173,'Dec 31 2018 OFFS'!$U:$U,'T1 2019 Pipeline Data Lagasco'!$E1173,'Dec 31 2018 OFFS'!$AK:$AK,'T1 2019 Pipeline Data Lagasco'!$Q1173,'Dec 31 2018 OFFS'!$W:$W,'T1 2019 Pipeline Data Lagasco'!$G1173))/(MAX(COUNTIFS('Dec 31 2018 OFFS'!$AI:$AI,'T1 2019 Pipeline Data Lagasco'!$A1173,'Dec 31 2018 OFFS'!$U:$U,'T1 2019 Pipeline Data Lagasco'!$E1173,'Dec 31 2018 OFFS'!$AK:$AK,'T1 2019 Pipeline Data Lagasco'!$Q1173,'Dec 31 2018 OFFS'!$W:$W,'T1 2019 Pipeline Data Lagasco'!$G1173),1))</f>
        <v>2511</v>
      </c>
      <c r="S1173" s="275">
        <f t="shared" si="41"/>
        <v>0</v>
      </c>
    </row>
    <row r="1174" spans="1:19" s="217" customFormat="1" ht="14.1" customHeight="1">
      <c r="A1174" s="224" t="s">
        <v>1526</v>
      </c>
      <c r="B1174" s="218" t="s">
        <v>1515</v>
      </c>
      <c r="C1174" s="223">
        <v>1</v>
      </c>
      <c r="D1174" s="218" t="s">
        <v>1488</v>
      </c>
      <c r="E1174" s="240">
        <v>3</v>
      </c>
      <c r="F1174" s="226">
        <v>3517.7492419999999</v>
      </c>
      <c r="G1174" s="223">
        <v>1957</v>
      </c>
      <c r="H1174" s="223">
        <v>1</v>
      </c>
      <c r="I1174" s="223">
        <v>1</v>
      </c>
      <c r="J1174" s="223"/>
      <c r="K1174" s="229">
        <v>82983.704620000004</v>
      </c>
      <c r="L1174" s="241">
        <v>80</v>
      </c>
      <c r="M1174" s="229">
        <v>16596.74092</v>
      </c>
      <c r="N1174" s="230">
        <v>23.59</v>
      </c>
      <c r="O1174" s="231">
        <v>16596</v>
      </c>
      <c r="P1174" s="314"/>
      <c r="Q1174" s="276">
        <f t="shared" si="40"/>
        <v>3517.75</v>
      </c>
      <c r="R1174" s="275">
        <f>(SUMIFS('Dec 31 2018 OFFS'!$AG:$AG,'Dec 31 2018 OFFS'!$AI:$AI,'T1 2019 Pipeline Data Lagasco'!$A1174,'Dec 31 2018 OFFS'!$U:$U,'T1 2019 Pipeline Data Lagasco'!$E1174,'Dec 31 2018 OFFS'!$AK:$AK,'T1 2019 Pipeline Data Lagasco'!$Q1174,'Dec 31 2018 OFFS'!$W:$W,'T1 2019 Pipeline Data Lagasco'!$G1174))/(MAX(COUNTIFS('Dec 31 2018 OFFS'!$AI:$AI,'T1 2019 Pipeline Data Lagasco'!$A1174,'Dec 31 2018 OFFS'!$U:$U,'T1 2019 Pipeline Data Lagasco'!$E1174,'Dec 31 2018 OFFS'!$AK:$AK,'T1 2019 Pipeline Data Lagasco'!$Q1174,'Dec 31 2018 OFFS'!$W:$W,'T1 2019 Pipeline Data Lagasco'!$G1174),1))</f>
        <v>16596</v>
      </c>
      <c r="S1174" s="275">
        <f t="shared" si="41"/>
        <v>0</v>
      </c>
    </row>
    <row r="1175" spans="1:19" s="217" customFormat="1" ht="14.1" customHeight="1">
      <c r="A1175" s="224" t="s">
        <v>1526</v>
      </c>
      <c r="B1175" s="218" t="s">
        <v>1515</v>
      </c>
      <c r="C1175" s="223">
        <v>1</v>
      </c>
      <c r="D1175" s="218" t="s">
        <v>1488</v>
      </c>
      <c r="E1175" s="240">
        <v>3</v>
      </c>
      <c r="F1175" s="232">
        <v>312.27033219999998</v>
      </c>
      <c r="G1175" s="223">
        <v>1957</v>
      </c>
      <c r="H1175" s="223">
        <v>1</v>
      </c>
      <c r="I1175" s="223">
        <v>1</v>
      </c>
      <c r="J1175" s="223"/>
      <c r="K1175" s="233">
        <v>7366.457136</v>
      </c>
      <c r="L1175" s="241">
        <v>80</v>
      </c>
      <c r="M1175" s="233">
        <v>1473.2914270000001</v>
      </c>
      <c r="N1175" s="230">
        <v>23.59</v>
      </c>
      <c r="O1175" s="231">
        <v>1473</v>
      </c>
      <c r="P1175" s="314"/>
      <c r="Q1175" s="276">
        <f t="shared" si="40"/>
        <v>312.27</v>
      </c>
      <c r="R1175" s="275">
        <f>(SUMIFS('Dec 31 2018 OFFS'!$AG:$AG,'Dec 31 2018 OFFS'!$AI:$AI,'T1 2019 Pipeline Data Lagasco'!$A1175,'Dec 31 2018 OFFS'!$U:$U,'T1 2019 Pipeline Data Lagasco'!$E1175,'Dec 31 2018 OFFS'!$AK:$AK,'T1 2019 Pipeline Data Lagasco'!$Q1175,'Dec 31 2018 OFFS'!$W:$W,'T1 2019 Pipeline Data Lagasco'!$G1175))/(MAX(COUNTIFS('Dec 31 2018 OFFS'!$AI:$AI,'T1 2019 Pipeline Data Lagasco'!$A1175,'Dec 31 2018 OFFS'!$U:$U,'T1 2019 Pipeline Data Lagasco'!$E1175,'Dec 31 2018 OFFS'!$AK:$AK,'T1 2019 Pipeline Data Lagasco'!$Q1175,'Dec 31 2018 OFFS'!$W:$W,'T1 2019 Pipeline Data Lagasco'!$G1175),1))</f>
        <v>1473</v>
      </c>
      <c r="S1175" s="275">
        <f t="shared" si="41"/>
        <v>0</v>
      </c>
    </row>
    <row r="1176" spans="1:19" s="217" customFormat="1" ht="14.1" customHeight="1">
      <c r="A1176" s="224" t="s">
        <v>1526</v>
      </c>
      <c r="B1176" s="218" t="s">
        <v>1515</v>
      </c>
      <c r="C1176" s="223">
        <v>1</v>
      </c>
      <c r="D1176" s="218" t="s">
        <v>1488</v>
      </c>
      <c r="E1176" s="240">
        <v>3</v>
      </c>
      <c r="F1176" s="226">
        <v>2605.4461190000002</v>
      </c>
      <c r="G1176" s="223">
        <v>1957</v>
      </c>
      <c r="H1176" s="223">
        <v>1</v>
      </c>
      <c r="I1176" s="223">
        <v>1</v>
      </c>
      <c r="J1176" s="223"/>
      <c r="K1176" s="229">
        <v>61462.473940000003</v>
      </c>
      <c r="L1176" s="241">
        <v>80</v>
      </c>
      <c r="M1176" s="229">
        <v>12292.494790000001</v>
      </c>
      <c r="N1176" s="230">
        <v>23.59</v>
      </c>
      <c r="O1176" s="231">
        <v>12292</v>
      </c>
      <c r="P1176" s="314"/>
      <c r="Q1176" s="276">
        <f t="shared" si="40"/>
        <v>2605.4499999999998</v>
      </c>
      <c r="R1176" s="275">
        <f>(SUMIFS('Dec 31 2018 OFFS'!$AG:$AG,'Dec 31 2018 OFFS'!$AI:$AI,'T1 2019 Pipeline Data Lagasco'!$A1176,'Dec 31 2018 OFFS'!$U:$U,'T1 2019 Pipeline Data Lagasco'!$E1176,'Dec 31 2018 OFFS'!$AK:$AK,'T1 2019 Pipeline Data Lagasco'!$Q1176,'Dec 31 2018 OFFS'!$W:$W,'T1 2019 Pipeline Data Lagasco'!$G1176))/(MAX(COUNTIFS('Dec 31 2018 OFFS'!$AI:$AI,'T1 2019 Pipeline Data Lagasco'!$A1176,'Dec 31 2018 OFFS'!$U:$U,'T1 2019 Pipeline Data Lagasco'!$E1176,'Dec 31 2018 OFFS'!$AK:$AK,'T1 2019 Pipeline Data Lagasco'!$Q1176,'Dec 31 2018 OFFS'!$W:$W,'T1 2019 Pipeline Data Lagasco'!$G1176),1))</f>
        <v>12292</v>
      </c>
      <c r="S1176" s="275">
        <f t="shared" si="41"/>
        <v>0</v>
      </c>
    </row>
    <row r="1177" spans="1:19" s="217" customFormat="1" ht="14.1" customHeight="1">
      <c r="A1177" s="224" t="s">
        <v>1526</v>
      </c>
      <c r="B1177" s="218" t="s">
        <v>1515</v>
      </c>
      <c r="C1177" s="223">
        <v>1</v>
      </c>
      <c r="D1177" s="218" t="s">
        <v>1488</v>
      </c>
      <c r="E1177" s="240">
        <v>3</v>
      </c>
      <c r="F1177" s="226">
        <v>2562.0406079999998</v>
      </c>
      <c r="G1177" s="223">
        <v>1957</v>
      </c>
      <c r="H1177" s="223">
        <v>1</v>
      </c>
      <c r="I1177" s="223">
        <v>1</v>
      </c>
      <c r="J1177" s="223"/>
      <c r="K1177" s="229">
        <v>60438.537949999998</v>
      </c>
      <c r="L1177" s="241">
        <v>80</v>
      </c>
      <c r="M1177" s="229">
        <v>12087.70759</v>
      </c>
      <c r="N1177" s="230">
        <v>23.59</v>
      </c>
      <c r="O1177" s="231">
        <v>12087</v>
      </c>
      <c r="P1177" s="314"/>
      <c r="Q1177" s="276">
        <f t="shared" si="40"/>
        <v>2562.04</v>
      </c>
      <c r="R1177" s="275">
        <f>(SUMIFS('Dec 31 2018 OFFS'!$AG:$AG,'Dec 31 2018 OFFS'!$AI:$AI,'T1 2019 Pipeline Data Lagasco'!$A1177,'Dec 31 2018 OFFS'!$U:$U,'T1 2019 Pipeline Data Lagasco'!$E1177,'Dec 31 2018 OFFS'!$AK:$AK,'T1 2019 Pipeline Data Lagasco'!$Q1177,'Dec 31 2018 OFFS'!$W:$W,'T1 2019 Pipeline Data Lagasco'!$G1177))/(MAX(COUNTIFS('Dec 31 2018 OFFS'!$AI:$AI,'T1 2019 Pipeline Data Lagasco'!$A1177,'Dec 31 2018 OFFS'!$U:$U,'T1 2019 Pipeline Data Lagasco'!$E1177,'Dec 31 2018 OFFS'!$AK:$AK,'T1 2019 Pipeline Data Lagasco'!$Q1177,'Dec 31 2018 OFFS'!$W:$W,'T1 2019 Pipeline Data Lagasco'!$G1177),1))</f>
        <v>12087</v>
      </c>
      <c r="S1177" s="275">
        <f t="shared" si="41"/>
        <v>0</v>
      </c>
    </row>
    <row r="1178" spans="1:19" s="217" customFormat="1" ht="14.1" customHeight="1">
      <c r="A1178" s="224" t="s">
        <v>1526</v>
      </c>
      <c r="B1178" s="218" t="s">
        <v>1515</v>
      </c>
      <c r="C1178" s="223">
        <v>1</v>
      </c>
      <c r="D1178" s="218" t="s">
        <v>1488</v>
      </c>
      <c r="E1178" s="240">
        <v>3</v>
      </c>
      <c r="F1178" s="226">
        <v>3479.7571170000001</v>
      </c>
      <c r="G1178" s="223">
        <v>1957</v>
      </c>
      <c r="H1178" s="223">
        <v>1</v>
      </c>
      <c r="I1178" s="223">
        <v>1</v>
      </c>
      <c r="J1178" s="223"/>
      <c r="K1178" s="229">
        <v>82087.470390000002</v>
      </c>
      <c r="L1178" s="241">
        <v>80</v>
      </c>
      <c r="M1178" s="229">
        <v>16417.49408</v>
      </c>
      <c r="N1178" s="230">
        <v>23.59</v>
      </c>
      <c r="O1178" s="231">
        <v>16417</v>
      </c>
      <c r="P1178" s="314"/>
      <c r="Q1178" s="276">
        <f t="shared" si="40"/>
        <v>3479.76</v>
      </c>
      <c r="R1178" s="275">
        <f>(SUMIFS('Dec 31 2018 OFFS'!$AG:$AG,'Dec 31 2018 OFFS'!$AI:$AI,'T1 2019 Pipeline Data Lagasco'!$A1178,'Dec 31 2018 OFFS'!$U:$U,'T1 2019 Pipeline Data Lagasco'!$E1178,'Dec 31 2018 OFFS'!$AK:$AK,'T1 2019 Pipeline Data Lagasco'!$Q1178,'Dec 31 2018 OFFS'!$W:$W,'T1 2019 Pipeline Data Lagasco'!$G1178))/(MAX(COUNTIFS('Dec 31 2018 OFFS'!$AI:$AI,'T1 2019 Pipeline Data Lagasco'!$A1178,'Dec 31 2018 OFFS'!$U:$U,'T1 2019 Pipeline Data Lagasco'!$E1178,'Dec 31 2018 OFFS'!$AK:$AK,'T1 2019 Pipeline Data Lagasco'!$Q1178,'Dec 31 2018 OFFS'!$W:$W,'T1 2019 Pipeline Data Lagasco'!$G1178),1))</f>
        <v>16417</v>
      </c>
      <c r="S1178" s="275">
        <f t="shared" si="41"/>
        <v>0</v>
      </c>
    </row>
    <row r="1179" spans="1:19" s="217" customFormat="1" ht="14.1" customHeight="1">
      <c r="A1179" s="224" t="s">
        <v>1526</v>
      </c>
      <c r="B1179" s="218" t="s">
        <v>1515</v>
      </c>
      <c r="C1179" s="223">
        <v>1</v>
      </c>
      <c r="D1179" s="218" t="s">
        <v>1488</v>
      </c>
      <c r="E1179" s="240">
        <v>4</v>
      </c>
      <c r="F1179" s="226">
        <v>9513.9432940000006</v>
      </c>
      <c r="G1179" s="223">
        <v>1957</v>
      </c>
      <c r="H1179" s="223">
        <v>1</v>
      </c>
      <c r="I1179" s="223">
        <v>1</v>
      </c>
      <c r="J1179" s="223"/>
      <c r="K1179" s="228">
        <v>251643.80009999999</v>
      </c>
      <c r="L1179" s="241">
        <v>80</v>
      </c>
      <c r="M1179" s="229">
        <v>50328.760029999998</v>
      </c>
      <c r="N1179" s="230">
        <v>26.45</v>
      </c>
      <c r="O1179" s="231">
        <v>50328</v>
      </c>
      <c r="P1179" s="314"/>
      <c r="Q1179" s="276">
        <f t="shared" si="40"/>
        <v>9513.94</v>
      </c>
      <c r="R1179" s="275">
        <f>(SUMIFS('Dec 31 2018 OFFS'!$AG:$AG,'Dec 31 2018 OFFS'!$AI:$AI,'T1 2019 Pipeline Data Lagasco'!$A1179,'Dec 31 2018 OFFS'!$U:$U,'T1 2019 Pipeline Data Lagasco'!$E1179,'Dec 31 2018 OFFS'!$AK:$AK,'T1 2019 Pipeline Data Lagasco'!$Q1179,'Dec 31 2018 OFFS'!$W:$W,'T1 2019 Pipeline Data Lagasco'!$G1179))/(MAX(COUNTIFS('Dec 31 2018 OFFS'!$AI:$AI,'T1 2019 Pipeline Data Lagasco'!$A1179,'Dec 31 2018 OFFS'!$U:$U,'T1 2019 Pipeline Data Lagasco'!$E1179,'Dec 31 2018 OFFS'!$AK:$AK,'T1 2019 Pipeline Data Lagasco'!$Q1179,'Dec 31 2018 OFFS'!$W:$W,'T1 2019 Pipeline Data Lagasco'!$G1179),1))</f>
        <v>50328</v>
      </c>
      <c r="S1179" s="275">
        <f t="shared" si="41"/>
        <v>0</v>
      </c>
    </row>
    <row r="1180" spans="1:19" s="217" customFormat="1" ht="14.1" customHeight="1">
      <c r="A1180" s="224" t="s">
        <v>1526</v>
      </c>
      <c r="B1180" s="218" t="s">
        <v>1515</v>
      </c>
      <c r="C1180" s="223">
        <v>1</v>
      </c>
      <c r="D1180" s="218" t="s">
        <v>1488</v>
      </c>
      <c r="E1180" s="240">
        <v>4</v>
      </c>
      <c r="F1180" s="232">
        <v>398.16271810000001</v>
      </c>
      <c r="G1180" s="223">
        <v>1957</v>
      </c>
      <c r="H1180" s="223">
        <v>1</v>
      </c>
      <c r="I1180" s="223">
        <v>1</v>
      </c>
      <c r="J1180" s="223"/>
      <c r="K1180" s="229">
        <v>10531.40389</v>
      </c>
      <c r="L1180" s="241">
        <v>80</v>
      </c>
      <c r="M1180" s="233">
        <v>2106.2807790000002</v>
      </c>
      <c r="N1180" s="230">
        <v>26.45</v>
      </c>
      <c r="O1180" s="231">
        <v>2106</v>
      </c>
      <c r="P1180" s="314"/>
      <c r="Q1180" s="276">
        <f t="shared" si="40"/>
        <v>398.16</v>
      </c>
      <c r="R1180" s="275">
        <f>(SUMIFS('Dec 31 2018 OFFS'!$AG:$AG,'Dec 31 2018 OFFS'!$AI:$AI,'T1 2019 Pipeline Data Lagasco'!$A1180,'Dec 31 2018 OFFS'!$U:$U,'T1 2019 Pipeline Data Lagasco'!$E1180,'Dec 31 2018 OFFS'!$AK:$AK,'T1 2019 Pipeline Data Lagasco'!$Q1180,'Dec 31 2018 OFFS'!$W:$W,'T1 2019 Pipeline Data Lagasco'!$G1180))/(MAX(COUNTIFS('Dec 31 2018 OFFS'!$AI:$AI,'T1 2019 Pipeline Data Lagasco'!$A1180,'Dec 31 2018 OFFS'!$U:$U,'T1 2019 Pipeline Data Lagasco'!$E1180,'Dec 31 2018 OFFS'!$AK:$AK,'T1 2019 Pipeline Data Lagasco'!$Q1180,'Dec 31 2018 OFFS'!$W:$W,'T1 2019 Pipeline Data Lagasco'!$G1180),1))</f>
        <v>2106</v>
      </c>
      <c r="S1180" s="275">
        <f t="shared" si="41"/>
        <v>0</v>
      </c>
    </row>
    <row r="1181" spans="1:19" s="217" customFormat="1" ht="14.1" customHeight="1">
      <c r="A1181" s="224" t="s">
        <v>1526</v>
      </c>
      <c r="B1181" s="218" t="s">
        <v>1515</v>
      </c>
      <c r="C1181" s="223">
        <v>1</v>
      </c>
      <c r="D1181" s="218" t="s">
        <v>1488</v>
      </c>
      <c r="E1181" s="240">
        <v>4</v>
      </c>
      <c r="F1181" s="236">
        <v>4278.4119499999997</v>
      </c>
      <c r="G1181" s="223">
        <v>1957</v>
      </c>
      <c r="H1181" s="223">
        <v>1</v>
      </c>
      <c r="I1181" s="223">
        <v>1</v>
      </c>
      <c r="J1181" s="223"/>
      <c r="K1181" s="228">
        <v>113163.9961</v>
      </c>
      <c r="L1181" s="241">
        <v>80</v>
      </c>
      <c r="M1181" s="229">
        <v>22632.799210000001</v>
      </c>
      <c r="N1181" s="230">
        <v>26.45</v>
      </c>
      <c r="O1181" s="231">
        <v>22632</v>
      </c>
      <c r="P1181" s="314"/>
      <c r="Q1181" s="276">
        <f t="shared" si="40"/>
        <v>4278.41</v>
      </c>
      <c r="R1181" s="275">
        <f>(SUMIFS('Dec 31 2018 OFFS'!$AG:$AG,'Dec 31 2018 OFFS'!$AI:$AI,'T1 2019 Pipeline Data Lagasco'!$A1181,'Dec 31 2018 OFFS'!$U:$U,'T1 2019 Pipeline Data Lagasco'!$E1181,'Dec 31 2018 OFFS'!$AK:$AK,'T1 2019 Pipeline Data Lagasco'!$Q1181,'Dec 31 2018 OFFS'!$W:$W,'T1 2019 Pipeline Data Lagasco'!$G1181))/(MAX(COUNTIFS('Dec 31 2018 OFFS'!$AI:$AI,'T1 2019 Pipeline Data Lagasco'!$A1181,'Dec 31 2018 OFFS'!$U:$U,'T1 2019 Pipeline Data Lagasco'!$E1181,'Dec 31 2018 OFFS'!$AK:$AK,'T1 2019 Pipeline Data Lagasco'!$Q1181,'Dec 31 2018 OFFS'!$W:$W,'T1 2019 Pipeline Data Lagasco'!$G1181),1))</f>
        <v>22632</v>
      </c>
      <c r="S1181" s="275">
        <f t="shared" si="41"/>
        <v>0</v>
      </c>
    </row>
    <row r="1182" spans="1:19" s="217" customFormat="1" ht="14.1" customHeight="1">
      <c r="A1182" s="224" t="s">
        <v>1526</v>
      </c>
      <c r="B1182" s="218" t="s">
        <v>1515</v>
      </c>
      <c r="C1182" s="223">
        <v>1</v>
      </c>
      <c r="D1182" s="218" t="s">
        <v>1488</v>
      </c>
      <c r="E1182" s="240">
        <v>4</v>
      </c>
      <c r="F1182" s="236">
        <v>8158.2674800000004</v>
      </c>
      <c r="G1182" s="223">
        <v>1957</v>
      </c>
      <c r="H1182" s="223">
        <v>1</v>
      </c>
      <c r="I1182" s="223">
        <v>1</v>
      </c>
      <c r="J1182" s="223"/>
      <c r="K1182" s="228">
        <v>215786.17490000001</v>
      </c>
      <c r="L1182" s="241">
        <v>80</v>
      </c>
      <c r="M1182" s="229">
        <v>43157.234969999998</v>
      </c>
      <c r="N1182" s="230">
        <v>26.45</v>
      </c>
      <c r="O1182" s="231">
        <v>43157</v>
      </c>
      <c r="P1182" s="314"/>
      <c r="Q1182" s="276">
        <f t="shared" si="40"/>
        <v>8158.27</v>
      </c>
      <c r="R1182" s="275">
        <f>(SUMIFS('Dec 31 2018 OFFS'!$AG:$AG,'Dec 31 2018 OFFS'!$AI:$AI,'T1 2019 Pipeline Data Lagasco'!$A1182,'Dec 31 2018 OFFS'!$U:$U,'T1 2019 Pipeline Data Lagasco'!$E1182,'Dec 31 2018 OFFS'!$AK:$AK,'T1 2019 Pipeline Data Lagasco'!$Q1182,'Dec 31 2018 OFFS'!$W:$W,'T1 2019 Pipeline Data Lagasco'!$G1182))/(MAX(COUNTIFS('Dec 31 2018 OFFS'!$AI:$AI,'T1 2019 Pipeline Data Lagasco'!$A1182,'Dec 31 2018 OFFS'!$U:$U,'T1 2019 Pipeline Data Lagasco'!$E1182,'Dec 31 2018 OFFS'!$AK:$AK,'T1 2019 Pipeline Data Lagasco'!$Q1182,'Dec 31 2018 OFFS'!$W:$W,'T1 2019 Pipeline Data Lagasco'!$G1182),1))</f>
        <v>43157</v>
      </c>
      <c r="S1182" s="275">
        <f t="shared" si="41"/>
        <v>0</v>
      </c>
    </row>
    <row r="1183" spans="1:19" s="217" customFormat="1" ht="14.1" customHeight="1">
      <c r="A1183" s="224" t="s">
        <v>1526</v>
      </c>
      <c r="B1183" s="218" t="s">
        <v>1515</v>
      </c>
      <c r="C1183" s="223">
        <v>1</v>
      </c>
      <c r="D1183" s="218" t="s">
        <v>1488</v>
      </c>
      <c r="E1183" s="240">
        <v>4</v>
      </c>
      <c r="F1183" s="223">
        <v>4000</v>
      </c>
      <c r="G1183" s="223">
        <v>1992</v>
      </c>
      <c r="H1183" s="223">
        <v>1</v>
      </c>
      <c r="I1183" s="223">
        <v>1</v>
      </c>
      <c r="J1183" s="223"/>
      <c r="K1183" s="240">
        <v>105800</v>
      </c>
      <c r="L1183" s="241">
        <v>71</v>
      </c>
      <c r="M1183" s="240">
        <v>30682</v>
      </c>
      <c r="N1183" s="230">
        <v>26.45</v>
      </c>
      <c r="O1183" s="231">
        <v>30682</v>
      </c>
      <c r="P1183" s="314"/>
      <c r="Q1183" s="276">
        <f t="shared" si="40"/>
        <v>4000</v>
      </c>
      <c r="R1183" s="275">
        <f>(SUMIFS('Dec 31 2018 OFFS'!$AG:$AG,'Dec 31 2018 OFFS'!$AI:$AI,'T1 2019 Pipeline Data Lagasco'!$A1183,'Dec 31 2018 OFFS'!$U:$U,'T1 2019 Pipeline Data Lagasco'!$E1183,'Dec 31 2018 OFFS'!$AK:$AK,'T1 2019 Pipeline Data Lagasco'!$Q1183,'Dec 31 2018 OFFS'!$W:$W,'T1 2019 Pipeline Data Lagasco'!$G1183))/(MAX(COUNTIFS('Dec 31 2018 OFFS'!$AI:$AI,'T1 2019 Pipeline Data Lagasco'!$A1183,'Dec 31 2018 OFFS'!$U:$U,'T1 2019 Pipeline Data Lagasco'!$E1183,'Dec 31 2018 OFFS'!$AK:$AK,'T1 2019 Pipeline Data Lagasco'!$Q1183,'Dec 31 2018 OFFS'!$W:$W,'T1 2019 Pipeline Data Lagasco'!$G1183),1))</f>
        <v>30682</v>
      </c>
      <c r="S1183" s="275">
        <f t="shared" si="41"/>
        <v>0</v>
      </c>
    </row>
    <row r="1184" spans="1:19" s="217" customFormat="1" ht="14.1" customHeight="1">
      <c r="A1184" s="224" t="s">
        <v>1526</v>
      </c>
      <c r="B1184" s="218" t="s">
        <v>1515</v>
      </c>
      <c r="C1184" s="223">
        <v>1</v>
      </c>
      <c r="D1184" s="218" t="s">
        <v>1488</v>
      </c>
      <c r="E1184" s="240">
        <v>4</v>
      </c>
      <c r="F1184" s="232">
        <v>77.099735300000006</v>
      </c>
      <c r="G1184" s="223">
        <v>1957</v>
      </c>
      <c r="H1184" s="223">
        <v>1</v>
      </c>
      <c r="I1184" s="223">
        <v>0</v>
      </c>
      <c r="J1184" s="223"/>
      <c r="K1184" s="233">
        <v>2039.2879989999999</v>
      </c>
      <c r="L1184" s="241">
        <v>80</v>
      </c>
      <c r="M1184" s="234">
        <v>407.85759969999998</v>
      </c>
      <c r="N1184" s="230">
        <v>26.45</v>
      </c>
      <c r="O1184" s="231">
        <v>0</v>
      </c>
      <c r="P1184" s="314"/>
      <c r="Q1184" s="276">
        <f t="shared" si="40"/>
        <v>77.099999999999994</v>
      </c>
      <c r="R1184" s="275">
        <f>(SUMIFS('Dec 31 2018 OFFS'!$AG:$AG,'Dec 31 2018 OFFS'!$AI:$AI,'T1 2019 Pipeline Data Lagasco'!$A1184,'Dec 31 2018 OFFS'!$U:$U,'T1 2019 Pipeline Data Lagasco'!$E1184,'Dec 31 2018 OFFS'!$AK:$AK,'T1 2019 Pipeline Data Lagasco'!$Q1184,'Dec 31 2018 OFFS'!$W:$W,'T1 2019 Pipeline Data Lagasco'!$G1184))/(MAX(COUNTIFS('Dec 31 2018 OFFS'!$AI:$AI,'T1 2019 Pipeline Data Lagasco'!$A1184,'Dec 31 2018 OFFS'!$U:$U,'T1 2019 Pipeline Data Lagasco'!$E1184,'Dec 31 2018 OFFS'!$AK:$AK,'T1 2019 Pipeline Data Lagasco'!$Q1184,'Dec 31 2018 OFFS'!$W:$W,'T1 2019 Pipeline Data Lagasco'!$G1184),1))</f>
        <v>0</v>
      </c>
      <c r="S1184" s="275">
        <f t="shared" si="41"/>
        <v>0</v>
      </c>
    </row>
    <row r="1185" spans="1:19" s="217" customFormat="1" ht="14.1" customHeight="1">
      <c r="A1185" s="224" t="s">
        <v>1526</v>
      </c>
      <c r="B1185" s="218" t="s">
        <v>1515</v>
      </c>
      <c r="C1185" s="223">
        <v>1</v>
      </c>
      <c r="D1185" s="218" t="s">
        <v>1488</v>
      </c>
      <c r="E1185" s="240">
        <v>4</v>
      </c>
      <c r="F1185" s="226">
        <v>8839.2713980000008</v>
      </c>
      <c r="G1185" s="223">
        <v>1957</v>
      </c>
      <c r="H1185" s="223">
        <v>1</v>
      </c>
      <c r="I1185" s="223">
        <v>1</v>
      </c>
      <c r="J1185" s="223"/>
      <c r="K1185" s="228">
        <v>233798.7285</v>
      </c>
      <c r="L1185" s="241">
        <v>80</v>
      </c>
      <c r="M1185" s="229">
        <v>46759.745690000003</v>
      </c>
      <c r="N1185" s="230">
        <v>26.45</v>
      </c>
      <c r="O1185" s="231">
        <v>46759</v>
      </c>
      <c r="P1185" s="314"/>
      <c r="Q1185" s="276">
        <f t="shared" si="40"/>
        <v>8839.27</v>
      </c>
      <c r="R1185" s="275">
        <f>(SUMIFS('Dec 31 2018 OFFS'!$AG:$AG,'Dec 31 2018 OFFS'!$AI:$AI,'T1 2019 Pipeline Data Lagasco'!$A1185,'Dec 31 2018 OFFS'!$U:$U,'T1 2019 Pipeline Data Lagasco'!$E1185,'Dec 31 2018 OFFS'!$AK:$AK,'T1 2019 Pipeline Data Lagasco'!$Q1185,'Dec 31 2018 OFFS'!$W:$W,'T1 2019 Pipeline Data Lagasco'!$G1185))/(MAX(COUNTIFS('Dec 31 2018 OFFS'!$AI:$AI,'T1 2019 Pipeline Data Lagasco'!$A1185,'Dec 31 2018 OFFS'!$U:$U,'T1 2019 Pipeline Data Lagasco'!$E1185,'Dec 31 2018 OFFS'!$AK:$AK,'T1 2019 Pipeline Data Lagasco'!$Q1185,'Dec 31 2018 OFFS'!$W:$W,'T1 2019 Pipeline Data Lagasco'!$G1185),1))</f>
        <v>46759</v>
      </c>
      <c r="S1185" s="275">
        <f t="shared" si="41"/>
        <v>0</v>
      </c>
    </row>
    <row r="1186" spans="1:19" s="217" customFormat="1" ht="14.1" customHeight="1">
      <c r="A1186" s="224" t="s">
        <v>1526</v>
      </c>
      <c r="B1186" s="218" t="s">
        <v>1515</v>
      </c>
      <c r="C1186" s="223">
        <v>1</v>
      </c>
      <c r="D1186" s="218" t="s">
        <v>1488</v>
      </c>
      <c r="E1186" s="240">
        <v>4</v>
      </c>
      <c r="F1186" s="226">
        <v>2756.8568759999998</v>
      </c>
      <c r="G1186" s="223">
        <v>1957</v>
      </c>
      <c r="H1186" s="223">
        <v>1</v>
      </c>
      <c r="I1186" s="223">
        <v>1</v>
      </c>
      <c r="J1186" s="223"/>
      <c r="K1186" s="229">
        <v>72918.864360000007</v>
      </c>
      <c r="L1186" s="241">
        <v>80</v>
      </c>
      <c r="M1186" s="229">
        <v>14583.772870000001</v>
      </c>
      <c r="N1186" s="230">
        <v>26.45</v>
      </c>
      <c r="O1186" s="231">
        <v>14583</v>
      </c>
      <c r="P1186" s="314"/>
      <c r="Q1186" s="276">
        <f t="shared" si="40"/>
        <v>2756.86</v>
      </c>
      <c r="R1186" s="275">
        <f>(SUMIFS('Dec 31 2018 OFFS'!$AG:$AG,'Dec 31 2018 OFFS'!$AI:$AI,'T1 2019 Pipeline Data Lagasco'!$A1186,'Dec 31 2018 OFFS'!$U:$U,'T1 2019 Pipeline Data Lagasco'!$E1186,'Dec 31 2018 OFFS'!$AK:$AK,'T1 2019 Pipeline Data Lagasco'!$Q1186,'Dec 31 2018 OFFS'!$W:$W,'T1 2019 Pipeline Data Lagasco'!$G1186))/(MAX(COUNTIFS('Dec 31 2018 OFFS'!$AI:$AI,'T1 2019 Pipeline Data Lagasco'!$A1186,'Dec 31 2018 OFFS'!$U:$U,'T1 2019 Pipeline Data Lagasco'!$E1186,'Dec 31 2018 OFFS'!$AK:$AK,'T1 2019 Pipeline Data Lagasco'!$Q1186,'Dec 31 2018 OFFS'!$W:$W,'T1 2019 Pipeline Data Lagasco'!$G1186),1))</f>
        <v>14583</v>
      </c>
      <c r="S1186" s="275">
        <f t="shared" si="41"/>
        <v>0</v>
      </c>
    </row>
    <row r="1187" spans="1:19" s="217" customFormat="1" ht="14.1" customHeight="1">
      <c r="A1187" s="224" t="s">
        <v>1526</v>
      </c>
      <c r="B1187" s="218" t="s">
        <v>1515</v>
      </c>
      <c r="C1187" s="223">
        <v>1</v>
      </c>
      <c r="D1187" s="218" t="s">
        <v>1488</v>
      </c>
      <c r="E1187" s="240">
        <v>4</v>
      </c>
      <c r="F1187" s="226">
        <v>2687.0734130000001</v>
      </c>
      <c r="G1187" s="223">
        <v>1957</v>
      </c>
      <c r="H1187" s="223">
        <v>1</v>
      </c>
      <c r="I1187" s="223">
        <v>1</v>
      </c>
      <c r="J1187" s="223"/>
      <c r="K1187" s="229">
        <v>71073.091769999999</v>
      </c>
      <c r="L1187" s="241">
        <v>80</v>
      </c>
      <c r="M1187" s="229">
        <v>14214.618350000001</v>
      </c>
      <c r="N1187" s="230">
        <v>26.45</v>
      </c>
      <c r="O1187" s="231">
        <v>14214</v>
      </c>
      <c r="P1187" s="314"/>
      <c r="Q1187" s="276">
        <f t="shared" si="40"/>
        <v>2687.07</v>
      </c>
      <c r="R1187" s="275">
        <f>(SUMIFS('Dec 31 2018 OFFS'!$AG:$AG,'Dec 31 2018 OFFS'!$AI:$AI,'T1 2019 Pipeline Data Lagasco'!$A1187,'Dec 31 2018 OFFS'!$U:$U,'T1 2019 Pipeline Data Lagasco'!$E1187,'Dec 31 2018 OFFS'!$AK:$AK,'T1 2019 Pipeline Data Lagasco'!$Q1187,'Dec 31 2018 OFFS'!$W:$W,'T1 2019 Pipeline Data Lagasco'!$G1187))/(MAX(COUNTIFS('Dec 31 2018 OFFS'!$AI:$AI,'T1 2019 Pipeline Data Lagasco'!$A1187,'Dec 31 2018 OFFS'!$U:$U,'T1 2019 Pipeline Data Lagasco'!$E1187,'Dec 31 2018 OFFS'!$AK:$AK,'T1 2019 Pipeline Data Lagasco'!$Q1187,'Dec 31 2018 OFFS'!$W:$W,'T1 2019 Pipeline Data Lagasco'!$G1187),1))</f>
        <v>14214</v>
      </c>
      <c r="S1187" s="275">
        <f t="shared" si="41"/>
        <v>0</v>
      </c>
    </row>
    <row r="1188" spans="1:19" s="217" customFormat="1" ht="14.1" customHeight="1">
      <c r="A1188" s="224" t="s">
        <v>1526</v>
      </c>
      <c r="B1188" s="218" t="s">
        <v>1515</v>
      </c>
      <c r="C1188" s="223">
        <v>1</v>
      </c>
      <c r="D1188" s="218" t="s">
        <v>1488</v>
      </c>
      <c r="E1188" s="240">
        <v>4</v>
      </c>
      <c r="F1188" s="226">
        <v>3849.5733789999999</v>
      </c>
      <c r="G1188" s="223">
        <v>1957</v>
      </c>
      <c r="H1188" s="223">
        <v>1</v>
      </c>
      <c r="I1188" s="223">
        <v>1</v>
      </c>
      <c r="J1188" s="223"/>
      <c r="K1188" s="228">
        <v>101821.2159</v>
      </c>
      <c r="L1188" s="241">
        <v>80</v>
      </c>
      <c r="M1188" s="229">
        <v>20364.243180000001</v>
      </c>
      <c r="N1188" s="230">
        <v>26.45</v>
      </c>
      <c r="O1188" s="231">
        <v>20364</v>
      </c>
      <c r="P1188" s="314"/>
      <c r="Q1188" s="276">
        <f t="shared" si="40"/>
        <v>3849.57</v>
      </c>
      <c r="R1188" s="275">
        <f>(SUMIFS('Dec 31 2018 OFFS'!$AG:$AG,'Dec 31 2018 OFFS'!$AI:$AI,'T1 2019 Pipeline Data Lagasco'!$A1188,'Dec 31 2018 OFFS'!$U:$U,'T1 2019 Pipeline Data Lagasco'!$E1188,'Dec 31 2018 OFFS'!$AK:$AK,'T1 2019 Pipeline Data Lagasco'!$Q1188,'Dec 31 2018 OFFS'!$W:$W,'T1 2019 Pipeline Data Lagasco'!$G1188))/(MAX(COUNTIFS('Dec 31 2018 OFFS'!$AI:$AI,'T1 2019 Pipeline Data Lagasco'!$A1188,'Dec 31 2018 OFFS'!$U:$U,'T1 2019 Pipeline Data Lagasco'!$E1188,'Dec 31 2018 OFFS'!$AK:$AK,'T1 2019 Pipeline Data Lagasco'!$Q1188,'Dec 31 2018 OFFS'!$W:$W,'T1 2019 Pipeline Data Lagasco'!$G1188),1))</f>
        <v>20364</v>
      </c>
      <c r="S1188" s="275">
        <f t="shared" si="41"/>
        <v>0</v>
      </c>
    </row>
    <row r="1189" spans="1:19" s="217" customFormat="1" ht="14.1" customHeight="1">
      <c r="A1189" s="224" t="s">
        <v>1526</v>
      </c>
      <c r="B1189" s="218" t="s">
        <v>1515</v>
      </c>
      <c r="C1189" s="223">
        <v>1</v>
      </c>
      <c r="D1189" s="218" t="s">
        <v>1488</v>
      </c>
      <c r="E1189" s="240">
        <v>4</v>
      </c>
      <c r="F1189" s="226">
        <v>3923.0641909999999</v>
      </c>
      <c r="G1189" s="223">
        <v>1957</v>
      </c>
      <c r="H1189" s="223">
        <v>1</v>
      </c>
      <c r="I1189" s="223">
        <v>1</v>
      </c>
      <c r="J1189" s="223"/>
      <c r="K1189" s="228">
        <v>103765.0478</v>
      </c>
      <c r="L1189" s="241">
        <v>80</v>
      </c>
      <c r="M1189" s="229">
        <v>20753.009569999998</v>
      </c>
      <c r="N1189" s="230">
        <v>26.45</v>
      </c>
      <c r="O1189" s="231">
        <v>20753</v>
      </c>
      <c r="P1189" s="314"/>
      <c r="Q1189" s="276">
        <f t="shared" si="40"/>
        <v>3923.06</v>
      </c>
      <c r="R1189" s="275">
        <f>(SUMIFS('Dec 31 2018 OFFS'!$AG:$AG,'Dec 31 2018 OFFS'!$AI:$AI,'T1 2019 Pipeline Data Lagasco'!$A1189,'Dec 31 2018 OFFS'!$U:$U,'T1 2019 Pipeline Data Lagasco'!$E1189,'Dec 31 2018 OFFS'!$AK:$AK,'T1 2019 Pipeline Data Lagasco'!$Q1189,'Dec 31 2018 OFFS'!$W:$W,'T1 2019 Pipeline Data Lagasco'!$G1189))/(MAX(COUNTIFS('Dec 31 2018 OFFS'!$AI:$AI,'T1 2019 Pipeline Data Lagasco'!$A1189,'Dec 31 2018 OFFS'!$U:$U,'T1 2019 Pipeline Data Lagasco'!$E1189,'Dec 31 2018 OFFS'!$AK:$AK,'T1 2019 Pipeline Data Lagasco'!$Q1189,'Dec 31 2018 OFFS'!$W:$W,'T1 2019 Pipeline Data Lagasco'!$G1189),1))</f>
        <v>20753</v>
      </c>
      <c r="S1189" s="275">
        <f t="shared" si="41"/>
        <v>0</v>
      </c>
    </row>
    <row r="1190" spans="1:19" s="217" customFormat="1" ht="14.1" customHeight="1">
      <c r="A1190" s="224" t="s">
        <v>1526</v>
      </c>
      <c r="B1190" s="218" t="s">
        <v>1515</v>
      </c>
      <c r="C1190" s="223">
        <v>1</v>
      </c>
      <c r="D1190" s="218" t="s">
        <v>1488</v>
      </c>
      <c r="E1190" s="240">
        <v>4</v>
      </c>
      <c r="F1190" s="230">
        <v>2634.65</v>
      </c>
      <c r="G1190" s="223">
        <v>1957</v>
      </c>
      <c r="H1190" s="223">
        <v>1</v>
      </c>
      <c r="I1190" s="223">
        <v>0</v>
      </c>
      <c r="J1190" s="223"/>
      <c r="K1190" s="228">
        <v>69686.492499999993</v>
      </c>
      <c r="L1190" s="241">
        <v>80</v>
      </c>
      <c r="M1190" s="228">
        <v>13937.298500000001</v>
      </c>
      <c r="N1190" s="230">
        <v>26.45</v>
      </c>
      <c r="O1190" s="231">
        <v>0</v>
      </c>
      <c r="P1190" s="314"/>
      <c r="Q1190" s="276">
        <f t="shared" si="40"/>
        <v>2634.65</v>
      </c>
      <c r="R1190" s="275">
        <f>(SUMIFS('Dec 31 2018 OFFS'!$AG:$AG,'Dec 31 2018 OFFS'!$AI:$AI,'T1 2019 Pipeline Data Lagasco'!$A1190,'Dec 31 2018 OFFS'!$U:$U,'T1 2019 Pipeline Data Lagasco'!$E1190,'Dec 31 2018 OFFS'!$AK:$AK,'T1 2019 Pipeline Data Lagasco'!$Q1190,'Dec 31 2018 OFFS'!$W:$W,'T1 2019 Pipeline Data Lagasco'!$G1190))/(MAX(COUNTIFS('Dec 31 2018 OFFS'!$AI:$AI,'T1 2019 Pipeline Data Lagasco'!$A1190,'Dec 31 2018 OFFS'!$U:$U,'T1 2019 Pipeline Data Lagasco'!$E1190,'Dec 31 2018 OFFS'!$AK:$AK,'T1 2019 Pipeline Data Lagasco'!$Q1190,'Dec 31 2018 OFFS'!$W:$W,'T1 2019 Pipeline Data Lagasco'!$G1190),1))</f>
        <v>0</v>
      </c>
      <c r="S1190" s="275">
        <f t="shared" si="41"/>
        <v>0</v>
      </c>
    </row>
    <row r="1191" spans="1:19" s="217" customFormat="1" ht="14.1" customHeight="1">
      <c r="A1191" s="224" t="s">
        <v>1526</v>
      </c>
      <c r="B1191" s="218" t="s">
        <v>1515</v>
      </c>
      <c r="C1191" s="223">
        <v>1</v>
      </c>
      <c r="D1191" s="218" t="s">
        <v>1488</v>
      </c>
      <c r="E1191" s="240">
        <v>4</v>
      </c>
      <c r="F1191" s="226">
        <v>7532.8737979999996</v>
      </c>
      <c r="G1191" s="223">
        <v>1994</v>
      </c>
      <c r="H1191" s="223">
        <v>1</v>
      </c>
      <c r="I1191" s="223">
        <v>1</v>
      </c>
      <c r="J1191" s="223"/>
      <c r="K1191" s="228">
        <v>199244.51190000001</v>
      </c>
      <c r="L1191" s="241">
        <v>68</v>
      </c>
      <c r="M1191" s="229">
        <v>63758.243820000003</v>
      </c>
      <c r="N1191" s="230">
        <v>26.45</v>
      </c>
      <c r="O1191" s="231">
        <v>63758</v>
      </c>
      <c r="P1191" s="314"/>
      <c r="Q1191" s="276">
        <f t="shared" si="40"/>
        <v>7532.87</v>
      </c>
      <c r="R1191" s="275">
        <f>(SUMIFS('Dec 31 2018 OFFS'!$AG:$AG,'Dec 31 2018 OFFS'!$AI:$AI,'T1 2019 Pipeline Data Lagasco'!$A1191,'Dec 31 2018 OFFS'!$U:$U,'T1 2019 Pipeline Data Lagasco'!$E1191,'Dec 31 2018 OFFS'!$AK:$AK,'T1 2019 Pipeline Data Lagasco'!$Q1191,'Dec 31 2018 OFFS'!$W:$W,'T1 2019 Pipeline Data Lagasco'!$G1191))/(MAX(COUNTIFS('Dec 31 2018 OFFS'!$AI:$AI,'T1 2019 Pipeline Data Lagasco'!$A1191,'Dec 31 2018 OFFS'!$U:$U,'T1 2019 Pipeline Data Lagasco'!$E1191,'Dec 31 2018 OFFS'!$AK:$AK,'T1 2019 Pipeline Data Lagasco'!$Q1191,'Dec 31 2018 OFFS'!$W:$W,'T1 2019 Pipeline Data Lagasco'!$G1191),1))</f>
        <v>63758</v>
      </c>
      <c r="S1191" s="275">
        <f t="shared" si="41"/>
        <v>0</v>
      </c>
    </row>
    <row r="1192" spans="1:19" s="217" customFormat="1" ht="14.1" customHeight="1">
      <c r="A1192" s="224" t="s">
        <v>1526</v>
      </c>
      <c r="B1192" s="218" t="s">
        <v>1515</v>
      </c>
      <c r="C1192" s="223">
        <v>1</v>
      </c>
      <c r="D1192" s="218" t="s">
        <v>1488</v>
      </c>
      <c r="E1192" s="240">
        <v>4</v>
      </c>
      <c r="F1192" s="223">
        <v>500</v>
      </c>
      <c r="G1192" s="223">
        <v>2010</v>
      </c>
      <c r="H1192" s="223">
        <v>1</v>
      </c>
      <c r="I1192" s="223">
        <v>1</v>
      </c>
      <c r="J1192" s="223"/>
      <c r="K1192" s="240">
        <v>13225</v>
      </c>
      <c r="L1192" s="241">
        <v>39</v>
      </c>
      <c r="M1192" s="238">
        <v>8067.25</v>
      </c>
      <c r="N1192" s="230">
        <v>26.45</v>
      </c>
      <c r="O1192" s="231">
        <v>8067</v>
      </c>
      <c r="P1192" s="314"/>
      <c r="Q1192" s="276">
        <f t="shared" si="40"/>
        <v>500</v>
      </c>
      <c r="R1192" s="275">
        <f>(SUMIFS('Dec 31 2018 OFFS'!$AG:$AG,'Dec 31 2018 OFFS'!$AI:$AI,'T1 2019 Pipeline Data Lagasco'!$A1192,'Dec 31 2018 OFFS'!$U:$U,'T1 2019 Pipeline Data Lagasco'!$E1192,'Dec 31 2018 OFFS'!$AK:$AK,'T1 2019 Pipeline Data Lagasco'!$Q1192,'Dec 31 2018 OFFS'!$W:$W,'T1 2019 Pipeline Data Lagasco'!$G1192))/(MAX(COUNTIFS('Dec 31 2018 OFFS'!$AI:$AI,'T1 2019 Pipeline Data Lagasco'!$A1192,'Dec 31 2018 OFFS'!$U:$U,'T1 2019 Pipeline Data Lagasco'!$E1192,'Dec 31 2018 OFFS'!$AK:$AK,'T1 2019 Pipeline Data Lagasco'!$Q1192,'Dec 31 2018 OFFS'!$W:$W,'T1 2019 Pipeline Data Lagasco'!$G1192),1))</f>
        <v>8067</v>
      </c>
      <c r="S1192" s="275">
        <f t="shared" si="41"/>
        <v>0</v>
      </c>
    </row>
    <row r="1193" spans="1:19" s="217" customFormat="1" ht="14.1" customHeight="1">
      <c r="A1193" s="224" t="s">
        <v>1526</v>
      </c>
      <c r="B1193" s="218" t="s">
        <v>1515</v>
      </c>
      <c r="C1193" s="223">
        <v>1</v>
      </c>
      <c r="D1193" s="218" t="s">
        <v>1488</v>
      </c>
      <c r="E1193" s="240">
        <v>4</v>
      </c>
      <c r="F1193" s="236">
        <v>25097.899539999999</v>
      </c>
      <c r="G1193" s="223">
        <v>1994</v>
      </c>
      <c r="H1193" s="223">
        <v>1</v>
      </c>
      <c r="I1193" s="223">
        <v>1</v>
      </c>
      <c r="J1193" s="223"/>
      <c r="K1193" s="228">
        <v>663839.44270000001</v>
      </c>
      <c r="L1193" s="241">
        <v>68</v>
      </c>
      <c r="M1193" s="228">
        <v>212428.62169999999</v>
      </c>
      <c r="N1193" s="230">
        <v>26.45</v>
      </c>
      <c r="O1193" s="231">
        <v>212428</v>
      </c>
      <c r="P1193" s="314"/>
      <c r="Q1193" s="276">
        <f t="shared" si="40"/>
        <v>25097.90</v>
      </c>
      <c r="R1193" s="275">
        <f>(SUMIFS('Dec 31 2018 OFFS'!$AG:$AG,'Dec 31 2018 OFFS'!$AI:$AI,'T1 2019 Pipeline Data Lagasco'!$A1193,'Dec 31 2018 OFFS'!$U:$U,'T1 2019 Pipeline Data Lagasco'!$E1193,'Dec 31 2018 OFFS'!$AK:$AK,'T1 2019 Pipeline Data Lagasco'!$Q1193,'Dec 31 2018 OFFS'!$W:$W,'T1 2019 Pipeline Data Lagasco'!$G1193))/(MAX(COUNTIFS('Dec 31 2018 OFFS'!$AI:$AI,'T1 2019 Pipeline Data Lagasco'!$A1193,'Dec 31 2018 OFFS'!$U:$U,'T1 2019 Pipeline Data Lagasco'!$E1193,'Dec 31 2018 OFFS'!$AK:$AK,'T1 2019 Pipeline Data Lagasco'!$Q1193,'Dec 31 2018 OFFS'!$W:$W,'T1 2019 Pipeline Data Lagasco'!$G1193),1))</f>
        <v>212428</v>
      </c>
      <c r="S1193" s="275">
        <f t="shared" si="41"/>
        <v>0</v>
      </c>
    </row>
    <row r="1194" spans="1:19" s="217" customFormat="1" ht="14.1" customHeight="1">
      <c r="A1194" s="224" t="s">
        <v>1526</v>
      </c>
      <c r="B1194" s="218" t="s">
        <v>1515</v>
      </c>
      <c r="C1194" s="223">
        <v>1</v>
      </c>
      <c r="D1194" s="218" t="s">
        <v>1488</v>
      </c>
      <c r="E1194" s="240">
        <v>4</v>
      </c>
      <c r="F1194" s="236">
        <v>11578.477349999999</v>
      </c>
      <c r="G1194" s="223">
        <v>1994</v>
      </c>
      <c r="H1194" s="223">
        <v>1</v>
      </c>
      <c r="I1194" s="223">
        <v>1</v>
      </c>
      <c r="J1194" s="223"/>
      <c r="K1194" s="239">
        <v>306250.72600000002</v>
      </c>
      <c r="L1194" s="241">
        <v>68</v>
      </c>
      <c r="M1194" s="229">
        <v>98000.232329999999</v>
      </c>
      <c r="N1194" s="230">
        <v>26.45</v>
      </c>
      <c r="O1194" s="231">
        <v>98000</v>
      </c>
      <c r="P1194" s="314"/>
      <c r="Q1194" s="276">
        <f t="shared" si="40"/>
        <v>11578.48</v>
      </c>
      <c r="R1194" s="275">
        <f>(SUMIFS('Dec 31 2018 OFFS'!$AG:$AG,'Dec 31 2018 OFFS'!$AI:$AI,'T1 2019 Pipeline Data Lagasco'!$A1194,'Dec 31 2018 OFFS'!$U:$U,'T1 2019 Pipeline Data Lagasco'!$E1194,'Dec 31 2018 OFFS'!$AK:$AK,'T1 2019 Pipeline Data Lagasco'!$Q1194,'Dec 31 2018 OFFS'!$W:$W,'T1 2019 Pipeline Data Lagasco'!$G1194))/(MAX(COUNTIFS('Dec 31 2018 OFFS'!$AI:$AI,'T1 2019 Pipeline Data Lagasco'!$A1194,'Dec 31 2018 OFFS'!$U:$U,'T1 2019 Pipeline Data Lagasco'!$E1194,'Dec 31 2018 OFFS'!$AK:$AK,'T1 2019 Pipeline Data Lagasco'!$Q1194,'Dec 31 2018 OFFS'!$W:$W,'T1 2019 Pipeline Data Lagasco'!$G1194),1))</f>
        <v>98000</v>
      </c>
      <c r="S1194" s="275">
        <f t="shared" si="41"/>
        <v>0</v>
      </c>
    </row>
    <row r="1195" spans="1:19" s="217" customFormat="1" ht="14.1" customHeight="1">
      <c r="A1195" s="224" t="s">
        <v>1526</v>
      </c>
      <c r="B1195" s="218" t="s">
        <v>1515</v>
      </c>
      <c r="C1195" s="223">
        <v>1</v>
      </c>
      <c r="D1195" s="218" t="s">
        <v>1488</v>
      </c>
      <c r="E1195" s="240">
        <v>4</v>
      </c>
      <c r="F1195" s="226">
        <v>3984.2190449999998</v>
      </c>
      <c r="G1195" s="223">
        <v>1994</v>
      </c>
      <c r="H1195" s="223">
        <v>1</v>
      </c>
      <c r="I1195" s="223">
        <v>0</v>
      </c>
      <c r="J1195" s="223"/>
      <c r="K1195" s="228">
        <v>105382.5937</v>
      </c>
      <c r="L1195" s="241">
        <v>68</v>
      </c>
      <c r="M1195" s="229">
        <v>33722.429989999997</v>
      </c>
      <c r="N1195" s="230">
        <v>26.45</v>
      </c>
      <c r="O1195" s="231">
        <v>0</v>
      </c>
      <c r="P1195" s="314"/>
      <c r="Q1195" s="276">
        <f t="shared" si="40"/>
        <v>3984.22</v>
      </c>
      <c r="R1195" s="275">
        <f>(SUMIFS('Dec 31 2018 OFFS'!$AG:$AG,'Dec 31 2018 OFFS'!$AI:$AI,'T1 2019 Pipeline Data Lagasco'!$A1195,'Dec 31 2018 OFFS'!$U:$U,'T1 2019 Pipeline Data Lagasco'!$E1195,'Dec 31 2018 OFFS'!$AK:$AK,'T1 2019 Pipeline Data Lagasco'!$Q1195,'Dec 31 2018 OFFS'!$W:$W,'T1 2019 Pipeline Data Lagasco'!$G1195))/(MAX(COUNTIFS('Dec 31 2018 OFFS'!$AI:$AI,'T1 2019 Pipeline Data Lagasco'!$A1195,'Dec 31 2018 OFFS'!$U:$U,'T1 2019 Pipeline Data Lagasco'!$E1195,'Dec 31 2018 OFFS'!$AK:$AK,'T1 2019 Pipeline Data Lagasco'!$Q1195,'Dec 31 2018 OFFS'!$W:$W,'T1 2019 Pipeline Data Lagasco'!$G1195),1))</f>
        <v>0</v>
      </c>
      <c r="S1195" s="275">
        <f t="shared" si="41"/>
        <v>0</v>
      </c>
    </row>
    <row r="1196" spans="1:19" s="217" customFormat="1" ht="14.1" customHeight="1">
      <c r="A1196" s="224" t="s">
        <v>1526</v>
      </c>
      <c r="B1196" s="218" t="s">
        <v>1515</v>
      </c>
      <c r="C1196" s="223">
        <v>1</v>
      </c>
      <c r="D1196" s="218" t="s">
        <v>1488</v>
      </c>
      <c r="E1196" s="240">
        <v>4</v>
      </c>
      <c r="F1196" s="236">
        <v>2395.3083299999998</v>
      </c>
      <c r="G1196" s="223">
        <v>1994</v>
      </c>
      <c r="H1196" s="223">
        <v>1</v>
      </c>
      <c r="I1196" s="223">
        <v>1</v>
      </c>
      <c r="J1196" s="223"/>
      <c r="K1196" s="229">
        <v>63355.905319999998</v>
      </c>
      <c r="L1196" s="241">
        <v>68</v>
      </c>
      <c r="M1196" s="228">
        <v>20273.8897</v>
      </c>
      <c r="N1196" s="230">
        <v>26.45</v>
      </c>
      <c r="O1196" s="231">
        <v>20273</v>
      </c>
      <c r="P1196" s="314"/>
      <c r="Q1196" s="276">
        <f t="shared" si="40"/>
        <v>2395.31</v>
      </c>
      <c r="R1196" s="275">
        <f>(SUMIFS('Dec 31 2018 OFFS'!$AG:$AG,'Dec 31 2018 OFFS'!$AI:$AI,'T1 2019 Pipeline Data Lagasco'!$A1196,'Dec 31 2018 OFFS'!$U:$U,'T1 2019 Pipeline Data Lagasco'!$E1196,'Dec 31 2018 OFFS'!$AK:$AK,'T1 2019 Pipeline Data Lagasco'!$Q1196,'Dec 31 2018 OFFS'!$W:$W,'T1 2019 Pipeline Data Lagasco'!$G1196))/(MAX(COUNTIFS('Dec 31 2018 OFFS'!$AI:$AI,'T1 2019 Pipeline Data Lagasco'!$A1196,'Dec 31 2018 OFFS'!$U:$U,'T1 2019 Pipeline Data Lagasco'!$E1196,'Dec 31 2018 OFFS'!$AK:$AK,'T1 2019 Pipeline Data Lagasco'!$Q1196,'Dec 31 2018 OFFS'!$W:$W,'T1 2019 Pipeline Data Lagasco'!$G1196),1))</f>
        <v>20273</v>
      </c>
      <c r="S1196" s="275">
        <f t="shared" si="41"/>
        <v>0</v>
      </c>
    </row>
    <row r="1197" spans="1:19" s="217" customFormat="1" ht="14.1" customHeight="1">
      <c r="A1197" s="224" t="s">
        <v>1526</v>
      </c>
      <c r="B1197" s="218" t="s">
        <v>1515</v>
      </c>
      <c r="C1197" s="223">
        <v>1</v>
      </c>
      <c r="D1197" s="218" t="s">
        <v>1488</v>
      </c>
      <c r="E1197" s="240">
        <v>4</v>
      </c>
      <c r="F1197" s="226">
        <v>7218.2412610000001</v>
      </c>
      <c r="G1197" s="223">
        <v>1994</v>
      </c>
      <c r="H1197" s="223">
        <v>1</v>
      </c>
      <c r="I1197" s="223">
        <v>1</v>
      </c>
      <c r="J1197" s="223"/>
      <c r="K1197" s="228">
        <v>190922.48130000001</v>
      </c>
      <c r="L1197" s="241">
        <v>68</v>
      </c>
      <c r="M1197" s="229">
        <v>61095.194029999999</v>
      </c>
      <c r="N1197" s="230">
        <v>26.45</v>
      </c>
      <c r="O1197" s="231">
        <v>61095</v>
      </c>
      <c r="P1197" s="314"/>
      <c r="Q1197" s="276">
        <f t="shared" si="40"/>
        <v>7218.24</v>
      </c>
      <c r="R1197" s="275">
        <f>(SUMIFS('Dec 31 2018 OFFS'!$AG:$AG,'Dec 31 2018 OFFS'!$AI:$AI,'T1 2019 Pipeline Data Lagasco'!$A1197,'Dec 31 2018 OFFS'!$U:$U,'T1 2019 Pipeline Data Lagasco'!$E1197,'Dec 31 2018 OFFS'!$AK:$AK,'T1 2019 Pipeline Data Lagasco'!$Q1197,'Dec 31 2018 OFFS'!$W:$W,'T1 2019 Pipeline Data Lagasco'!$G1197))/(MAX(COUNTIFS('Dec 31 2018 OFFS'!$AI:$AI,'T1 2019 Pipeline Data Lagasco'!$A1197,'Dec 31 2018 OFFS'!$U:$U,'T1 2019 Pipeline Data Lagasco'!$E1197,'Dec 31 2018 OFFS'!$AK:$AK,'T1 2019 Pipeline Data Lagasco'!$Q1197,'Dec 31 2018 OFFS'!$W:$W,'T1 2019 Pipeline Data Lagasco'!$G1197),1))</f>
        <v>61095</v>
      </c>
      <c r="S1197" s="275">
        <f t="shared" si="41"/>
        <v>0</v>
      </c>
    </row>
    <row r="1198" spans="1:19" s="217" customFormat="1" ht="14.1" customHeight="1">
      <c r="A1198" s="224" t="s">
        <v>1526</v>
      </c>
      <c r="B1198" s="218" t="s">
        <v>1515</v>
      </c>
      <c r="C1198" s="223">
        <v>1</v>
      </c>
      <c r="D1198" s="218" t="s">
        <v>1488</v>
      </c>
      <c r="E1198" s="240">
        <v>4</v>
      </c>
      <c r="F1198" s="230">
        <v>10449.57</v>
      </c>
      <c r="G1198" s="223">
        <v>1994</v>
      </c>
      <c r="H1198" s="223">
        <v>1</v>
      </c>
      <c r="I1198" s="223">
        <v>0</v>
      </c>
      <c r="J1198" s="223"/>
      <c r="K1198" s="228">
        <v>276391.12650000001</v>
      </c>
      <c r="L1198" s="241">
        <v>68</v>
      </c>
      <c r="M1198" s="229">
        <v>88445.160480000006</v>
      </c>
      <c r="N1198" s="230">
        <v>26.45</v>
      </c>
      <c r="O1198" s="231">
        <v>0</v>
      </c>
      <c r="P1198" s="314"/>
      <c r="Q1198" s="276">
        <f t="shared" si="42" ref="Q1198:Q1261">ROUND(F1198,2)</f>
        <v>10449.57</v>
      </c>
      <c r="R1198" s="275">
        <f>(SUMIFS('Dec 31 2018 OFFS'!$AG:$AG,'Dec 31 2018 OFFS'!$AI:$AI,'T1 2019 Pipeline Data Lagasco'!$A1198,'Dec 31 2018 OFFS'!$U:$U,'T1 2019 Pipeline Data Lagasco'!$E1198,'Dec 31 2018 OFFS'!$AK:$AK,'T1 2019 Pipeline Data Lagasco'!$Q1198,'Dec 31 2018 OFFS'!$W:$W,'T1 2019 Pipeline Data Lagasco'!$G1198))/(MAX(COUNTIFS('Dec 31 2018 OFFS'!$AI:$AI,'T1 2019 Pipeline Data Lagasco'!$A1198,'Dec 31 2018 OFFS'!$U:$U,'T1 2019 Pipeline Data Lagasco'!$E1198,'Dec 31 2018 OFFS'!$AK:$AK,'T1 2019 Pipeline Data Lagasco'!$Q1198,'Dec 31 2018 OFFS'!$W:$W,'T1 2019 Pipeline Data Lagasco'!$G1198),1))</f>
        <v>0</v>
      </c>
      <c r="S1198" s="275">
        <f t="shared" si="43" ref="S1198:S1261">O1198-R1198</f>
        <v>0</v>
      </c>
    </row>
    <row r="1199" spans="1:19" s="217" customFormat="1" ht="14.1" customHeight="1">
      <c r="A1199" s="224" t="s">
        <v>1526</v>
      </c>
      <c r="B1199" s="218" t="s">
        <v>1515</v>
      </c>
      <c r="C1199" s="223">
        <v>1</v>
      </c>
      <c r="D1199" s="218" t="s">
        <v>1488</v>
      </c>
      <c r="E1199" s="240">
        <v>4</v>
      </c>
      <c r="F1199" s="230">
        <v>2713.94</v>
      </c>
      <c r="G1199" s="223">
        <v>1994</v>
      </c>
      <c r="H1199" s="223">
        <v>1</v>
      </c>
      <c r="I1199" s="223">
        <v>0</v>
      </c>
      <c r="J1199" s="223"/>
      <c r="K1199" s="239">
        <v>71783.713000000003</v>
      </c>
      <c r="L1199" s="241">
        <v>68</v>
      </c>
      <c r="M1199" s="229">
        <v>22970.78816</v>
      </c>
      <c r="N1199" s="230">
        <v>26.45</v>
      </c>
      <c r="O1199" s="231">
        <v>0</v>
      </c>
      <c r="P1199" s="314"/>
      <c r="Q1199" s="276">
        <f t="shared" si="42"/>
        <v>2713.94</v>
      </c>
      <c r="R1199" s="275">
        <f>(SUMIFS('Dec 31 2018 OFFS'!$AG:$AG,'Dec 31 2018 OFFS'!$AI:$AI,'T1 2019 Pipeline Data Lagasco'!$A1199,'Dec 31 2018 OFFS'!$U:$U,'T1 2019 Pipeline Data Lagasco'!$E1199,'Dec 31 2018 OFFS'!$AK:$AK,'T1 2019 Pipeline Data Lagasco'!$Q1199,'Dec 31 2018 OFFS'!$W:$W,'T1 2019 Pipeline Data Lagasco'!$G1199))/(MAX(COUNTIFS('Dec 31 2018 OFFS'!$AI:$AI,'T1 2019 Pipeline Data Lagasco'!$A1199,'Dec 31 2018 OFFS'!$U:$U,'T1 2019 Pipeline Data Lagasco'!$E1199,'Dec 31 2018 OFFS'!$AK:$AK,'T1 2019 Pipeline Data Lagasco'!$Q1199,'Dec 31 2018 OFFS'!$W:$W,'T1 2019 Pipeline Data Lagasco'!$G1199),1))</f>
        <v>0</v>
      </c>
      <c r="S1199" s="275">
        <f t="shared" si="43"/>
        <v>0</v>
      </c>
    </row>
    <row r="1200" spans="1:19" s="217" customFormat="1" ht="14.1" customHeight="1">
      <c r="A1200" s="224" t="s">
        <v>1526</v>
      </c>
      <c r="B1200" s="218" t="s">
        <v>1515</v>
      </c>
      <c r="C1200" s="223">
        <v>1</v>
      </c>
      <c r="D1200" s="218" t="s">
        <v>1488</v>
      </c>
      <c r="E1200" s="240">
        <v>4</v>
      </c>
      <c r="F1200" s="223">
        <v>13610</v>
      </c>
      <c r="G1200" s="223">
        <v>1994</v>
      </c>
      <c r="H1200" s="223">
        <v>1</v>
      </c>
      <c r="I1200" s="223">
        <v>0</v>
      </c>
      <c r="J1200" s="223"/>
      <c r="K1200" s="237">
        <v>359984.50</v>
      </c>
      <c r="L1200" s="241">
        <v>68</v>
      </c>
      <c r="M1200" s="238">
        <v>115195.04</v>
      </c>
      <c r="N1200" s="230">
        <v>26.45</v>
      </c>
      <c r="O1200" s="231">
        <v>0</v>
      </c>
      <c r="P1200" s="314"/>
      <c r="Q1200" s="276">
        <f t="shared" si="42"/>
        <v>13610</v>
      </c>
      <c r="R1200" s="275">
        <f>(SUMIFS('Dec 31 2018 OFFS'!$AG:$AG,'Dec 31 2018 OFFS'!$AI:$AI,'T1 2019 Pipeline Data Lagasco'!$A1200,'Dec 31 2018 OFFS'!$U:$U,'T1 2019 Pipeline Data Lagasco'!$E1200,'Dec 31 2018 OFFS'!$AK:$AK,'T1 2019 Pipeline Data Lagasco'!$Q1200,'Dec 31 2018 OFFS'!$W:$W,'T1 2019 Pipeline Data Lagasco'!$G1200))/(MAX(COUNTIFS('Dec 31 2018 OFFS'!$AI:$AI,'T1 2019 Pipeline Data Lagasco'!$A1200,'Dec 31 2018 OFFS'!$U:$U,'T1 2019 Pipeline Data Lagasco'!$E1200,'Dec 31 2018 OFFS'!$AK:$AK,'T1 2019 Pipeline Data Lagasco'!$Q1200,'Dec 31 2018 OFFS'!$W:$W,'T1 2019 Pipeline Data Lagasco'!$G1200),1))</f>
        <v>0</v>
      </c>
      <c r="S1200" s="275">
        <f t="shared" si="43"/>
        <v>0</v>
      </c>
    </row>
    <row r="1201" spans="1:20" ht="14.1" customHeight="1">
      <c r="A1201" s="224" t="s">
        <v>1526</v>
      </c>
      <c r="B1201" s="218" t="s">
        <v>1515</v>
      </c>
      <c r="C1201" s="223">
        <v>1</v>
      </c>
      <c r="D1201" s="218" t="s">
        <v>1488</v>
      </c>
      <c r="E1201" s="240">
        <v>4</v>
      </c>
      <c r="F1201" s="230">
        <v>13863.35</v>
      </c>
      <c r="G1201" s="223">
        <v>1994</v>
      </c>
      <c r="H1201" s="223">
        <v>1</v>
      </c>
      <c r="I1201" s="223">
        <v>0</v>
      </c>
      <c r="J1201" s="223"/>
      <c r="K1201" s="228">
        <v>366685.60749999998</v>
      </c>
      <c r="L1201" s="241">
        <v>68</v>
      </c>
      <c r="M1201" s="228">
        <v>117339.3944</v>
      </c>
      <c r="N1201" s="230">
        <v>26.45</v>
      </c>
      <c r="O1201" s="231">
        <v>0</v>
      </c>
      <c r="P1201" s="314"/>
      <c r="Q1201" s="276">
        <f t="shared" si="42"/>
        <v>13863.35</v>
      </c>
      <c r="R1201" s="275">
        <f>(SUMIFS('Dec 31 2018 OFFS'!$AG:$AG,'Dec 31 2018 OFFS'!$AI:$AI,'T1 2019 Pipeline Data Lagasco'!$A1201,'Dec 31 2018 OFFS'!$U:$U,'T1 2019 Pipeline Data Lagasco'!$E1201,'Dec 31 2018 OFFS'!$AK:$AK,'T1 2019 Pipeline Data Lagasco'!$Q1201,'Dec 31 2018 OFFS'!$W:$W,'T1 2019 Pipeline Data Lagasco'!$G1201))/(MAX(COUNTIFS('Dec 31 2018 OFFS'!$AI:$AI,'T1 2019 Pipeline Data Lagasco'!$A1201,'Dec 31 2018 OFFS'!$U:$U,'T1 2019 Pipeline Data Lagasco'!$E1201,'Dec 31 2018 OFFS'!$AK:$AK,'T1 2019 Pipeline Data Lagasco'!$Q1201,'Dec 31 2018 OFFS'!$W:$W,'T1 2019 Pipeline Data Lagasco'!$G1201),1))</f>
        <v>0</v>
      </c>
      <c r="S1201" s="275">
        <f t="shared" si="43"/>
        <v>0</v>
      </c>
      <c r="T1201" s="217"/>
    </row>
    <row r="1202" spans="1:20" ht="15" customHeight="1">
      <c r="A1202" s="224" t="s">
        <v>1526</v>
      </c>
      <c r="B1202" s="218" t="s">
        <v>1515</v>
      </c>
      <c r="C1202" s="223">
        <v>1</v>
      </c>
      <c r="D1202" s="218" t="s">
        <v>1488</v>
      </c>
      <c r="E1202" s="240">
        <v>4</v>
      </c>
      <c r="F1202" s="230">
        <v>7996.78</v>
      </c>
      <c r="G1202" s="223">
        <v>1994</v>
      </c>
      <c r="H1202" s="223">
        <v>1</v>
      </c>
      <c r="I1202" s="223">
        <v>0</v>
      </c>
      <c r="J1202" s="223"/>
      <c r="K1202" s="239">
        <v>211514.83100000001</v>
      </c>
      <c r="L1202" s="241">
        <v>68</v>
      </c>
      <c r="M1202" s="229">
        <v>67684.745920000001</v>
      </c>
      <c r="N1202" s="230">
        <v>26.45</v>
      </c>
      <c r="O1202" s="231">
        <v>0</v>
      </c>
      <c r="P1202" s="314"/>
      <c r="Q1202" s="276">
        <f t="shared" si="42"/>
        <v>7996.78</v>
      </c>
      <c r="R1202" s="275">
        <f>(SUMIFS('Dec 31 2018 OFFS'!$AG:$AG,'Dec 31 2018 OFFS'!$AI:$AI,'T1 2019 Pipeline Data Lagasco'!$A1202,'Dec 31 2018 OFFS'!$U:$U,'T1 2019 Pipeline Data Lagasco'!$E1202,'Dec 31 2018 OFFS'!$AK:$AK,'T1 2019 Pipeline Data Lagasco'!$Q1202,'Dec 31 2018 OFFS'!$W:$W,'T1 2019 Pipeline Data Lagasco'!$G1202))/(MAX(COUNTIFS('Dec 31 2018 OFFS'!$AI:$AI,'T1 2019 Pipeline Data Lagasco'!$A1202,'Dec 31 2018 OFFS'!$U:$U,'T1 2019 Pipeline Data Lagasco'!$E1202,'Dec 31 2018 OFFS'!$AK:$AK,'T1 2019 Pipeline Data Lagasco'!$Q1202,'Dec 31 2018 OFFS'!$W:$W,'T1 2019 Pipeline Data Lagasco'!$G1202),1))</f>
        <v>0</v>
      </c>
      <c r="S1202" s="275">
        <f t="shared" si="43"/>
        <v>0</v>
      </c>
      <c r="T1202" s="217"/>
    </row>
    <row r="1203" spans="1:20" ht="15" customHeight="1">
      <c r="A1203" s="224" t="s">
        <v>1526</v>
      </c>
      <c r="B1203" s="218" t="s">
        <v>1515</v>
      </c>
      <c r="C1203" s="223">
        <v>1</v>
      </c>
      <c r="D1203" s="218" t="s">
        <v>1488</v>
      </c>
      <c r="E1203" s="240">
        <v>4</v>
      </c>
      <c r="F1203" s="230">
        <v>2897.97</v>
      </c>
      <c r="G1203" s="223">
        <v>1994</v>
      </c>
      <c r="H1203" s="223">
        <v>1</v>
      </c>
      <c r="I1203" s="223">
        <v>0</v>
      </c>
      <c r="J1203" s="223"/>
      <c r="K1203" s="228">
        <v>76651.306500000006</v>
      </c>
      <c r="L1203" s="241">
        <v>68</v>
      </c>
      <c r="M1203" s="229">
        <v>24528.418079999999</v>
      </c>
      <c r="N1203" s="230">
        <v>26.45</v>
      </c>
      <c r="O1203" s="231">
        <v>0</v>
      </c>
      <c r="P1203" s="314"/>
      <c r="Q1203" s="276">
        <f t="shared" si="42"/>
        <v>2897.97</v>
      </c>
      <c r="R1203" s="275">
        <f>(SUMIFS('Dec 31 2018 OFFS'!$AG:$AG,'Dec 31 2018 OFFS'!$AI:$AI,'T1 2019 Pipeline Data Lagasco'!$A1203,'Dec 31 2018 OFFS'!$U:$U,'T1 2019 Pipeline Data Lagasco'!$E1203,'Dec 31 2018 OFFS'!$AK:$AK,'T1 2019 Pipeline Data Lagasco'!$Q1203,'Dec 31 2018 OFFS'!$W:$W,'T1 2019 Pipeline Data Lagasco'!$G1203))/(MAX(COUNTIFS('Dec 31 2018 OFFS'!$AI:$AI,'T1 2019 Pipeline Data Lagasco'!$A1203,'Dec 31 2018 OFFS'!$U:$U,'T1 2019 Pipeline Data Lagasco'!$E1203,'Dec 31 2018 OFFS'!$AK:$AK,'T1 2019 Pipeline Data Lagasco'!$Q1203,'Dec 31 2018 OFFS'!$W:$W,'T1 2019 Pipeline Data Lagasco'!$G1203),1))</f>
        <v>0</v>
      </c>
      <c r="S1203" s="275">
        <f t="shared" si="43"/>
        <v>0</v>
      </c>
      <c r="T1203" s="217"/>
    </row>
    <row r="1204" spans="1:20" ht="14.1" customHeight="1">
      <c r="A1204" s="224" t="s">
        <v>1526</v>
      </c>
      <c r="B1204" s="218" t="s">
        <v>1515</v>
      </c>
      <c r="C1204" s="223">
        <v>1</v>
      </c>
      <c r="D1204" s="218" t="s">
        <v>1488</v>
      </c>
      <c r="E1204" s="240">
        <v>4</v>
      </c>
      <c r="F1204" s="223">
        <v>46086</v>
      </c>
      <c r="G1204" s="223">
        <v>1979</v>
      </c>
      <c r="H1204" s="223">
        <v>1</v>
      </c>
      <c r="I1204" s="246">
        <f>0.8*0</f>
        <v>0</v>
      </c>
      <c r="J1204" s="242"/>
      <c r="K1204" s="237">
        <v>1218974.70</v>
      </c>
      <c r="L1204" s="241">
        <v>80</v>
      </c>
      <c r="M1204" s="238">
        <v>243794.94</v>
      </c>
      <c r="N1204" s="230">
        <v>26.45</v>
      </c>
      <c r="O1204" s="248">
        <f>195035*0</f>
        <v>0</v>
      </c>
      <c r="P1204" s="319" t="s">
        <v>1560</v>
      </c>
      <c r="Q1204" s="276">
        <f t="shared" si="42"/>
        <v>46086</v>
      </c>
      <c r="R1204" s="275">
        <f>(SUMIFS('Dec 31 2018 OFFS'!$AG:$AG,'Dec 31 2018 OFFS'!$AI:$AI,'T1 2019 Pipeline Data Lagasco'!$A1204,'Dec 31 2018 OFFS'!$U:$U,'T1 2019 Pipeline Data Lagasco'!$E1204,'Dec 31 2018 OFFS'!$AK:$AK,'T1 2019 Pipeline Data Lagasco'!$Q1204,'Dec 31 2018 OFFS'!$W:$W,'T1 2019 Pipeline Data Lagasco'!$G1204))/(MAX(COUNTIFS('Dec 31 2018 OFFS'!$AI:$AI,'T1 2019 Pipeline Data Lagasco'!$A1204,'Dec 31 2018 OFFS'!$U:$U,'T1 2019 Pipeline Data Lagasco'!$E1204,'Dec 31 2018 OFFS'!$AK:$AK,'T1 2019 Pipeline Data Lagasco'!$Q1204,'Dec 31 2018 OFFS'!$W:$W,'T1 2019 Pipeline Data Lagasco'!$G1204),1))</f>
        <v>0</v>
      </c>
      <c r="S1204" s="275">
        <f t="shared" si="43"/>
        <v>0</v>
      </c>
      <c r="T1204" s="278" t="e">
        <f t="shared" si="44" ref="T1204:T1205">R1204/O1204</f>
        <v>#DIV/0!</v>
      </c>
    </row>
    <row r="1205" spans="1:20" ht="14.1" customHeight="1">
      <c r="A1205" s="330" t="s">
        <v>1526</v>
      </c>
      <c r="B1205" s="331" t="s">
        <v>1515</v>
      </c>
      <c r="C1205" s="223">
        <v>1</v>
      </c>
      <c r="D1205" s="218" t="s">
        <v>1488</v>
      </c>
      <c r="E1205" s="240">
        <v>4</v>
      </c>
      <c r="F1205" s="223">
        <v>7185</v>
      </c>
      <c r="G1205" s="223">
        <v>1994</v>
      </c>
      <c r="H1205" s="223">
        <v>1</v>
      </c>
      <c r="I1205" s="223">
        <v>1</v>
      </c>
      <c r="J1205" s="223"/>
      <c r="K1205" s="238">
        <v>190043.25</v>
      </c>
      <c r="L1205" s="241">
        <v>68</v>
      </c>
      <c r="M1205" s="238">
        <v>60813.84</v>
      </c>
      <c r="N1205" s="230">
        <v>26.45</v>
      </c>
      <c r="O1205" s="231">
        <v>60813</v>
      </c>
      <c r="P1205" s="319" t="s">
        <v>1564</v>
      </c>
      <c r="Q1205" s="276">
        <f t="shared" si="42"/>
        <v>7185</v>
      </c>
      <c r="R1205" s="275">
        <f>(SUMIFS('Dec 31 2018 OFFS'!$AG:$AG,'Dec 31 2018 OFFS'!$AI:$AI,'T1 2019 Pipeline Data Lagasco'!$A1205,'Dec 31 2018 OFFS'!$U:$U,'T1 2019 Pipeline Data Lagasco'!$E1205,'Dec 31 2018 OFFS'!$AK:$AK,'T1 2019 Pipeline Data Lagasco'!$Q1205,'Dec 31 2018 OFFS'!$W:$W,'T1 2019 Pipeline Data Lagasco'!$G1205))/(MAX(COUNTIFS('Dec 31 2018 OFFS'!$AI:$AI,'T1 2019 Pipeline Data Lagasco'!$A1205,'Dec 31 2018 OFFS'!$U:$U,'T1 2019 Pipeline Data Lagasco'!$E1205,'Dec 31 2018 OFFS'!$AK:$AK,'T1 2019 Pipeline Data Lagasco'!$Q1205,'Dec 31 2018 OFFS'!$W:$W,'T1 2019 Pipeline Data Lagasco'!$G1205),1))</f>
        <v>0</v>
      </c>
      <c r="S1205" s="275">
        <f t="shared" si="43"/>
        <v>60813</v>
      </c>
      <c r="T1205" s="278">
        <f t="shared" si="44"/>
        <v>0</v>
      </c>
    </row>
    <row r="1206" spans="1:20" ht="14.1" customHeight="1">
      <c r="A1206" s="224" t="s">
        <v>1526</v>
      </c>
      <c r="B1206" s="218" t="s">
        <v>1515</v>
      </c>
      <c r="C1206" s="223">
        <v>1</v>
      </c>
      <c r="D1206" s="218" t="s">
        <v>1488</v>
      </c>
      <c r="E1206" s="240">
        <v>4</v>
      </c>
      <c r="F1206" s="223">
        <v>10936</v>
      </c>
      <c r="G1206" s="223">
        <v>1994</v>
      </c>
      <c r="H1206" s="223">
        <v>1</v>
      </c>
      <c r="I1206" s="223">
        <v>1</v>
      </c>
      <c r="J1206" s="223"/>
      <c r="K1206" s="237">
        <v>289257.20</v>
      </c>
      <c r="L1206" s="241">
        <v>68</v>
      </c>
      <c r="M1206" s="239">
        <v>92562.304000000004</v>
      </c>
      <c r="N1206" s="230">
        <v>26.45</v>
      </c>
      <c r="O1206" s="231">
        <v>92562</v>
      </c>
      <c r="P1206" s="314"/>
      <c r="Q1206" s="276">
        <f t="shared" si="42"/>
        <v>10936</v>
      </c>
      <c r="R1206" s="275">
        <f>(SUMIFS('Dec 31 2018 OFFS'!$AG:$AG,'Dec 31 2018 OFFS'!$AI:$AI,'T1 2019 Pipeline Data Lagasco'!$A1206,'Dec 31 2018 OFFS'!$U:$U,'T1 2019 Pipeline Data Lagasco'!$E1206,'Dec 31 2018 OFFS'!$AK:$AK,'T1 2019 Pipeline Data Lagasco'!$Q1206,'Dec 31 2018 OFFS'!$W:$W,'T1 2019 Pipeline Data Lagasco'!$G1206))/(MAX(COUNTIFS('Dec 31 2018 OFFS'!$AI:$AI,'T1 2019 Pipeline Data Lagasco'!$A1206,'Dec 31 2018 OFFS'!$U:$U,'T1 2019 Pipeline Data Lagasco'!$E1206,'Dec 31 2018 OFFS'!$AK:$AK,'T1 2019 Pipeline Data Lagasco'!$Q1206,'Dec 31 2018 OFFS'!$W:$W,'T1 2019 Pipeline Data Lagasco'!$G1206),1))</f>
        <v>92562</v>
      </c>
      <c r="S1206" s="275">
        <f t="shared" si="43"/>
        <v>0</v>
      </c>
      <c r="T1206" s="217"/>
    </row>
    <row r="1207" spans="1:20" ht="14.1" customHeight="1">
      <c r="A1207" s="224" t="s">
        <v>1526</v>
      </c>
      <c r="B1207" s="218" t="s">
        <v>1515</v>
      </c>
      <c r="C1207" s="223">
        <v>1</v>
      </c>
      <c r="D1207" s="218" t="s">
        <v>1488</v>
      </c>
      <c r="E1207" s="240">
        <v>4</v>
      </c>
      <c r="F1207" s="226">
        <v>7187.7622590000001</v>
      </c>
      <c r="G1207" s="223">
        <v>1994</v>
      </c>
      <c r="H1207" s="223">
        <v>1</v>
      </c>
      <c r="I1207" s="223">
        <v>1</v>
      </c>
      <c r="J1207" s="223"/>
      <c r="K1207" s="228">
        <v>190116.3118</v>
      </c>
      <c r="L1207" s="241">
        <v>68</v>
      </c>
      <c r="M1207" s="229">
        <v>60837.21976</v>
      </c>
      <c r="N1207" s="230">
        <v>26.45</v>
      </c>
      <c r="O1207" s="231">
        <v>60837</v>
      </c>
      <c r="P1207" s="314"/>
      <c r="Q1207" s="276">
        <f t="shared" si="42"/>
        <v>7187.76</v>
      </c>
      <c r="R1207" s="275">
        <f>(SUMIFS('Dec 31 2018 OFFS'!$AG:$AG,'Dec 31 2018 OFFS'!$AI:$AI,'T1 2019 Pipeline Data Lagasco'!$A1207,'Dec 31 2018 OFFS'!$U:$U,'T1 2019 Pipeline Data Lagasco'!$E1207,'Dec 31 2018 OFFS'!$AK:$AK,'T1 2019 Pipeline Data Lagasco'!$Q1207,'Dec 31 2018 OFFS'!$W:$W,'T1 2019 Pipeline Data Lagasco'!$G1207))/(MAX(COUNTIFS('Dec 31 2018 OFFS'!$AI:$AI,'T1 2019 Pipeline Data Lagasco'!$A1207,'Dec 31 2018 OFFS'!$U:$U,'T1 2019 Pipeline Data Lagasco'!$E1207,'Dec 31 2018 OFFS'!$AK:$AK,'T1 2019 Pipeline Data Lagasco'!$Q1207,'Dec 31 2018 OFFS'!$W:$W,'T1 2019 Pipeline Data Lagasco'!$G1207),1))</f>
        <v>60837</v>
      </c>
      <c r="S1207" s="275">
        <f t="shared" si="43"/>
        <v>0</v>
      </c>
      <c r="T1207" s="217"/>
    </row>
    <row r="1208" spans="1:20" ht="14.1" customHeight="1">
      <c r="A1208" s="224" t="s">
        <v>1526</v>
      </c>
      <c r="B1208" s="218" t="s">
        <v>1515</v>
      </c>
      <c r="C1208" s="223">
        <v>1</v>
      </c>
      <c r="D1208" s="218" t="s">
        <v>1488</v>
      </c>
      <c r="E1208" s="240">
        <v>6</v>
      </c>
      <c r="F1208" s="230">
        <v>17957.55</v>
      </c>
      <c r="G1208" s="223">
        <v>1994</v>
      </c>
      <c r="H1208" s="223">
        <v>1</v>
      </c>
      <c r="I1208" s="223">
        <v>1</v>
      </c>
      <c r="J1208" s="223"/>
      <c r="K1208" s="228">
        <v>621869.95649999997</v>
      </c>
      <c r="L1208" s="241">
        <v>68</v>
      </c>
      <c r="M1208" s="228">
        <v>198998.3861</v>
      </c>
      <c r="N1208" s="230">
        <v>34.630000000000003</v>
      </c>
      <c r="O1208" s="231">
        <v>198998</v>
      </c>
      <c r="P1208" s="314"/>
      <c r="Q1208" s="276">
        <f t="shared" si="42"/>
        <v>17957.55</v>
      </c>
      <c r="R1208" s="275">
        <f>(SUMIFS('Dec 31 2018 OFFS'!$AG:$AG,'Dec 31 2018 OFFS'!$AI:$AI,'T1 2019 Pipeline Data Lagasco'!$A1208,'Dec 31 2018 OFFS'!$U:$U,'T1 2019 Pipeline Data Lagasco'!$E1208,'Dec 31 2018 OFFS'!$AK:$AK,'T1 2019 Pipeline Data Lagasco'!$Q1208,'Dec 31 2018 OFFS'!$W:$W,'T1 2019 Pipeline Data Lagasco'!$G1208))/(MAX(COUNTIFS('Dec 31 2018 OFFS'!$AI:$AI,'T1 2019 Pipeline Data Lagasco'!$A1208,'Dec 31 2018 OFFS'!$U:$U,'T1 2019 Pipeline Data Lagasco'!$E1208,'Dec 31 2018 OFFS'!$AK:$AK,'T1 2019 Pipeline Data Lagasco'!$Q1208,'Dec 31 2018 OFFS'!$W:$W,'T1 2019 Pipeline Data Lagasco'!$G1208),1))</f>
        <v>198998</v>
      </c>
      <c r="S1208" s="275">
        <f t="shared" si="43"/>
        <v>0</v>
      </c>
      <c r="T1208" s="217"/>
    </row>
    <row r="1209" spans="1:20" ht="14.1" customHeight="1">
      <c r="A1209" s="224" t="s">
        <v>1526</v>
      </c>
      <c r="B1209" s="218" t="s">
        <v>1515</v>
      </c>
      <c r="C1209" s="223">
        <v>1</v>
      </c>
      <c r="D1209" s="218" t="s">
        <v>1488</v>
      </c>
      <c r="E1209" s="240">
        <v>6</v>
      </c>
      <c r="F1209" s="223">
        <v>12707</v>
      </c>
      <c r="G1209" s="223">
        <v>1994</v>
      </c>
      <c r="H1209" s="223">
        <v>1</v>
      </c>
      <c r="I1209" s="223">
        <v>1</v>
      </c>
      <c r="J1209" s="223"/>
      <c r="K1209" s="238">
        <v>440043.41</v>
      </c>
      <c r="L1209" s="241">
        <v>68</v>
      </c>
      <c r="M1209" s="228">
        <v>140813.89120000001</v>
      </c>
      <c r="N1209" s="230">
        <v>34.630000000000003</v>
      </c>
      <c r="O1209" s="231">
        <v>140813</v>
      </c>
      <c r="P1209" s="314"/>
      <c r="Q1209" s="276">
        <f t="shared" si="42"/>
        <v>12707</v>
      </c>
      <c r="R1209" s="275">
        <f>(SUMIFS('Dec 31 2018 OFFS'!$AG:$AG,'Dec 31 2018 OFFS'!$AI:$AI,'T1 2019 Pipeline Data Lagasco'!$A1209,'Dec 31 2018 OFFS'!$U:$U,'T1 2019 Pipeline Data Lagasco'!$E1209,'Dec 31 2018 OFFS'!$AK:$AK,'T1 2019 Pipeline Data Lagasco'!$Q1209,'Dec 31 2018 OFFS'!$W:$W,'T1 2019 Pipeline Data Lagasco'!$G1209))/(MAX(COUNTIFS('Dec 31 2018 OFFS'!$AI:$AI,'T1 2019 Pipeline Data Lagasco'!$A1209,'Dec 31 2018 OFFS'!$U:$U,'T1 2019 Pipeline Data Lagasco'!$E1209,'Dec 31 2018 OFFS'!$AK:$AK,'T1 2019 Pipeline Data Lagasco'!$Q1209,'Dec 31 2018 OFFS'!$W:$W,'T1 2019 Pipeline Data Lagasco'!$G1209),1))</f>
        <v>140813</v>
      </c>
      <c r="S1209" s="275">
        <f t="shared" si="43"/>
        <v>0</v>
      </c>
      <c r="T1209" s="278">
        <f>R1209/O1209</f>
        <v>1</v>
      </c>
    </row>
    <row r="1210" spans="1:20" ht="14.1" customHeight="1">
      <c r="A1210" s="224" t="s">
        <v>1526</v>
      </c>
      <c r="B1210" s="218" t="s">
        <v>1515</v>
      </c>
      <c r="C1210" s="223">
        <v>1</v>
      </c>
      <c r="D1210" s="218" t="s">
        <v>1488</v>
      </c>
      <c r="E1210" s="240">
        <v>4</v>
      </c>
      <c r="F1210" s="223">
        <v>2363</v>
      </c>
      <c r="G1210" s="223">
        <v>1957</v>
      </c>
      <c r="H1210" s="223">
        <v>1</v>
      </c>
      <c r="I1210" s="223">
        <v>0</v>
      </c>
      <c r="J1210" s="223"/>
      <c r="K1210" s="238">
        <v>62501.35</v>
      </c>
      <c r="L1210" s="241">
        <v>80</v>
      </c>
      <c r="M1210" s="238">
        <v>12500.27</v>
      </c>
      <c r="N1210" s="230">
        <v>26.45</v>
      </c>
      <c r="O1210" s="231">
        <v>0</v>
      </c>
      <c r="P1210" s="314"/>
      <c r="Q1210" s="276">
        <f t="shared" si="42"/>
        <v>2363</v>
      </c>
      <c r="R1210" s="275">
        <f>(SUMIFS('Dec 31 2018 OFFS'!$AG:$AG,'Dec 31 2018 OFFS'!$AI:$AI,'T1 2019 Pipeline Data Lagasco'!$A1210,'Dec 31 2018 OFFS'!$U:$U,'T1 2019 Pipeline Data Lagasco'!$E1210,'Dec 31 2018 OFFS'!$AK:$AK,'T1 2019 Pipeline Data Lagasco'!$Q1210,'Dec 31 2018 OFFS'!$W:$W,'T1 2019 Pipeline Data Lagasco'!$G1210))/(MAX(COUNTIFS('Dec 31 2018 OFFS'!$AI:$AI,'T1 2019 Pipeline Data Lagasco'!$A1210,'Dec 31 2018 OFFS'!$U:$U,'T1 2019 Pipeline Data Lagasco'!$E1210,'Dec 31 2018 OFFS'!$AK:$AK,'T1 2019 Pipeline Data Lagasco'!$Q1210,'Dec 31 2018 OFFS'!$W:$W,'T1 2019 Pipeline Data Lagasco'!$G1210),1))</f>
        <v>0</v>
      </c>
      <c r="S1210" s="275">
        <f t="shared" si="43"/>
        <v>0</v>
      </c>
      <c r="T1210" s="217"/>
    </row>
    <row r="1211" spans="1:20" ht="14.1" customHeight="1">
      <c r="A1211" s="224" t="s">
        <v>1526</v>
      </c>
      <c r="B1211" s="218" t="s">
        <v>1515</v>
      </c>
      <c r="C1211" s="223">
        <v>1</v>
      </c>
      <c r="D1211" s="218" t="s">
        <v>1488</v>
      </c>
      <c r="E1211" s="240">
        <v>4</v>
      </c>
      <c r="F1211" s="223">
        <v>543</v>
      </c>
      <c r="G1211" s="223">
        <v>1957</v>
      </c>
      <c r="H1211" s="223">
        <v>1</v>
      </c>
      <c r="I1211" s="223">
        <v>0</v>
      </c>
      <c r="J1211" s="223"/>
      <c r="K1211" s="238">
        <v>14362.35</v>
      </c>
      <c r="L1211" s="241">
        <v>80</v>
      </c>
      <c r="M1211" s="238">
        <v>2872.47</v>
      </c>
      <c r="N1211" s="230">
        <v>26.45</v>
      </c>
      <c r="O1211" s="231">
        <v>0</v>
      </c>
      <c r="P1211" s="314"/>
      <c r="Q1211" s="276">
        <f t="shared" si="42"/>
        <v>543</v>
      </c>
      <c r="R1211" s="275">
        <f>(SUMIFS('Dec 31 2018 OFFS'!$AG:$AG,'Dec 31 2018 OFFS'!$AI:$AI,'T1 2019 Pipeline Data Lagasco'!$A1211,'Dec 31 2018 OFFS'!$U:$U,'T1 2019 Pipeline Data Lagasco'!$E1211,'Dec 31 2018 OFFS'!$AK:$AK,'T1 2019 Pipeline Data Lagasco'!$Q1211,'Dec 31 2018 OFFS'!$W:$W,'T1 2019 Pipeline Data Lagasco'!$G1211))/(MAX(COUNTIFS('Dec 31 2018 OFFS'!$AI:$AI,'T1 2019 Pipeline Data Lagasco'!$A1211,'Dec 31 2018 OFFS'!$U:$U,'T1 2019 Pipeline Data Lagasco'!$E1211,'Dec 31 2018 OFFS'!$AK:$AK,'T1 2019 Pipeline Data Lagasco'!$Q1211,'Dec 31 2018 OFFS'!$W:$W,'T1 2019 Pipeline Data Lagasco'!$G1211),1))</f>
        <v>0</v>
      </c>
      <c r="S1211" s="275">
        <f t="shared" si="43"/>
        <v>0</v>
      </c>
      <c r="T1211" s="217"/>
    </row>
    <row r="1212" spans="1:20" ht="14.1" customHeight="1">
      <c r="A1212" s="224" t="s">
        <v>1527</v>
      </c>
      <c r="B1212" s="218" t="s">
        <v>1528</v>
      </c>
      <c r="C1212" s="223">
        <v>1</v>
      </c>
      <c r="D1212" s="218" t="s">
        <v>1488</v>
      </c>
      <c r="E1212" s="240">
        <v>3</v>
      </c>
      <c r="F1212" s="230">
        <v>2848.33</v>
      </c>
      <c r="G1212" s="223">
        <v>1957</v>
      </c>
      <c r="H1212" s="223">
        <v>1</v>
      </c>
      <c r="I1212" s="223">
        <v>0</v>
      </c>
      <c r="J1212" s="223"/>
      <c r="K1212" s="228">
        <v>67192.104699999996</v>
      </c>
      <c r="L1212" s="241">
        <v>80</v>
      </c>
      <c r="M1212" s="229">
        <v>13438.42094</v>
      </c>
      <c r="N1212" s="230">
        <v>23.59</v>
      </c>
      <c r="O1212" s="231">
        <v>0</v>
      </c>
      <c r="P1212" s="314"/>
      <c r="Q1212" s="276">
        <f t="shared" si="42"/>
        <v>2848.33</v>
      </c>
      <c r="R1212" s="275">
        <f>(SUMIFS('Dec 31 2018 OFFS'!$AG:$AG,'Dec 31 2018 OFFS'!$AI:$AI,'T1 2019 Pipeline Data Lagasco'!$A1212,'Dec 31 2018 OFFS'!$U:$U,'T1 2019 Pipeline Data Lagasco'!$E1212,'Dec 31 2018 OFFS'!$AK:$AK,'T1 2019 Pipeline Data Lagasco'!$Q1212,'Dec 31 2018 OFFS'!$W:$W,'T1 2019 Pipeline Data Lagasco'!$G1212))/(MAX(COUNTIFS('Dec 31 2018 OFFS'!$AI:$AI,'T1 2019 Pipeline Data Lagasco'!$A1212,'Dec 31 2018 OFFS'!$U:$U,'T1 2019 Pipeline Data Lagasco'!$E1212,'Dec 31 2018 OFFS'!$AK:$AK,'T1 2019 Pipeline Data Lagasco'!$Q1212,'Dec 31 2018 OFFS'!$W:$W,'T1 2019 Pipeline Data Lagasco'!$G1212),1))</f>
        <v>0</v>
      </c>
      <c r="S1212" s="275">
        <f t="shared" si="43"/>
        <v>0</v>
      </c>
      <c r="T1212" s="217"/>
    </row>
    <row r="1213" spans="1:20" ht="14.1" customHeight="1">
      <c r="A1213" s="224" t="s">
        <v>1527</v>
      </c>
      <c r="B1213" s="218" t="s">
        <v>1528</v>
      </c>
      <c r="C1213" s="223">
        <v>1</v>
      </c>
      <c r="D1213" s="218" t="s">
        <v>1488</v>
      </c>
      <c r="E1213" s="240">
        <v>3</v>
      </c>
      <c r="F1213" s="232">
        <v>587.20470739999996</v>
      </c>
      <c r="G1213" s="223">
        <v>1957</v>
      </c>
      <c r="H1213" s="223">
        <v>1</v>
      </c>
      <c r="I1213" s="223">
        <v>1</v>
      </c>
      <c r="J1213" s="223"/>
      <c r="K1213" s="229">
        <v>13852.15905</v>
      </c>
      <c r="L1213" s="241">
        <v>80</v>
      </c>
      <c r="M1213" s="229">
        <v>2770.43181</v>
      </c>
      <c r="N1213" s="230">
        <v>23.59</v>
      </c>
      <c r="O1213" s="231">
        <v>2770</v>
      </c>
      <c r="P1213" s="314"/>
      <c r="Q1213" s="276">
        <f t="shared" si="42"/>
        <v>587.20000000000005</v>
      </c>
      <c r="R1213" s="275">
        <f>(SUMIFS('Dec 31 2018 OFFS'!$AG:$AG,'Dec 31 2018 OFFS'!$AI:$AI,'T1 2019 Pipeline Data Lagasco'!$A1213,'Dec 31 2018 OFFS'!$U:$U,'T1 2019 Pipeline Data Lagasco'!$E1213,'Dec 31 2018 OFFS'!$AK:$AK,'T1 2019 Pipeline Data Lagasco'!$Q1213,'Dec 31 2018 OFFS'!$W:$W,'T1 2019 Pipeline Data Lagasco'!$G1213))/(MAX(COUNTIFS('Dec 31 2018 OFFS'!$AI:$AI,'T1 2019 Pipeline Data Lagasco'!$A1213,'Dec 31 2018 OFFS'!$U:$U,'T1 2019 Pipeline Data Lagasco'!$E1213,'Dec 31 2018 OFFS'!$AK:$AK,'T1 2019 Pipeline Data Lagasco'!$Q1213,'Dec 31 2018 OFFS'!$W:$W,'T1 2019 Pipeline Data Lagasco'!$G1213),1))</f>
        <v>2770</v>
      </c>
      <c r="S1213" s="275">
        <f t="shared" si="43"/>
        <v>0</v>
      </c>
      <c r="T1213" s="217"/>
    </row>
    <row r="1214" spans="1:20" ht="14.1" customHeight="1">
      <c r="A1214" s="224" t="s">
        <v>1527</v>
      </c>
      <c r="B1214" s="218" t="s">
        <v>1528</v>
      </c>
      <c r="C1214" s="223">
        <v>1</v>
      </c>
      <c r="D1214" s="218" t="s">
        <v>1488</v>
      </c>
      <c r="E1214" s="240">
        <v>3</v>
      </c>
      <c r="F1214" s="230">
        <v>798.26</v>
      </c>
      <c r="G1214" s="223">
        <v>1957</v>
      </c>
      <c r="H1214" s="223">
        <v>1</v>
      </c>
      <c r="I1214" s="223">
        <v>0</v>
      </c>
      <c r="J1214" s="223"/>
      <c r="K1214" s="228">
        <v>18830.953399999999</v>
      </c>
      <c r="L1214" s="241">
        <v>80</v>
      </c>
      <c r="M1214" s="229">
        <v>3766.1906800000002</v>
      </c>
      <c r="N1214" s="230">
        <v>23.59</v>
      </c>
      <c r="O1214" s="231">
        <v>0</v>
      </c>
      <c r="P1214" s="314"/>
      <c r="Q1214" s="276">
        <f t="shared" si="42"/>
        <v>798.26</v>
      </c>
      <c r="R1214" s="275">
        <f>(SUMIFS('Dec 31 2018 OFFS'!$AG:$AG,'Dec 31 2018 OFFS'!$AI:$AI,'T1 2019 Pipeline Data Lagasco'!$A1214,'Dec 31 2018 OFFS'!$U:$U,'T1 2019 Pipeline Data Lagasco'!$E1214,'Dec 31 2018 OFFS'!$AK:$AK,'T1 2019 Pipeline Data Lagasco'!$Q1214,'Dec 31 2018 OFFS'!$W:$W,'T1 2019 Pipeline Data Lagasco'!$G1214))/(MAX(COUNTIFS('Dec 31 2018 OFFS'!$AI:$AI,'T1 2019 Pipeline Data Lagasco'!$A1214,'Dec 31 2018 OFFS'!$U:$U,'T1 2019 Pipeline Data Lagasco'!$E1214,'Dec 31 2018 OFFS'!$AK:$AK,'T1 2019 Pipeline Data Lagasco'!$Q1214,'Dec 31 2018 OFFS'!$W:$W,'T1 2019 Pipeline Data Lagasco'!$G1214),1))</f>
        <v>0</v>
      </c>
      <c r="S1214" s="275">
        <f t="shared" si="43"/>
        <v>0</v>
      </c>
      <c r="T1214" s="217"/>
    </row>
    <row r="1215" spans="1:20" ht="14.1" customHeight="1">
      <c r="A1215" s="224" t="s">
        <v>1527</v>
      </c>
      <c r="B1215" s="218" t="s">
        <v>1528</v>
      </c>
      <c r="C1215" s="223">
        <v>1</v>
      </c>
      <c r="D1215" s="218" t="s">
        <v>1488</v>
      </c>
      <c r="E1215" s="240">
        <v>3</v>
      </c>
      <c r="F1215" s="232">
        <v>727.03409969999996</v>
      </c>
      <c r="G1215" s="223">
        <v>1957</v>
      </c>
      <c r="H1215" s="223">
        <v>1</v>
      </c>
      <c r="I1215" s="223">
        <v>1</v>
      </c>
      <c r="J1215" s="223"/>
      <c r="K1215" s="229">
        <v>17150.734410000001</v>
      </c>
      <c r="L1215" s="241">
        <v>80</v>
      </c>
      <c r="M1215" s="233">
        <v>3430.146882</v>
      </c>
      <c r="N1215" s="230">
        <v>23.59</v>
      </c>
      <c r="O1215" s="231">
        <v>3430</v>
      </c>
      <c r="P1215" s="314"/>
      <c r="Q1215" s="276">
        <f t="shared" si="42"/>
        <v>727.03</v>
      </c>
      <c r="R1215" s="275">
        <f>(SUMIFS('Dec 31 2018 OFFS'!$AG:$AG,'Dec 31 2018 OFFS'!$AI:$AI,'T1 2019 Pipeline Data Lagasco'!$A1215,'Dec 31 2018 OFFS'!$U:$U,'T1 2019 Pipeline Data Lagasco'!$E1215,'Dec 31 2018 OFFS'!$AK:$AK,'T1 2019 Pipeline Data Lagasco'!$Q1215,'Dec 31 2018 OFFS'!$W:$W,'T1 2019 Pipeline Data Lagasco'!$G1215))/(MAX(COUNTIFS('Dec 31 2018 OFFS'!$AI:$AI,'T1 2019 Pipeline Data Lagasco'!$A1215,'Dec 31 2018 OFFS'!$U:$U,'T1 2019 Pipeline Data Lagasco'!$E1215,'Dec 31 2018 OFFS'!$AK:$AK,'T1 2019 Pipeline Data Lagasco'!$Q1215,'Dec 31 2018 OFFS'!$W:$W,'T1 2019 Pipeline Data Lagasco'!$G1215),1))</f>
        <v>3430</v>
      </c>
      <c r="S1215" s="275">
        <f t="shared" si="43"/>
        <v>0</v>
      </c>
      <c r="T1215" s="217"/>
    </row>
    <row r="1216" spans="1:20" ht="14.1" customHeight="1">
      <c r="A1216" s="224" t="s">
        <v>1527</v>
      </c>
      <c r="B1216" s="218" t="s">
        <v>1528</v>
      </c>
      <c r="C1216" s="223">
        <v>1</v>
      </c>
      <c r="D1216" s="218" t="s">
        <v>1488</v>
      </c>
      <c r="E1216" s="240">
        <v>3</v>
      </c>
      <c r="F1216" s="226">
        <v>3242.1586990000001</v>
      </c>
      <c r="G1216" s="223">
        <v>1957</v>
      </c>
      <c r="H1216" s="223">
        <v>1</v>
      </c>
      <c r="I1216" s="223">
        <v>1</v>
      </c>
      <c r="J1216" s="223"/>
      <c r="K1216" s="228">
        <v>76482.523700000005</v>
      </c>
      <c r="L1216" s="241">
        <v>80</v>
      </c>
      <c r="M1216" s="229">
        <v>15296.50474</v>
      </c>
      <c r="N1216" s="230">
        <v>23.59</v>
      </c>
      <c r="O1216" s="231">
        <v>15296</v>
      </c>
      <c r="P1216" s="314"/>
      <c r="Q1216" s="276">
        <f t="shared" si="42"/>
        <v>3242.16</v>
      </c>
      <c r="R1216" s="275">
        <f>(SUMIFS('Dec 31 2018 OFFS'!$AG:$AG,'Dec 31 2018 OFFS'!$AI:$AI,'T1 2019 Pipeline Data Lagasco'!$A1216,'Dec 31 2018 OFFS'!$U:$U,'T1 2019 Pipeline Data Lagasco'!$E1216,'Dec 31 2018 OFFS'!$AK:$AK,'T1 2019 Pipeline Data Lagasco'!$Q1216,'Dec 31 2018 OFFS'!$W:$W,'T1 2019 Pipeline Data Lagasco'!$G1216))/(MAX(COUNTIFS('Dec 31 2018 OFFS'!$AI:$AI,'T1 2019 Pipeline Data Lagasco'!$A1216,'Dec 31 2018 OFFS'!$U:$U,'T1 2019 Pipeline Data Lagasco'!$E1216,'Dec 31 2018 OFFS'!$AK:$AK,'T1 2019 Pipeline Data Lagasco'!$Q1216,'Dec 31 2018 OFFS'!$W:$W,'T1 2019 Pipeline Data Lagasco'!$G1216),1))</f>
        <v>15296</v>
      </c>
      <c r="S1216" s="275">
        <f t="shared" si="43"/>
        <v>0</v>
      </c>
      <c r="T1216" s="217"/>
    </row>
    <row r="1217" spans="1:19" s="217" customFormat="1" ht="14.1" customHeight="1">
      <c r="A1217" s="224" t="s">
        <v>1527</v>
      </c>
      <c r="B1217" s="218" t="s">
        <v>1528</v>
      </c>
      <c r="C1217" s="223">
        <v>1</v>
      </c>
      <c r="D1217" s="218" t="s">
        <v>1488</v>
      </c>
      <c r="E1217" s="240">
        <v>3</v>
      </c>
      <c r="F1217" s="230">
        <v>2185.14</v>
      </c>
      <c r="G1217" s="223">
        <v>1957</v>
      </c>
      <c r="H1217" s="223">
        <v>1</v>
      </c>
      <c r="I1217" s="223">
        <v>0</v>
      </c>
      <c r="J1217" s="223"/>
      <c r="K1217" s="228">
        <v>51547.452599999997</v>
      </c>
      <c r="L1217" s="241">
        <v>80</v>
      </c>
      <c r="M1217" s="229">
        <v>10309.490519999999</v>
      </c>
      <c r="N1217" s="230">
        <v>23.59</v>
      </c>
      <c r="O1217" s="231">
        <v>0</v>
      </c>
      <c r="P1217" s="314"/>
      <c r="Q1217" s="276">
        <f t="shared" si="42"/>
        <v>2185.14</v>
      </c>
      <c r="R1217" s="275">
        <f>(SUMIFS('Dec 31 2018 OFFS'!$AG:$AG,'Dec 31 2018 OFFS'!$AI:$AI,'T1 2019 Pipeline Data Lagasco'!$A1217,'Dec 31 2018 OFFS'!$U:$U,'T1 2019 Pipeline Data Lagasco'!$E1217,'Dec 31 2018 OFFS'!$AK:$AK,'T1 2019 Pipeline Data Lagasco'!$Q1217,'Dec 31 2018 OFFS'!$W:$W,'T1 2019 Pipeline Data Lagasco'!$G1217))/(MAX(COUNTIFS('Dec 31 2018 OFFS'!$AI:$AI,'T1 2019 Pipeline Data Lagasco'!$A1217,'Dec 31 2018 OFFS'!$U:$U,'T1 2019 Pipeline Data Lagasco'!$E1217,'Dec 31 2018 OFFS'!$AK:$AK,'T1 2019 Pipeline Data Lagasco'!$Q1217,'Dec 31 2018 OFFS'!$W:$W,'T1 2019 Pipeline Data Lagasco'!$G1217),1))</f>
        <v>0</v>
      </c>
      <c r="S1217" s="275">
        <f t="shared" si="43"/>
        <v>0</v>
      </c>
    </row>
    <row r="1218" spans="1:19" s="217" customFormat="1" ht="14.1" customHeight="1">
      <c r="A1218" s="224" t="s">
        <v>1527</v>
      </c>
      <c r="B1218" s="218" t="s">
        <v>1528</v>
      </c>
      <c r="C1218" s="223">
        <v>1</v>
      </c>
      <c r="D1218" s="218" t="s">
        <v>1488</v>
      </c>
      <c r="E1218" s="240">
        <v>3</v>
      </c>
      <c r="F1218" s="226">
        <v>2345.9316909999998</v>
      </c>
      <c r="G1218" s="223">
        <v>1957</v>
      </c>
      <c r="H1218" s="223">
        <v>1</v>
      </c>
      <c r="I1218" s="223">
        <v>1</v>
      </c>
      <c r="J1218" s="223"/>
      <c r="K1218" s="229">
        <v>55340.528579999998</v>
      </c>
      <c r="L1218" s="241">
        <v>80</v>
      </c>
      <c r="M1218" s="229">
        <v>11068.10572</v>
      </c>
      <c r="N1218" s="230">
        <v>23.59</v>
      </c>
      <c r="O1218" s="231">
        <v>11068</v>
      </c>
      <c r="P1218" s="314"/>
      <c r="Q1218" s="276">
        <f t="shared" si="42"/>
        <v>2345.9299999999998</v>
      </c>
      <c r="R1218" s="275">
        <f>(SUMIFS('Dec 31 2018 OFFS'!$AG:$AG,'Dec 31 2018 OFFS'!$AI:$AI,'T1 2019 Pipeline Data Lagasco'!$A1218,'Dec 31 2018 OFFS'!$U:$U,'T1 2019 Pipeline Data Lagasco'!$E1218,'Dec 31 2018 OFFS'!$AK:$AK,'T1 2019 Pipeline Data Lagasco'!$Q1218,'Dec 31 2018 OFFS'!$W:$W,'T1 2019 Pipeline Data Lagasco'!$G1218))/(MAX(COUNTIFS('Dec 31 2018 OFFS'!$AI:$AI,'T1 2019 Pipeline Data Lagasco'!$A1218,'Dec 31 2018 OFFS'!$U:$U,'T1 2019 Pipeline Data Lagasco'!$E1218,'Dec 31 2018 OFFS'!$AK:$AK,'T1 2019 Pipeline Data Lagasco'!$Q1218,'Dec 31 2018 OFFS'!$W:$W,'T1 2019 Pipeline Data Lagasco'!$G1218),1))</f>
        <v>11068</v>
      </c>
      <c r="S1218" s="275">
        <f t="shared" si="43"/>
        <v>0</v>
      </c>
    </row>
    <row r="1219" spans="1:19" s="217" customFormat="1" ht="14.1" customHeight="1">
      <c r="A1219" s="224" t="s">
        <v>1527</v>
      </c>
      <c r="B1219" s="218" t="s">
        <v>1528</v>
      </c>
      <c r="C1219" s="223">
        <v>1</v>
      </c>
      <c r="D1219" s="218" t="s">
        <v>1488</v>
      </c>
      <c r="E1219" s="240">
        <v>3</v>
      </c>
      <c r="F1219" s="226">
        <v>2294.8490149999998</v>
      </c>
      <c r="G1219" s="223">
        <v>1957</v>
      </c>
      <c r="H1219" s="223">
        <v>1</v>
      </c>
      <c r="I1219" s="223">
        <v>1</v>
      </c>
      <c r="J1219" s="223"/>
      <c r="K1219" s="229">
        <v>54135.488259999998</v>
      </c>
      <c r="L1219" s="241">
        <v>80</v>
      </c>
      <c r="M1219" s="229">
        <v>10827.09765</v>
      </c>
      <c r="N1219" s="230">
        <v>23.59</v>
      </c>
      <c r="O1219" s="231">
        <v>10827</v>
      </c>
      <c r="P1219" s="314"/>
      <c r="Q1219" s="276">
        <f t="shared" si="42"/>
        <v>2294.85</v>
      </c>
      <c r="R1219" s="275">
        <f>(SUMIFS('Dec 31 2018 OFFS'!$AG:$AG,'Dec 31 2018 OFFS'!$AI:$AI,'T1 2019 Pipeline Data Lagasco'!$A1219,'Dec 31 2018 OFFS'!$U:$U,'T1 2019 Pipeline Data Lagasco'!$E1219,'Dec 31 2018 OFFS'!$AK:$AK,'T1 2019 Pipeline Data Lagasco'!$Q1219,'Dec 31 2018 OFFS'!$W:$W,'T1 2019 Pipeline Data Lagasco'!$G1219))/(MAX(COUNTIFS('Dec 31 2018 OFFS'!$AI:$AI,'T1 2019 Pipeline Data Lagasco'!$A1219,'Dec 31 2018 OFFS'!$U:$U,'T1 2019 Pipeline Data Lagasco'!$E1219,'Dec 31 2018 OFFS'!$AK:$AK,'T1 2019 Pipeline Data Lagasco'!$Q1219,'Dec 31 2018 OFFS'!$W:$W,'T1 2019 Pipeline Data Lagasco'!$G1219),1))</f>
        <v>10827</v>
      </c>
      <c r="S1219" s="275">
        <f t="shared" si="43"/>
        <v>0</v>
      </c>
    </row>
    <row r="1220" spans="1:19" s="217" customFormat="1" ht="14.1" customHeight="1">
      <c r="A1220" s="224" t="s">
        <v>1527</v>
      </c>
      <c r="B1220" s="218" t="s">
        <v>1528</v>
      </c>
      <c r="C1220" s="223">
        <v>1</v>
      </c>
      <c r="D1220" s="218" t="s">
        <v>1488</v>
      </c>
      <c r="E1220" s="240">
        <v>3</v>
      </c>
      <c r="F1220" s="226">
        <v>3172.2440029999998</v>
      </c>
      <c r="G1220" s="223">
        <v>1957</v>
      </c>
      <c r="H1220" s="223">
        <v>1</v>
      </c>
      <c r="I1220" s="223">
        <v>1</v>
      </c>
      <c r="J1220" s="223"/>
      <c r="K1220" s="229">
        <v>74833.236019999997</v>
      </c>
      <c r="L1220" s="241">
        <v>80</v>
      </c>
      <c r="M1220" s="228">
        <v>14966.647199999999</v>
      </c>
      <c r="N1220" s="230">
        <v>23.59</v>
      </c>
      <c r="O1220" s="231">
        <v>14966</v>
      </c>
      <c r="P1220" s="314"/>
      <c r="Q1220" s="276">
        <f t="shared" si="42"/>
        <v>3172.24</v>
      </c>
      <c r="R1220" s="275">
        <f>(SUMIFS('Dec 31 2018 OFFS'!$AG:$AG,'Dec 31 2018 OFFS'!$AI:$AI,'T1 2019 Pipeline Data Lagasco'!$A1220,'Dec 31 2018 OFFS'!$U:$U,'T1 2019 Pipeline Data Lagasco'!$E1220,'Dec 31 2018 OFFS'!$AK:$AK,'T1 2019 Pipeline Data Lagasco'!$Q1220,'Dec 31 2018 OFFS'!$W:$W,'T1 2019 Pipeline Data Lagasco'!$G1220))/(MAX(COUNTIFS('Dec 31 2018 OFFS'!$AI:$AI,'T1 2019 Pipeline Data Lagasco'!$A1220,'Dec 31 2018 OFFS'!$U:$U,'T1 2019 Pipeline Data Lagasco'!$E1220,'Dec 31 2018 OFFS'!$AK:$AK,'T1 2019 Pipeline Data Lagasco'!$Q1220,'Dec 31 2018 OFFS'!$W:$W,'T1 2019 Pipeline Data Lagasco'!$G1220),1))</f>
        <v>14966</v>
      </c>
      <c r="S1220" s="275">
        <f t="shared" si="43"/>
        <v>0</v>
      </c>
    </row>
    <row r="1221" spans="1:19" s="217" customFormat="1" ht="14.1" customHeight="1">
      <c r="A1221" s="224" t="s">
        <v>1527</v>
      </c>
      <c r="B1221" s="218" t="s">
        <v>1528</v>
      </c>
      <c r="C1221" s="223">
        <v>1</v>
      </c>
      <c r="D1221" s="218" t="s">
        <v>1488</v>
      </c>
      <c r="E1221" s="240">
        <v>3</v>
      </c>
      <c r="F1221" s="236">
        <v>3287.7951800000001</v>
      </c>
      <c r="G1221" s="223">
        <v>1957</v>
      </c>
      <c r="H1221" s="223">
        <v>1</v>
      </c>
      <c r="I1221" s="223">
        <v>1</v>
      </c>
      <c r="J1221" s="223"/>
      <c r="K1221" s="229">
        <v>77559.088310000006</v>
      </c>
      <c r="L1221" s="241">
        <v>80</v>
      </c>
      <c r="M1221" s="229">
        <v>15511.817660000001</v>
      </c>
      <c r="N1221" s="230">
        <v>23.59</v>
      </c>
      <c r="O1221" s="231">
        <v>15511</v>
      </c>
      <c r="P1221" s="314"/>
      <c r="Q1221" s="276">
        <f t="shared" si="42"/>
        <v>3287.80</v>
      </c>
      <c r="R1221" s="275">
        <f>(SUMIFS('Dec 31 2018 OFFS'!$AG:$AG,'Dec 31 2018 OFFS'!$AI:$AI,'T1 2019 Pipeline Data Lagasco'!$A1221,'Dec 31 2018 OFFS'!$U:$U,'T1 2019 Pipeline Data Lagasco'!$E1221,'Dec 31 2018 OFFS'!$AK:$AK,'T1 2019 Pipeline Data Lagasco'!$Q1221,'Dec 31 2018 OFFS'!$W:$W,'T1 2019 Pipeline Data Lagasco'!$G1221))/(MAX(COUNTIFS('Dec 31 2018 OFFS'!$AI:$AI,'T1 2019 Pipeline Data Lagasco'!$A1221,'Dec 31 2018 OFFS'!$U:$U,'T1 2019 Pipeline Data Lagasco'!$E1221,'Dec 31 2018 OFFS'!$AK:$AK,'T1 2019 Pipeline Data Lagasco'!$Q1221,'Dec 31 2018 OFFS'!$W:$W,'T1 2019 Pipeline Data Lagasco'!$G1221),1))</f>
        <v>15511</v>
      </c>
      <c r="S1221" s="275">
        <f t="shared" si="43"/>
        <v>0</v>
      </c>
    </row>
    <row r="1222" spans="1:19" s="217" customFormat="1" ht="14.1" customHeight="1">
      <c r="A1222" s="224" t="s">
        <v>1527</v>
      </c>
      <c r="B1222" s="218" t="s">
        <v>1528</v>
      </c>
      <c r="C1222" s="223">
        <v>1</v>
      </c>
      <c r="D1222" s="218" t="s">
        <v>1488</v>
      </c>
      <c r="E1222" s="240">
        <v>4</v>
      </c>
      <c r="F1222" s="223">
        <v>10578</v>
      </c>
      <c r="G1222" s="223">
        <v>1994</v>
      </c>
      <c r="H1222" s="223">
        <v>1</v>
      </c>
      <c r="I1222" s="223">
        <v>1</v>
      </c>
      <c r="J1222" s="223"/>
      <c r="K1222" s="237">
        <v>279788.09999999998</v>
      </c>
      <c r="L1222" s="241">
        <v>68</v>
      </c>
      <c r="M1222" s="239">
        <v>89532.191999999995</v>
      </c>
      <c r="N1222" s="230">
        <v>26.45</v>
      </c>
      <c r="O1222" s="231">
        <v>89532</v>
      </c>
      <c r="P1222" s="314"/>
      <c r="Q1222" s="276">
        <f t="shared" si="42"/>
        <v>10578</v>
      </c>
      <c r="R1222" s="275">
        <f>(SUMIFS('Dec 31 2018 OFFS'!$AG:$AG,'Dec 31 2018 OFFS'!$AI:$AI,'T1 2019 Pipeline Data Lagasco'!$A1222,'Dec 31 2018 OFFS'!$U:$U,'T1 2019 Pipeline Data Lagasco'!$E1222,'Dec 31 2018 OFFS'!$AK:$AK,'T1 2019 Pipeline Data Lagasco'!$Q1222,'Dec 31 2018 OFFS'!$W:$W,'T1 2019 Pipeline Data Lagasco'!$G1222))/(MAX(COUNTIFS('Dec 31 2018 OFFS'!$AI:$AI,'T1 2019 Pipeline Data Lagasco'!$A1222,'Dec 31 2018 OFFS'!$U:$U,'T1 2019 Pipeline Data Lagasco'!$E1222,'Dec 31 2018 OFFS'!$AK:$AK,'T1 2019 Pipeline Data Lagasco'!$Q1222,'Dec 31 2018 OFFS'!$W:$W,'T1 2019 Pipeline Data Lagasco'!$G1222),1))</f>
        <v>89532</v>
      </c>
      <c r="S1222" s="275">
        <f t="shared" si="43"/>
        <v>0</v>
      </c>
    </row>
    <row r="1223" spans="1:19" s="217" customFormat="1" ht="14.1" customHeight="1">
      <c r="A1223" s="224" t="s">
        <v>1527</v>
      </c>
      <c r="B1223" s="218" t="s">
        <v>1528</v>
      </c>
      <c r="C1223" s="223">
        <v>1</v>
      </c>
      <c r="D1223" s="218" t="s">
        <v>1488</v>
      </c>
      <c r="E1223" s="240">
        <v>4</v>
      </c>
      <c r="F1223" s="236">
        <v>9167.5194200000005</v>
      </c>
      <c r="G1223" s="223">
        <v>1994</v>
      </c>
      <c r="H1223" s="223">
        <v>1</v>
      </c>
      <c r="I1223" s="223">
        <v>1</v>
      </c>
      <c r="J1223" s="223"/>
      <c r="K1223" s="228">
        <v>242480.88860000001</v>
      </c>
      <c r="L1223" s="241">
        <v>68</v>
      </c>
      <c r="M1223" s="229">
        <v>77593.88437</v>
      </c>
      <c r="N1223" s="230">
        <v>26.45</v>
      </c>
      <c r="O1223" s="231">
        <v>77593</v>
      </c>
      <c r="P1223" s="314"/>
      <c r="Q1223" s="276">
        <f t="shared" si="42"/>
        <v>9167.52</v>
      </c>
      <c r="R1223" s="275">
        <f>(SUMIFS('Dec 31 2018 OFFS'!$AG:$AG,'Dec 31 2018 OFFS'!$AI:$AI,'T1 2019 Pipeline Data Lagasco'!$A1223,'Dec 31 2018 OFFS'!$U:$U,'T1 2019 Pipeline Data Lagasco'!$E1223,'Dec 31 2018 OFFS'!$AK:$AK,'T1 2019 Pipeline Data Lagasco'!$Q1223,'Dec 31 2018 OFFS'!$W:$W,'T1 2019 Pipeline Data Lagasco'!$G1223))/(MAX(COUNTIFS('Dec 31 2018 OFFS'!$AI:$AI,'T1 2019 Pipeline Data Lagasco'!$A1223,'Dec 31 2018 OFFS'!$U:$U,'T1 2019 Pipeline Data Lagasco'!$E1223,'Dec 31 2018 OFFS'!$AK:$AK,'T1 2019 Pipeline Data Lagasco'!$Q1223,'Dec 31 2018 OFFS'!$W:$W,'T1 2019 Pipeline Data Lagasco'!$G1223),1))</f>
        <v>77593</v>
      </c>
      <c r="S1223" s="275">
        <f t="shared" si="43"/>
        <v>0</v>
      </c>
    </row>
    <row r="1224" spans="1:19" s="217" customFormat="1" ht="14.1" customHeight="1">
      <c r="A1224" s="224" t="s">
        <v>1527</v>
      </c>
      <c r="B1224" s="218" t="s">
        <v>1528</v>
      </c>
      <c r="C1224" s="223">
        <v>1</v>
      </c>
      <c r="D1224" s="218" t="s">
        <v>1488</v>
      </c>
      <c r="E1224" s="240">
        <v>4</v>
      </c>
      <c r="F1224" s="223">
        <v>2180</v>
      </c>
      <c r="G1224" s="223">
        <v>1992</v>
      </c>
      <c r="H1224" s="223">
        <v>1</v>
      </c>
      <c r="I1224" s="223">
        <v>1</v>
      </c>
      <c r="J1224" s="223"/>
      <c r="K1224" s="240">
        <v>57661</v>
      </c>
      <c r="L1224" s="241">
        <v>71</v>
      </c>
      <c r="M1224" s="238">
        <v>16721.689999999999</v>
      </c>
      <c r="N1224" s="230">
        <v>26.45</v>
      </c>
      <c r="O1224" s="231">
        <v>16721</v>
      </c>
      <c r="P1224" s="314"/>
      <c r="Q1224" s="276">
        <f t="shared" si="42"/>
        <v>2180</v>
      </c>
      <c r="R1224" s="275">
        <f>(SUMIFS('Dec 31 2018 OFFS'!$AG:$AG,'Dec 31 2018 OFFS'!$AI:$AI,'T1 2019 Pipeline Data Lagasco'!$A1224,'Dec 31 2018 OFFS'!$U:$U,'T1 2019 Pipeline Data Lagasco'!$E1224,'Dec 31 2018 OFFS'!$AK:$AK,'T1 2019 Pipeline Data Lagasco'!$Q1224,'Dec 31 2018 OFFS'!$W:$W,'T1 2019 Pipeline Data Lagasco'!$G1224))/(MAX(COUNTIFS('Dec 31 2018 OFFS'!$AI:$AI,'T1 2019 Pipeline Data Lagasco'!$A1224,'Dec 31 2018 OFFS'!$U:$U,'T1 2019 Pipeline Data Lagasco'!$E1224,'Dec 31 2018 OFFS'!$AK:$AK,'T1 2019 Pipeline Data Lagasco'!$Q1224,'Dec 31 2018 OFFS'!$W:$W,'T1 2019 Pipeline Data Lagasco'!$G1224),1))</f>
        <v>16721</v>
      </c>
      <c r="S1224" s="275">
        <f t="shared" si="43"/>
        <v>0</v>
      </c>
    </row>
    <row r="1225" spans="1:19" s="217" customFormat="1" ht="14.1" customHeight="1">
      <c r="A1225" s="224" t="s">
        <v>1527</v>
      </c>
      <c r="B1225" s="218" t="s">
        <v>1528</v>
      </c>
      <c r="C1225" s="223">
        <v>1</v>
      </c>
      <c r="D1225" s="218" t="s">
        <v>1488</v>
      </c>
      <c r="E1225" s="240">
        <v>4</v>
      </c>
      <c r="F1225" s="223">
        <v>4367</v>
      </c>
      <c r="G1225" s="223">
        <v>1992</v>
      </c>
      <c r="H1225" s="223">
        <v>1</v>
      </c>
      <c r="I1225" s="223">
        <v>1</v>
      </c>
      <c r="J1225" s="223"/>
      <c r="K1225" s="238">
        <v>115507.15</v>
      </c>
      <c r="L1225" s="241">
        <v>71</v>
      </c>
      <c r="M1225" s="228">
        <v>33497.073499999999</v>
      </c>
      <c r="N1225" s="230">
        <v>26.45</v>
      </c>
      <c r="O1225" s="231">
        <v>33497</v>
      </c>
      <c r="P1225" s="314"/>
      <c r="Q1225" s="276">
        <f t="shared" si="42"/>
        <v>4367</v>
      </c>
      <c r="R1225" s="275">
        <f>(SUMIFS('Dec 31 2018 OFFS'!$AG:$AG,'Dec 31 2018 OFFS'!$AI:$AI,'T1 2019 Pipeline Data Lagasco'!$A1225,'Dec 31 2018 OFFS'!$U:$U,'T1 2019 Pipeline Data Lagasco'!$E1225,'Dec 31 2018 OFFS'!$AK:$AK,'T1 2019 Pipeline Data Lagasco'!$Q1225,'Dec 31 2018 OFFS'!$W:$W,'T1 2019 Pipeline Data Lagasco'!$G1225))/(MAX(COUNTIFS('Dec 31 2018 OFFS'!$AI:$AI,'T1 2019 Pipeline Data Lagasco'!$A1225,'Dec 31 2018 OFFS'!$U:$U,'T1 2019 Pipeline Data Lagasco'!$E1225,'Dec 31 2018 OFFS'!$AK:$AK,'T1 2019 Pipeline Data Lagasco'!$Q1225,'Dec 31 2018 OFFS'!$W:$W,'T1 2019 Pipeline Data Lagasco'!$G1225),1))</f>
        <v>33497</v>
      </c>
      <c r="S1225" s="275">
        <f t="shared" si="43"/>
        <v>0</v>
      </c>
    </row>
    <row r="1226" spans="1:19" s="217" customFormat="1" ht="14.1" customHeight="1">
      <c r="A1226" s="224" t="s">
        <v>1527</v>
      </c>
      <c r="B1226" s="218" t="s">
        <v>1528</v>
      </c>
      <c r="C1226" s="223">
        <v>1</v>
      </c>
      <c r="D1226" s="218" t="s">
        <v>1488</v>
      </c>
      <c r="E1226" s="240">
        <v>4</v>
      </c>
      <c r="F1226" s="223">
        <v>3992</v>
      </c>
      <c r="G1226" s="223">
        <v>1994</v>
      </c>
      <c r="H1226" s="223">
        <v>1</v>
      </c>
      <c r="I1226" s="223">
        <v>1</v>
      </c>
      <c r="J1226" s="223"/>
      <c r="K1226" s="237">
        <v>105588.40</v>
      </c>
      <c r="L1226" s="241">
        <v>68</v>
      </c>
      <c r="M1226" s="239">
        <v>33788.288</v>
      </c>
      <c r="N1226" s="230">
        <v>26.45</v>
      </c>
      <c r="O1226" s="231">
        <v>33788</v>
      </c>
      <c r="P1226" s="314"/>
      <c r="Q1226" s="276">
        <f t="shared" si="42"/>
        <v>3992</v>
      </c>
      <c r="R1226" s="275">
        <f>(SUMIFS('Dec 31 2018 OFFS'!$AG:$AG,'Dec 31 2018 OFFS'!$AI:$AI,'T1 2019 Pipeline Data Lagasco'!$A1226,'Dec 31 2018 OFFS'!$U:$U,'T1 2019 Pipeline Data Lagasco'!$E1226,'Dec 31 2018 OFFS'!$AK:$AK,'T1 2019 Pipeline Data Lagasco'!$Q1226,'Dec 31 2018 OFFS'!$W:$W,'T1 2019 Pipeline Data Lagasco'!$G1226))/(MAX(COUNTIFS('Dec 31 2018 OFFS'!$AI:$AI,'T1 2019 Pipeline Data Lagasco'!$A1226,'Dec 31 2018 OFFS'!$U:$U,'T1 2019 Pipeline Data Lagasco'!$E1226,'Dec 31 2018 OFFS'!$AK:$AK,'T1 2019 Pipeline Data Lagasco'!$Q1226,'Dec 31 2018 OFFS'!$W:$W,'T1 2019 Pipeline Data Lagasco'!$G1226),1))</f>
        <v>33788</v>
      </c>
      <c r="S1226" s="275">
        <f t="shared" si="43"/>
        <v>0</v>
      </c>
    </row>
    <row r="1227" spans="1:19" s="217" customFormat="1" ht="14.1" customHeight="1">
      <c r="A1227" s="224" t="s">
        <v>1527</v>
      </c>
      <c r="B1227" s="218" t="s">
        <v>1528</v>
      </c>
      <c r="C1227" s="223">
        <v>1</v>
      </c>
      <c r="D1227" s="218" t="s">
        <v>1488</v>
      </c>
      <c r="E1227" s="240">
        <v>4</v>
      </c>
      <c r="F1227" s="223">
        <v>3838</v>
      </c>
      <c r="G1227" s="223">
        <v>1996</v>
      </c>
      <c r="H1227" s="223">
        <v>1</v>
      </c>
      <c r="I1227" s="223">
        <v>1</v>
      </c>
      <c r="J1227" s="223"/>
      <c r="K1227" s="237">
        <v>101515.10</v>
      </c>
      <c r="L1227" s="241">
        <v>66</v>
      </c>
      <c r="M1227" s="239">
        <v>34515.133999999998</v>
      </c>
      <c r="N1227" s="230">
        <v>26.45</v>
      </c>
      <c r="O1227" s="231">
        <v>34515</v>
      </c>
      <c r="P1227" s="314"/>
      <c r="Q1227" s="276">
        <f t="shared" si="42"/>
        <v>3838</v>
      </c>
      <c r="R1227" s="275">
        <f>(SUMIFS('Dec 31 2018 OFFS'!$AG:$AG,'Dec 31 2018 OFFS'!$AI:$AI,'T1 2019 Pipeline Data Lagasco'!$A1227,'Dec 31 2018 OFFS'!$U:$U,'T1 2019 Pipeline Data Lagasco'!$E1227,'Dec 31 2018 OFFS'!$AK:$AK,'T1 2019 Pipeline Data Lagasco'!$Q1227,'Dec 31 2018 OFFS'!$W:$W,'T1 2019 Pipeline Data Lagasco'!$G1227))/(MAX(COUNTIFS('Dec 31 2018 OFFS'!$AI:$AI,'T1 2019 Pipeline Data Lagasco'!$A1227,'Dec 31 2018 OFFS'!$U:$U,'T1 2019 Pipeline Data Lagasco'!$E1227,'Dec 31 2018 OFFS'!$AK:$AK,'T1 2019 Pipeline Data Lagasco'!$Q1227,'Dec 31 2018 OFFS'!$W:$W,'T1 2019 Pipeline Data Lagasco'!$G1227),1))</f>
        <v>34515</v>
      </c>
      <c r="S1227" s="275">
        <f t="shared" si="43"/>
        <v>0</v>
      </c>
    </row>
    <row r="1228" spans="1:19" s="217" customFormat="1" ht="14.1" customHeight="1">
      <c r="A1228" s="224" t="s">
        <v>1527</v>
      </c>
      <c r="B1228" s="218" t="s">
        <v>1528</v>
      </c>
      <c r="C1228" s="223">
        <v>1</v>
      </c>
      <c r="D1228" s="218" t="s">
        <v>1488</v>
      </c>
      <c r="E1228" s="240">
        <v>4</v>
      </c>
      <c r="F1228" s="223">
        <v>780</v>
      </c>
      <c r="G1228" s="223">
        <v>1994</v>
      </c>
      <c r="H1228" s="223">
        <v>1</v>
      </c>
      <c r="I1228" s="223">
        <v>1</v>
      </c>
      <c r="J1228" s="223"/>
      <c r="K1228" s="240">
        <v>20631</v>
      </c>
      <c r="L1228" s="241">
        <v>68</v>
      </c>
      <c r="M1228" s="238">
        <v>6601.92</v>
      </c>
      <c r="N1228" s="230">
        <v>26.45</v>
      </c>
      <c r="O1228" s="231">
        <v>6601</v>
      </c>
      <c r="P1228" s="314"/>
      <c r="Q1228" s="276">
        <f t="shared" si="42"/>
        <v>780</v>
      </c>
      <c r="R1228" s="275">
        <f>(SUMIFS('Dec 31 2018 OFFS'!$AG:$AG,'Dec 31 2018 OFFS'!$AI:$AI,'T1 2019 Pipeline Data Lagasco'!$A1228,'Dec 31 2018 OFFS'!$U:$U,'T1 2019 Pipeline Data Lagasco'!$E1228,'Dec 31 2018 OFFS'!$AK:$AK,'T1 2019 Pipeline Data Lagasco'!$Q1228,'Dec 31 2018 OFFS'!$W:$W,'T1 2019 Pipeline Data Lagasco'!$G1228))/(MAX(COUNTIFS('Dec 31 2018 OFFS'!$AI:$AI,'T1 2019 Pipeline Data Lagasco'!$A1228,'Dec 31 2018 OFFS'!$U:$U,'T1 2019 Pipeline Data Lagasco'!$E1228,'Dec 31 2018 OFFS'!$AK:$AK,'T1 2019 Pipeline Data Lagasco'!$Q1228,'Dec 31 2018 OFFS'!$W:$W,'T1 2019 Pipeline Data Lagasco'!$G1228),1))</f>
        <v>6601</v>
      </c>
      <c r="S1228" s="275">
        <f t="shared" si="43"/>
        <v>0</v>
      </c>
    </row>
    <row r="1229" spans="1:19" s="217" customFormat="1" ht="14.1" customHeight="1">
      <c r="A1229" s="224" t="s">
        <v>1527</v>
      </c>
      <c r="B1229" s="218" t="s">
        <v>1528</v>
      </c>
      <c r="C1229" s="223">
        <v>1</v>
      </c>
      <c r="D1229" s="218" t="s">
        <v>1488</v>
      </c>
      <c r="E1229" s="240">
        <v>3</v>
      </c>
      <c r="F1229" s="223">
        <v>2058</v>
      </c>
      <c r="G1229" s="223">
        <v>1957</v>
      </c>
      <c r="H1229" s="223">
        <v>1</v>
      </c>
      <c r="I1229" s="223">
        <v>0</v>
      </c>
      <c r="J1229" s="223"/>
      <c r="K1229" s="238">
        <v>48548.22</v>
      </c>
      <c r="L1229" s="241">
        <v>80</v>
      </c>
      <c r="M1229" s="239">
        <v>9709.6440000000002</v>
      </c>
      <c r="N1229" s="230">
        <v>23.59</v>
      </c>
      <c r="O1229" s="231">
        <v>0</v>
      </c>
      <c r="P1229" s="314"/>
      <c r="Q1229" s="276">
        <f t="shared" si="42"/>
        <v>2058</v>
      </c>
      <c r="R1229" s="275">
        <f>(SUMIFS('Dec 31 2018 OFFS'!$AG:$AG,'Dec 31 2018 OFFS'!$AI:$AI,'T1 2019 Pipeline Data Lagasco'!$A1229,'Dec 31 2018 OFFS'!$U:$U,'T1 2019 Pipeline Data Lagasco'!$E1229,'Dec 31 2018 OFFS'!$AK:$AK,'T1 2019 Pipeline Data Lagasco'!$Q1229,'Dec 31 2018 OFFS'!$W:$W,'T1 2019 Pipeline Data Lagasco'!$G1229))/(MAX(COUNTIFS('Dec 31 2018 OFFS'!$AI:$AI,'T1 2019 Pipeline Data Lagasco'!$A1229,'Dec 31 2018 OFFS'!$U:$U,'T1 2019 Pipeline Data Lagasco'!$E1229,'Dec 31 2018 OFFS'!$AK:$AK,'T1 2019 Pipeline Data Lagasco'!$Q1229,'Dec 31 2018 OFFS'!$W:$W,'T1 2019 Pipeline Data Lagasco'!$G1229),1))</f>
        <v>0</v>
      </c>
      <c r="S1229" s="275">
        <f t="shared" si="43"/>
        <v>0</v>
      </c>
    </row>
    <row r="1230" spans="1:19" s="217" customFormat="1" ht="14.1" customHeight="1">
      <c r="A1230" s="224" t="s">
        <v>1529</v>
      </c>
      <c r="B1230" s="218" t="s">
        <v>1530</v>
      </c>
      <c r="C1230" s="223">
        <v>1</v>
      </c>
      <c r="D1230" s="218" t="s">
        <v>1488</v>
      </c>
      <c r="E1230" s="240">
        <v>3</v>
      </c>
      <c r="F1230" s="223">
        <v>2599</v>
      </c>
      <c r="G1230" s="223">
        <v>2005</v>
      </c>
      <c r="H1230" s="223">
        <v>1</v>
      </c>
      <c r="I1230" s="223">
        <v>1</v>
      </c>
      <c r="J1230" s="223"/>
      <c r="K1230" s="238">
        <v>61310.41</v>
      </c>
      <c r="L1230" s="241">
        <v>54</v>
      </c>
      <c r="M1230" s="228">
        <v>28202.7886</v>
      </c>
      <c r="N1230" s="230">
        <v>23.59</v>
      </c>
      <c r="O1230" s="231">
        <v>28202</v>
      </c>
      <c r="P1230" s="314"/>
      <c r="Q1230" s="276">
        <f t="shared" si="42"/>
        <v>2599</v>
      </c>
      <c r="R1230" s="275">
        <f>(SUMIFS('Dec 31 2018 OFFS'!$AG:$AG,'Dec 31 2018 OFFS'!$AI:$AI,'T1 2019 Pipeline Data Lagasco'!$A1230,'Dec 31 2018 OFFS'!$U:$U,'T1 2019 Pipeline Data Lagasco'!$E1230,'Dec 31 2018 OFFS'!$AK:$AK,'T1 2019 Pipeline Data Lagasco'!$Q1230,'Dec 31 2018 OFFS'!$W:$W,'T1 2019 Pipeline Data Lagasco'!$G1230))/(MAX(COUNTIFS('Dec 31 2018 OFFS'!$AI:$AI,'T1 2019 Pipeline Data Lagasco'!$A1230,'Dec 31 2018 OFFS'!$U:$U,'T1 2019 Pipeline Data Lagasco'!$E1230,'Dec 31 2018 OFFS'!$AK:$AK,'T1 2019 Pipeline Data Lagasco'!$Q1230,'Dec 31 2018 OFFS'!$W:$W,'T1 2019 Pipeline Data Lagasco'!$G1230),1))</f>
        <v>28202</v>
      </c>
      <c r="S1230" s="275">
        <f t="shared" si="43"/>
        <v>0</v>
      </c>
    </row>
    <row r="1231" spans="1:19" s="217" customFormat="1" ht="14.1" customHeight="1">
      <c r="A1231" s="224" t="s">
        <v>1529</v>
      </c>
      <c r="B1231" s="218" t="s">
        <v>1530</v>
      </c>
      <c r="C1231" s="223">
        <v>1</v>
      </c>
      <c r="D1231" s="218" t="s">
        <v>1488</v>
      </c>
      <c r="E1231" s="240">
        <v>4</v>
      </c>
      <c r="F1231" s="236">
        <v>11196.029860000001</v>
      </c>
      <c r="G1231" s="223">
        <v>1994</v>
      </c>
      <c r="H1231" s="223">
        <v>1</v>
      </c>
      <c r="I1231" s="223">
        <v>1</v>
      </c>
      <c r="J1231" s="223"/>
      <c r="K1231" s="228">
        <v>296134.98979999998</v>
      </c>
      <c r="L1231" s="241">
        <v>68</v>
      </c>
      <c r="M1231" s="229">
        <v>94763.196729999996</v>
      </c>
      <c r="N1231" s="230">
        <v>26.45</v>
      </c>
      <c r="O1231" s="231">
        <v>94763</v>
      </c>
      <c r="P1231" s="314"/>
      <c r="Q1231" s="276">
        <f t="shared" si="42"/>
        <v>11196.03</v>
      </c>
      <c r="R1231" s="275">
        <f>(SUMIFS('Dec 31 2018 OFFS'!$AG:$AG,'Dec 31 2018 OFFS'!$AI:$AI,'T1 2019 Pipeline Data Lagasco'!$A1231,'Dec 31 2018 OFFS'!$U:$U,'T1 2019 Pipeline Data Lagasco'!$E1231,'Dec 31 2018 OFFS'!$AK:$AK,'T1 2019 Pipeline Data Lagasco'!$Q1231,'Dec 31 2018 OFFS'!$W:$W,'T1 2019 Pipeline Data Lagasco'!$G1231))/(MAX(COUNTIFS('Dec 31 2018 OFFS'!$AI:$AI,'T1 2019 Pipeline Data Lagasco'!$A1231,'Dec 31 2018 OFFS'!$U:$U,'T1 2019 Pipeline Data Lagasco'!$E1231,'Dec 31 2018 OFFS'!$AK:$AK,'T1 2019 Pipeline Data Lagasco'!$Q1231,'Dec 31 2018 OFFS'!$W:$W,'T1 2019 Pipeline Data Lagasco'!$G1231),1))</f>
        <v>94763</v>
      </c>
      <c r="S1231" s="275">
        <f t="shared" si="43"/>
        <v>0</v>
      </c>
    </row>
    <row r="1232" spans="1:19" s="217" customFormat="1" ht="14.1" customHeight="1">
      <c r="A1232" s="224" t="s">
        <v>1529</v>
      </c>
      <c r="B1232" s="218" t="s">
        <v>1530</v>
      </c>
      <c r="C1232" s="223">
        <v>1</v>
      </c>
      <c r="D1232" s="218" t="s">
        <v>1488</v>
      </c>
      <c r="E1232" s="240">
        <v>4</v>
      </c>
      <c r="F1232" s="236">
        <v>13748.982540000001</v>
      </c>
      <c r="G1232" s="223">
        <v>1994</v>
      </c>
      <c r="H1232" s="223">
        <v>1</v>
      </c>
      <c r="I1232" s="223">
        <v>1</v>
      </c>
      <c r="J1232" s="223"/>
      <c r="K1232" s="228">
        <v>363660.5882</v>
      </c>
      <c r="L1232" s="241">
        <v>68</v>
      </c>
      <c r="M1232" s="228">
        <v>116371.3882</v>
      </c>
      <c r="N1232" s="230">
        <v>26.45</v>
      </c>
      <c r="O1232" s="231">
        <v>116371</v>
      </c>
      <c r="P1232" s="314"/>
      <c r="Q1232" s="276">
        <f t="shared" si="42"/>
        <v>13748.98</v>
      </c>
      <c r="R1232" s="275">
        <f>(SUMIFS('Dec 31 2018 OFFS'!$AG:$AG,'Dec 31 2018 OFFS'!$AI:$AI,'T1 2019 Pipeline Data Lagasco'!$A1232,'Dec 31 2018 OFFS'!$U:$U,'T1 2019 Pipeline Data Lagasco'!$E1232,'Dec 31 2018 OFFS'!$AK:$AK,'T1 2019 Pipeline Data Lagasco'!$Q1232,'Dec 31 2018 OFFS'!$W:$W,'T1 2019 Pipeline Data Lagasco'!$G1232))/(MAX(COUNTIFS('Dec 31 2018 OFFS'!$AI:$AI,'T1 2019 Pipeline Data Lagasco'!$A1232,'Dec 31 2018 OFFS'!$U:$U,'T1 2019 Pipeline Data Lagasco'!$E1232,'Dec 31 2018 OFFS'!$AK:$AK,'T1 2019 Pipeline Data Lagasco'!$Q1232,'Dec 31 2018 OFFS'!$W:$W,'T1 2019 Pipeline Data Lagasco'!$G1232),1))</f>
        <v>116371</v>
      </c>
      <c r="S1232" s="275">
        <f t="shared" si="43"/>
        <v>0</v>
      </c>
    </row>
    <row r="1233" spans="1:19" s="217" customFormat="1" ht="14.1" customHeight="1">
      <c r="A1233" s="224" t="s">
        <v>1529</v>
      </c>
      <c r="B1233" s="218" t="s">
        <v>1530</v>
      </c>
      <c r="C1233" s="223">
        <v>1</v>
      </c>
      <c r="D1233" s="218" t="s">
        <v>1488</v>
      </c>
      <c r="E1233" s="240">
        <v>4</v>
      </c>
      <c r="F1233" s="236">
        <v>13593.50354</v>
      </c>
      <c r="G1233" s="223">
        <v>1994</v>
      </c>
      <c r="H1233" s="223">
        <v>1</v>
      </c>
      <c r="I1233" s="223">
        <v>1</v>
      </c>
      <c r="J1233" s="223"/>
      <c r="K1233" s="228">
        <v>359548.16869999998</v>
      </c>
      <c r="L1233" s="241">
        <v>68</v>
      </c>
      <c r="M1233" s="239">
        <v>115055.414</v>
      </c>
      <c r="N1233" s="230">
        <v>26.45</v>
      </c>
      <c r="O1233" s="231">
        <v>115055</v>
      </c>
      <c r="P1233" s="314"/>
      <c r="Q1233" s="276">
        <f t="shared" si="42"/>
        <v>13593.50</v>
      </c>
      <c r="R1233" s="275">
        <f>(SUMIFS('Dec 31 2018 OFFS'!$AG:$AG,'Dec 31 2018 OFFS'!$AI:$AI,'T1 2019 Pipeline Data Lagasco'!$A1233,'Dec 31 2018 OFFS'!$U:$U,'T1 2019 Pipeline Data Lagasco'!$E1233,'Dec 31 2018 OFFS'!$AK:$AK,'T1 2019 Pipeline Data Lagasco'!$Q1233,'Dec 31 2018 OFFS'!$W:$W,'T1 2019 Pipeline Data Lagasco'!$G1233))/(MAX(COUNTIFS('Dec 31 2018 OFFS'!$AI:$AI,'T1 2019 Pipeline Data Lagasco'!$A1233,'Dec 31 2018 OFFS'!$U:$U,'T1 2019 Pipeline Data Lagasco'!$E1233,'Dec 31 2018 OFFS'!$AK:$AK,'T1 2019 Pipeline Data Lagasco'!$Q1233,'Dec 31 2018 OFFS'!$W:$W,'T1 2019 Pipeline Data Lagasco'!$G1233),1))</f>
        <v>115055</v>
      </c>
      <c r="S1233" s="275">
        <f t="shared" si="43"/>
        <v>0</v>
      </c>
    </row>
    <row r="1234" spans="1:19" s="217" customFormat="1" ht="14.1" customHeight="1">
      <c r="A1234" s="224" t="s">
        <v>1529</v>
      </c>
      <c r="B1234" s="218" t="s">
        <v>1530</v>
      </c>
      <c r="C1234" s="223">
        <v>1</v>
      </c>
      <c r="D1234" s="218" t="s">
        <v>1488</v>
      </c>
      <c r="E1234" s="240">
        <v>4</v>
      </c>
      <c r="F1234" s="226">
        <v>3182.6770729999998</v>
      </c>
      <c r="G1234" s="223">
        <v>1994</v>
      </c>
      <c r="H1234" s="223">
        <v>1</v>
      </c>
      <c r="I1234" s="223">
        <v>1</v>
      </c>
      <c r="J1234" s="223"/>
      <c r="K1234" s="229">
        <v>84181.808590000001</v>
      </c>
      <c r="L1234" s="241">
        <v>68</v>
      </c>
      <c r="M1234" s="229">
        <v>26938.178749999999</v>
      </c>
      <c r="N1234" s="230">
        <v>26.45</v>
      </c>
      <c r="O1234" s="231">
        <v>26938</v>
      </c>
      <c r="P1234" s="314"/>
      <c r="Q1234" s="276">
        <f t="shared" si="42"/>
        <v>3182.68</v>
      </c>
      <c r="R1234" s="275">
        <f>(SUMIFS('Dec 31 2018 OFFS'!$AG:$AG,'Dec 31 2018 OFFS'!$AI:$AI,'T1 2019 Pipeline Data Lagasco'!$A1234,'Dec 31 2018 OFFS'!$U:$U,'T1 2019 Pipeline Data Lagasco'!$E1234,'Dec 31 2018 OFFS'!$AK:$AK,'T1 2019 Pipeline Data Lagasco'!$Q1234,'Dec 31 2018 OFFS'!$W:$W,'T1 2019 Pipeline Data Lagasco'!$G1234))/(MAX(COUNTIFS('Dec 31 2018 OFFS'!$AI:$AI,'T1 2019 Pipeline Data Lagasco'!$A1234,'Dec 31 2018 OFFS'!$U:$U,'T1 2019 Pipeline Data Lagasco'!$E1234,'Dec 31 2018 OFFS'!$AK:$AK,'T1 2019 Pipeline Data Lagasco'!$Q1234,'Dec 31 2018 OFFS'!$W:$W,'T1 2019 Pipeline Data Lagasco'!$G1234),1))</f>
        <v>26938</v>
      </c>
      <c r="S1234" s="275">
        <f t="shared" si="43"/>
        <v>0</v>
      </c>
    </row>
    <row r="1235" spans="1:19" s="217" customFormat="1" ht="14.1" customHeight="1">
      <c r="A1235" s="224" t="s">
        <v>1529</v>
      </c>
      <c r="B1235" s="218" t="s">
        <v>1530</v>
      </c>
      <c r="C1235" s="223">
        <v>1</v>
      </c>
      <c r="D1235" s="218" t="s">
        <v>1488</v>
      </c>
      <c r="E1235" s="240">
        <v>4</v>
      </c>
      <c r="F1235" s="236">
        <v>14010.99041</v>
      </c>
      <c r="G1235" s="223">
        <v>1994</v>
      </c>
      <c r="H1235" s="223">
        <v>1</v>
      </c>
      <c r="I1235" s="223">
        <v>1</v>
      </c>
      <c r="J1235" s="223"/>
      <c r="K1235" s="228">
        <v>370590.69630000001</v>
      </c>
      <c r="L1235" s="241">
        <v>68</v>
      </c>
      <c r="M1235" s="228">
        <v>118589.02280000001</v>
      </c>
      <c r="N1235" s="230">
        <v>26.45</v>
      </c>
      <c r="O1235" s="231">
        <v>118589</v>
      </c>
      <c r="P1235" s="314"/>
      <c r="Q1235" s="276">
        <f t="shared" si="42"/>
        <v>14010.99</v>
      </c>
      <c r="R1235" s="275">
        <f>(SUMIFS('Dec 31 2018 OFFS'!$AG:$AG,'Dec 31 2018 OFFS'!$AI:$AI,'T1 2019 Pipeline Data Lagasco'!$A1235,'Dec 31 2018 OFFS'!$U:$U,'T1 2019 Pipeline Data Lagasco'!$E1235,'Dec 31 2018 OFFS'!$AK:$AK,'T1 2019 Pipeline Data Lagasco'!$Q1235,'Dec 31 2018 OFFS'!$W:$W,'T1 2019 Pipeline Data Lagasco'!$G1235))/(MAX(COUNTIFS('Dec 31 2018 OFFS'!$AI:$AI,'T1 2019 Pipeline Data Lagasco'!$A1235,'Dec 31 2018 OFFS'!$U:$U,'T1 2019 Pipeline Data Lagasco'!$E1235,'Dec 31 2018 OFFS'!$AK:$AK,'T1 2019 Pipeline Data Lagasco'!$Q1235,'Dec 31 2018 OFFS'!$W:$W,'T1 2019 Pipeline Data Lagasco'!$G1235),1))</f>
        <v>118589</v>
      </c>
      <c r="S1235" s="275">
        <f t="shared" si="43"/>
        <v>0</v>
      </c>
    </row>
    <row r="1236" spans="1:19" s="217" customFormat="1" ht="14.1" customHeight="1">
      <c r="A1236" s="224" t="s">
        <v>1529</v>
      </c>
      <c r="B1236" s="218" t="s">
        <v>1530</v>
      </c>
      <c r="C1236" s="223">
        <v>1</v>
      </c>
      <c r="D1236" s="218" t="s">
        <v>1488</v>
      </c>
      <c r="E1236" s="240">
        <v>4</v>
      </c>
      <c r="F1236" s="223">
        <v>8411</v>
      </c>
      <c r="G1236" s="223">
        <v>1994</v>
      </c>
      <c r="H1236" s="223">
        <v>1</v>
      </c>
      <c r="I1236" s="223">
        <v>1</v>
      </c>
      <c r="J1236" s="223"/>
      <c r="K1236" s="238">
        <v>222470.95</v>
      </c>
      <c r="L1236" s="241">
        <v>68</v>
      </c>
      <c r="M1236" s="239">
        <v>71190.703999999998</v>
      </c>
      <c r="N1236" s="230">
        <v>26.45</v>
      </c>
      <c r="O1236" s="231">
        <v>71190</v>
      </c>
      <c r="P1236" s="314"/>
      <c r="Q1236" s="276">
        <f t="shared" si="42"/>
        <v>8411</v>
      </c>
      <c r="R1236" s="275">
        <f>(SUMIFS('Dec 31 2018 OFFS'!$AG:$AG,'Dec 31 2018 OFFS'!$AI:$AI,'T1 2019 Pipeline Data Lagasco'!$A1236,'Dec 31 2018 OFFS'!$U:$U,'T1 2019 Pipeline Data Lagasco'!$E1236,'Dec 31 2018 OFFS'!$AK:$AK,'T1 2019 Pipeline Data Lagasco'!$Q1236,'Dec 31 2018 OFFS'!$W:$W,'T1 2019 Pipeline Data Lagasco'!$G1236))/(MAX(COUNTIFS('Dec 31 2018 OFFS'!$AI:$AI,'T1 2019 Pipeline Data Lagasco'!$A1236,'Dec 31 2018 OFFS'!$U:$U,'T1 2019 Pipeline Data Lagasco'!$E1236,'Dec 31 2018 OFFS'!$AK:$AK,'T1 2019 Pipeline Data Lagasco'!$Q1236,'Dec 31 2018 OFFS'!$W:$W,'T1 2019 Pipeline Data Lagasco'!$G1236),1))</f>
        <v>71190</v>
      </c>
      <c r="S1236" s="275">
        <f t="shared" si="43"/>
        <v>0</v>
      </c>
    </row>
    <row r="1237" spans="1:19" s="217" customFormat="1" ht="14.1" customHeight="1">
      <c r="A1237" s="224" t="s">
        <v>1529</v>
      </c>
      <c r="B1237" s="218" t="s">
        <v>1530</v>
      </c>
      <c r="C1237" s="223">
        <v>1</v>
      </c>
      <c r="D1237" s="218" t="s">
        <v>1488</v>
      </c>
      <c r="E1237" s="240">
        <v>4</v>
      </c>
      <c r="F1237" s="223">
        <v>10411</v>
      </c>
      <c r="G1237" s="223">
        <v>1994</v>
      </c>
      <c r="H1237" s="223">
        <v>1</v>
      </c>
      <c r="I1237" s="223">
        <v>1</v>
      </c>
      <c r="J1237" s="223"/>
      <c r="K1237" s="238">
        <v>275370.95</v>
      </c>
      <c r="L1237" s="241">
        <v>68</v>
      </c>
      <c r="M1237" s="239">
        <v>88118.703999999998</v>
      </c>
      <c r="N1237" s="230">
        <v>26.45</v>
      </c>
      <c r="O1237" s="231">
        <v>88118</v>
      </c>
      <c r="P1237" s="314"/>
      <c r="Q1237" s="276">
        <f t="shared" si="42"/>
        <v>10411</v>
      </c>
      <c r="R1237" s="275">
        <f>(SUMIFS('Dec 31 2018 OFFS'!$AG:$AG,'Dec 31 2018 OFFS'!$AI:$AI,'T1 2019 Pipeline Data Lagasco'!$A1237,'Dec 31 2018 OFFS'!$U:$U,'T1 2019 Pipeline Data Lagasco'!$E1237,'Dec 31 2018 OFFS'!$AK:$AK,'T1 2019 Pipeline Data Lagasco'!$Q1237,'Dec 31 2018 OFFS'!$W:$W,'T1 2019 Pipeline Data Lagasco'!$G1237))/(MAX(COUNTIFS('Dec 31 2018 OFFS'!$AI:$AI,'T1 2019 Pipeline Data Lagasco'!$A1237,'Dec 31 2018 OFFS'!$U:$U,'T1 2019 Pipeline Data Lagasco'!$E1237,'Dec 31 2018 OFFS'!$AK:$AK,'T1 2019 Pipeline Data Lagasco'!$Q1237,'Dec 31 2018 OFFS'!$W:$W,'T1 2019 Pipeline Data Lagasco'!$G1237),1))</f>
        <v>88118</v>
      </c>
      <c r="S1237" s="275">
        <f t="shared" si="43"/>
        <v>0</v>
      </c>
    </row>
    <row r="1238" spans="1:19" s="217" customFormat="1" ht="14.1" customHeight="1">
      <c r="A1238" s="224" t="s">
        <v>1529</v>
      </c>
      <c r="B1238" s="218" t="s">
        <v>1530</v>
      </c>
      <c r="C1238" s="223">
        <v>1</v>
      </c>
      <c r="D1238" s="218" t="s">
        <v>1488</v>
      </c>
      <c r="E1238" s="240">
        <v>4</v>
      </c>
      <c r="F1238" s="223">
        <v>6986</v>
      </c>
      <c r="G1238" s="223">
        <v>1978</v>
      </c>
      <c r="H1238" s="223">
        <v>1</v>
      </c>
      <c r="I1238" s="223">
        <v>1</v>
      </c>
      <c r="J1238" s="223"/>
      <c r="K1238" s="237">
        <v>184779.70</v>
      </c>
      <c r="L1238" s="241">
        <v>80</v>
      </c>
      <c r="M1238" s="238">
        <v>36955.94</v>
      </c>
      <c r="N1238" s="230">
        <v>26.45</v>
      </c>
      <c r="O1238" s="231">
        <v>36955</v>
      </c>
      <c r="P1238" s="314"/>
      <c r="Q1238" s="276">
        <f t="shared" si="42"/>
        <v>6986</v>
      </c>
      <c r="R1238" s="275">
        <f>(SUMIFS('Dec 31 2018 OFFS'!$AG:$AG,'Dec 31 2018 OFFS'!$AI:$AI,'T1 2019 Pipeline Data Lagasco'!$A1238,'Dec 31 2018 OFFS'!$U:$U,'T1 2019 Pipeline Data Lagasco'!$E1238,'Dec 31 2018 OFFS'!$AK:$AK,'T1 2019 Pipeline Data Lagasco'!$Q1238,'Dec 31 2018 OFFS'!$W:$W,'T1 2019 Pipeline Data Lagasco'!$G1238))/(MAX(COUNTIFS('Dec 31 2018 OFFS'!$AI:$AI,'T1 2019 Pipeline Data Lagasco'!$A1238,'Dec 31 2018 OFFS'!$U:$U,'T1 2019 Pipeline Data Lagasco'!$E1238,'Dec 31 2018 OFFS'!$AK:$AK,'T1 2019 Pipeline Data Lagasco'!$Q1238,'Dec 31 2018 OFFS'!$W:$W,'T1 2019 Pipeline Data Lagasco'!$G1238),1))</f>
        <v>36955</v>
      </c>
      <c r="S1238" s="275">
        <f t="shared" si="43"/>
        <v>0</v>
      </c>
    </row>
    <row r="1239" spans="1:19" s="217" customFormat="1" ht="14.1" customHeight="1">
      <c r="A1239" s="224" t="s">
        <v>1529</v>
      </c>
      <c r="B1239" s="218" t="s">
        <v>1530</v>
      </c>
      <c r="C1239" s="223">
        <v>1</v>
      </c>
      <c r="D1239" s="218" t="s">
        <v>1488</v>
      </c>
      <c r="E1239" s="240">
        <v>4</v>
      </c>
      <c r="F1239" s="223">
        <v>3262</v>
      </c>
      <c r="G1239" s="223">
        <v>1978</v>
      </c>
      <c r="H1239" s="223">
        <v>1</v>
      </c>
      <c r="I1239" s="223">
        <v>0</v>
      </c>
      <c r="J1239" s="223"/>
      <c r="K1239" s="237">
        <v>86279.90</v>
      </c>
      <c r="L1239" s="241">
        <v>80</v>
      </c>
      <c r="M1239" s="238">
        <v>17255.98</v>
      </c>
      <c r="N1239" s="230">
        <v>26.45</v>
      </c>
      <c r="O1239" s="231">
        <v>0</v>
      </c>
      <c r="P1239" s="314"/>
      <c r="Q1239" s="276">
        <f t="shared" si="42"/>
        <v>3262</v>
      </c>
      <c r="R1239" s="275">
        <f>(SUMIFS('Dec 31 2018 OFFS'!$AG:$AG,'Dec 31 2018 OFFS'!$AI:$AI,'T1 2019 Pipeline Data Lagasco'!$A1239,'Dec 31 2018 OFFS'!$U:$U,'T1 2019 Pipeline Data Lagasco'!$E1239,'Dec 31 2018 OFFS'!$AK:$AK,'T1 2019 Pipeline Data Lagasco'!$Q1239,'Dec 31 2018 OFFS'!$W:$W,'T1 2019 Pipeline Data Lagasco'!$G1239))/(MAX(COUNTIFS('Dec 31 2018 OFFS'!$AI:$AI,'T1 2019 Pipeline Data Lagasco'!$A1239,'Dec 31 2018 OFFS'!$U:$U,'T1 2019 Pipeline Data Lagasco'!$E1239,'Dec 31 2018 OFFS'!$AK:$AK,'T1 2019 Pipeline Data Lagasco'!$Q1239,'Dec 31 2018 OFFS'!$W:$W,'T1 2019 Pipeline Data Lagasco'!$G1239),1))</f>
        <v>0</v>
      </c>
      <c r="S1239" s="275">
        <f t="shared" si="43"/>
        <v>0</v>
      </c>
    </row>
    <row r="1240" spans="1:19" s="217" customFormat="1" ht="14.1" customHeight="1">
      <c r="A1240" s="224" t="s">
        <v>1529</v>
      </c>
      <c r="B1240" s="218" t="s">
        <v>1530</v>
      </c>
      <c r="C1240" s="223">
        <v>1</v>
      </c>
      <c r="D1240" s="218" t="s">
        <v>1488</v>
      </c>
      <c r="E1240" s="240">
        <v>4</v>
      </c>
      <c r="F1240" s="223">
        <v>4849</v>
      </c>
      <c r="G1240" s="223">
        <v>1978</v>
      </c>
      <c r="H1240" s="223">
        <v>1</v>
      </c>
      <c r="I1240" s="223">
        <v>0</v>
      </c>
      <c r="J1240" s="223"/>
      <c r="K1240" s="238">
        <v>128256.05</v>
      </c>
      <c r="L1240" s="241">
        <v>80</v>
      </c>
      <c r="M1240" s="238">
        <v>25651.21</v>
      </c>
      <c r="N1240" s="230">
        <v>26.45</v>
      </c>
      <c r="O1240" s="231">
        <v>0</v>
      </c>
      <c r="P1240" s="314"/>
      <c r="Q1240" s="276">
        <f t="shared" si="42"/>
        <v>4849</v>
      </c>
      <c r="R1240" s="275">
        <f>(SUMIFS('Dec 31 2018 OFFS'!$AG:$AG,'Dec 31 2018 OFFS'!$AI:$AI,'T1 2019 Pipeline Data Lagasco'!$A1240,'Dec 31 2018 OFFS'!$U:$U,'T1 2019 Pipeline Data Lagasco'!$E1240,'Dec 31 2018 OFFS'!$AK:$AK,'T1 2019 Pipeline Data Lagasco'!$Q1240,'Dec 31 2018 OFFS'!$W:$W,'T1 2019 Pipeline Data Lagasco'!$G1240))/(MAX(COUNTIFS('Dec 31 2018 OFFS'!$AI:$AI,'T1 2019 Pipeline Data Lagasco'!$A1240,'Dec 31 2018 OFFS'!$U:$U,'T1 2019 Pipeline Data Lagasco'!$E1240,'Dec 31 2018 OFFS'!$AK:$AK,'T1 2019 Pipeline Data Lagasco'!$Q1240,'Dec 31 2018 OFFS'!$W:$W,'T1 2019 Pipeline Data Lagasco'!$G1240),1))</f>
        <v>0</v>
      </c>
      <c r="S1240" s="275">
        <f t="shared" si="43"/>
        <v>0</v>
      </c>
    </row>
    <row r="1241" spans="1:19" s="217" customFormat="1" ht="14.1" customHeight="1">
      <c r="A1241" s="224" t="s">
        <v>1529</v>
      </c>
      <c r="B1241" s="218" t="s">
        <v>1530</v>
      </c>
      <c r="C1241" s="223">
        <v>1</v>
      </c>
      <c r="D1241" s="218" t="s">
        <v>1488</v>
      </c>
      <c r="E1241" s="240">
        <v>4</v>
      </c>
      <c r="F1241" s="223">
        <v>1954</v>
      </c>
      <c r="G1241" s="223">
        <v>1978</v>
      </c>
      <c r="H1241" s="223">
        <v>1</v>
      </c>
      <c r="I1241" s="223">
        <v>0</v>
      </c>
      <c r="J1241" s="223"/>
      <c r="K1241" s="237">
        <v>51683.30</v>
      </c>
      <c r="L1241" s="241">
        <v>80</v>
      </c>
      <c r="M1241" s="238">
        <v>10336.66</v>
      </c>
      <c r="N1241" s="230">
        <v>26.45</v>
      </c>
      <c r="O1241" s="231">
        <v>0</v>
      </c>
      <c r="P1241" s="314"/>
      <c r="Q1241" s="276">
        <f t="shared" si="42"/>
        <v>1954</v>
      </c>
      <c r="R1241" s="275">
        <f>(SUMIFS('Dec 31 2018 OFFS'!$AG:$AG,'Dec 31 2018 OFFS'!$AI:$AI,'T1 2019 Pipeline Data Lagasco'!$A1241,'Dec 31 2018 OFFS'!$U:$U,'T1 2019 Pipeline Data Lagasco'!$E1241,'Dec 31 2018 OFFS'!$AK:$AK,'T1 2019 Pipeline Data Lagasco'!$Q1241,'Dec 31 2018 OFFS'!$W:$W,'T1 2019 Pipeline Data Lagasco'!$G1241))/(MAX(COUNTIFS('Dec 31 2018 OFFS'!$AI:$AI,'T1 2019 Pipeline Data Lagasco'!$A1241,'Dec 31 2018 OFFS'!$U:$U,'T1 2019 Pipeline Data Lagasco'!$E1241,'Dec 31 2018 OFFS'!$AK:$AK,'T1 2019 Pipeline Data Lagasco'!$Q1241,'Dec 31 2018 OFFS'!$W:$W,'T1 2019 Pipeline Data Lagasco'!$G1241),1))</f>
        <v>0</v>
      </c>
      <c r="S1241" s="275">
        <f t="shared" si="43"/>
        <v>0</v>
      </c>
    </row>
    <row r="1242" spans="1:19" s="217" customFormat="1" ht="14.1" customHeight="1">
      <c r="A1242" s="224" t="s">
        <v>1529</v>
      </c>
      <c r="B1242" s="218" t="s">
        <v>1530</v>
      </c>
      <c r="C1242" s="223">
        <v>1</v>
      </c>
      <c r="D1242" s="218" t="s">
        <v>1488</v>
      </c>
      <c r="E1242" s="240">
        <v>4</v>
      </c>
      <c r="F1242" s="223">
        <v>2795</v>
      </c>
      <c r="G1242" s="223">
        <v>1978</v>
      </c>
      <c r="H1242" s="223">
        <v>1</v>
      </c>
      <c r="I1242" s="223">
        <v>0</v>
      </c>
      <c r="J1242" s="223"/>
      <c r="K1242" s="238">
        <v>73927.75</v>
      </c>
      <c r="L1242" s="241">
        <v>80</v>
      </c>
      <c r="M1242" s="238">
        <v>14785.55</v>
      </c>
      <c r="N1242" s="230">
        <v>26.45</v>
      </c>
      <c r="O1242" s="231">
        <v>0</v>
      </c>
      <c r="P1242" s="314"/>
      <c r="Q1242" s="276">
        <f t="shared" si="42"/>
        <v>2795</v>
      </c>
      <c r="R1242" s="275">
        <f>(SUMIFS('Dec 31 2018 OFFS'!$AG:$AG,'Dec 31 2018 OFFS'!$AI:$AI,'T1 2019 Pipeline Data Lagasco'!$A1242,'Dec 31 2018 OFFS'!$U:$U,'T1 2019 Pipeline Data Lagasco'!$E1242,'Dec 31 2018 OFFS'!$AK:$AK,'T1 2019 Pipeline Data Lagasco'!$Q1242,'Dec 31 2018 OFFS'!$W:$W,'T1 2019 Pipeline Data Lagasco'!$G1242))/(MAX(COUNTIFS('Dec 31 2018 OFFS'!$AI:$AI,'T1 2019 Pipeline Data Lagasco'!$A1242,'Dec 31 2018 OFFS'!$U:$U,'T1 2019 Pipeline Data Lagasco'!$E1242,'Dec 31 2018 OFFS'!$AK:$AK,'T1 2019 Pipeline Data Lagasco'!$Q1242,'Dec 31 2018 OFFS'!$W:$W,'T1 2019 Pipeline Data Lagasco'!$G1242),1))</f>
        <v>0</v>
      </c>
      <c r="S1242" s="275">
        <f t="shared" si="43"/>
        <v>0</v>
      </c>
    </row>
    <row r="1243" spans="1:19" s="217" customFormat="1" ht="14.1" customHeight="1">
      <c r="A1243" s="224" t="s">
        <v>1529</v>
      </c>
      <c r="B1243" s="218" t="s">
        <v>1530</v>
      </c>
      <c r="C1243" s="223">
        <v>1</v>
      </c>
      <c r="D1243" s="218" t="s">
        <v>1488</v>
      </c>
      <c r="E1243" s="240">
        <v>4</v>
      </c>
      <c r="F1243" s="223">
        <v>3113</v>
      </c>
      <c r="G1243" s="223">
        <v>1978</v>
      </c>
      <c r="H1243" s="223">
        <v>1</v>
      </c>
      <c r="I1243" s="223">
        <v>0</v>
      </c>
      <c r="J1243" s="223"/>
      <c r="K1243" s="238">
        <v>82338.850000000006</v>
      </c>
      <c r="L1243" s="241">
        <v>80</v>
      </c>
      <c r="M1243" s="238">
        <v>16467.77</v>
      </c>
      <c r="N1243" s="230">
        <v>26.45</v>
      </c>
      <c r="O1243" s="231">
        <v>0</v>
      </c>
      <c r="P1243" s="314"/>
      <c r="Q1243" s="276">
        <f t="shared" si="42"/>
        <v>3113</v>
      </c>
      <c r="R1243" s="275">
        <f>(SUMIFS('Dec 31 2018 OFFS'!$AG:$AG,'Dec 31 2018 OFFS'!$AI:$AI,'T1 2019 Pipeline Data Lagasco'!$A1243,'Dec 31 2018 OFFS'!$U:$U,'T1 2019 Pipeline Data Lagasco'!$E1243,'Dec 31 2018 OFFS'!$AK:$AK,'T1 2019 Pipeline Data Lagasco'!$Q1243,'Dec 31 2018 OFFS'!$W:$W,'T1 2019 Pipeline Data Lagasco'!$G1243))/(MAX(COUNTIFS('Dec 31 2018 OFFS'!$AI:$AI,'T1 2019 Pipeline Data Lagasco'!$A1243,'Dec 31 2018 OFFS'!$U:$U,'T1 2019 Pipeline Data Lagasco'!$E1243,'Dec 31 2018 OFFS'!$AK:$AK,'T1 2019 Pipeline Data Lagasco'!$Q1243,'Dec 31 2018 OFFS'!$W:$W,'T1 2019 Pipeline Data Lagasco'!$G1243),1))</f>
        <v>0</v>
      </c>
      <c r="S1243" s="275">
        <f t="shared" si="43"/>
        <v>0</v>
      </c>
    </row>
    <row r="1244" spans="1:19" s="217" customFormat="1" ht="14.1" customHeight="1">
      <c r="A1244" s="224" t="s">
        <v>1529</v>
      </c>
      <c r="B1244" s="218" t="s">
        <v>1530</v>
      </c>
      <c r="C1244" s="223">
        <v>1</v>
      </c>
      <c r="D1244" s="218" t="s">
        <v>1488</v>
      </c>
      <c r="E1244" s="240">
        <v>4</v>
      </c>
      <c r="F1244" s="223">
        <v>2355</v>
      </c>
      <c r="G1244" s="223">
        <v>1978</v>
      </c>
      <c r="H1244" s="223">
        <v>1</v>
      </c>
      <c r="I1244" s="223">
        <v>0</v>
      </c>
      <c r="J1244" s="223"/>
      <c r="K1244" s="238">
        <v>62289.75</v>
      </c>
      <c r="L1244" s="241">
        <v>80</v>
      </c>
      <c r="M1244" s="238">
        <v>12457.95</v>
      </c>
      <c r="N1244" s="230">
        <v>26.45</v>
      </c>
      <c r="O1244" s="231">
        <v>0</v>
      </c>
      <c r="P1244" s="314"/>
      <c r="Q1244" s="276">
        <f t="shared" si="42"/>
        <v>2355</v>
      </c>
      <c r="R1244" s="275">
        <f>(SUMIFS('Dec 31 2018 OFFS'!$AG:$AG,'Dec 31 2018 OFFS'!$AI:$AI,'T1 2019 Pipeline Data Lagasco'!$A1244,'Dec 31 2018 OFFS'!$U:$U,'T1 2019 Pipeline Data Lagasco'!$E1244,'Dec 31 2018 OFFS'!$AK:$AK,'T1 2019 Pipeline Data Lagasco'!$Q1244,'Dec 31 2018 OFFS'!$W:$W,'T1 2019 Pipeline Data Lagasco'!$G1244))/(MAX(COUNTIFS('Dec 31 2018 OFFS'!$AI:$AI,'T1 2019 Pipeline Data Lagasco'!$A1244,'Dec 31 2018 OFFS'!$U:$U,'T1 2019 Pipeline Data Lagasco'!$E1244,'Dec 31 2018 OFFS'!$AK:$AK,'T1 2019 Pipeline Data Lagasco'!$Q1244,'Dec 31 2018 OFFS'!$W:$W,'T1 2019 Pipeline Data Lagasco'!$G1244),1))</f>
        <v>0</v>
      </c>
      <c r="S1244" s="275">
        <f t="shared" si="43"/>
        <v>0</v>
      </c>
    </row>
    <row r="1245" spans="1:19" s="217" customFormat="1" ht="15" customHeight="1">
      <c r="A1245" s="224" t="s">
        <v>1529</v>
      </c>
      <c r="B1245" s="218" t="s">
        <v>1530</v>
      </c>
      <c r="C1245" s="223">
        <v>1</v>
      </c>
      <c r="D1245" s="218" t="s">
        <v>1488</v>
      </c>
      <c r="E1245" s="240">
        <v>4</v>
      </c>
      <c r="F1245" s="223">
        <v>5593</v>
      </c>
      <c r="G1245" s="223">
        <v>1978</v>
      </c>
      <c r="H1245" s="223">
        <v>1</v>
      </c>
      <c r="I1245" s="223">
        <v>0</v>
      </c>
      <c r="J1245" s="223"/>
      <c r="K1245" s="238">
        <v>147934.85</v>
      </c>
      <c r="L1245" s="241">
        <v>80</v>
      </c>
      <c r="M1245" s="238">
        <v>29586.97</v>
      </c>
      <c r="N1245" s="230">
        <v>26.45</v>
      </c>
      <c r="O1245" s="231">
        <v>0</v>
      </c>
      <c r="P1245" s="314"/>
      <c r="Q1245" s="276">
        <f t="shared" si="42"/>
        <v>5593</v>
      </c>
      <c r="R1245" s="275">
        <f>(SUMIFS('Dec 31 2018 OFFS'!$AG:$AG,'Dec 31 2018 OFFS'!$AI:$AI,'T1 2019 Pipeline Data Lagasco'!$A1245,'Dec 31 2018 OFFS'!$U:$U,'T1 2019 Pipeline Data Lagasco'!$E1245,'Dec 31 2018 OFFS'!$AK:$AK,'T1 2019 Pipeline Data Lagasco'!$Q1245,'Dec 31 2018 OFFS'!$W:$W,'T1 2019 Pipeline Data Lagasco'!$G1245))/(MAX(COUNTIFS('Dec 31 2018 OFFS'!$AI:$AI,'T1 2019 Pipeline Data Lagasco'!$A1245,'Dec 31 2018 OFFS'!$U:$U,'T1 2019 Pipeline Data Lagasco'!$E1245,'Dec 31 2018 OFFS'!$AK:$AK,'T1 2019 Pipeline Data Lagasco'!$Q1245,'Dec 31 2018 OFFS'!$W:$W,'T1 2019 Pipeline Data Lagasco'!$G1245),1))</f>
        <v>0</v>
      </c>
      <c r="S1245" s="275">
        <f t="shared" si="43"/>
        <v>0</v>
      </c>
    </row>
    <row r="1246" spans="1:19" s="217" customFormat="1" ht="15" customHeight="1">
      <c r="A1246" s="224" t="s">
        <v>1529</v>
      </c>
      <c r="B1246" s="218" t="s">
        <v>1530</v>
      </c>
      <c r="C1246" s="223">
        <v>1</v>
      </c>
      <c r="D1246" s="218" t="s">
        <v>1488</v>
      </c>
      <c r="E1246" s="240">
        <v>4</v>
      </c>
      <c r="F1246" s="223">
        <v>6855</v>
      </c>
      <c r="G1246" s="223">
        <v>1978</v>
      </c>
      <c r="H1246" s="223">
        <v>1</v>
      </c>
      <c r="I1246" s="223">
        <v>0</v>
      </c>
      <c r="J1246" s="223"/>
      <c r="K1246" s="238">
        <v>181314.75</v>
      </c>
      <c r="L1246" s="241">
        <v>80</v>
      </c>
      <c r="M1246" s="238">
        <v>36262.949999999997</v>
      </c>
      <c r="N1246" s="230">
        <v>26.45</v>
      </c>
      <c r="O1246" s="231">
        <v>0</v>
      </c>
      <c r="P1246" s="314"/>
      <c r="Q1246" s="276">
        <f t="shared" si="42"/>
        <v>6855</v>
      </c>
      <c r="R1246" s="275">
        <f>(SUMIFS('Dec 31 2018 OFFS'!$AG:$AG,'Dec 31 2018 OFFS'!$AI:$AI,'T1 2019 Pipeline Data Lagasco'!$A1246,'Dec 31 2018 OFFS'!$U:$U,'T1 2019 Pipeline Data Lagasco'!$E1246,'Dec 31 2018 OFFS'!$AK:$AK,'T1 2019 Pipeline Data Lagasco'!$Q1246,'Dec 31 2018 OFFS'!$W:$W,'T1 2019 Pipeline Data Lagasco'!$G1246))/(MAX(COUNTIFS('Dec 31 2018 OFFS'!$AI:$AI,'T1 2019 Pipeline Data Lagasco'!$A1246,'Dec 31 2018 OFFS'!$U:$U,'T1 2019 Pipeline Data Lagasco'!$E1246,'Dec 31 2018 OFFS'!$AK:$AK,'T1 2019 Pipeline Data Lagasco'!$Q1246,'Dec 31 2018 OFFS'!$W:$W,'T1 2019 Pipeline Data Lagasco'!$G1246),1))</f>
        <v>0</v>
      </c>
      <c r="S1246" s="275">
        <f t="shared" si="43"/>
        <v>0</v>
      </c>
    </row>
    <row r="1247" spans="1:19" s="217" customFormat="1" ht="14.1" customHeight="1">
      <c r="A1247" s="224" t="s">
        <v>1529</v>
      </c>
      <c r="B1247" s="218" t="s">
        <v>1530</v>
      </c>
      <c r="C1247" s="223">
        <v>1</v>
      </c>
      <c r="D1247" s="218" t="s">
        <v>1488</v>
      </c>
      <c r="E1247" s="240">
        <v>4</v>
      </c>
      <c r="F1247" s="223">
        <v>2946</v>
      </c>
      <c r="G1247" s="223">
        <v>1978</v>
      </c>
      <c r="H1247" s="223">
        <v>1</v>
      </c>
      <c r="I1247" s="223">
        <v>0</v>
      </c>
      <c r="J1247" s="223"/>
      <c r="K1247" s="237">
        <v>77921.70</v>
      </c>
      <c r="L1247" s="241">
        <v>80</v>
      </c>
      <c r="M1247" s="238">
        <v>15584.34</v>
      </c>
      <c r="N1247" s="230">
        <v>26.45</v>
      </c>
      <c r="O1247" s="231">
        <v>0</v>
      </c>
      <c r="P1247" s="314"/>
      <c r="Q1247" s="276">
        <f t="shared" si="42"/>
        <v>2946</v>
      </c>
      <c r="R1247" s="275">
        <f>(SUMIFS('Dec 31 2018 OFFS'!$AG:$AG,'Dec 31 2018 OFFS'!$AI:$AI,'T1 2019 Pipeline Data Lagasco'!$A1247,'Dec 31 2018 OFFS'!$U:$U,'T1 2019 Pipeline Data Lagasco'!$E1247,'Dec 31 2018 OFFS'!$AK:$AK,'T1 2019 Pipeline Data Lagasco'!$Q1247,'Dec 31 2018 OFFS'!$W:$W,'T1 2019 Pipeline Data Lagasco'!$G1247))/(MAX(COUNTIFS('Dec 31 2018 OFFS'!$AI:$AI,'T1 2019 Pipeline Data Lagasco'!$A1247,'Dec 31 2018 OFFS'!$U:$U,'T1 2019 Pipeline Data Lagasco'!$E1247,'Dec 31 2018 OFFS'!$AK:$AK,'T1 2019 Pipeline Data Lagasco'!$Q1247,'Dec 31 2018 OFFS'!$W:$W,'T1 2019 Pipeline Data Lagasco'!$G1247),1))</f>
        <v>0</v>
      </c>
      <c r="S1247" s="275">
        <f t="shared" si="43"/>
        <v>0</v>
      </c>
    </row>
    <row r="1248" spans="1:19" s="217" customFormat="1" ht="14.1" customHeight="1">
      <c r="A1248" s="224" t="s">
        <v>1531</v>
      </c>
      <c r="B1248" s="218" t="s">
        <v>1532</v>
      </c>
      <c r="C1248" s="223">
        <v>1</v>
      </c>
      <c r="D1248" s="218" t="s">
        <v>1488</v>
      </c>
      <c r="E1248" s="240">
        <v>4</v>
      </c>
      <c r="F1248" s="235">
        <v>13771.489100000001</v>
      </c>
      <c r="G1248" s="223">
        <v>1994</v>
      </c>
      <c r="H1248" s="223">
        <v>1</v>
      </c>
      <c r="I1248" s="223">
        <v>1</v>
      </c>
      <c r="J1248" s="223"/>
      <c r="K1248" s="228">
        <v>364255.88679999998</v>
      </c>
      <c r="L1248" s="241">
        <v>68</v>
      </c>
      <c r="M1248" s="228">
        <v>116561.8838</v>
      </c>
      <c r="N1248" s="230">
        <v>26.45</v>
      </c>
      <c r="O1248" s="231">
        <v>116561</v>
      </c>
      <c r="P1248" s="314"/>
      <c r="Q1248" s="276">
        <f t="shared" si="42"/>
        <v>13771.49</v>
      </c>
      <c r="R1248" s="275">
        <f>(SUMIFS('Dec 31 2018 OFFS'!$AG:$AG,'Dec 31 2018 OFFS'!$AI:$AI,'T1 2019 Pipeline Data Lagasco'!$A1248,'Dec 31 2018 OFFS'!$U:$U,'T1 2019 Pipeline Data Lagasco'!$E1248,'Dec 31 2018 OFFS'!$AK:$AK,'T1 2019 Pipeline Data Lagasco'!$Q1248,'Dec 31 2018 OFFS'!$W:$W,'T1 2019 Pipeline Data Lagasco'!$G1248))/(MAX(COUNTIFS('Dec 31 2018 OFFS'!$AI:$AI,'T1 2019 Pipeline Data Lagasco'!$A1248,'Dec 31 2018 OFFS'!$U:$U,'T1 2019 Pipeline Data Lagasco'!$E1248,'Dec 31 2018 OFFS'!$AK:$AK,'T1 2019 Pipeline Data Lagasco'!$Q1248,'Dec 31 2018 OFFS'!$W:$W,'T1 2019 Pipeline Data Lagasco'!$G1248),1))</f>
        <v>116561</v>
      </c>
      <c r="S1248" s="275">
        <f t="shared" si="43"/>
        <v>0</v>
      </c>
    </row>
    <row r="1249" spans="1:19" s="217" customFormat="1" ht="14.1" customHeight="1">
      <c r="A1249" s="224" t="s">
        <v>1531</v>
      </c>
      <c r="B1249" s="218" t="s">
        <v>1532</v>
      </c>
      <c r="C1249" s="223">
        <v>1</v>
      </c>
      <c r="D1249" s="218" t="s">
        <v>1488</v>
      </c>
      <c r="E1249" s="240">
        <v>4</v>
      </c>
      <c r="F1249" s="236">
        <v>13492.092790000001</v>
      </c>
      <c r="G1249" s="223">
        <v>1994</v>
      </c>
      <c r="H1249" s="223">
        <v>1</v>
      </c>
      <c r="I1249" s="223">
        <v>1</v>
      </c>
      <c r="J1249" s="223"/>
      <c r="K1249" s="228">
        <v>356865.8542</v>
      </c>
      <c r="L1249" s="241">
        <v>68</v>
      </c>
      <c r="M1249" s="228">
        <v>114197.0733</v>
      </c>
      <c r="N1249" s="230">
        <v>26.45</v>
      </c>
      <c r="O1249" s="231">
        <v>114197</v>
      </c>
      <c r="P1249" s="314"/>
      <c r="Q1249" s="276">
        <f t="shared" si="42"/>
        <v>13492.09</v>
      </c>
      <c r="R1249" s="275">
        <f>(SUMIFS('Dec 31 2018 OFFS'!$AG:$AG,'Dec 31 2018 OFFS'!$AI:$AI,'T1 2019 Pipeline Data Lagasco'!$A1249,'Dec 31 2018 OFFS'!$U:$U,'T1 2019 Pipeline Data Lagasco'!$E1249,'Dec 31 2018 OFFS'!$AK:$AK,'T1 2019 Pipeline Data Lagasco'!$Q1249,'Dec 31 2018 OFFS'!$W:$W,'T1 2019 Pipeline Data Lagasco'!$G1249))/(MAX(COUNTIFS('Dec 31 2018 OFFS'!$AI:$AI,'T1 2019 Pipeline Data Lagasco'!$A1249,'Dec 31 2018 OFFS'!$U:$U,'T1 2019 Pipeline Data Lagasco'!$E1249,'Dec 31 2018 OFFS'!$AK:$AK,'T1 2019 Pipeline Data Lagasco'!$Q1249,'Dec 31 2018 OFFS'!$W:$W,'T1 2019 Pipeline Data Lagasco'!$G1249),1))</f>
        <v>114197</v>
      </c>
      <c r="S1249" s="275">
        <f t="shared" si="43"/>
        <v>0</v>
      </c>
    </row>
    <row r="1250" spans="1:19" s="217" customFormat="1" ht="14.1" customHeight="1">
      <c r="A1250" s="224" t="s">
        <v>1531</v>
      </c>
      <c r="B1250" s="218" t="s">
        <v>1532</v>
      </c>
      <c r="C1250" s="223">
        <v>1</v>
      </c>
      <c r="D1250" s="218" t="s">
        <v>1488</v>
      </c>
      <c r="E1250" s="240">
        <v>4</v>
      </c>
      <c r="F1250" s="236">
        <v>27548.490020000001</v>
      </c>
      <c r="G1250" s="223">
        <v>1994</v>
      </c>
      <c r="H1250" s="223">
        <v>1</v>
      </c>
      <c r="I1250" s="223">
        <v>1</v>
      </c>
      <c r="J1250" s="223"/>
      <c r="K1250" s="228">
        <v>728657.56090000004</v>
      </c>
      <c r="L1250" s="241">
        <v>68</v>
      </c>
      <c r="M1250" s="228">
        <v>233170.41949999999</v>
      </c>
      <c r="N1250" s="230">
        <v>26.45</v>
      </c>
      <c r="O1250" s="231">
        <v>233170</v>
      </c>
      <c r="P1250" s="314"/>
      <c r="Q1250" s="276">
        <f t="shared" si="42"/>
        <v>27548.49</v>
      </c>
      <c r="R1250" s="275">
        <f>(SUMIFS('Dec 31 2018 OFFS'!$AG:$AG,'Dec 31 2018 OFFS'!$AI:$AI,'T1 2019 Pipeline Data Lagasco'!$A1250,'Dec 31 2018 OFFS'!$U:$U,'T1 2019 Pipeline Data Lagasco'!$E1250,'Dec 31 2018 OFFS'!$AK:$AK,'T1 2019 Pipeline Data Lagasco'!$Q1250,'Dec 31 2018 OFFS'!$W:$W,'T1 2019 Pipeline Data Lagasco'!$G1250))/(MAX(COUNTIFS('Dec 31 2018 OFFS'!$AI:$AI,'T1 2019 Pipeline Data Lagasco'!$A1250,'Dec 31 2018 OFFS'!$U:$U,'T1 2019 Pipeline Data Lagasco'!$E1250,'Dec 31 2018 OFFS'!$AK:$AK,'T1 2019 Pipeline Data Lagasco'!$Q1250,'Dec 31 2018 OFFS'!$W:$W,'T1 2019 Pipeline Data Lagasco'!$G1250),1))</f>
        <v>233170</v>
      </c>
      <c r="S1250" s="275">
        <f t="shared" si="43"/>
        <v>0</v>
      </c>
    </row>
    <row r="1251" spans="1:19" s="217" customFormat="1" ht="14.1" customHeight="1">
      <c r="A1251" s="224" t="s">
        <v>1531</v>
      </c>
      <c r="B1251" s="218" t="s">
        <v>1532</v>
      </c>
      <c r="C1251" s="223">
        <v>1</v>
      </c>
      <c r="D1251" s="218" t="s">
        <v>1488</v>
      </c>
      <c r="E1251" s="240">
        <v>4</v>
      </c>
      <c r="F1251" s="226">
        <v>2812.8280030000001</v>
      </c>
      <c r="G1251" s="223">
        <v>1994</v>
      </c>
      <c r="H1251" s="223">
        <v>1</v>
      </c>
      <c r="I1251" s="223">
        <v>1</v>
      </c>
      <c r="J1251" s="223"/>
      <c r="K1251" s="229">
        <v>74399.300669999997</v>
      </c>
      <c r="L1251" s="241">
        <v>68</v>
      </c>
      <c r="M1251" s="229">
        <v>23807.77621</v>
      </c>
      <c r="N1251" s="230">
        <v>26.45</v>
      </c>
      <c r="O1251" s="231">
        <v>23807</v>
      </c>
      <c r="P1251" s="314"/>
      <c r="Q1251" s="276">
        <f t="shared" si="42"/>
        <v>2812.83</v>
      </c>
      <c r="R1251" s="275">
        <f>(SUMIFS('Dec 31 2018 OFFS'!$AG:$AG,'Dec 31 2018 OFFS'!$AI:$AI,'T1 2019 Pipeline Data Lagasco'!$A1251,'Dec 31 2018 OFFS'!$U:$U,'T1 2019 Pipeline Data Lagasco'!$E1251,'Dec 31 2018 OFFS'!$AK:$AK,'T1 2019 Pipeline Data Lagasco'!$Q1251,'Dec 31 2018 OFFS'!$W:$W,'T1 2019 Pipeline Data Lagasco'!$G1251))/(MAX(COUNTIFS('Dec 31 2018 OFFS'!$AI:$AI,'T1 2019 Pipeline Data Lagasco'!$A1251,'Dec 31 2018 OFFS'!$U:$U,'T1 2019 Pipeline Data Lagasco'!$E1251,'Dec 31 2018 OFFS'!$AK:$AK,'T1 2019 Pipeline Data Lagasco'!$Q1251,'Dec 31 2018 OFFS'!$W:$W,'T1 2019 Pipeline Data Lagasco'!$G1251),1))</f>
        <v>23807</v>
      </c>
      <c r="S1251" s="275">
        <f t="shared" si="43"/>
        <v>0</v>
      </c>
    </row>
    <row r="1252" spans="1:19" s="217" customFormat="1" ht="14.1" customHeight="1">
      <c r="A1252" s="224" t="s">
        <v>1533</v>
      </c>
      <c r="B1252" s="218" t="s">
        <v>1534</v>
      </c>
      <c r="C1252" s="223">
        <v>1</v>
      </c>
      <c r="D1252" s="218" t="s">
        <v>1488</v>
      </c>
      <c r="E1252" s="240">
        <v>3</v>
      </c>
      <c r="F1252" s="226">
        <v>5883.3331630000002</v>
      </c>
      <c r="G1252" s="223">
        <v>1995</v>
      </c>
      <c r="H1252" s="223">
        <v>1</v>
      </c>
      <c r="I1252" s="223">
        <v>0</v>
      </c>
      <c r="J1252" s="223"/>
      <c r="K1252" s="228">
        <v>138787.82930000001</v>
      </c>
      <c r="L1252" s="241">
        <v>67</v>
      </c>
      <c r="M1252" s="229">
        <v>45799.983670000001</v>
      </c>
      <c r="N1252" s="230">
        <v>23.59</v>
      </c>
      <c r="O1252" s="231">
        <v>0</v>
      </c>
      <c r="P1252" s="314"/>
      <c r="Q1252" s="276">
        <f t="shared" si="42"/>
        <v>5883.33</v>
      </c>
      <c r="R1252" s="275">
        <f>(SUMIFS('Dec 31 2018 OFFS'!$AG:$AG,'Dec 31 2018 OFFS'!$AI:$AI,'T1 2019 Pipeline Data Lagasco'!$A1252,'Dec 31 2018 OFFS'!$U:$U,'T1 2019 Pipeline Data Lagasco'!$E1252,'Dec 31 2018 OFFS'!$AK:$AK,'T1 2019 Pipeline Data Lagasco'!$Q1252,'Dec 31 2018 OFFS'!$W:$W,'T1 2019 Pipeline Data Lagasco'!$G1252))/(MAX(COUNTIFS('Dec 31 2018 OFFS'!$AI:$AI,'T1 2019 Pipeline Data Lagasco'!$A1252,'Dec 31 2018 OFFS'!$U:$U,'T1 2019 Pipeline Data Lagasco'!$E1252,'Dec 31 2018 OFFS'!$AK:$AK,'T1 2019 Pipeline Data Lagasco'!$Q1252,'Dec 31 2018 OFFS'!$W:$W,'T1 2019 Pipeline Data Lagasco'!$G1252),1))</f>
        <v>0</v>
      </c>
      <c r="S1252" s="275">
        <f t="shared" si="43"/>
        <v>0</v>
      </c>
    </row>
    <row r="1253" spans="1:19" s="217" customFormat="1" ht="14.1" customHeight="1">
      <c r="A1253" s="224" t="s">
        <v>1533</v>
      </c>
      <c r="B1253" s="218" t="s">
        <v>1534</v>
      </c>
      <c r="C1253" s="223">
        <v>1</v>
      </c>
      <c r="D1253" s="218" t="s">
        <v>1488</v>
      </c>
      <c r="E1253" s="240">
        <v>3</v>
      </c>
      <c r="F1253" s="223">
        <v>6079</v>
      </c>
      <c r="G1253" s="223">
        <v>2001</v>
      </c>
      <c r="H1253" s="223">
        <v>1</v>
      </c>
      <c r="I1253" s="223">
        <v>1</v>
      </c>
      <c r="J1253" s="223"/>
      <c r="K1253" s="238">
        <v>143403.60999999999</v>
      </c>
      <c r="L1253" s="241">
        <v>59</v>
      </c>
      <c r="M1253" s="228">
        <v>58795.480100000001</v>
      </c>
      <c r="N1253" s="230">
        <v>23.59</v>
      </c>
      <c r="O1253" s="231">
        <v>58795</v>
      </c>
      <c r="P1253" s="314"/>
      <c r="Q1253" s="276">
        <f t="shared" si="42"/>
        <v>6079</v>
      </c>
      <c r="R1253" s="275">
        <f>(SUMIFS('Dec 31 2018 OFFS'!$AG:$AG,'Dec 31 2018 OFFS'!$AI:$AI,'T1 2019 Pipeline Data Lagasco'!$A1253,'Dec 31 2018 OFFS'!$U:$U,'T1 2019 Pipeline Data Lagasco'!$E1253,'Dec 31 2018 OFFS'!$AK:$AK,'T1 2019 Pipeline Data Lagasco'!$Q1253,'Dec 31 2018 OFFS'!$W:$W,'T1 2019 Pipeline Data Lagasco'!$G1253))/(MAX(COUNTIFS('Dec 31 2018 OFFS'!$AI:$AI,'T1 2019 Pipeline Data Lagasco'!$A1253,'Dec 31 2018 OFFS'!$U:$U,'T1 2019 Pipeline Data Lagasco'!$E1253,'Dec 31 2018 OFFS'!$AK:$AK,'T1 2019 Pipeline Data Lagasco'!$Q1253,'Dec 31 2018 OFFS'!$W:$W,'T1 2019 Pipeline Data Lagasco'!$G1253),1))</f>
        <v>58795</v>
      </c>
      <c r="S1253" s="275">
        <f t="shared" si="43"/>
        <v>0</v>
      </c>
    </row>
    <row r="1254" spans="1:19" s="217" customFormat="1" ht="14.1" customHeight="1">
      <c r="A1254" s="224" t="s">
        <v>1533</v>
      </c>
      <c r="B1254" s="218" t="s">
        <v>1534</v>
      </c>
      <c r="C1254" s="223">
        <v>1</v>
      </c>
      <c r="D1254" s="218" t="s">
        <v>1488</v>
      </c>
      <c r="E1254" s="240">
        <v>3</v>
      </c>
      <c r="F1254" s="223">
        <v>1980</v>
      </c>
      <c r="G1254" s="223">
        <v>2003</v>
      </c>
      <c r="H1254" s="223">
        <v>1</v>
      </c>
      <c r="I1254" s="223">
        <v>1</v>
      </c>
      <c r="J1254" s="223"/>
      <c r="K1254" s="237">
        <v>46708.20</v>
      </c>
      <c r="L1254" s="241">
        <v>57</v>
      </c>
      <c r="M1254" s="239">
        <v>20084.526000000002</v>
      </c>
      <c r="N1254" s="230">
        <v>23.59</v>
      </c>
      <c r="O1254" s="231">
        <v>20084</v>
      </c>
      <c r="P1254" s="314"/>
      <c r="Q1254" s="276">
        <f t="shared" si="42"/>
        <v>1980</v>
      </c>
      <c r="R1254" s="275">
        <f>(SUMIFS('Dec 31 2018 OFFS'!$AG:$AG,'Dec 31 2018 OFFS'!$AI:$AI,'T1 2019 Pipeline Data Lagasco'!$A1254,'Dec 31 2018 OFFS'!$U:$U,'T1 2019 Pipeline Data Lagasco'!$E1254,'Dec 31 2018 OFFS'!$AK:$AK,'T1 2019 Pipeline Data Lagasco'!$Q1254,'Dec 31 2018 OFFS'!$W:$W,'T1 2019 Pipeline Data Lagasco'!$G1254))/(MAX(COUNTIFS('Dec 31 2018 OFFS'!$AI:$AI,'T1 2019 Pipeline Data Lagasco'!$A1254,'Dec 31 2018 OFFS'!$U:$U,'T1 2019 Pipeline Data Lagasco'!$E1254,'Dec 31 2018 OFFS'!$AK:$AK,'T1 2019 Pipeline Data Lagasco'!$Q1254,'Dec 31 2018 OFFS'!$W:$W,'T1 2019 Pipeline Data Lagasco'!$G1254),1))</f>
        <v>20084</v>
      </c>
      <c r="S1254" s="275">
        <f t="shared" si="43"/>
        <v>0</v>
      </c>
    </row>
    <row r="1255" spans="1:19" s="217" customFormat="1" ht="14.1" customHeight="1">
      <c r="A1255" s="224" t="s">
        <v>1533</v>
      </c>
      <c r="B1255" s="218" t="s">
        <v>1534</v>
      </c>
      <c r="C1255" s="223">
        <v>1</v>
      </c>
      <c r="D1255" s="218" t="s">
        <v>1488</v>
      </c>
      <c r="E1255" s="240">
        <v>3</v>
      </c>
      <c r="F1255" s="226">
        <v>3893.9303329999998</v>
      </c>
      <c r="G1255" s="223">
        <v>1998</v>
      </c>
      <c r="H1255" s="223">
        <v>1</v>
      </c>
      <c r="I1255" s="223">
        <v>1</v>
      </c>
      <c r="J1255" s="223"/>
      <c r="K1255" s="229">
        <v>91857.816569999995</v>
      </c>
      <c r="L1255" s="241">
        <v>63</v>
      </c>
      <c r="M1255" s="229">
        <v>33987.39213</v>
      </c>
      <c r="N1255" s="230">
        <v>23.59</v>
      </c>
      <c r="O1255" s="231">
        <v>33987</v>
      </c>
      <c r="P1255" s="314"/>
      <c r="Q1255" s="276">
        <f t="shared" si="42"/>
        <v>3893.93</v>
      </c>
      <c r="R1255" s="275">
        <f>(SUMIFS('Dec 31 2018 OFFS'!$AG:$AG,'Dec 31 2018 OFFS'!$AI:$AI,'T1 2019 Pipeline Data Lagasco'!$A1255,'Dec 31 2018 OFFS'!$U:$U,'T1 2019 Pipeline Data Lagasco'!$E1255,'Dec 31 2018 OFFS'!$AK:$AK,'T1 2019 Pipeline Data Lagasco'!$Q1255,'Dec 31 2018 OFFS'!$W:$W,'T1 2019 Pipeline Data Lagasco'!$G1255))/(MAX(COUNTIFS('Dec 31 2018 OFFS'!$AI:$AI,'T1 2019 Pipeline Data Lagasco'!$A1255,'Dec 31 2018 OFFS'!$U:$U,'T1 2019 Pipeline Data Lagasco'!$E1255,'Dec 31 2018 OFFS'!$AK:$AK,'T1 2019 Pipeline Data Lagasco'!$Q1255,'Dec 31 2018 OFFS'!$W:$W,'T1 2019 Pipeline Data Lagasco'!$G1255),1))</f>
        <v>33987</v>
      </c>
      <c r="S1255" s="275">
        <f t="shared" si="43"/>
        <v>0</v>
      </c>
    </row>
    <row r="1256" spans="1:19" s="217" customFormat="1" ht="14.1" customHeight="1">
      <c r="A1256" s="224" t="s">
        <v>1533</v>
      </c>
      <c r="B1256" s="218" t="s">
        <v>1534</v>
      </c>
      <c r="C1256" s="223">
        <v>1</v>
      </c>
      <c r="D1256" s="218" t="s">
        <v>1488</v>
      </c>
      <c r="E1256" s="240">
        <v>3</v>
      </c>
      <c r="F1256" s="226">
        <v>4209.908015</v>
      </c>
      <c r="G1256" s="223">
        <v>1998</v>
      </c>
      <c r="H1256" s="223">
        <v>1</v>
      </c>
      <c r="I1256" s="223">
        <v>1</v>
      </c>
      <c r="J1256" s="223"/>
      <c r="K1256" s="229">
        <v>99311.730060000002</v>
      </c>
      <c r="L1256" s="241">
        <v>63</v>
      </c>
      <c r="M1256" s="229">
        <v>36745.340120000001</v>
      </c>
      <c r="N1256" s="230">
        <v>23.59</v>
      </c>
      <c r="O1256" s="231">
        <v>36745</v>
      </c>
      <c r="P1256" s="314"/>
      <c r="Q1256" s="276">
        <f t="shared" si="42"/>
        <v>4209.91</v>
      </c>
      <c r="R1256" s="275">
        <f>(SUMIFS('Dec 31 2018 OFFS'!$AG:$AG,'Dec 31 2018 OFFS'!$AI:$AI,'T1 2019 Pipeline Data Lagasco'!$A1256,'Dec 31 2018 OFFS'!$U:$U,'T1 2019 Pipeline Data Lagasco'!$E1256,'Dec 31 2018 OFFS'!$AK:$AK,'T1 2019 Pipeline Data Lagasco'!$Q1256,'Dec 31 2018 OFFS'!$W:$W,'T1 2019 Pipeline Data Lagasco'!$G1256))/(MAX(COUNTIFS('Dec 31 2018 OFFS'!$AI:$AI,'T1 2019 Pipeline Data Lagasco'!$A1256,'Dec 31 2018 OFFS'!$U:$U,'T1 2019 Pipeline Data Lagasco'!$E1256,'Dec 31 2018 OFFS'!$AK:$AK,'T1 2019 Pipeline Data Lagasco'!$Q1256,'Dec 31 2018 OFFS'!$W:$W,'T1 2019 Pipeline Data Lagasco'!$G1256),1))</f>
        <v>36745</v>
      </c>
      <c r="S1256" s="275">
        <f t="shared" si="43"/>
        <v>0</v>
      </c>
    </row>
    <row r="1257" spans="1:19" s="217" customFormat="1" ht="14.1" customHeight="1">
      <c r="A1257" s="224" t="s">
        <v>1533</v>
      </c>
      <c r="B1257" s="218" t="s">
        <v>1534</v>
      </c>
      <c r="C1257" s="223">
        <v>1</v>
      </c>
      <c r="D1257" s="218" t="s">
        <v>1488</v>
      </c>
      <c r="E1257" s="240">
        <v>3</v>
      </c>
      <c r="F1257" s="223">
        <v>6327</v>
      </c>
      <c r="G1257" s="223">
        <v>1994</v>
      </c>
      <c r="H1257" s="223">
        <v>1</v>
      </c>
      <c r="I1257" s="223">
        <v>0</v>
      </c>
      <c r="J1257" s="223"/>
      <c r="K1257" s="238">
        <v>149253.93</v>
      </c>
      <c r="L1257" s="241">
        <v>68</v>
      </c>
      <c r="M1257" s="228">
        <v>47761.257599999997</v>
      </c>
      <c r="N1257" s="230">
        <v>23.59</v>
      </c>
      <c r="O1257" s="231">
        <v>0</v>
      </c>
      <c r="P1257" s="314"/>
      <c r="Q1257" s="276">
        <f t="shared" si="42"/>
        <v>6327</v>
      </c>
      <c r="R1257" s="275">
        <f>(SUMIFS('Dec 31 2018 OFFS'!$AG:$AG,'Dec 31 2018 OFFS'!$AI:$AI,'T1 2019 Pipeline Data Lagasco'!$A1257,'Dec 31 2018 OFFS'!$U:$U,'T1 2019 Pipeline Data Lagasco'!$E1257,'Dec 31 2018 OFFS'!$AK:$AK,'T1 2019 Pipeline Data Lagasco'!$Q1257,'Dec 31 2018 OFFS'!$W:$W,'T1 2019 Pipeline Data Lagasco'!$G1257))/(MAX(COUNTIFS('Dec 31 2018 OFFS'!$AI:$AI,'T1 2019 Pipeline Data Lagasco'!$A1257,'Dec 31 2018 OFFS'!$U:$U,'T1 2019 Pipeline Data Lagasco'!$E1257,'Dec 31 2018 OFFS'!$AK:$AK,'T1 2019 Pipeline Data Lagasco'!$Q1257,'Dec 31 2018 OFFS'!$W:$W,'T1 2019 Pipeline Data Lagasco'!$G1257),1))</f>
        <v>0</v>
      </c>
      <c r="S1257" s="275">
        <f t="shared" si="43"/>
        <v>0</v>
      </c>
    </row>
    <row r="1258" spans="1:19" s="217" customFormat="1" ht="14.1" customHeight="1">
      <c r="A1258" s="224" t="s">
        <v>1533</v>
      </c>
      <c r="B1258" s="218" t="s">
        <v>1534</v>
      </c>
      <c r="C1258" s="223">
        <v>1</v>
      </c>
      <c r="D1258" s="218" t="s">
        <v>1488</v>
      </c>
      <c r="E1258" s="240">
        <v>3</v>
      </c>
      <c r="F1258" s="223">
        <v>1088</v>
      </c>
      <c r="G1258" s="223">
        <v>2003</v>
      </c>
      <c r="H1258" s="223">
        <v>1</v>
      </c>
      <c r="I1258" s="223">
        <v>0</v>
      </c>
      <c r="J1258" s="223"/>
      <c r="K1258" s="238">
        <v>25665.92</v>
      </c>
      <c r="L1258" s="241">
        <v>57</v>
      </c>
      <c r="M1258" s="228">
        <v>11036.345600000001</v>
      </c>
      <c r="N1258" s="230">
        <v>23.59</v>
      </c>
      <c r="O1258" s="231">
        <v>0</v>
      </c>
      <c r="P1258" s="314"/>
      <c r="Q1258" s="276">
        <f t="shared" si="42"/>
        <v>1088</v>
      </c>
      <c r="R1258" s="275">
        <f>(SUMIFS('Dec 31 2018 OFFS'!$AG:$AG,'Dec 31 2018 OFFS'!$AI:$AI,'T1 2019 Pipeline Data Lagasco'!$A1258,'Dec 31 2018 OFFS'!$U:$U,'T1 2019 Pipeline Data Lagasco'!$E1258,'Dec 31 2018 OFFS'!$AK:$AK,'T1 2019 Pipeline Data Lagasco'!$Q1258,'Dec 31 2018 OFFS'!$W:$W,'T1 2019 Pipeline Data Lagasco'!$G1258))/(MAX(COUNTIFS('Dec 31 2018 OFFS'!$AI:$AI,'T1 2019 Pipeline Data Lagasco'!$A1258,'Dec 31 2018 OFFS'!$U:$U,'T1 2019 Pipeline Data Lagasco'!$E1258,'Dec 31 2018 OFFS'!$AK:$AK,'T1 2019 Pipeline Data Lagasco'!$Q1258,'Dec 31 2018 OFFS'!$W:$W,'T1 2019 Pipeline Data Lagasco'!$G1258),1))</f>
        <v>0</v>
      </c>
      <c r="S1258" s="275">
        <f t="shared" si="43"/>
        <v>0</v>
      </c>
    </row>
    <row r="1259" spans="1:19" s="217" customFormat="1" ht="14.1" customHeight="1">
      <c r="A1259" s="224" t="s">
        <v>1533</v>
      </c>
      <c r="B1259" s="218" t="s">
        <v>1534</v>
      </c>
      <c r="C1259" s="223">
        <v>1</v>
      </c>
      <c r="D1259" s="218" t="s">
        <v>1488</v>
      </c>
      <c r="E1259" s="240">
        <v>3</v>
      </c>
      <c r="F1259" s="226">
        <v>4186.7452860000003</v>
      </c>
      <c r="G1259" s="223">
        <v>1994</v>
      </c>
      <c r="H1259" s="223">
        <v>1</v>
      </c>
      <c r="I1259" s="223">
        <v>1</v>
      </c>
      <c r="J1259" s="223"/>
      <c r="K1259" s="229">
        <v>98765.321290000007</v>
      </c>
      <c r="L1259" s="241">
        <v>68</v>
      </c>
      <c r="M1259" s="229">
        <v>31604.90281</v>
      </c>
      <c r="N1259" s="230">
        <v>23.59</v>
      </c>
      <c r="O1259" s="231">
        <v>31604</v>
      </c>
      <c r="P1259" s="314"/>
      <c r="Q1259" s="276">
        <f t="shared" si="42"/>
        <v>4186.75</v>
      </c>
      <c r="R1259" s="275">
        <f>(SUMIFS('Dec 31 2018 OFFS'!$AG:$AG,'Dec 31 2018 OFFS'!$AI:$AI,'T1 2019 Pipeline Data Lagasco'!$A1259,'Dec 31 2018 OFFS'!$U:$U,'T1 2019 Pipeline Data Lagasco'!$E1259,'Dec 31 2018 OFFS'!$AK:$AK,'T1 2019 Pipeline Data Lagasco'!$Q1259,'Dec 31 2018 OFFS'!$W:$W,'T1 2019 Pipeline Data Lagasco'!$G1259))/(MAX(COUNTIFS('Dec 31 2018 OFFS'!$AI:$AI,'T1 2019 Pipeline Data Lagasco'!$A1259,'Dec 31 2018 OFFS'!$U:$U,'T1 2019 Pipeline Data Lagasco'!$E1259,'Dec 31 2018 OFFS'!$AK:$AK,'T1 2019 Pipeline Data Lagasco'!$Q1259,'Dec 31 2018 OFFS'!$W:$W,'T1 2019 Pipeline Data Lagasco'!$G1259),1))</f>
        <v>31604</v>
      </c>
      <c r="S1259" s="275">
        <f t="shared" si="43"/>
        <v>0</v>
      </c>
    </row>
    <row r="1260" spans="1:19" s="217" customFormat="1" ht="14.1" customHeight="1">
      <c r="A1260" s="224" t="s">
        <v>1533</v>
      </c>
      <c r="B1260" s="218" t="s">
        <v>1534</v>
      </c>
      <c r="C1260" s="223">
        <v>1</v>
      </c>
      <c r="D1260" s="218" t="s">
        <v>1488</v>
      </c>
      <c r="E1260" s="240">
        <v>4</v>
      </c>
      <c r="F1260" s="230">
        <v>2794.03</v>
      </c>
      <c r="G1260" s="223">
        <v>1978</v>
      </c>
      <c r="H1260" s="223">
        <v>1</v>
      </c>
      <c r="I1260" s="223">
        <v>0</v>
      </c>
      <c r="J1260" s="223"/>
      <c r="K1260" s="228">
        <v>73902.093500000003</v>
      </c>
      <c r="L1260" s="241">
        <v>80</v>
      </c>
      <c r="M1260" s="228">
        <v>14780.4187</v>
      </c>
      <c r="N1260" s="230">
        <v>26.45</v>
      </c>
      <c r="O1260" s="231">
        <v>0</v>
      </c>
      <c r="P1260" s="314"/>
      <c r="Q1260" s="276">
        <f t="shared" si="42"/>
        <v>2794.03</v>
      </c>
      <c r="R1260" s="275">
        <f>(SUMIFS('Dec 31 2018 OFFS'!$AG:$AG,'Dec 31 2018 OFFS'!$AI:$AI,'T1 2019 Pipeline Data Lagasco'!$A1260,'Dec 31 2018 OFFS'!$U:$U,'T1 2019 Pipeline Data Lagasco'!$E1260,'Dec 31 2018 OFFS'!$AK:$AK,'T1 2019 Pipeline Data Lagasco'!$Q1260,'Dec 31 2018 OFFS'!$W:$W,'T1 2019 Pipeline Data Lagasco'!$G1260))/(MAX(COUNTIFS('Dec 31 2018 OFFS'!$AI:$AI,'T1 2019 Pipeline Data Lagasco'!$A1260,'Dec 31 2018 OFFS'!$U:$U,'T1 2019 Pipeline Data Lagasco'!$E1260,'Dec 31 2018 OFFS'!$AK:$AK,'T1 2019 Pipeline Data Lagasco'!$Q1260,'Dec 31 2018 OFFS'!$W:$W,'T1 2019 Pipeline Data Lagasco'!$G1260),1))</f>
        <v>0</v>
      </c>
      <c r="S1260" s="275">
        <f t="shared" si="43"/>
        <v>0</v>
      </c>
    </row>
    <row r="1261" spans="1:19" s="217" customFormat="1" ht="14.1" customHeight="1">
      <c r="A1261" s="224" t="s">
        <v>1533</v>
      </c>
      <c r="B1261" s="218" t="s">
        <v>1534</v>
      </c>
      <c r="C1261" s="223">
        <v>1</v>
      </c>
      <c r="D1261" s="218" t="s">
        <v>1488</v>
      </c>
      <c r="E1261" s="240">
        <v>4</v>
      </c>
      <c r="F1261" s="226">
        <v>3719.6849320000001</v>
      </c>
      <c r="G1261" s="223">
        <v>1994</v>
      </c>
      <c r="H1261" s="223">
        <v>1</v>
      </c>
      <c r="I1261" s="223">
        <v>1</v>
      </c>
      <c r="J1261" s="223"/>
      <c r="K1261" s="229">
        <v>98385.666440000001</v>
      </c>
      <c r="L1261" s="241">
        <v>68</v>
      </c>
      <c r="M1261" s="229">
        <v>31483.413260000001</v>
      </c>
      <c r="N1261" s="230">
        <v>26.45</v>
      </c>
      <c r="O1261" s="231">
        <v>31483</v>
      </c>
      <c r="P1261" s="314"/>
      <c r="Q1261" s="276">
        <f t="shared" si="42"/>
        <v>3719.68</v>
      </c>
      <c r="R1261" s="275">
        <f>(SUMIFS('Dec 31 2018 OFFS'!$AG:$AG,'Dec 31 2018 OFFS'!$AI:$AI,'T1 2019 Pipeline Data Lagasco'!$A1261,'Dec 31 2018 OFFS'!$U:$U,'T1 2019 Pipeline Data Lagasco'!$E1261,'Dec 31 2018 OFFS'!$AK:$AK,'T1 2019 Pipeline Data Lagasco'!$Q1261,'Dec 31 2018 OFFS'!$W:$W,'T1 2019 Pipeline Data Lagasco'!$G1261))/(MAX(COUNTIFS('Dec 31 2018 OFFS'!$AI:$AI,'T1 2019 Pipeline Data Lagasco'!$A1261,'Dec 31 2018 OFFS'!$U:$U,'T1 2019 Pipeline Data Lagasco'!$E1261,'Dec 31 2018 OFFS'!$AK:$AK,'T1 2019 Pipeline Data Lagasco'!$Q1261,'Dec 31 2018 OFFS'!$W:$W,'T1 2019 Pipeline Data Lagasco'!$G1261),1))</f>
        <v>31483</v>
      </c>
      <c r="S1261" s="275">
        <f t="shared" si="43"/>
        <v>0</v>
      </c>
    </row>
    <row r="1262" spans="1:19" s="217" customFormat="1" ht="14.1" customHeight="1">
      <c r="A1262" s="224" t="s">
        <v>1533</v>
      </c>
      <c r="B1262" s="218" t="s">
        <v>1534</v>
      </c>
      <c r="C1262" s="223">
        <v>1</v>
      </c>
      <c r="D1262" s="218" t="s">
        <v>1488</v>
      </c>
      <c r="E1262" s="240">
        <v>4</v>
      </c>
      <c r="F1262" s="236">
        <v>13594.65184</v>
      </c>
      <c r="G1262" s="223">
        <v>1994</v>
      </c>
      <c r="H1262" s="223">
        <v>1</v>
      </c>
      <c r="I1262" s="223">
        <v>1</v>
      </c>
      <c r="J1262" s="223"/>
      <c r="K1262" s="228">
        <v>359578.54109999997</v>
      </c>
      <c r="L1262" s="241">
        <v>68</v>
      </c>
      <c r="M1262" s="228">
        <v>115065.1332</v>
      </c>
      <c r="N1262" s="230">
        <v>26.45</v>
      </c>
      <c r="O1262" s="231">
        <v>115065</v>
      </c>
      <c r="P1262" s="314"/>
      <c r="Q1262" s="276">
        <f t="shared" si="45" ref="Q1262:Q1316">ROUND(F1262,2)</f>
        <v>13594.65</v>
      </c>
      <c r="R1262" s="275">
        <f>(SUMIFS('Dec 31 2018 OFFS'!$AG:$AG,'Dec 31 2018 OFFS'!$AI:$AI,'T1 2019 Pipeline Data Lagasco'!$A1262,'Dec 31 2018 OFFS'!$U:$U,'T1 2019 Pipeline Data Lagasco'!$E1262,'Dec 31 2018 OFFS'!$AK:$AK,'T1 2019 Pipeline Data Lagasco'!$Q1262,'Dec 31 2018 OFFS'!$W:$W,'T1 2019 Pipeline Data Lagasco'!$G1262))/(MAX(COUNTIFS('Dec 31 2018 OFFS'!$AI:$AI,'T1 2019 Pipeline Data Lagasco'!$A1262,'Dec 31 2018 OFFS'!$U:$U,'T1 2019 Pipeline Data Lagasco'!$E1262,'Dec 31 2018 OFFS'!$AK:$AK,'T1 2019 Pipeline Data Lagasco'!$Q1262,'Dec 31 2018 OFFS'!$W:$W,'T1 2019 Pipeline Data Lagasco'!$G1262),1))</f>
        <v>115065</v>
      </c>
      <c r="S1262" s="275">
        <f t="shared" si="46" ref="S1262:S1316">O1262-R1262</f>
        <v>0</v>
      </c>
    </row>
    <row r="1263" spans="1:19" s="217" customFormat="1" ht="14.1" customHeight="1">
      <c r="A1263" s="224" t="s">
        <v>1533</v>
      </c>
      <c r="B1263" s="218" t="s">
        <v>1534</v>
      </c>
      <c r="C1263" s="223">
        <v>1</v>
      </c>
      <c r="D1263" s="218" t="s">
        <v>1488</v>
      </c>
      <c r="E1263" s="240">
        <v>4</v>
      </c>
      <c r="F1263" s="232">
        <v>546.22701830000005</v>
      </c>
      <c r="G1263" s="223">
        <v>1994</v>
      </c>
      <c r="H1263" s="223">
        <v>1</v>
      </c>
      <c r="I1263" s="223">
        <v>1</v>
      </c>
      <c r="J1263" s="223"/>
      <c r="K1263" s="229">
        <v>14447.70463</v>
      </c>
      <c r="L1263" s="241">
        <v>68</v>
      </c>
      <c r="M1263" s="233">
        <v>4623.2654830000001</v>
      </c>
      <c r="N1263" s="230">
        <v>26.45</v>
      </c>
      <c r="O1263" s="231">
        <v>4623</v>
      </c>
      <c r="P1263" s="314"/>
      <c r="Q1263" s="276">
        <f t="shared" si="45"/>
        <v>546.23</v>
      </c>
      <c r="R1263" s="275">
        <f>(SUMIFS('Dec 31 2018 OFFS'!$AG:$AG,'Dec 31 2018 OFFS'!$AI:$AI,'T1 2019 Pipeline Data Lagasco'!$A1263,'Dec 31 2018 OFFS'!$U:$U,'T1 2019 Pipeline Data Lagasco'!$E1263,'Dec 31 2018 OFFS'!$AK:$AK,'T1 2019 Pipeline Data Lagasco'!$Q1263,'Dec 31 2018 OFFS'!$W:$W,'T1 2019 Pipeline Data Lagasco'!$G1263))/(MAX(COUNTIFS('Dec 31 2018 OFFS'!$AI:$AI,'T1 2019 Pipeline Data Lagasco'!$A1263,'Dec 31 2018 OFFS'!$U:$U,'T1 2019 Pipeline Data Lagasco'!$E1263,'Dec 31 2018 OFFS'!$AK:$AK,'T1 2019 Pipeline Data Lagasco'!$Q1263,'Dec 31 2018 OFFS'!$W:$W,'T1 2019 Pipeline Data Lagasco'!$G1263),1))</f>
        <v>4623</v>
      </c>
      <c r="S1263" s="275">
        <f t="shared" si="46"/>
        <v>0</v>
      </c>
    </row>
    <row r="1264" spans="1:19" s="217" customFormat="1" ht="14.1" customHeight="1">
      <c r="A1264" s="224" t="s">
        <v>1533</v>
      </c>
      <c r="B1264" s="218" t="s">
        <v>1534</v>
      </c>
      <c r="C1264" s="223">
        <v>1</v>
      </c>
      <c r="D1264" s="218" t="s">
        <v>1488</v>
      </c>
      <c r="E1264" s="240">
        <v>4</v>
      </c>
      <c r="F1264" s="230">
        <v>2913.78</v>
      </c>
      <c r="G1264" s="223">
        <v>1978</v>
      </c>
      <c r="H1264" s="223">
        <v>1</v>
      </c>
      <c r="I1264" s="223">
        <v>0</v>
      </c>
      <c r="J1264" s="223"/>
      <c r="K1264" s="239">
        <v>77069.481</v>
      </c>
      <c r="L1264" s="241">
        <v>80</v>
      </c>
      <c r="M1264" s="228">
        <v>15413.896199999999</v>
      </c>
      <c r="N1264" s="230">
        <v>26.45</v>
      </c>
      <c r="O1264" s="231">
        <v>0</v>
      </c>
      <c r="P1264" s="314"/>
      <c r="Q1264" s="276">
        <f t="shared" si="45"/>
        <v>2913.78</v>
      </c>
      <c r="R1264" s="275">
        <f>(SUMIFS('Dec 31 2018 OFFS'!$AG:$AG,'Dec 31 2018 OFFS'!$AI:$AI,'T1 2019 Pipeline Data Lagasco'!$A1264,'Dec 31 2018 OFFS'!$U:$U,'T1 2019 Pipeline Data Lagasco'!$E1264,'Dec 31 2018 OFFS'!$AK:$AK,'T1 2019 Pipeline Data Lagasco'!$Q1264,'Dec 31 2018 OFFS'!$W:$W,'T1 2019 Pipeline Data Lagasco'!$G1264))/(MAX(COUNTIFS('Dec 31 2018 OFFS'!$AI:$AI,'T1 2019 Pipeline Data Lagasco'!$A1264,'Dec 31 2018 OFFS'!$U:$U,'T1 2019 Pipeline Data Lagasco'!$E1264,'Dec 31 2018 OFFS'!$AK:$AK,'T1 2019 Pipeline Data Lagasco'!$Q1264,'Dec 31 2018 OFFS'!$W:$W,'T1 2019 Pipeline Data Lagasco'!$G1264),1))</f>
        <v>0</v>
      </c>
      <c r="S1264" s="275">
        <f t="shared" si="46"/>
        <v>0</v>
      </c>
    </row>
    <row r="1265" spans="1:19" s="217" customFormat="1" ht="14.1" customHeight="1">
      <c r="A1265" s="224" t="s">
        <v>1533</v>
      </c>
      <c r="B1265" s="218" t="s">
        <v>1534</v>
      </c>
      <c r="C1265" s="223">
        <v>1</v>
      </c>
      <c r="D1265" s="218" t="s">
        <v>1488</v>
      </c>
      <c r="E1265" s="240">
        <v>4</v>
      </c>
      <c r="F1265" s="226">
        <v>2500.7873290000002</v>
      </c>
      <c r="G1265" s="223">
        <v>1978</v>
      </c>
      <c r="H1265" s="223">
        <v>1</v>
      </c>
      <c r="I1265" s="223">
        <v>0</v>
      </c>
      <c r="J1265" s="223"/>
      <c r="K1265" s="229">
        <v>66145.824859999993</v>
      </c>
      <c r="L1265" s="241">
        <v>80</v>
      </c>
      <c r="M1265" s="229">
        <v>13229.16497</v>
      </c>
      <c r="N1265" s="230">
        <v>26.45</v>
      </c>
      <c r="O1265" s="231">
        <v>0</v>
      </c>
      <c r="P1265" s="314"/>
      <c r="Q1265" s="276">
        <f t="shared" si="45"/>
        <v>2500.79</v>
      </c>
      <c r="R1265" s="275">
        <f>(SUMIFS('Dec 31 2018 OFFS'!$AG:$AG,'Dec 31 2018 OFFS'!$AI:$AI,'T1 2019 Pipeline Data Lagasco'!$A1265,'Dec 31 2018 OFFS'!$U:$U,'T1 2019 Pipeline Data Lagasco'!$E1265,'Dec 31 2018 OFFS'!$AK:$AK,'T1 2019 Pipeline Data Lagasco'!$Q1265,'Dec 31 2018 OFFS'!$W:$W,'T1 2019 Pipeline Data Lagasco'!$G1265))/(MAX(COUNTIFS('Dec 31 2018 OFFS'!$AI:$AI,'T1 2019 Pipeline Data Lagasco'!$A1265,'Dec 31 2018 OFFS'!$U:$U,'T1 2019 Pipeline Data Lagasco'!$E1265,'Dec 31 2018 OFFS'!$AK:$AK,'T1 2019 Pipeline Data Lagasco'!$Q1265,'Dec 31 2018 OFFS'!$W:$W,'T1 2019 Pipeline Data Lagasco'!$G1265),1))</f>
        <v>0</v>
      </c>
      <c r="S1265" s="275">
        <f t="shared" si="46"/>
        <v>0</v>
      </c>
    </row>
    <row r="1266" spans="1:19" s="217" customFormat="1" ht="14.1" customHeight="1">
      <c r="A1266" s="224" t="s">
        <v>1533</v>
      </c>
      <c r="B1266" s="218" t="s">
        <v>1534</v>
      </c>
      <c r="C1266" s="223">
        <v>1</v>
      </c>
      <c r="D1266" s="218" t="s">
        <v>1488</v>
      </c>
      <c r="E1266" s="240">
        <v>4</v>
      </c>
      <c r="F1266" s="226">
        <v>2500.7873290000002</v>
      </c>
      <c r="G1266" s="223">
        <v>2000</v>
      </c>
      <c r="H1266" s="223">
        <v>1</v>
      </c>
      <c r="I1266" s="223">
        <v>1</v>
      </c>
      <c r="J1266" s="223"/>
      <c r="K1266" s="229">
        <v>66145.824859999993</v>
      </c>
      <c r="L1266" s="241">
        <v>61</v>
      </c>
      <c r="M1266" s="229">
        <v>25796.87169</v>
      </c>
      <c r="N1266" s="230">
        <v>26.45</v>
      </c>
      <c r="O1266" s="231">
        <v>25796</v>
      </c>
      <c r="P1266" s="314"/>
      <c r="Q1266" s="276">
        <f t="shared" si="45"/>
        <v>2500.79</v>
      </c>
      <c r="R1266" s="275">
        <f>(SUMIFS('Dec 31 2018 OFFS'!$AG:$AG,'Dec 31 2018 OFFS'!$AI:$AI,'T1 2019 Pipeline Data Lagasco'!$A1266,'Dec 31 2018 OFFS'!$U:$U,'T1 2019 Pipeline Data Lagasco'!$E1266,'Dec 31 2018 OFFS'!$AK:$AK,'T1 2019 Pipeline Data Lagasco'!$Q1266,'Dec 31 2018 OFFS'!$W:$W,'T1 2019 Pipeline Data Lagasco'!$G1266))/(MAX(COUNTIFS('Dec 31 2018 OFFS'!$AI:$AI,'T1 2019 Pipeline Data Lagasco'!$A1266,'Dec 31 2018 OFFS'!$U:$U,'T1 2019 Pipeline Data Lagasco'!$E1266,'Dec 31 2018 OFFS'!$AK:$AK,'T1 2019 Pipeline Data Lagasco'!$Q1266,'Dec 31 2018 OFFS'!$W:$W,'T1 2019 Pipeline Data Lagasco'!$G1266),1))</f>
        <v>25796</v>
      </c>
      <c r="S1266" s="275">
        <f t="shared" si="46"/>
        <v>0</v>
      </c>
    </row>
    <row r="1267" spans="1:19" s="217" customFormat="1" ht="14.1" customHeight="1">
      <c r="A1267" s="224" t="s">
        <v>1533</v>
      </c>
      <c r="B1267" s="218" t="s">
        <v>1534</v>
      </c>
      <c r="C1267" s="223">
        <v>1</v>
      </c>
      <c r="D1267" s="218" t="s">
        <v>1488</v>
      </c>
      <c r="E1267" s="240">
        <v>4</v>
      </c>
      <c r="F1267" s="236">
        <v>2068.2414100000001</v>
      </c>
      <c r="G1267" s="223">
        <v>1978</v>
      </c>
      <c r="H1267" s="223">
        <v>1</v>
      </c>
      <c r="I1267" s="223">
        <v>1</v>
      </c>
      <c r="J1267" s="223"/>
      <c r="K1267" s="229">
        <v>54704.985289999997</v>
      </c>
      <c r="L1267" s="241">
        <v>80</v>
      </c>
      <c r="M1267" s="229">
        <v>10940.99706</v>
      </c>
      <c r="N1267" s="230">
        <v>26.45</v>
      </c>
      <c r="O1267" s="231">
        <v>10940</v>
      </c>
      <c r="P1267" s="314"/>
      <c r="Q1267" s="276">
        <f t="shared" si="45"/>
        <v>2068.2399999999998</v>
      </c>
      <c r="R1267" s="275">
        <f>(SUMIFS('Dec 31 2018 OFFS'!$AG:$AG,'Dec 31 2018 OFFS'!$AI:$AI,'T1 2019 Pipeline Data Lagasco'!$A1267,'Dec 31 2018 OFFS'!$U:$U,'T1 2019 Pipeline Data Lagasco'!$E1267,'Dec 31 2018 OFFS'!$AK:$AK,'T1 2019 Pipeline Data Lagasco'!$Q1267,'Dec 31 2018 OFFS'!$W:$W,'T1 2019 Pipeline Data Lagasco'!$G1267))/(MAX(COUNTIFS('Dec 31 2018 OFFS'!$AI:$AI,'T1 2019 Pipeline Data Lagasco'!$A1267,'Dec 31 2018 OFFS'!$U:$U,'T1 2019 Pipeline Data Lagasco'!$E1267,'Dec 31 2018 OFFS'!$AK:$AK,'T1 2019 Pipeline Data Lagasco'!$Q1267,'Dec 31 2018 OFFS'!$W:$W,'T1 2019 Pipeline Data Lagasco'!$G1267),1))</f>
        <v>10941</v>
      </c>
      <c r="S1267" s="275">
        <f t="shared" si="46"/>
        <v>-1</v>
      </c>
    </row>
    <row r="1268" spans="1:19" s="217" customFormat="1" ht="14.1" customHeight="1">
      <c r="A1268" s="224" t="s">
        <v>1533</v>
      </c>
      <c r="B1268" s="218" t="s">
        <v>1534</v>
      </c>
      <c r="C1268" s="223">
        <v>1</v>
      </c>
      <c r="D1268" s="218" t="s">
        <v>1488</v>
      </c>
      <c r="E1268" s="240">
        <v>4</v>
      </c>
      <c r="F1268" s="226">
        <v>5231.856804</v>
      </c>
      <c r="G1268" s="223">
        <v>1978</v>
      </c>
      <c r="H1268" s="223">
        <v>1</v>
      </c>
      <c r="I1268" s="223">
        <v>1</v>
      </c>
      <c r="J1268" s="223"/>
      <c r="K1268" s="228">
        <v>138382.61249999999</v>
      </c>
      <c r="L1268" s="241">
        <v>80</v>
      </c>
      <c r="M1268" s="229">
        <v>27676.522489999999</v>
      </c>
      <c r="N1268" s="230">
        <v>26.45</v>
      </c>
      <c r="O1268" s="231">
        <v>27676</v>
      </c>
      <c r="P1268" s="314"/>
      <c r="Q1268" s="276">
        <f t="shared" si="45"/>
        <v>5231.8599999999997</v>
      </c>
      <c r="R1268" s="275">
        <f>(SUMIFS('Dec 31 2018 OFFS'!$AG:$AG,'Dec 31 2018 OFFS'!$AI:$AI,'T1 2019 Pipeline Data Lagasco'!$A1268,'Dec 31 2018 OFFS'!$U:$U,'T1 2019 Pipeline Data Lagasco'!$E1268,'Dec 31 2018 OFFS'!$AK:$AK,'T1 2019 Pipeline Data Lagasco'!$Q1268,'Dec 31 2018 OFFS'!$W:$W,'T1 2019 Pipeline Data Lagasco'!$G1268))/(MAX(COUNTIFS('Dec 31 2018 OFFS'!$AI:$AI,'T1 2019 Pipeline Data Lagasco'!$A1268,'Dec 31 2018 OFFS'!$U:$U,'T1 2019 Pipeline Data Lagasco'!$E1268,'Dec 31 2018 OFFS'!$AK:$AK,'T1 2019 Pipeline Data Lagasco'!$Q1268,'Dec 31 2018 OFFS'!$W:$W,'T1 2019 Pipeline Data Lagasco'!$G1268),1))</f>
        <v>27676</v>
      </c>
      <c r="S1268" s="275">
        <f t="shared" si="46"/>
        <v>0</v>
      </c>
    </row>
    <row r="1269" spans="1:19" s="217" customFormat="1" ht="14.1" customHeight="1">
      <c r="A1269" s="224" t="s">
        <v>1533</v>
      </c>
      <c r="B1269" s="218" t="s">
        <v>1534</v>
      </c>
      <c r="C1269" s="223">
        <v>1</v>
      </c>
      <c r="D1269" s="218" t="s">
        <v>1488</v>
      </c>
      <c r="E1269" s="240">
        <v>4</v>
      </c>
      <c r="F1269" s="226">
        <v>3720.6035670000001</v>
      </c>
      <c r="G1269" s="223">
        <v>1978</v>
      </c>
      <c r="H1269" s="223">
        <v>1</v>
      </c>
      <c r="I1269" s="223">
        <v>1</v>
      </c>
      <c r="J1269" s="223"/>
      <c r="K1269" s="229">
        <v>98409.964340000006</v>
      </c>
      <c r="L1269" s="241">
        <v>80</v>
      </c>
      <c r="M1269" s="229">
        <v>19681.992869999998</v>
      </c>
      <c r="N1269" s="230">
        <v>26.45</v>
      </c>
      <c r="O1269" s="231">
        <v>19681</v>
      </c>
      <c r="P1269" s="314"/>
      <c r="Q1269" s="276">
        <f t="shared" si="45"/>
        <v>3720.60</v>
      </c>
      <c r="R1269" s="275">
        <f>(SUMIFS('Dec 31 2018 OFFS'!$AG:$AG,'Dec 31 2018 OFFS'!$AI:$AI,'T1 2019 Pipeline Data Lagasco'!$A1269,'Dec 31 2018 OFFS'!$U:$U,'T1 2019 Pipeline Data Lagasco'!$E1269,'Dec 31 2018 OFFS'!$AK:$AK,'T1 2019 Pipeline Data Lagasco'!$Q1269,'Dec 31 2018 OFFS'!$W:$W,'T1 2019 Pipeline Data Lagasco'!$G1269))/(MAX(COUNTIFS('Dec 31 2018 OFFS'!$AI:$AI,'T1 2019 Pipeline Data Lagasco'!$A1269,'Dec 31 2018 OFFS'!$U:$U,'T1 2019 Pipeline Data Lagasco'!$E1269,'Dec 31 2018 OFFS'!$AK:$AK,'T1 2019 Pipeline Data Lagasco'!$Q1269,'Dec 31 2018 OFFS'!$W:$W,'T1 2019 Pipeline Data Lagasco'!$G1269),1))</f>
        <v>19681</v>
      </c>
      <c r="S1269" s="275">
        <f t="shared" si="46"/>
        <v>0</v>
      </c>
    </row>
    <row r="1270" spans="1:19" s="217" customFormat="1" ht="14.1" customHeight="1">
      <c r="A1270" s="224" t="s">
        <v>1533</v>
      </c>
      <c r="B1270" s="218" t="s">
        <v>1534</v>
      </c>
      <c r="C1270" s="223">
        <v>1</v>
      </c>
      <c r="D1270" s="218" t="s">
        <v>1488</v>
      </c>
      <c r="E1270" s="240">
        <v>4</v>
      </c>
      <c r="F1270" s="226">
        <v>8201.9682659999999</v>
      </c>
      <c r="G1270" s="223">
        <v>1978</v>
      </c>
      <c r="H1270" s="223">
        <v>1</v>
      </c>
      <c r="I1270" s="223">
        <v>1</v>
      </c>
      <c r="J1270" s="223"/>
      <c r="K1270" s="228">
        <v>216942.0606</v>
      </c>
      <c r="L1270" s="241">
        <v>80</v>
      </c>
      <c r="M1270" s="229">
        <v>43388.412129999997</v>
      </c>
      <c r="N1270" s="230">
        <v>26.45</v>
      </c>
      <c r="O1270" s="231">
        <v>43388</v>
      </c>
      <c r="P1270" s="314"/>
      <c r="Q1270" s="276">
        <f t="shared" si="45"/>
        <v>8201.9699999999993</v>
      </c>
      <c r="R1270" s="275">
        <f>(SUMIFS('Dec 31 2018 OFFS'!$AG:$AG,'Dec 31 2018 OFFS'!$AI:$AI,'T1 2019 Pipeline Data Lagasco'!$A1270,'Dec 31 2018 OFFS'!$U:$U,'T1 2019 Pipeline Data Lagasco'!$E1270,'Dec 31 2018 OFFS'!$AK:$AK,'T1 2019 Pipeline Data Lagasco'!$Q1270,'Dec 31 2018 OFFS'!$W:$W,'T1 2019 Pipeline Data Lagasco'!$G1270))/(MAX(COUNTIFS('Dec 31 2018 OFFS'!$AI:$AI,'T1 2019 Pipeline Data Lagasco'!$A1270,'Dec 31 2018 OFFS'!$U:$U,'T1 2019 Pipeline Data Lagasco'!$E1270,'Dec 31 2018 OFFS'!$AK:$AK,'T1 2019 Pipeline Data Lagasco'!$Q1270,'Dec 31 2018 OFFS'!$W:$W,'T1 2019 Pipeline Data Lagasco'!$G1270),1))</f>
        <v>43388</v>
      </c>
      <c r="S1270" s="275">
        <f t="shared" si="46"/>
        <v>0</v>
      </c>
    </row>
    <row r="1271" spans="1:19" s="217" customFormat="1" ht="14.1" customHeight="1">
      <c r="A1271" s="224" t="s">
        <v>1533</v>
      </c>
      <c r="B1271" s="218" t="s">
        <v>1534</v>
      </c>
      <c r="C1271" s="223">
        <v>1</v>
      </c>
      <c r="D1271" s="218" t="s">
        <v>1488</v>
      </c>
      <c r="E1271" s="240">
        <v>4</v>
      </c>
      <c r="F1271" s="236">
        <v>7849.4420300000002</v>
      </c>
      <c r="G1271" s="223">
        <v>1978</v>
      </c>
      <c r="H1271" s="223">
        <v>1</v>
      </c>
      <c r="I1271" s="223">
        <v>1</v>
      </c>
      <c r="J1271" s="223"/>
      <c r="K1271" s="228">
        <v>207617.74170000001</v>
      </c>
      <c r="L1271" s="241">
        <v>80</v>
      </c>
      <c r="M1271" s="229">
        <v>41523.548340000001</v>
      </c>
      <c r="N1271" s="230">
        <v>26.45</v>
      </c>
      <c r="O1271" s="231">
        <v>41523</v>
      </c>
      <c r="P1271" s="314"/>
      <c r="Q1271" s="276">
        <f t="shared" si="45"/>
        <v>7849.44</v>
      </c>
      <c r="R1271" s="275">
        <f>(SUMIFS('Dec 31 2018 OFFS'!$AG:$AG,'Dec 31 2018 OFFS'!$AI:$AI,'T1 2019 Pipeline Data Lagasco'!$A1271,'Dec 31 2018 OFFS'!$U:$U,'T1 2019 Pipeline Data Lagasco'!$E1271,'Dec 31 2018 OFFS'!$AK:$AK,'T1 2019 Pipeline Data Lagasco'!$Q1271,'Dec 31 2018 OFFS'!$W:$W,'T1 2019 Pipeline Data Lagasco'!$G1271))/(MAX(COUNTIFS('Dec 31 2018 OFFS'!$AI:$AI,'T1 2019 Pipeline Data Lagasco'!$A1271,'Dec 31 2018 OFFS'!$U:$U,'T1 2019 Pipeline Data Lagasco'!$E1271,'Dec 31 2018 OFFS'!$AK:$AK,'T1 2019 Pipeline Data Lagasco'!$Q1271,'Dec 31 2018 OFFS'!$W:$W,'T1 2019 Pipeline Data Lagasco'!$G1271),1))</f>
        <v>41523</v>
      </c>
      <c r="S1271" s="275">
        <f t="shared" si="46"/>
        <v>0</v>
      </c>
    </row>
    <row r="1272" spans="1:19" s="217" customFormat="1" ht="14.1" customHeight="1">
      <c r="A1272" s="224" t="s">
        <v>1533</v>
      </c>
      <c r="B1272" s="218" t="s">
        <v>1534</v>
      </c>
      <c r="C1272" s="223">
        <v>1</v>
      </c>
      <c r="D1272" s="218" t="s">
        <v>1488</v>
      </c>
      <c r="E1272" s="240">
        <v>4</v>
      </c>
      <c r="F1272" s="226">
        <v>7008.2347049999998</v>
      </c>
      <c r="G1272" s="223">
        <v>1978</v>
      </c>
      <c r="H1272" s="223">
        <v>1</v>
      </c>
      <c r="I1272" s="223">
        <v>0</v>
      </c>
      <c r="J1272" s="223"/>
      <c r="K1272" s="239">
        <v>185367.80799999999</v>
      </c>
      <c r="L1272" s="241">
        <v>80</v>
      </c>
      <c r="M1272" s="229">
        <v>37073.561589999998</v>
      </c>
      <c r="N1272" s="230">
        <v>26.45</v>
      </c>
      <c r="O1272" s="231">
        <v>0</v>
      </c>
      <c r="P1272" s="314"/>
      <c r="Q1272" s="276">
        <f t="shared" si="45"/>
        <v>7008.23</v>
      </c>
      <c r="R1272" s="275">
        <f>(SUMIFS('Dec 31 2018 OFFS'!$AG:$AG,'Dec 31 2018 OFFS'!$AI:$AI,'T1 2019 Pipeline Data Lagasco'!$A1272,'Dec 31 2018 OFFS'!$U:$U,'T1 2019 Pipeline Data Lagasco'!$E1272,'Dec 31 2018 OFFS'!$AK:$AK,'T1 2019 Pipeline Data Lagasco'!$Q1272,'Dec 31 2018 OFFS'!$W:$W,'T1 2019 Pipeline Data Lagasco'!$G1272))/(MAX(COUNTIFS('Dec 31 2018 OFFS'!$AI:$AI,'T1 2019 Pipeline Data Lagasco'!$A1272,'Dec 31 2018 OFFS'!$U:$U,'T1 2019 Pipeline Data Lagasco'!$E1272,'Dec 31 2018 OFFS'!$AK:$AK,'T1 2019 Pipeline Data Lagasco'!$Q1272,'Dec 31 2018 OFFS'!$W:$W,'T1 2019 Pipeline Data Lagasco'!$G1272),1))</f>
        <v>0</v>
      </c>
      <c r="S1272" s="275">
        <f t="shared" si="46"/>
        <v>0</v>
      </c>
    </row>
    <row r="1273" spans="1:19" s="217" customFormat="1" ht="14.1" customHeight="1">
      <c r="A1273" s="224" t="s">
        <v>1533</v>
      </c>
      <c r="B1273" s="218" t="s">
        <v>1534</v>
      </c>
      <c r="C1273" s="223">
        <v>1</v>
      </c>
      <c r="D1273" s="218" t="s">
        <v>1488</v>
      </c>
      <c r="E1273" s="240">
        <v>4</v>
      </c>
      <c r="F1273" s="226">
        <v>4750.9841139999999</v>
      </c>
      <c r="G1273" s="223">
        <v>1985</v>
      </c>
      <c r="H1273" s="223">
        <v>1</v>
      </c>
      <c r="I1273" s="223">
        <v>1</v>
      </c>
      <c r="J1273" s="223"/>
      <c r="K1273" s="228">
        <v>125663.5298</v>
      </c>
      <c r="L1273" s="241">
        <v>80</v>
      </c>
      <c r="M1273" s="229">
        <v>25132.705969999999</v>
      </c>
      <c r="N1273" s="230">
        <v>26.45</v>
      </c>
      <c r="O1273" s="231">
        <v>25132</v>
      </c>
      <c r="P1273" s="314"/>
      <c r="Q1273" s="276">
        <f t="shared" si="45"/>
        <v>4750.9799999999996</v>
      </c>
      <c r="R1273" s="275">
        <f>(SUMIFS('Dec 31 2018 OFFS'!$AG:$AG,'Dec 31 2018 OFFS'!$AI:$AI,'T1 2019 Pipeline Data Lagasco'!$A1273,'Dec 31 2018 OFFS'!$U:$U,'T1 2019 Pipeline Data Lagasco'!$E1273,'Dec 31 2018 OFFS'!$AK:$AK,'T1 2019 Pipeline Data Lagasco'!$Q1273,'Dec 31 2018 OFFS'!$W:$W,'T1 2019 Pipeline Data Lagasco'!$G1273))/(MAX(COUNTIFS('Dec 31 2018 OFFS'!$AI:$AI,'T1 2019 Pipeline Data Lagasco'!$A1273,'Dec 31 2018 OFFS'!$U:$U,'T1 2019 Pipeline Data Lagasco'!$E1273,'Dec 31 2018 OFFS'!$AK:$AK,'T1 2019 Pipeline Data Lagasco'!$Q1273,'Dec 31 2018 OFFS'!$W:$W,'T1 2019 Pipeline Data Lagasco'!$G1273),1))</f>
        <v>25132</v>
      </c>
      <c r="S1273" s="275">
        <f t="shared" si="46"/>
        <v>0</v>
      </c>
    </row>
    <row r="1274" spans="1:19" s="217" customFormat="1" ht="14.1" customHeight="1">
      <c r="A1274" s="224" t="s">
        <v>1533</v>
      </c>
      <c r="B1274" s="218" t="s">
        <v>1534</v>
      </c>
      <c r="C1274" s="223">
        <v>1</v>
      </c>
      <c r="D1274" s="218" t="s">
        <v>1488</v>
      </c>
      <c r="E1274" s="240">
        <v>4</v>
      </c>
      <c r="F1274" s="236">
        <v>10620.83303</v>
      </c>
      <c r="G1274" s="223">
        <v>1985</v>
      </c>
      <c r="H1274" s="223">
        <v>1</v>
      </c>
      <c r="I1274" s="223">
        <v>1</v>
      </c>
      <c r="J1274" s="223"/>
      <c r="K1274" s="228">
        <v>280921.03350000002</v>
      </c>
      <c r="L1274" s="241">
        <v>80</v>
      </c>
      <c r="M1274" s="229">
        <v>56184.206709999999</v>
      </c>
      <c r="N1274" s="230">
        <v>26.45</v>
      </c>
      <c r="O1274" s="231">
        <v>56184</v>
      </c>
      <c r="P1274" s="314"/>
      <c r="Q1274" s="276">
        <f t="shared" si="45"/>
        <v>10620.83</v>
      </c>
      <c r="R1274" s="275">
        <f>(SUMIFS('Dec 31 2018 OFFS'!$AG:$AG,'Dec 31 2018 OFFS'!$AI:$AI,'T1 2019 Pipeline Data Lagasco'!$A1274,'Dec 31 2018 OFFS'!$U:$U,'T1 2019 Pipeline Data Lagasco'!$E1274,'Dec 31 2018 OFFS'!$AK:$AK,'T1 2019 Pipeline Data Lagasco'!$Q1274,'Dec 31 2018 OFFS'!$W:$W,'T1 2019 Pipeline Data Lagasco'!$G1274))/(MAX(COUNTIFS('Dec 31 2018 OFFS'!$AI:$AI,'T1 2019 Pipeline Data Lagasco'!$A1274,'Dec 31 2018 OFFS'!$U:$U,'T1 2019 Pipeline Data Lagasco'!$E1274,'Dec 31 2018 OFFS'!$AK:$AK,'T1 2019 Pipeline Data Lagasco'!$Q1274,'Dec 31 2018 OFFS'!$W:$W,'T1 2019 Pipeline Data Lagasco'!$G1274),1))</f>
        <v>56184</v>
      </c>
      <c r="S1274" s="275">
        <f t="shared" si="46"/>
        <v>0</v>
      </c>
    </row>
    <row r="1275" spans="1:19" s="217" customFormat="1" ht="14.1" customHeight="1">
      <c r="A1275" s="224" t="s">
        <v>1533</v>
      </c>
      <c r="B1275" s="218" t="s">
        <v>1534</v>
      </c>
      <c r="C1275" s="223">
        <v>1</v>
      </c>
      <c r="D1275" s="218" t="s">
        <v>1488</v>
      </c>
      <c r="E1275" s="240">
        <v>4</v>
      </c>
      <c r="F1275" s="223">
        <v>895</v>
      </c>
      <c r="G1275" s="223">
        <v>1994</v>
      </c>
      <c r="H1275" s="223">
        <v>1</v>
      </c>
      <c r="I1275" s="223">
        <v>1</v>
      </c>
      <c r="J1275" s="223"/>
      <c r="K1275" s="238">
        <v>23672.75</v>
      </c>
      <c r="L1275" s="241">
        <v>68</v>
      </c>
      <c r="M1275" s="238">
        <v>7575.28</v>
      </c>
      <c r="N1275" s="230">
        <v>26.45</v>
      </c>
      <c r="O1275" s="231">
        <v>7575</v>
      </c>
      <c r="P1275" s="314"/>
      <c r="Q1275" s="276">
        <f t="shared" si="45"/>
        <v>895</v>
      </c>
      <c r="R1275" s="275">
        <f>(SUMIFS('Dec 31 2018 OFFS'!$AG:$AG,'Dec 31 2018 OFFS'!$AI:$AI,'T1 2019 Pipeline Data Lagasco'!$A1275,'Dec 31 2018 OFFS'!$U:$U,'T1 2019 Pipeline Data Lagasco'!$E1275,'Dec 31 2018 OFFS'!$AK:$AK,'T1 2019 Pipeline Data Lagasco'!$Q1275,'Dec 31 2018 OFFS'!$W:$W,'T1 2019 Pipeline Data Lagasco'!$G1275))/(MAX(COUNTIFS('Dec 31 2018 OFFS'!$AI:$AI,'T1 2019 Pipeline Data Lagasco'!$A1275,'Dec 31 2018 OFFS'!$U:$U,'T1 2019 Pipeline Data Lagasco'!$E1275,'Dec 31 2018 OFFS'!$AK:$AK,'T1 2019 Pipeline Data Lagasco'!$Q1275,'Dec 31 2018 OFFS'!$W:$W,'T1 2019 Pipeline Data Lagasco'!$G1275),1))</f>
        <v>7575</v>
      </c>
      <c r="S1275" s="275">
        <f t="shared" si="46"/>
        <v>0</v>
      </c>
    </row>
    <row r="1276" spans="1:19" s="217" customFormat="1" ht="14.1" customHeight="1">
      <c r="A1276" s="224" t="s">
        <v>1533</v>
      </c>
      <c r="B1276" s="218" t="s">
        <v>1534</v>
      </c>
      <c r="C1276" s="223">
        <v>1</v>
      </c>
      <c r="D1276" s="218" t="s">
        <v>1488</v>
      </c>
      <c r="E1276" s="240">
        <v>4</v>
      </c>
      <c r="F1276" s="226">
        <v>7531.9551620000002</v>
      </c>
      <c r="G1276" s="223">
        <v>1978</v>
      </c>
      <c r="H1276" s="223">
        <v>1</v>
      </c>
      <c r="I1276" s="223">
        <v>1</v>
      </c>
      <c r="J1276" s="223"/>
      <c r="K1276" s="239">
        <v>199220.21400000001</v>
      </c>
      <c r="L1276" s="241">
        <v>80</v>
      </c>
      <c r="M1276" s="229">
        <v>39844.042809999999</v>
      </c>
      <c r="N1276" s="230">
        <v>26.45</v>
      </c>
      <c r="O1276" s="231">
        <v>39844</v>
      </c>
      <c r="P1276" s="314"/>
      <c r="Q1276" s="276">
        <f t="shared" si="45"/>
        <v>7531.96</v>
      </c>
      <c r="R1276" s="275">
        <f>(SUMIFS('Dec 31 2018 OFFS'!$AG:$AG,'Dec 31 2018 OFFS'!$AI:$AI,'T1 2019 Pipeline Data Lagasco'!$A1276,'Dec 31 2018 OFFS'!$U:$U,'T1 2019 Pipeline Data Lagasco'!$E1276,'Dec 31 2018 OFFS'!$AK:$AK,'T1 2019 Pipeline Data Lagasco'!$Q1276,'Dec 31 2018 OFFS'!$W:$W,'T1 2019 Pipeline Data Lagasco'!$G1276))/(MAX(COUNTIFS('Dec 31 2018 OFFS'!$AI:$AI,'T1 2019 Pipeline Data Lagasco'!$A1276,'Dec 31 2018 OFFS'!$U:$U,'T1 2019 Pipeline Data Lagasco'!$E1276,'Dec 31 2018 OFFS'!$AK:$AK,'T1 2019 Pipeline Data Lagasco'!$Q1276,'Dec 31 2018 OFFS'!$W:$W,'T1 2019 Pipeline Data Lagasco'!$G1276),1))</f>
        <v>39844</v>
      </c>
      <c r="S1276" s="275">
        <f t="shared" si="46"/>
        <v>0</v>
      </c>
    </row>
    <row r="1277" spans="1:19" s="217" customFormat="1" ht="14.1" customHeight="1">
      <c r="A1277" s="224" t="s">
        <v>1533</v>
      </c>
      <c r="B1277" s="218" t="s">
        <v>1534</v>
      </c>
      <c r="C1277" s="223">
        <v>1</v>
      </c>
      <c r="D1277" s="218" t="s">
        <v>1488</v>
      </c>
      <c r="E1277" s="240">
        <v>4</v>
      </c>
      <c r="F1277" s="236">
        <v>34900.687969999999</v>
      </c>
      <c r="G1277" s="223">
        <v>1979</v>
      </c>
      <c r="H1277" s="223">
        <v>1</v>
      </c>
      <c r="I1277" s="223">
        <v>0</v>
      </c>
      <c r="J1277" s="223"/>
      <c r="K1277" s="228">
        <v>923123.19669999997</v>
      </c>
      <c r="L1277" s="241">
        <v>80</v>
      </c>
      <c r="M1277" s="228">
        <v>184624.63930000001</v>
      </c>
      <c r="N1277" s="230">
        <v>26.45</v>
      </c>
      <c r="O1277" s="231">
        <v>0</v>
      </c>
      <c r="P1277" s="314"/>
      <c r="Q1277" s="276">
        <f t="shared" si="45"/>
        <v>34900.69</v>
      </c>
      <c r="R1277" s="275">
        <f>(SUMIFS('Dec 31 2018 OFFS'!$AG:$AG,'Dec 31 2018 OFFS'!$AI:$AI,'T1 2019 Pipeline Data Lagasco'!$A1277,'Dec 31 2018 OFFS'!$U:$U,'T1 2019 Pipeline Data Lagasco'!$E1277,'Dec 31 2018 OFFS'!$AK:$AK,'T1 2019 Pipeline Data Lagasco'!$Q1277,'Dec 31 2018 OFFS'!$W:$W,'T1 2019 Pipeline Data Lagasco'!$G1277))/(MAX(COUNTIFS('Dec 31 2018 OFFS'!$AI:$AI,'T1 2019 Pipeline Data Lagasco'!$A1277,'Dec 31 2018 OFFS'!$U:$U,'T1 2019 Pipeline Data Lagasco'!$E1277,'Dec 31 2018 OFFS'!$AK:$AK,'T1 2019 Pipeline Data Lagasco'!$Q1277,'Dec 31 2018 OFFS'!$W:$W,'T1 2019 Pipeline Data Lagasco'!$G1277),1))</f>
        <v>0</v>
      </c>
      <c r="S1277" s="275">
        <f t="shared" si="46"/>
        <v>0</v>
      </c>
    </row>
    <row r="1278" spans="1:19" s="217" customFormat="1" ht="14.1" customHeight="1">
      <c r="A1278" s="224" t="s">
        <v>1533</v>
      </c>
      <c r="B1278" s="218" t="s">
        <v>1534</v>
      </c>
      <c r="C1278" s="223">
        <v>1</v>
      </c>
      <c r="D1278" s="218" t="s">
        <v>1488</v>
      </c>
      <c r="E1278" s="240">
        <v>4</v>
      </c>
      <c r="F1278" s="236">
        <v>18972.899710000002</v>
      </c>
      <c r="G1278" s="223">
        <v>1979</v>
      </c>
      <c r="H1278" s="223">
        <v>1</v>
      </c>
      <c r="I1278" s="223">
        <v>1</v>
      </c>
      <c r="J1278" s="223"/>
      <c r="K1278" s="228">
        <v>501833.1974</v>
      </c>
      <c r="L1278" s="241">
        <v>80</v>
      </c>
      <c r="M1278" s="228">
        <v>100366.6395</v>
      </c>
      <c r="N1278" s="230">
        <v>26.45</v>
      </c>
      <c r="O1278" s="231">
        <v>100366</v>
      </c>
      <c r="P1278" s="314"/>
      <c r="Q1278" s="276">
        <f t="shared" si="45"/>
        <v>18972.900000000001</v>
      </c>
      <c r="R1278" s="275">
        <f>(SUMIFS('Dec 31 2018 OFFS'!$AG:$AG,'Dec 31 2018 OFFS'!$AI:$AI,'T1 2019 Pipeline Data Lagasco'!$A1278,'Dec 31 2018 OFFS'!$U:$U,'T1 2019 Pipeline Data Lagasco'!$E1278,'Dec 31 2018 OFFS'!$AK:$AK,'T1 2019 Pipeline Data Lagasco'!$Q1278,'Dec 31 2018 OFFS'!$W:$W,'T1 2019 Pipeline Data Lagasco'!$G1278))/(MAX(COUNTIFS('Dec 31 2018 OFFS'!$AI:$AI,'T1 2019 Pipeline Data Lagasco'!$A1278,'Dec 31 2018 OFFS'!$U:$U,'T1 2019 Pipeline Data Lagasco'!$E1278,'Dec 31 2018 OFFS'!$AK:$AK,'T1 2019 Pipeline Data Lagasco'!$Q1278,'Dec 31 2018 OFFS'!$W:$W,'T1 2019 Pipeline Data Lagasco'!$G1278),1))</f>
        <v>100366</v>
      </c>
      <c r="S1278" s="275">
        <f t="shared" si="46"/>
        <v>0</v>
      </c>
    </row>
    <row r="1279" spans="1:19" s="217" customFormat="1" ht="14.1" customHeight="1">
      <c r="A1279" s="224" t="s">
        <v>1533</v>
      </c>
      <c r="B1279" s="218" t="s">
        <v>1534</v>
      </c>
      <c r="C1279" s="223">
        <v>1</v>
      </c>
      <c r="D1279" s="218" t="s">
        <v>1488</v>
      </c>
      <c r="E1279" s="240">
        <v>4</v>
      </c>
      <c r="F1279" s="226">
        <v>3438.0904519999999</v>
      </c>
      <c r="G1279" s="223">
        <v>1978</v>
      </c>
      <c r="H1279" s="223">
        <v>1</v>
      </c>
      <c r="I1279" s="223">
        <v>1</v>
      </c>
      <c r="J1279" s="223"/>
      <c r="K1279" s="229">
        <v>90937.492450000005</v>
      </c>
      <c r="L1279" s="241">
        <v>80</v>
      </c>
      <c r="M1279" s="229">
        <v>18187.498490000002</v>
      </c>
      <c r="N1279" s="230">
        <v>26.45</v>
      </c>
      <c r="O1279" s="231">
        <v>18187</v>
      </c>
      <c r="P1279" s="314"/>
      <c r="Q1279" s="276">
        <f t="shared" si="45"/>
        <v>3438.09</v>
      </c>
      <c r="R1279" s="275">
        <f>(SUMIFS('Dec 31 2018 OFFS'!$AG:$AG,'Dec 31 2018 OFFS'!$AI:$AI,'T1 2019 Pipeline Data Lagasco'!$A1279,'Dec 31 2018 OFFS'!$U:$U,'T1 2019 Pipeline Data Lagasco'!$E1279,'Dec 31 2018 OFFS'!$AK:$AK,'T1 2019 Pipeline Data Lagasco'!$Q1279,'Dec 31 2018 OFFS'!$W:$W,'T1 2019 Pipeline Data Lagasco'!$G1279))/(MAX(COUNTIFS('Dec 31 2018 OFFS'!$AI:$AI,'T1 2019 Pipeline Data Lagasco'!$A1279,'Dec 31 2018 OFFS'!$U:$U,'T1 2019 Pipeline Data Lagasco'!$E1279,'Dec 31 2018 OFFS'!$AK:$AK,'T1 2019 Pipeline Data Lagasco'!$Q1279,'Dec 31 2018 OFFS'!$W:$W,'T1 2019 Pipeline Data Lagasco'!$G1279),1))</f>
        <v>18187</v>
      </c>
      <c r="S1279" s="275">
        <f t="shared" si="46"/>
        <v>0</v>
      </c>
    </row>
    <row r="1280" spans="1:19" s="217" customFormat="1" ht="14.1" customHeight="1">
      <c r="A1280" s="224" t="s">
        <v>1533</v>
      </c>
      <c r="B1280" s="218" t="s">
        <v>1534</v>
      </c>
      <c r="C1280" s="223">
        <v>1</v>
      </c>
      <c r="D1280" s="218" t="s">
        <v>1488</v>
      </c>
      <c r="E1280" s="240">
        <v>4</v>
      </c>
      <c r="F1280" s="226">
        <v>4316.4696910000002</v>
      </c>
      <c r="G1280" s="223">
        <v>1978</v>
      </c>
      <c r="H1280" s="223">
        <v>1</v>
      </c>
      <c r="I1280" s="223">
        <v>1</v>
      </c>
      <c r="J1280" s="223"/>
      <c r="K1280" s="228">
        <v>114170.62330000001</v>
      </c>
      <c r="L1280" s="241">
        <v>80</v>
      </c>
      <c r="M1280" s="229">
        <v>22834.124670000001</v>
      </c>
      <c r="N1280" s="230">
        <v>26.45</v>
      </c>
      <c r="O1280" s="231">
        <v>22834</v>
      </c>
      <c r="P1280" s="314"/>
      <c r="Q1280" s="276">
        <f t="shared" si="45"/>
        <v>4316.47</v>
      </c>
      <c r="R1280" s="275">
        <f>(SUMIFS('Dec 31 2018 OFFS'!$AG:$AG,'Dec 31 2018 OFFS'!$AI:$AI,'T1 2019 Pipeline Data Lagasco'!$A1280,'Dec 31 2018 OFFS'!$U:$U,'T1 2019 Pipeline Data Lagasco'!$E1280,'Dec 31 2018 OFFS'!$AK:$AK,'T1 2019 Pipeline Data Lagasco'!$Q1280,'Dec 31 2018 OFFS'!$W:$W,'T1 2019 Pipeline Data Lagasco'!$G1280))/(MAX(COUNTIFS('Dec 31 2018 OFFS'!$AI:$AI,'T1 2019 Pipeline Data Lagasco'!$A1280,'Dec 31 2018 OFFS'!$U:$U,'T1 2019 Pipeline Data Lagasco'!$E1280,'Dec 31 2018 OFFS'!$AK:$AK,'T1 2019 Pipeline Data Lagasco'!$Q1280,'Dec 31 2018 OFFS'!$W:$W,'T1 2019 Pipeline Data Lagasco'!$G1280),1))</f>
        <v>22834</v>
      </c>
      <c r="S1280" s="275">
        <f t="shared" si="46"/>
        <v>0</v>
      </c>
    </row>
    <row r="1281" spans="1:20" ht="14.1" customHeight="1">
      <c r="A1281" s="224" t="s">
        <v>1533</v>
      </c>
      <c r="B1281" s="218" t="s">
        <v>1534</v>
      </c>
      <c r="C1281" s="223">
        <v>1</v>
      </c>
      <c r="D1281" s="218" t="s">
        <v>1488</v>
      </c>
      <c r="E1281" s="240">
        <v>4</v>
      </c>
      <c r="F1281" s="236">
        <v>15503.346009999999</v>
      </c>
      <c r="G1281" s="223">
        <v>1978</v>
      </c>
      <c r="H1281" s="223">
        <v>1</v>
      </c>
      <c r="I1281" s="223">
        <v>1</v>
      </c>
      <c r="J1281" s="223"/>
      <c r="K1281" s="228">
        <v>410063.50189999997</v>
      </c>
      <c r="L1281" s="241">
        <v>80</v>
      </c>
      <c r="M1281" s="229">
        <v>82012.700379999995</v>
      </c>
      <c r="N1281" s="230">
        <v>26.45</v>
      </c>
      <c r="O1281" s="231">
        <v>82012</v>
      </c>
      <c r="P1281" s="314"/>
      <c r="Q1281" s="276">
        <f t="shared" si="45"/>
        <v>15503.35</v>
      </c>
      <c r="R1281" s="275">
        <f>(SUMIFS('Dec 31 2018 OFFS'!$AG:$AG,'Dec 31 2018 OFFS'!$AI:$AI,'T1 2019 Pipeline Data Lagasco'!$A1281,'Dec 31 2018 OFFS'!$U:$U,'T1 2019 Pipeline Data Lagasco'!$E1281,'Dec 31 2018 OFFS'!$AK:$AK,'T1 2019 Pipeline Data Lagasco'!$Q1281,'Dec 31 2018 OFFS'!$W:$W,'T1 2019 Pipeline Data Lagasco'!$G1281))/(MAX(COUNTIFS('Dec 31 2018 OFFS'!$AI:$AI,'T1 2019 Pipeline Data Lagasco'!$A1281,'Dec 31 2018 OFFS'!$U:$U,'T1 2019 Pipeline Data Lagasco'!$E1281,'Dec 31 2018 OFFS'!$AK:$AK,'T1 2019 Pipeline Data Lagasco'!$Q1281,'Dec 31 2018 OFFS'!$W:$W,'T1 2019 Pipeline Data Lagasco'!$G1281),1))</f>
        <v>82012</v>
      </c>
      <c r="S1281" s="275">
        <f t="shared" si="46"/>
        <v>0</v>
      </c>
      <c r="T1281" s="217"/>
    </row>
    <row r="1282" spans="1:20" ht="14.1" customHeight="1">
      <c r="A1282" s="224" t="s">
        <v>1533</v>
      </c>
      <c r="B1282" s="218" t="s">
        <v>1534</v>
      </c>
      <c r="C1282" s="223">
        <v>1</v>
      </c>
      <c r="D1282" s="218" t="s">
        <v>1488</v>
      </c>
      <c r="E1282" s="240">
        <v>4</v>
      </c>
      <c r="F1282" s="230">
        <v>1101.28</v>
      </c>
      <c r="G1282" s="223">
        <v>1978</v>
      </c>
      <c r="H1282" s="223">
        <v>1</v>
      </c>
      <c r="I1282" s="246">
        <v>0</v>
      </c>
      <c r="J1282" s="223"/>
      <c r="K1282" s="239">
        <v>29128.856</v>
      </c>
      <c r="L1282" s="241">
        <v>80</v>
      </c>
      <c r="M1282" s="228">
        <v>5825.7712000000001</v>
      </c>
      <c r="N1282" s="230">
        <v>26.45</v>
      </c>
      <c r="O1282" s="248">
        <v>0</v>
      </c>
      <c r="P1282" s="319" t="s">
        <v>1560</v>
      </c>
      <c r="Q1282" s="276">
        <f t="shared" si="45"/>
        <v>1101.28</v>
      </c>
      <c r="R1282" s="275">
        <f>(SUMIFS('Dec 31 2018 OFFS'!$AG:$AG,'Dec 31 2018 OFFS'!$AI:$AI,'T1 2019 Pipeline Data Lagasco'!$A1282,'Dec 31 2018 OFFS'!$U:$U,'T1 2019 Pipeline Data Lagasco'!$E1282,'Dec 31 2018 OFFS'!$AK:$AK,'T1 2019 Pipeline Data Lagasco'!$Q1282,'Dec 31 2018 OFFS'!$W:$W,'T1 2019 Pipeline Data Lagasco'!$G1282))/(MAX(COUNTIFS('Dec 31 2018 OFFS'!$AI:$AI,'T1 2019 Pipeline Data Lagasco'!$A1282,'Dec 31 2018 OFFS'!$U:$U,'T1 2019 Pipeline Data Lagasco'!$E1282,'Dec 31 2018 OFFS'!$AK:$AK,'T1 2019 Pipeline Data Lagasco'!$Q1282,'Dec 31 2018 OFFS'!$W:$W,'T1 2019 Pipeline Data Lagasco'!$G1282),1))</f>
        <v>0</v>
      </c>
      <c r="S1282" s="275">
        <f t="shared" si="46"/>
        <v>0</v>
      </c>
      <c r="T1282" s="278" t="e">
        <f>R1282/O1282</f>
        <v>#DIV/0!</v>
      </c>
    </row>
    <row r="1283" spans="1:20" ht="14.1" customHeight="1">
      <c r="A1283" s="224" t="s">
        <v>1533</v>
      </c>
      <c r="B1283" s="218" t="s">
        <v>1534</v>
      </c>
      <c r="C1283" s="223">
        <v>1</v>
      </c>
      <c r="D1283" s="218" t="s">
        <v>1488</v>
      </c>
      <c r="E1283" s="240">
        <v>4</v>
      </c>
      <c r="F1283" s="226">
        <v>6017.1914269999997</v>
      </c>
      <c r="G1283" s="223">
        <v>1978</v>
      </c>
      <c r="H1283" s="223">
        <v>1</v>
      </c>
      <c r="I1283" s="223">
        <v>1</v>
      </c>
      <c r="J1283" s="223"/>
      <c r="K1283" s="228">
        <v>159154.7132</v>
      </c>
      <c r="L1283" s="241">
        <v>80</v>
      </c>
      <c r="M1283" s="229">
        <v>31830.942650000001</v>
      </c>
      <c r="N1283" s="230">
        <v>26.45</v>
      </c>
      <c r="O1283" s="231">
        <v>31830</v>
      </c>
      <c r="P1283" s="314"/>
      <c r="Q1283" s="276">
        <f t="shared" si="45"/>
        <v>6017.19</v>
      </c>
      <c r="R1283" s="275">
        <f>(SUMIFS('Dec 31 2018 OFFS'!$AG:$AG,'Dec 31 2018 OFFS'!$AI:$AI,'T1 2019 Pipeline Data Lagasco'!$A1283,'Dec 31 2018 OFFS'!$U:$U,'T1 2019 Pipeline Data Lagasco'!$E1283,'Dec 31 2018 OFFS'!$AK:$AK,'T1 2019 Pipeline Data Lagasco'!$Q1283,'Dec 31 2018 OFFS'!$W:$W,'T1 2019 Pipeline Data Lagasco'!$G1283))/(MAX(COUNTIFS('Dec 31 2018 OFFS'!$AI:$AI,'T1 2019 Pipeline Data Lagasco'!$A1283,'Dec 31 2018 OFFS'!$U:$U,'T1 2019 Pipeline Data Lagasco'!$E1283,'Dec 31 2018 OFFS'!$AK:$AK,'T1 2019 Pipeline Data Lagasco'!$Q1283,'Dec 31 2018 OFFS'!$W:$W,'T1 2019 Pipeline Data Lagasco'!$G1283),1))</f>
        <v>31830</v>
      </c>
      <c r="S1283" s="275">
        <f t="shared" si="46"/>
        <v>0</v>
      </c>
      <c r="T1283" s="217"/>
    </row>
    <row r="1284" spans="1:20" ht="14.1" customHeight="1">
      <c r="A1284" s="224" t="s">
        <v>1533</v>
      </c>
      <c r="B1284" s="218" t="s">
        <v>1534</v>
      </c>
      <c r="C1284" s="223">
        <v>1</v>
      </c>
      <c r="D1284" s="218" t="s">
        <v>1488</v>
      </c>
      <c r="E1284" s="240">
        <v>4</v>
      </c>
      <c r="F1284" s="226">
        <v>4094.2584120000001</v>
      </c>
      <c r="G1284" s="223">
        <v>1978</v>
      </c>
      <c r="H1284" s="223">
        <v>1</v>
      </c>
      <c r="I1284" s="223">
        <v>1</v>
      </c>
      <c r="J1284" s="223"/>
      <c r="K1284" s="239">
        <v>108293.13499999999</v>
      </c>
      <c r="L1284" s="241">
        <v>80</v>
      </c>
      <c r="M1284" s="239">
        <v>21658.627</v>
      </c>
      <c r="N1284" s="230">
        <v>26.45</v>
      </c>
      <c r="O1284" s="231">
        <v>21658</v>
      </c>
      <c r="P1284" s="314"/>
      <c r="Q1284" s="276">
        <f t="shared" si="45"/>
        <v>4094.26</v>
      </c>
      <c r="R1284" s="275">
        <f>(SUMIFS('Dec 31 2018 OFFS'!$AG:$AG,'Dec 31 2018 OFFS'!$AI:$AI,'T1 2019 Pipeline Data Lagasco'!$A1284,'Dec 31 2018 OFFS'!$U:$U,'T1 2019 Pipeline Data Lagasco'!$E1284,'Dec 31 2018 OFFS'!$AK:$AK,'T1 2019 Pipeline Data Lagasco'!$Q1284,'Dec 31 2018 OFFS'!$W:$W,'T1 2019 Pipeline Data Lagasco'!$G1284))/(MAX(COUNTIFS('Dec 31 2018 OFFS'!$AI:$AI,'T1 2019 Pipeline Data Lagasco'!$A1284,'Dec 31 2018 OFFS'!$U:$U,'T1 2019 Pipeline Data Lagasco'!$E1284,'Dec 31 2018 OFFS'!$AK:$AK,'T1 2019 Pipeline Data Lagasco'!$Q1284,'Dec 31 2018 OFFS'!$W:$W,'T1 2019 Pipeline Data Lagasco'!$G1284),1))</f>
        <v>21658</v>
      </c>
      <c r="S1284" s="275">
        <f t="shared" si="46"/>
        <v>0</v>
      </c>
      <c r="T1284" s="217"/>
    </row>
    <row r="1285" spans="1:20" ht="14.1" customHeight="1">
      <c r="A1285" s="224" t="s">
        <v>1533</v>
      </c>
      <c r="B1285" s="218" t="s">
        <v>1534</v>
      </c>
      <c r="C1285" s="223">
        <v>1</v>
      </c>
      <c r="D1285" s="218" t="s">
        <v>1488</v>
      </c>
      <c r="E1285" s="240">
        <v>4</v>
      </c>
      <c r="F1285" s="226">
        <v>5653.0182089999998</v>
      </c>
      <c r="G1285" s="223">
        <v>1978</v>
      </c>
      <c r="H1285" s="223">
        <v>1</v>
      </c>
      <c r="I1285" s="223">
        <v>1</v>
      </c>
      <c r="J1285" s="223"/>
      <c r="K1285" s="228">
        <v>149522.3316</v>
      </c>
      <c r="L1285" s="241">
        <v>80</v>
      </c>
      <c r="M1285" s="229">
        <v>29904.466329999999</v>
      </c>
      <c r="N1285" s="230">
        <v>26.45</v>
      </c>
      <c r="O1285" s="231">
        <v>29904</v>
      </c>
      <c r="P1285" s="314"/>
      <c r="Q1285" s="276">
        <f t="shared" si="45"/>
        <v>5653.02</v>
      </c>
      <c r="R1285" s="275">
        <f>(SUMIFS('Dec 31 2018 OFFS'!$AG:$AG,'Dec 31 2018 OFFS'!$AI:$AI,'T1 2019 Pipeline Data Lagasco'!$A1285,'Dec 31 2018 OFFS'!$U:$U,'T1 2019 Pipeline Data Lagasco'!$E1285,'Dec 31 2018 OFFS'!$AK:$AK,'T1 2019 Pipeline Data Lagasco'!$Q1285,'Dec 31 2018 OFFS'!$W:$W,'T1 2019 Pipeline Data Lagasco'!$G1285))/(MAX(COUNTIFS('Dec 31 2018 OFFS'!$AI:$AI,'T1 2019 Pipeline Data Lagasco'!$A1285,'Dec 31 2018 OFFS'!$U:$U,'T1 2019 Pipeline Data Lagasco'!$E1285,'Dec 31 2018 OFFS'!$AK:$AK,'T1 2019 Pipeline Data Lagasco'!$Q1285,'Dec 31 2018 OFFS'!$W:$W,'T1 2019 Pipeline Data Lagasco'!$G1285),1))</f>
        <v>29904</v>
      </c>
      <c r="S1285" s="275">
        <f t="shared" si="46"/>
        <v>0</v>
      </c>
      <c r="T1285" s="217"/>
    </row>
    <row r="1286" spans="1:20" ht="14.1" customHeight="1">
      <c r="A1286" s="224" t="s">
        <v>1533</v>
      </c>
      <c r="B1286" s="218" t="s">
        <v>1534</v>
      </c>
      <c r="C1286" s="223">
        <v>1</v>
      </c>
      <c r="D1286" s="218" t="s">
        <v>1488</v>
      </c>
      <c r="E1286" s="240">
        <v>4</v>
      </c>
      <c r="F1286" s="226">
        <v>5062.1717689999996</v>
      </c>
      <c r="G1286" s="223">
        <v>1978</v>
      </c>
      <c r="H1286" s="223">
        <v>1</v>
      </c>
      <c r="I1286" s="223">
        <v>1</v>
      </c>
      <c r="J1286" s="223"/>
      <c r="K1286" s="228">
        <v>133894.44330000001</v>
      </c>
      <c r="L1286" s="241">
        <v>80</v>
      </c>
      <c r="M1286" s="229">
        <v>26778.888660000001</v>
      </c>
      <c r="N1286" s="230">
        <v>26.45</v>
      </c>
      <c r="O1286" s="231">
        <v>26778</v>
      </c>
      <c r="P1286" s="314"/>
      <c r="Q1286" s="276">
        <f t="shared" si="45"/>
        <v>5062.17</v>
      </c>
      <c r="R1286" s="275">
        <f>(SUMIFS('Dec 31 2018 OFFS'!$AG:$AG,'Dec 31 2018 OFFS'!$AI:$AI,'T1 2019 Pipeline Data Lagasco'!$A1286,'Dec 31 2018 OFFS'!$U:$U,'T1 2019 Pipeline Data Lagasco'!$E1286,'Dec 31 2018 OFFS'!$AK:$AK,'T1 2019 Pipeline Data Lagasco'!$Q1286,'Dec 31 2018 OFFS'!$W:$W,'T1 2019 Pipeline Data Lagasco'!$G1286))/(MAX(COUNTIFS('Dec 31 2018 OFFS'!$AI:$AI,'T1 2019 Pipeline Data Lagasco'!$A1286,'Dec 31 2018 OFFS'!$U:$U,'T1 2019 Pipeline Data Lagasco'!$E1286,'Dec 31 2018 OFFS'!$AK:$AK,'T1 2019 Pipeline Data Lagasco'!$Q1286,'Dec 31 2018 OFFS'!$W:$W,'T1 2019 Pipeline Data Lagasco'!$G1286),1))</f>
        <v>26778</v>
      </c>
      <c r="S1286" s="275">
        <f t="shared" si="46"/>
        <v>0</v>
      </c>
      <c r="T1286" s="217"/>
    </row>
    <row r="1287" spans="1:20" ht="14.1" customHeight="1">
      <c r="A1287" s="224" t="s">
        <v>1533</v>
      </c>
      <c r="B1287" s="218" t="s">
        <v>1534</v>
      </c>
      <c r="C1287" s="223">
        <v>1</v>
      </c>
      <c r="D1287" s="218" t="s">
        <v>1488</v>
      </c>
      <c r="E1287" s="240">
        <v>4</v>
      </c>
      <c r="F1287" s="236">
        <v>4086.7124800000001</v>
      </c>
      <c r="G1287" s="223">
        <v>1978</v>
      </c>
      <c r="H1287" s="223">
        <v>1</v>
      </c>
      <c r="I1287" s="223">
        <v>1</v>
      </c>
      <c r="J1287" s="223"/>
      <c r="K1287" s="228">
        <v>108093.5451</v>
      </c>
      <c r="L1287" s="241">
        <v>80</v>
      </c>
      <c r="M1287" s="229">
        <v>21618.709019999998</v>
      </c>
      <c r="N1287" s="230">
        <v>26.45</v>
      </c>
      <c r="O1287" s="231">
        <v>21618</v>
      </c>
      <c r="P1287" s="314"/>
      <c r="Q1287" s="276">
        <f t="shared" si="45"/>
        <v>4086.71</v>
      </c>
      <c r="R1287" s="275">
        <f>(SUMIFS('Dec 31 2018 OFFS'!$AG:$AG,'Dec 31 2018 OFFS'!$AI:$AI,'T1 2019 Pipeline Data Lagasco'!$A1287,'Dec 31 2018 OFFS'!$U:$U,'T1 2019 Pipeline Data Lagasco'!$E1287,'Dec 31 2018 OFFS'!$AK:$AK,'T1 2019 Pipeline Data Lagasco'!$Q1287,'Dec 31 2018 OFFS'!$W:$W,'T1 2019 Pipeline Data Lagasco'!$G1287))/(MAX(COUNTIFS('Dec 31 2018 OFFS'!$AI:$AI,'T1 2019 Pipeline Data Lagasco'!$A1287,'Dec 31 2018 OFFS'!$U:$U,'T1 2019 Pipeline Data Lagasco'!$E1287,'Dec 31 2018 OFFS'!$AK:$AK,'T1 2019 Pipeline Data Lagasco'!$Q1287,'Dec 31 2018 OFFS'!$W:$W,'T1 2019 Pipeline Data Lagasco'!$G1287),1))</f>
        <v>21618</v>
      </c>
      <c r="S1287" s="275">
        <f t="shared" si="46"/>
        <v>0</v>
      </c>
      <c r="T1287" s="217"/>
    </row>
    <row r="1288" spans="1:20" ht="15" customHeight="1">
      <c r="A1288" s="224" t="s">
        <v>1533</v>
      </c>
      <c r="B1288" s="218" t="s">
        <v>1534</v>
      </c>
      <c r="C1288" s="223">
        <v>1</v>
      </c>
      <c r="D1288" s="218" t="s">
        <v>1488</v>
      </c>
      <c r="E1288" s="240">
        <v>4</v>
      </c>
      <c r="F1288" s="226">
        <v>6867.2570189999997</v>
      </c>
      <c r="G1288" s="223">
        <v>1978</v>
      </c>
      <c r="H1288" s="223">
        <v>1</v>
      </c>
      <c r="I1288" s="223">
        <v>1</v>
      </c>
      <c r="J1288" s="223"/>
      <c r="K1288" s="228">
        <v>181638.94820000001</v>
      </c>
      <c r="L1288" s="241">
        <v>80</v>
      </c>
      <c r="M1288" s="229">
        <v>36327.789629999999</v>
      </c>
      <c r="N1288" s="230">
        <v>26.45</v>
      </c>
      <c r="O1288" s="231">
        <v>36327</v>
      </c>
      <c r="P1288" s="314"/>
      <c r="Q1288" s="276">
        <f t="shared" si="45"/>
        <v>6867.26</v>
      </c>
      <c r="R1288" s="275">
        <f>(SUMIFS('Dec 31 2018 OFFS'!$AG:$AG,'Dec 31 2018 OFFS'!$AI:$AI,'T1 2019 Pipeline Data Lagasco'!$A1288,'Dec 31 2018 OFFS'!$U:$U,'T1 2019 Pipeline Data Lagasco'!$E1288,'Dec 31 2018 OFFS'!$AK:$AK,'T1 2019 Pipeline Data Lagasco'!$Q1288,'Dec 31 2018 OFFS'!$W:$W,'T1 2019 Pipeline Data Lagasco'!$G1288))/(MAX(COUNTIFS('Dec 31 2018 OFFS'!$AI:$AI,'T1 2019 Pipeline Data Lagasco'!$A1288,'Dec 31 2018 OFFS'!$U:$U,'T1 2019 Pipeline Data Lagasco'!$E1288,'Dec 31 2018 OFFS'!$AK:$AK,'T1 2019 Pipeline Data Lagasco'!$Q1288,'Dec 31 2018 OFFS'!$W:$W,'T1 2019 Pipeline Data Lagasco'!$G1288),1))</f>
        <v>36327</v>
      </c>
      <c r="S1288" s="275">
        <f t="shared" si="46"/>
        <v>0</v>
      </c>
      <c r="T1288" s="217"/>
    </row>
    <row r="1289" spans="1:20" ht="15" customHeight="1">
      <c r="A1289" s="224" t="s">
        <v>1533</v>
      </c>
      <c r="B1289" s="218" t="s">
        <v>1534</v>
      </c>
      <c r="C1289" s="223">
        <v>1</v>
      </c>
      <c r="D1289" s="218" t="s">
        <v>1488</v>
      </c>
      <c r="E1289" s="240">
        <v>4</v>
      </c>
      <c r="F1289" s="226">
        <v>5175.426359</v>
      </c>
      <c r="G1289" s="223">
        <v>1991</v>
      </c>
      <c r="H1289" s="223">
        <v>1</v>
      </c>
      <c r="I1289" s="223">
        <v>1</v>
      </c>
      <c r="J1289" s="223"/>
      <c r="K1289" s="228">
        <v>136890.02720000001</v>
      </c>
      <c r="L1289" s="241">
        <v>72</v>
      </c>
      <c r="M1289" s="229">
        <v>38329.207620000001</v>
      </c>
      <c r="N1289" s="230">
        <v>26.45</v>
      </c>
      <c r="O1289" s="231">
        <v>38329</v>
      </c>
      <c r="P1289" s="314"/>
      <c r="Q1289" s="276">
        <f t="shared" si="45"/>
        <v>5175.43</v>
      </c>
      <c r="R1289" s="275">
        <f>(SUMIFS('Dec 31 2018 OFFS'!$AG:$AG,'Dec 31 2018 OFFS'!$AI:$AI,'T1 2019 Pipeline Data Lagasco'!$A1289,'Dec 31 2018 OFFS'!$U:$U,'T1 2019 Pipeline Data Lagasco'!$E1289,'Dec 31 2018 OFFS'!$AK:$AK,'T1 2019 Pipeline Data Lagasco'!$Q1289,'Dec 31 2018 OFFS'!$W:$W,'T1 2019 Pipeline Data Lagasco'!$G1289))/(MAX(COUNTIFS('Dec 31 2018 OFFS'!$AI:$AI,'T1 2019 Pipeline Data Lagasco'!$A1289,'Dec 31 2018 OFFS'!$U:$U,'T1 2019 Pipeline Data Lagasco'!$E1289,'Dec 31 2018 OFFS'!$AK:$AK,'T1 2019 Pipeline Data Lagasco'!$Q1289,'Dec 31 2018 OFFS'!$W:$W,'T1 2019 Pipeline Data Lagasco'!$G1289),1))</f>
        <v>38329</v>
      </c>
      <c r="S1289" s="275">
        <f t="shared" si="46"/>
        <v>0</v>
      </c>
      <c r="T1289" s="217"/>
    </row>
    <row r="1290" spans="1:20" ht="14.1" customHeight="1">
      <c r="A1290" s="224" t="s">
        <v>1533</v>
      </c>
      <c r="B1290" s="218" t="s">
        <v>1534</v>
      </c>
      <c r="C1290" s="223">
        <v>1</v>
      </c>
      <c r="D1290" s="218" t="s">
        <v>1488</v>
      </c>
      <c r="E1290" s="240">
        <v>4</v>
      </c>
      <c r="F1290" s="226">
        <v>6303.7727830000003</v>
      </c>
      <c r="G1290" s="223">
        <v>1991</v>
      </c>
      <c r="H1290" s="223">
        <v>1</v>
      </c>
      <c r="I1290" s="223">
        <v>1</v>
      </c>
      <c r="J1290" s="223"/>
      <c r="K1290" s="228">
        <v>166734.79010000001</v>
      </c>
      <c r="L1290" s="241">
        <v>72</v>
      </c>
      <c r="M1290" s="229">
        <v>46685.74123</v>
      </c>
      <c r="N1290" s="230">
        <v>26.45</v>
      </c>
      <c r="O1290" s="231">
        <v>46685</v>
      </c>
      <c r="P1290" s="314"/>
      <c r="Q1290" s="276">
        <f t="shared" si="45"/>
        <v>6303.77</v>
      </c>
      <c r="R1290" s="275">
        <f>(SUMIFS('Dec 31 2018 OFFS'!$AG:$AG,'Dec 31 2018 OFFS'!$AI:$AI,'T1 2019 Pipeline Data Lagasco'!$A1290,'Dec 31 2018 OFFS'!$U:$U,'T1 2019 Pipeline Data Lagasco'!$E1290,'Dec 31 2018 OFFS'!$AK:$AK,'T1 2019 Pipeline Data Lagasco'!$Q1290,'Dec 31 2018 OFFS'!$W:$W,'T1 2019 Pipeline Data Lagasco'!$G1290))/(MAX(COUNTIFS('Dec 31 2018 OFFS'!$AI:$AI,'T1 2019 Pipeline Data Lagasco'!$A1290,'Dec 31 2018 OFFS'!$U:$U,'T1 2019 Pipeline Data Lagasco'!$E1290,'Dec 31 2018 OFFS'!$AK:$AK,'T1 2019 Pipeline Data Lagasco'!$Q1290,'Dec 31 2018 OFFS'!$W:$W,'T1 2019 Pipeline Data Lagasco'!$G1290),1))</f>
        <v>46685</v>
      </c>
      <c r="S1290" s="275">
        <f t="shared" si="46"/>
        <v>0</v>
      </c>
      <c r="T1290" s="217"/>
    </row>
    <row r="1291" spans="1:20" ht="14.1" customHeight="1">
      <c r="A1291" s="224" t="s">
        <v>1533</v>
      </c>
      <c r="B1291" s="218" t="s">
        <v>1534</v>
      </c>
      <c r="C1291" s="223">
        <v>1</v>
      </c>
      <c r="D1291" s="218" t="s">
        <v>1488</v>
      </c>
      <c r="E1291" s="240">
        <v>4</v>
      </c>
      <c r="F1291" s="223">
        <v>4057</v>
      </c>
      <c r="G1291" s="223">
        <v>1991</v>
      </c>
      <c r="H1291" s="223">
        <v>1</v>
      </c>
      <c r="I1291" s="223">
        <v>0</v>
      </c>
      <c r="J1291" s="223"/>
      <c r="K1291" s="238">
        <v>107307.65</v>
      </c>
      <c r="L1291" s="241">
        <v>72</v>
      </c>
      <c r="M1291" s="239">
        <v>30046.142</v>
      </c>
      <c r="N1291" s="230">
        <v>26.45</v>
      </c>
      <c r="O1291" s="231">
        <v>0</v>
      </c>
      <c r="P1291" s="314"/>
      <c r="Q1291" s="276">
        <f t="shared" si="45"/>
        <v>4057</v>
      </c>
      <c r="R1291" s="275">
        <f>(SUMIFS('Dec 31 2018 OFFS'!$AG:$AG,'Dec 31 2018 OFFS'!$AI:$AI,'T1 2019 Pipeline Data Lagasco'!$A1291,'Dec 31 2018 OFFS'!$U:$U,'T1 2019 Pipeline Data Lagasco'!$E1291,'Dec 31 2018 OFFS'!$AK:$AK,'T1 2019 Pipeline Data Lagasco'!$Q1291,'Dec 31 2018 OFFS'!$W:$W,'T1 2019 Pipeline Data Lagasco'!$G1291))/(MAX(COUNTIFS('Dec 31 2018 OFFS'!$AI:$AI,'T1 2019 Pipeline Data Lagasco'!$A1291,'Dec 31 2018 OFFS'!$U:$U,'T1 2019 Pipeline Data Lagasco'!$E1291,'Dec 31 2018 OFFS'!$AK:$AK,'T1 2019 Pipeline Data Lagasco'!$Q1291,'Dec 31 2018 OFFS'!$W:$W,'T1 2019 Pipeline Data Lagasco'!$G1291),1))</f>
        <v>0</v>
      </c>
      <c r="S1291" s="275">
        <f t="shared" si="46"/>
        <v>0</v>
      </c>
      <c r="T1291" s="217"/>
    </row>
    <row r="1292" spans="1:20" ht="14.1" customHeight="1">
      <c r="A1292" s="224" t="s">
        <v>1533</v>
      </c>
      <c r="B1292" s="218" t="s">
        <v>1534</v>
      </c>
      <c r="C1292" s="223">
        <v>1</v>
      </c>
      <c r="D1292" s="218" t="s">
        <v>1488</v>
      </c>
      <c r="E1292" s="240">
        <v>6</v>
      </c>
      <c r="F1292" s="223">
        <v>2750</v>
      </c>
      <c r="G1292" s="223">
        <v>2001</v>
      </c>
      <c r="H1292" s="230">
        <v>0.75</v>
      </c>
      <c r="I1292" s="223">
        <v>1</v>
      </c>
      <c r="J1292" s="223"/>
      <c r="K1292" s="237">
        <v>95232.50</v>
      </c>
      <c r="L1292" s="241">
        <v>59</v>
      </c>
      <c r="M1292" s="239">
        <v>39045.324999999997</v>
      </c>
      <c r="N1292" s="230">
        <v>34.630000000000003</v>
      </c>
      <c r="O1292" s="231">
        <v>29283</v>
      </c>
      <c r="P1292" s="314"/>
      <c r="Q1292" s="276">
        <f t="shared" si="45"/>
        <v>2750</v>
      </c>
      <c r="R1292" s="275">
        <f>(SUMIFS('Dec 31 2018 OFFS'!$AG:$AG,'Dec 31 2018 OFFS'!$AI:$AI,'T1 2019 Pipeline Data Lagasco'!$A1292,'Dec 31 2018 OFFS'!$U:$U,'T1 2019 Pipeline Data Lagasco'!$E1292,'Dec 31 2018 OFFS'!$AK:$AK,'T1 2019 Pipeline Data Lagasco'!$Q1292,'Dec 31 2018 OFFS'!$W:$W,'T1 2019 Pipeline Data Lagasco'!$G1292))/(MAX(COUNTIFS('Dec 31 2018 OFFS'!$AI:$AI,'T1 2019 Pipeline Data Lagasco'!$A1292,'Dec 31 2018 OFFS'!$U:$U,'T1 2019 Pipeline Data Lagasco'!$E1292,'Dec 31 2018 OFFS'!$AK:$AK,'T1 2019 Pipeline Data Lagasco'!$Q1292,'Dec 31 2018 OFFS'!$W:$W,'T1 2019 Pipeline Data Lagasco'!$G1292),1))</f>
        <v>29283</v>
      </c>
      <c r="S1292" s="275">
        <f t="shared" si="46"/>
        <v>0</v>
      </c>
      <c r="T1292" s="217"/>
    </row>
    <row r="1293" spans="1:20" ht="14.1" customHeight="1">
      <c r="A1293" s="224" t="s">
        <v>1533</v>
      </c>
      <c r="B1293" s="218" t="s">
        <v>1534</v>
      </c>
      <c r="C1293" s="223">
        <v>1</v>
      </c>
      <c r="D1293" s="218" t="s">
        <v>1488</v>
      </c>
      <c r="E1293" s="240">
        <v>6</v>
      </c>
      <c r="F1293" s="230">
        <v>9367.8799999999992</v>
      </c>
      <c r="G1293" s="223">
        <v>1999</v>
      </c>
      <c r="H1293" s="223">
        <v>1</v>
      </c>
      <c r="I1293" s="223">
        <v>1</v>
      </c>
      <c r="J1293" s="223"/>
      <c r="K1293" s="228">
        <v>324409.68440000003</v>
      </c>
      <c r="L1293" s="241">
        <v>62</v>
      </c>
      <c r="M1293" s="228">
        <v>123275.6801</v>
      </c>
      <c r="N1293" s="230">
        <v>34.630000000000003</v>
      </c>
      <c r="O1293" s="231">
        <v>123275</v>
      </c>
      <c r="P1293" s="314"/>
      <c r="Q1293" s="276">
        <f t="shared" si="45"/>
        <v>9367.8799999999992</v>
      </c>
      <c r="R1293" s="275">
        <f>(SUMIFS('Dec 31 2018 OFFS'!$AG:$AG,'Dec 31 2018 OFFS'!$AI:$AI,'T1 2019 Pipeline Data Lagasco'!$A1293,'Dec 31 2018 OFFS'!$U:$U,'T1 2019 Pipeline Data Lagasco'!$E1293,'Dec 31 2018 OFFS'!$AK:$AK,'T1 2019 Pipeline Data Lagasco'!$Q1293,'Dec 31 2018 OFFS'!$W:$W,'T1 2019 Pipeline Data Lagasco'!$G1293))/(MAX(COUNTIFS('Dec 31 2018 OFFS'!$AI:$AI,'T1 2019 Pipeline Data Lagasco'!$A1293,'Dec 31 2018 OFFS'!$U:$U,'T1 2019 Pipeline Data Lagasco'!$E1293,'Dec 31 2018 OFFS'!$AK:$AK,'T1 2019 Pipeline Data Lagasco'!$Q1293,'Dec 31 2018 OFFS'!$W:$W,'T1 2019 Pipeline Data Lagasco'!$G1293),1))</f>
        <v>123275</v>
      </c>
      <c r="S1293" s="275">
        <f t="shared" si="46"/>
        <v>0</v>
      </c>
      <c r="T1293" s="217"/>
    </row>
    <row r="1294" spans="1:20" ht="14.1" customHeight="1">
      <c r="A1294" s="224" t="s">
        <v>1533</v>
      </c>
      <c r="B1294" s="218" t="s">
        <v>1534</v>
      </c>
      <c r="C1294" s="223">
        <v>1</v>
      </c>
      <c r="D1294" s="218" t="s">
        <v>1488</v>
      </c>
      <c r="E1294" s="240">
        <v>6</v>
      </c>
      <c r="F1294" s="230">
        <v>12000.85</v>
      </c>
      <c r="G1294" s="223">
        <v>1999</v>
      </c>
      <c r="H1294" s="223">
        <v>1</v>
      </c>
      <c r="I1294" s="223">
        <v>1</v>
      </c>
      <c r="J1294" s="223"/>
      <c r="K1294" s="228">
        <v>415589.43550000002</v>
      </c>
      <c r="L1294" s="241">
        <v>62</v>
      </c>
      <c r="M1294" s="228">
        <v>157923.98550000001</v>
      </c>
      <c r="N1294" s="230">
        <v>34.630000000000003</v>
      </c>
      <c r="O1294" s="231">
        <v>157923</v>
      </c>
      <c r="P1294" s="314"/>
      <c r="Q1294" s="276">
        <f t="shared" si="45"/>
        <v>12000.85</v>
      </c>
      <c r="R1294" s="275">
        <f>(SUMIFS('Dec 31 2018 OFFS'!$AG:$AG,'Dec 31 2018 OFFS'!$AI:$AI,'T1 2019 Pipeline Data Lagasco'!$A1294,'Dec 31 2018 OFFS'!$U:$U,'T1 2019 Pipeline Data Lagasco'!$E1294,'Dec 31 2018 OFFS'!$AK:$AK,'T1 2019 Pipeline Data Lagasco'!$Q1294,'Dec 31 2018 OFFS'!$W:$W,'T1 2019 Pipeline Data Lagasco'!$G1294))/(MAX(COUNTIFS('Dec 31 2018 OFFS'!$AI:$AI,'T1 2019 Pipeline Data Lagasco'!$A1294,'Dec 31 2018 OFFS'!$U:$U,'T1 2019 Pipeline Data Lagasco'!$E1294,'Dec 31 2018 OFFS'!$AK:$AK,'T1 2019 Pipeline Data Lagasco'!$Q1294,'Dec 31 2018 OFFS'!$W:$W,'T1 2019 Pipeline Data Lagasco'!$G1294),1))</f>
        <v>157923</v>
      </c>
      <c r="S1294" s="275">
        <f t="shared" si="46"/>
        <v>0</v>
      </c>
      <c r="T1294" s="217"/>
    </row>
    <row r="1295" spans="1:20" ht="14.1" customHeight="1">
      <c r="A1295" s="224" t="s">
        <v>1533</v>
      </c>
      <c r="B1295" s="218" t="s">
        <v>1534</v>
      </c>
      <c r="C1295" s="223">
        <v>1</v>
      </c>
      <c r="D1295" s="218" t="s">
        <v>1488</v>
      </c>
      <c r="E1295" s="240">
        <v>6</v>
      </c>
      <c r="F1295" s="226">
        <v>4709.3830660000003</v>
      </c>
      <c r="G1295" s="223">
        <v>1995</v>
      </c>
      <c r="H1295" s="230">
        <v>0.75</v>
      </c>
      <c r="I1295" s="223">
        <v>1</v>
      </c>
      <c r="J1295" s="223"/>
      <c r="K1295" s="228">
        <v>163085.9356</v>
      </c>
      <c r="L1295" s="241">
        <v>67</v>
      </c>
      <c r="M1295" s="229">
        <v>53818.358740000003</v>
      </c>
      <c r="N1295" s="230">
        <v>34.630000000000003</v>
      </c>
      <c r="O1295" s="231">
        <v>40363</v>
      </c>
      <c r="P1295" s="314"/>
      <c r="Q1295" s="276">
        <f t="shared" si="45"/>
        <v>4709.38</v>
      </c>
      <c r="R1295" s="275">
        <f>(SUMIFS('Dec 31 2018 OFFS'!$AG:$AG,'Dec 31 2018 OFFS'!$AI:$AI,'T1 2019 Pipeline Data Lagasco'!$A1295,'Dec 31 2018 OFFS'!$U:$U,'T1 2019 Pipeline Data Lagasco'!$E1295,'Dec 31 2018 OFFS'!$AK:$AK,'T1 2019 Pipeline Data Lagasco'!$Q1295,'Dec 31 2018 OFFS'!$W:$W,'T1 2019 Pipeline Data Lagasco'!$G1295))/(MAX(COUNTIFS('Dec 31 2018 OFFS'!$AI:$AI,'T1 2019 Pipeline Data Lagasco'!$A1295,'Dec 31 2018 OFFS'!$U:$U,'T1 2019 Pipeline Data Lagasco'!$E1295,'Dec 31 2018 OFFS'!$AK:$AK,'T1 2019 Pipeline Data Lagasco'!$Q1295,'Dec 31 2018 OFFS'!$W:$W,'T1 2019 Pipeline Data Lagasco'!$G1295),1))</f>
        <v>40363</v>
      </c>
      <c r="S1295" s="275">
        <f t="shared" si="46"/>
        <v>0</v>
      </c>
      <c r="T1295" s="217"/>
    </row>
    <row r="1296" spans="1:20" ht="14.1" customHeight="1">
      <c r="A1296" s="224" t="s">
        <v>1533</v>
      </c>
      <c r="B1296" s="218" t="s">
        <v>1534</v>
      </c>
      <c r="C1296" s="223">
        <v>1</v>
      </c>
      <c r="D1296" s="218" t="s">
        <v>1488</v>
      </c>
      <c r="E1296" s="240">
        <v>6</v>
      </c>
      <c r="F1296" s="230">
        <v>11942.81</v>
      </c>
      <c r="G1296" s="223">
        <v>1999</v>
      </c>
      <c r="H1296" s="223">
        <v>1</v>
      </c>
      <c r="I1296" s="223">
        <v>1</v>
      </c>
      <c r="J1296" s="223"/>
      <c r="K1296" s="228">
        <v>413579.51030000002</v>
      </c>
      <c r="L1296" s="241">
        <v>62</v>
      </c>
      <c r="M1296" s="228">
        <v>157160.2139</v>
      </c>
      <c r="N1296" s="230">
        <v>34.630000000000003</v>
      </c>
      <c r="O1296" s="231">
        <v>157160</v>
      </c>
      <c r="P1296" s="314"/>
      <c r="Q1296" s="276">
        <f t="shared" si="45"/>
        <v>11942.81</v>
      </c>
      <c r="R1296" s="275">
        <f>(SUMIFS('Dec 31 2018 OFFS'!$AG:$AG,'Dec 31 2018 OFFS'!$AI:$AI,'T1 2019 Pipeline Data Lagasco'!$A1296,'Dec 31 2018 OFFS'!$U:$U,'T1 2019 Pipeline Data Lagasco'!$E1296,'Dec 31 2018 OFFS'!$AK:$AK,'T1 2019 Pipeline Data Lagasco'!$Q1296,'Dec 31 2018 OFFS'!$W:$W,'T1 2019 Pipeline Data Lagasco'!$G1296))/(MAX(COUNTIFS('Dec 31 2018 OFFS'!$AI:$AI,'T1 2019 Pipeline Data Lagasco'!$A1296,'Dec 31 2018 OFFS'!$U:$U,'T1 2019 Pipeline Data Lagasco'!$E1296,'Dec 31 2018 OFFS'!$AK:$AK,'T1 2019 Pipeline Data Lagasco'!$Q1296,'Dec 31 2018 OFFS'!$W:$W,'T1 2019 Pipeline Data Lagasco'!$G1296),1))</f>
        <v>157160</v>
      </c>
      <c r="S1296" s="275">
        <f t="shared" si="46"/>
        <v>0</v>
      </c>
      <c r="T1296" s="217"/>
    </row>
    <row r="1297" spans="1:19" s="217" customFormat="1" ht="14.1" customHeight="1">
      <c r="A1297" s="224" t="s">
        <v>1533</v>
      </c>
      <c r="B1297" s="218" t="s">
        <v>1534</v>
      </c>
      <c r="C1297" s="223">
        <v>1</v>
      </c>
      <c r="D1297" s="218" t="s">
        <v>1488</v>
      </c>
      <c r="E1297" s="240">
        <v>6</v>
      </c>
      <c r="F1297" s="236">
        <v>11077.296270000001</v>
      </c>
      <c r="G1297" s="223">
        <v>1995</v>
      </c>
      <c r="H1297" s="230">
        <v>0.75</v>
      </c>
      <c r="I1297" s="223">
        <v>1</v>
      </c>
      <c r="J1297" s="223"/>
      <c r="K1297" s="228">
        <v>383606.7697</v>
      </c>
      <c r="L1297" s="241">
        <v>67</v>
      </c>
      <c r="M1297" s="239">
        <v>126590.234</v>
      </c>
      <c r="N1297" s="230">
        <v>34.630000000000003</v>
      </c>
      <c r="O1297" s="231">
        <v>94942</v>
      </c>
      <c r="P1297" s="314"/>
      <c r="Q1297" s="276">
        <f t="shared" si="45"/>
        <v>11077.30</v>
      </c>
      <c r="R1297" s="275">
        <f>(SUMIFS('Dec 31 2018 OFFS'!$AG:$AG,'Dec 31 2018 OFFS'!$AI:$AI,'T1 2019 Pipeline Data Lagasco'!$A1297,'Dec 31 2018 OFFS'!$U:$U,'T1 2019 Pipeline Data Lagasco'!$E1297,'Dec 31 2018 OFFS'!$AK:$AK,'T1 2019 Pipeline Data Lagasco'!$Q1297,'Dec 31 2018 OFFS'!$W:$W,'T1 2019 Pipeline Data Lagasco'!$G1297))/(MAX(COUNTIFS('Dec 31 2018 OFFS'!$AI:$AI,'T1 2019 Pipeline Data Lagasco'!$A1297,'Dec 31 2018 OFFS'!$U:$U,'T1 2019 Pipeline Data Lagasco'!$E1297,'Dec 31 2018 OFFS'!$AK:$AK,'T1 2019 Pipeline Data Lagasco'!$Q1297,'Dec 31 2018 OFFS'!$W:$W,'T1 2019 Pipeline Data Lagasco'!$G1297),1))</f>
        <v>94942</v>
      </c>
      <c r="S1297" s="275">
        <f t="shared" si="46"/>
        <v>0</v>
      </c>
    </row>
    <row r="1298" spans="1:19" s="217" customFormat="1" ht="14.1" customHeight="1">
      <c r="A1298" s="224" t="s">
        <v>1533</v>
      </c>
      <c r="B1298" s="218" t="s">
        <v>1534</v>
      </c>
      <c r="C1298" s="223">
        <v>1</v>
      </c>
      <c r="D1298" s="218" t="s">
        <v>1488</v>
      </c>
      <c r="E1298" s="240">
        <v>6</v>
      </c>
      <c r="F1298" s="223">
        <v>9600</v>
      </c>
      <c r="G1298" s="223">
        <v>2001</v>
      </c>
      <c r="H1298" s="230">
        <v>0.75</v>
      </c>
      <c r="I1298" s="223">
        <v>0</v>
      </c>
      <c r="J1298" s="223"/>
      <c r="K1298" s="240">
        <v>332448</v>
      </c>
      <c r="L1298" s="241">
        <v>59</v>
      </c>
      <c r="M1298" s="238">
        <v>136303.67999999999</v>
      </c>
      <c r="N1298" s="230">
        <v>34.630000000000003</v>
      </c>
      <c r="O1298" s="231">
        <v>0</v>
      </c>
      <c r="P1298" s="314"/>
      <c r="Q1298" s="279">
        <f t="shared" si="45"/>
        <v>9600</v>
      </c>
      <c r="R1298" s="275">
        <f>(SUMIFS('Dec 31 2018 OFFS'!$AG:$AG,'Dec 31 2018 OFFS'!$AI:$AI,'T1 2019 Pipeline Data Lagasco'!$A1298,'Dec 31 2018 OFFS'!$U:$U,'T1 2019 Pipeline Data Lagasco'!$E1298,'Dec 31 2018 OFFS'!$AK:$AK,'T1 2019 Pipeline Data Lagasco'!$Q1298,'Dec 31 2018 OFFS'!$W:$W,'T1 2019 Pipeline Data Lagasco'!$G1298))/(MAX(COUNTIFS('Dec 31 2018 OFFS'!$AI:$AI,'T1 2019 Pipeline Data Lagasco'!$A1298,'Dec 31 2018 OFFS'!$U:$U,'T1 2019 Pipeline Data Lagasco'!$E1298,'Dec 31 2018 OFFS'!$AK:$AK,'T1 2019 Pipeline Data Lagasco'!$Q1298,'Dec 31 2018 OFFS'!$W:$W,'T1 2019 Pipeline Data Lagasco'!$G1298),1))</f>
        <v>0</v>
      </c>
      <c r="S1298" s="275">
        <f t="shared" si="46"/>
        <v>0</v>
      </c>
    </row>
    <row r="1299" spans="1:19" s="217" customFormat="1" ht="14.1" customHeight="1">
      <c r="A1299" s="224" t="s">
        <v>1533</v>
      </c>
      <c r="B1299" s="218" t="s">
        <v>1534</v>
      </c>
      <c r="C1299" s="223">
        <v>1</v>
      </c>
      <c r="D1299" s="218" t="s">
        <v>1488</v>
      </c>
      <c r="E1299" s="240">
        <v>6</v>
      </c>
      <c r="F1299" s="226">
        <v>4108.136364</v>
      </c>
      <c r="G1299" s="223">
        <v>1995</v>
      </c>
      <c r="H1299" s="230">
        <v>0.75</v>
      </c>
      <c r="I1299" s="223">
        <v>1</v>
      </c>
      <c r="J1299" s="223"/>
      <c r="K1299" s="228">
        <v>142264.7623</v>
      </c>
      <c r="L1299" s="241">
        <v>67</v>
      </c>
      <c r="M1299" s="229">
        <v>46947.371550000003</v>
      </c>
      <c r="N1299" s="230">
        <v>34.630000000000003</v>
      </c>
      <c r="O1299" s="231">
        <v>35210</v>
      </c>
      <c r="P1299" s="314"/>
      <c r="Q1299" s="276">
        <f t="shared" si="45"/>
        <v>4108.1400000000003</v>
      </c>
      <c r="R1299" s="275">
        <f>(SUMIFS('Dec 31 2018 OFFS'!$AG:$AG,'Dec 31 2018 OFFS'!$AI:$AI,'T1 2019 Pipeline Data Lagasco'!$A1299,'Dec 31 2018 OFFS'!$U:$U,'T1 2019 Pipeline Data Lagasco'!$E1299,'Dec 31 2018 OFFS'!$AK:$AK,'T1 2019 Pipeline Data Lagasco'!$Q1299,'Dec 31 2018 OFFS'!$W:$W,'T1 2019 Pipeline Data Lagasco'!$G1299))/(MAX(COUNTIFS('Dec 31 2018 OFFS'!$AI:$AI,'T1 2019 Pipeline Data Lagasco'!$A1299,'Dec 31 2018 OFFS'!$U:$U,'T1 2019 Pipeline Data Lagasco'!$E1299,'Dec 31 2018 OFFS'!$AK:$AK,'T1 2019 Pipeline Data Lagasco'!$Q1299,'Dec 31 2018 OFFS'!$W:$W,'T1 2019 Pipeline Data Lagasco'!$G1299),1))</f>
        <v>35210</v>
      </c>
      <c r="S1299" s="275">
        <f t="shared" si="46"/>
        <v>0</v>
      </c>
    </row>
    <row r="1300" spans="1:19" s="217" customFormat="1" ht="14.1" customHeight="1">
      <c r="A1300" s="224" t="s">
        <v>1533</v>
      </c>
      <c r="B1300" s="218" t="s">
        <v>1534</v>
      </c>
      <c r="C1300" s="223">
        <v>1</v>
      </c>
      <c r="D1300" s="218" t="s">
        <v>1488</v>
      </c>
      <c r="E1300" s="240">
        <v>6</v>
      </c>
      <c r="F1300" s="236">
        <v>11530.18339</v>
      </c>
      <c r="G1300" s="223">
        <v>1995</v>
      </c>
      <c r="H1300" s="230">
        <v>0.75</v>
      </c>
      <c r="I1300" s="223">
        <v>1</v>
      </c>
      <c r="J1300" s="223"/>
      <c r="K1300" s="228">
        <v>399290.25089999998</v>
      </c>
      <c r="L1300" s="241">
        <v>67</v>
      </c>
      <c r="M1300" s="228">
        <v>131765.78279999999</v>
      </c>
      <c r="N1300" s="230">
        <v>34.630000000000003</v>
      </c>
      <c r="O1300" s="231">
        <v>98824</v>
      </c>
      <c r="P1300" s="314"/>
      <c r="Q1300" s="276">
        <f t="shared" si="45"/>
        <v>11530.18</v>
      </c>
      <c r="R1300" s="275">
        <f>(SUMIFS('Dec 31 2018 OFFS'!$AG:$AG,'Dec 31 2018 OFFS'!$AI:$AI,'T1 2019 Pipeline Data Lagasco'!$A1300,'Dec 31 2018 OFFS'!$U:$U,'T1 2019 Pipeline Data Lagasco'!$E1300,'Dec 31 2018 OFFS'!$AK:$AK,'T1 2019 Pipeline Data Lagasco'!$Q1300,'Dec 31 2018 OFFS'!$W:$W,'T1 2019 Pipeline Data Lagasco'!$G1300))/(MAX(COUNTIFS('Dec 31 2018 OFFS'!$AI:$AI,'T1 2019 Pipeline Data Lagasco'!$A1300,'Dec 31 2018 OFFS'!$U:$U,'T1 2019 Pipeline Data Lagasco'!$E1300,'Dec 31 2018 OFFS'!$AK:$AK,'T1 2019 Pipeline Data Lagasco'!$Q1300,'Dec 31 2018 OFFS'!$W:$W,'T1 2019 Pipeline Data Lagasco'!$G1300),1))</f>
        <v>98824</v>
      </c>
      <c r="S1300" s="275">
        <f t="shared" si="46"/>
        <v>0</v>
      </c>
    </row>
    <row r="1301" spans="1:19" s="217" customFormat="1" ht="14.1" customHeight="1">
      <c r="A1301" s="224" t="s">
        <v>1533</v>
      </c>
      <c r="B1301" s="218" t="s">
        <v>1534</v>
      </c>
      <c r="C1301" s="223">
        <v>1</v>
      </c>
      <c r="D1301" s="218" t="s">
        <v>1488</v>
      </c>
      <c r="E1301" s="240">
        <v>6</v>
      </c>
      <c r="F1301" s="223">
        <v>11731</v>
      </c>
      <c r="G1301" s="223">
        <v>2001</v>
      </c>
      <c r="H1301" s="230">
        <v>0.75</v>
      </c>
      <c r="I1301" s="223">
        <v>0</v>
      </c>
      <c r="J1301" s="223"/>
      <c r="K1301" s="238">
        <v>406244.53</v>
      </c>
      <c r="L1301" s="241">
        <v>59</v>
      </c>
      <c r="M1301" s="228">
        <v>166560.2573</v>
      </c>
      <c r="N1301" s="230">
        <v>34.630000000000003</v>
      </c>
      <c r="O1301" s="231">
        <v>0</v>
      </c>
      <c r="P1301" s="314"/>
      <c r="Q1301" s="276">
        <f t="shared" si="45"/>
        <v>11731</v>
      </c>
      <c r="R1301" s="275">
        <f>(SUMIFS('Dec 31 2018 OFFS'!$AG:$AG,'Dec 31 2018 OFFS'!$AI:$AI,'T1 2019 Pipeline Data Lagasco'!$A1301,'Dec 31 2018 OFFS'!$U:$U,'T1 2019 Pipeline Data Lagasco'!$E1301,'Dec 31 2018 OFFS'!$AK:$AK,'T1 2019 Pipeline Data Lagasco'!$Q1301,'Dec 31 2018 OFFS'!$W:$W,'T1 2019 Pipeline Data Lagasco'!$G1301))/(MAX(COUNTIFS('Dec 31 2018 OFFS'!$AI:$AI,'T1 2019 Pipeline Data Lagasco'!$A1301,'Dec 31 2018 OFFS'!$U:$U,'T1 2019 Pipeline Data Lagasco'!$E1301,'Dec 31 2018 OFFS'!$AK:$AK,'T1 2019 Pipeline Data Lagasco'!$Q1301,'Dec 31 2018 OFFS'!$W:$W,'T1 2019 Pipeline Data Lagasco'!$G1301),1))</f>
        <v>0</v>
      </c>
      <c r="S1301" s="275">
        <f t="shared" si="46"/>
        <v>0</v>
      </c>
    </row>
    <row r="1302" spans="1:19" s="217" customFormat="1" ht="14.1" customHeight="1">
      <c r="A1302" s="224" t="s">
        <v>1533</v>
      </c>
      <c r="B1302" s="218" t="s">
        <v>1534</v>
      </c>
      <c r="C1302" s="223">
        <v>1</v>
      </c>
      <c r="D1302" s="218" t="s">
        <v>1488</v>
      </c>
      <c r="E1302" s="240">
        <v>6</v>
      </c>
      <c r="F1302" s="223">
        <v>11724</v>
      </c>
      <c r="G1302" s="223">
        <v>2001</v>
      </c>
      <c r="H1302" s="230">
        <v>0.75</v>
      </c>
      <c r="I1302" s="223">
        <v>0</v>
      </c>
      <c r="J1302" s="223"/>
      <c r="K1302" s="238">
        <v>406002.12</v>
      </c>
      <c r="L1302" s="241">
        <v>59</v>
      </c>
      <c r="M1302" s="228">
        <v>166460.86919999999</v>
      </c>
      <c r="N1302" s="230">
        <v>34.630000000000003</v>
      </c>
      <c r="O1302" s="231">
        <v>0</v>
      </c>
      <c r="P1302" s="314"/>
      <c r="Q1302" s="276">
        <f t="shared" si="45"/>
        <v>11724</v>
      </c>
      <c r="R1302" s="275">
        <f>(SUMIFS('Dec 31 2018 OFFS'!$AG:$AG,'Dec 31 2018 OFFS'!$AI:$AI,'T1 2019 Pipeline Data Lagasco'!$A1302,'Dec 31 2018 OFFS'!$U:$U,'T1 2019 Pipeline Data Lagasco'!$E1302,'Dec 31 2018 OFFS'!$AK:$AK,'T1 2019 Pipeline Data Lagasco'!$Q1302,'Dec 31 2018 OFFS'!$W:$W,'T1 2019 Pipeline Data Lagasco'!$G1302))/(MAX(COUNTIFS('Dec 31 2018 OFFS'!$AI:$AI,'T1 2019 Pipeline Data Lagasco'!$A1302,'Dec 31 2018 OFFS'!$U:$U,'T1 2019 Pipeline Data Lagasco'!$E1302,'Dec 31 2018 OFFS'!$AK:$AK,'T1 2019 Pipeline Data Lagasco'!$Q1302,'Dec 31 2018 OFFS'!$W:$W,'T1 2019 Pipeline Data Lagasco'!$G1302),1))</f>
        <v>0</v>
      </c>
      <c r="S1302" s="275">
        <f t="shared" si="46"/>
        <v>0</v>
      </c>
    </row>
    <row r="1303" spans="1:19" s="217" customFormat="1" ht="14.1" customHeight="1">
      <c r="A1303" s="224" t="s">
        <v>1533</v>
      </c>
      <c r="B1303" s="218" t="s">
        <v>1534</v>
      </c>
      <c r="C1303" s="223">
        <v>1</v>
      </c>
      <c r="D1303" s="218" t="s">
        <v>1488</v>
      </c>
      <c r="E1303" s="240">
        <v>6</v>
      </c>
      <c r="F1303" s="236">
        <v>12502.68993</v>
      </c>
      <c r="G1303" s="223">
        <v>1995</v>
      </c>
      <c r="H1303" s="230">
        <v>0.75</v>
      </c>
      <c r="I1303" s="223">
        <v>1</v>
      </c>
      <c r="J1303" s="223"/>
      <c r="K1303" s="228">
        <v>432968.15220000001</v>
      </c>
      <c r="L1303" s="241">
        <v>67</v>
      </c>
      <c r="M1303" s="228">
        <v>142879.4902</v>
      </c>
      <c r="N1303" s="230">
        <v>34.630000000000003</v>
      </c>
      <c r="O1303" s="231">
        <v>107159</v>
      </c>
      <c r="P1303" s="314"/>
      <c r="Q1303" s="276">
        <f t="shared" si="45"/>
        <v>12502.69</v>
      </c>
      <c r="R1303" s="275">
        <f>(SUMIFS('Dec 31 2018 OFFS'!$AG:$AG,'Dec 31 2018 OFFS'!$AI:$AI,'T1 2019 Pipeline Data Lagasco'!$A1303,'Dec 31 2018 OFFS'!$U:$U,'T1 2019 Pipeline Data Lagasco'!$E1303,'Dec 31 2018 OFFS'!$AK:$AK,'T1 2019 Pipeline Data Lagasco'!$Q1303,'Dec 31 2018 OFFS'!$W:$W,'T1 2019 Pipeline Data Lagasco'!$G1303))/(MAX(COUNTIFS('Dec 31 2018 OFFS'!$AI:$AI,'T1 2019 Pipeline Data Lagasco'!$A1303,'Dec 31 2018 OFFS'!$U:$U,'T1 2019 Pipeline Data Lagasco'!$E1303,'Dec 31 2018 OFFS'!$AK:$AK,'T1 2019 Pipeline Data Lagasco'!$Q1303,'Dec 31 2018 OFFS'!$W:$W,'T1 2019 Pipeline Data Lagasco'!$G1303),1))</f>
        <v>107159</v>
      </c>
      <c r="S1303" s="275">
        <f t="shared" si="46"/>
        <v>0</v>
      </c>
    </row>
    <row r="1304" spans="1:19" s="217" customFormat="1" ht="14.1" customHeight="1">
      <c r="A1304" s="224" t="s">
        <v>1533</v>
      </c>
      <c r="B1304" s="218" t="s">
        <v>1534</v>
      </c>
      <c r="C1304" s="223">
        <v>1</v>
      </c>
      <c r="D1304" s="218" t="s">
        <v>1488</v>
      </c>
      <c r="E1304" s="240">
        <v>6</v>
      </c>
      <c r="F1304" s="223">
        <v>13213</v>
      </c>
      <c r="G1304" s="223">
        <v>2001</v>
      </c>
      <c r="H1304" s="230">
        <v>0.75</v>
      </c>
      <c r="I1304" s="223">
        <v>0</v>
      </c>
      <c r="J1304" s="223"/>
      <c r="K1304" s="238">
        <v>457566.19</v>
      </c>
      <c r="L1304" s="241">
        <v>59</v>
      </c>
      <c r="M1304" s="228">
        <v>187602.1379</v>
      </c>
      <c r="N1304" s="230">
        <v>34.630000000000003</v>
      </c>
      <c r="O1304" s="231">
        <v>0</v>
      </c>
      <c r="P1304" s="314"/>
      <c r="Q1304" s="276">
        <f t="shared" si="45"/>
        <v>13213</v>
      </c>
      <c r="R1304" s="275">
        <f>(SUMIFS('Dec 31 2018 OFFS'!$AG:$AG,'Dec 31 2018 OFFS'!$AI:$AI,'T1 2019 Pipeline Data Lagasco'!$A1304,'Dec 31 2018 OFFS'!$U:$U,'T1 2019 Pipeline Data Lagasco'!$E1304,'Dec 31 2018 OFFS'!$AK:$AK,'T1 2019 Pipeline Data Lagasco'!$Q1304,'Dec 31 2018 OFFS'!$W:$W,'T1 2019 Pipeline Data Lagasco'!$G1304))/(MAX(COUNTIFS('Dec 31 2018 OFFS'!$AI:$AI,'T1 2019 Pipeline Data Lagasco'!$A1304,'Dec 31 2018 OFFS'!$U:$U,'T1 2019 Pipeline Data Lagasco'!$E1304,'Dec 31 2018 OFFS'!$AK:$AK,'T1 2019 Pipeline Data Lagasco'!$Q1304,'Dec 31 2018 OFFS'!$W:$W,'T1 2019 Pipeline Data Lagasco'!$G1304),1))</f>
        <v>0</v>
      </c>
      <c r="S1304" s="275">
        <f t="shared" si="46"/>
        <v>0</v>
      </c>
    </row>
    <row r="1305" spans="1:19" s="217" customFormat="1" ht="14.1" customHeight="1">
      <c r="A1305" s="224" t="s">
        <v>1533</v>
      </c>
      <c r="B1305" s="218" t="s">
        <v>1534</v>
      </c>
      <c r="C1305" s="223">
        <v>1</v>
      </c>
      <c r="D1305" s="218" t="s">
        <v>1488</v>
      </c>
      <c r="E1305" s="240">
        <v>6</v>
      </c>
      <c r="F1305" s="235">
        <v>10440.6165</v>
      </c>
      <c r="G1305" s="223">
        <v>1995</v>
      </c>
      <c r="H1305" s="230">
        <v>0.75</v>
      </c>
      <c r="I1305" s="223">
        <v>1</v>
      </c>
      <c r="J1305" s="223"/>
      <c r="K1305" s="228">
        <v>361558.54920000001</v>
      </c>
      <c r="L1305" s="241">
        <v>67</v>
      </c>
      <c r="M1305" s="228">
        <v>119314.32120000001</v>
      </c>
      <c r="N1305" s="230">
        <v>34.630000000000003</v>
      </c>
      <c r="O1305" s="231">
        <v>89485</v>
      </c>
      <c r="P1305" s="314"/>
      <c r="Q1305" s="276">
        <f t="shared" si="45"/>
        <v>10440.620000000001</v>
      </c>
      <c r="R1305" s="275">
        <f>(SUMIFS('Dec 31 2018 OFFS'!$AG:$AG,'Dec 31 2018 OFFS'!$AI:$AI,'T1 2019 Pipeline Data Lagasco'!$A1305,'Dec 31 2018 OFFS'!$U:$U,'T1 2019 Pipeline Data Lagasco'!$E1305,'Dec 31 2018 OFFS'!$AK:$AK,'T1 2019 Pipeline Data Lagasco'!$Q1305,'Dec 31 2018 OFFS'!$W:$W,'T1 2019 Pipeline Data Lagasco'!$G1305))/(MAX(COUNTIFS('Dec 31 2018 OFFS'!$AI:$AI,'T1 2019 Pipeline Data Lagasco'!$A1305,'Dec 31 2018 OFFS'!$U:$U,'T1 2019 Pipeline Data Lagasco'!$E1305,'Dec 31 2018 OFFS'!$AK:$AK,'T1 2019 Pipeline Data Lagasco'!$Q1305,'Dec 31 2018 OFFS'!$W:$W,'T1 2019 Pipeline Data Lagasco'!$G1305),1))</f>
        <v>89485</v>
      </c>
      <c r="S1305" s="275">
        <f t="shared" si="46"/>
        <v>0</v>
      </c>
    </row>
    <row r="1306" spans="1:19" s="217" customFormat="1" ht="14.1" customHeight="1">
      <c r="A1306" s="224" t="s">
        <v>1533</v>
      </c>
      <c r="B1306" s="218" t="s">
        <v>1534</v>
      </c>
      <c r="C1306" s="223">
        <v>1</v>
      </c>
      <c r="D1306" s="218" t="s">
        <v>1488</v>
      </c>
      <c r="E1306" s="240">
        <v>6</v>
      </c>
      <c r="F1306" s="223">
        <v>3347</v>
      </c>
      <c r="G1306" s="223">
        <v>1995</v>
      </c>
      <c r="H1306" s="230">
        <v>0.75</v>
      </c>
      <c r="I1306" s="223">
        <v>1</v>
      </c>
      <c r="J1306" s="223"/>
      <c r="K1306" s="238">
        <v>115906.61</v>
      </c>
      <c r="L1306" s="241">
        <v>67</v>
      </c>
      <c r="M1306" s="228">
        <v>38249.181299999997</v>
      </c>
      <c r="N1306" s="230">
        <v>34.630000000000003</v>
      </c>
      <c r="O1306" s="231">
        <v>28686</v>
      </c>
      <c r="P1306" s="314"/>
      <c r="Q1306" s="276">
        <f t="shared" si="45"/>
        <v>3347</v>
      </c>
      <c r="R1306" s="275">
        <f>(SUMIFS('Dec 31 2018 OFFS'!$AG:$AG,'Dec 31 2018 OFFS'!$AI:$AI,'T1 2019 Pipeline Data Lagasco'!$A1306,'Dec 31 2018 OFFS'!$U:$U,'T1 2019 Pipeline Data Lagasco'!$E1306,'Dec 31 2018 OFFS'!$AK:$AK,'T1 2019 Pipeline Data Lagasco'!$Q1306,'Dec 31 2018 OFFS'!$W:$W,'T1 2019 Pipeline Data Lagasco'!$G1306))/(MAX(COUNTIFS('Dec 31 2018 OFFS'!$AI:$AI,'T1 2019 Pipeline Data Lagasco'!$A1306,'Dec 31 2018 OFFS'!$U:$U,'T1 2019 Pipeline Data Lagasco'!$E1306,'Dec 31 2018 OFFS'!$AK:$AK,'T1 2019 Pipeline Data Lagasco'!$Q1306,'Dec 31 2018 OFFS'!$W:$W,'T1 2019 Pipeline Data Lagasco'!$G1306),1))</f>
        <v>28686</v>
      </c>
      <c r="S1306" s="275">
        <f t="shared" si="46"/>
        <v>0</v>
      </c>
    </row>
    <row r="1307" spans="1:19" s="217" customFormat="1" ht="14.1" customHeight="1">
      <c r="A1307" s="224" t="s">
        <v>1533</v>
      </c>
      <c r="B1307" s="218" t="s">
        <v>1534</v>
      </c>
      <c r="C1307" s="223">
        <v>1</v>
      </c>
      <c r="D1307" s="218" t="s">
        <v>1488</v>
      </c>
      <c r="E1307" s="240">
        <v>6</v>
      </c>
      <c r="F1307" s="223">
        <v>11758</v>
      </c>
      <c r="G1307" s="223">
        <v>2001</v>
      </c>
      <c r="H1307" s="230">
        <v>0.75</v>
      </c>
      <c r="I1307" s="223">
        <v>1</v>
      </c>
      <c r="J1307" s="223"/>
      <c r="K1307" s="238">
        <v>407179.54</v>
      </c>
      <c r="L1307" s="241">
        <v>59</v>
      </c>
      <c r="M1307" s="228">
        <v>166943.61139999999</v>
      </c>
      <c r="N1307" s="230">
        <v>34.630000000000003</v>
      </c>
      <c r="O1307" s="231">
        <v>125207</v>
      </c>
      <c r="P1307" s="314"/>
      <c r="Q1307" s="276">
        <f t="shared" si="45"/>
        <v>11758</v>
      </c>
      <c r="R1307" s="275">
        <f>(SUMIFS('Dec 31 2018 OFFS'!$AG:$AG,'Dec 31 2018 OFFS'!$AI:$AI,'T1 2019 Pipeline Data Lagasco'!$A1307,'Dec 31 2018 OFFS'!$U:$U,'T1 2019 Pipeline Data Lagasco'!$E1307,'Dec 31 2018 OFFS'!$AK:$AK,'T1 2019 Pipeline Data Lagasco'!$Q1307,'Dec 31 2018 OFFS'!$W:$W,'T1 2019 Pipeline Data Lagasco'!$G1307))/(MAX(COUNTIFS('Dec 31 2018 OFFS'!$AI:$AI,'T1 2019 Pipeline Data Lagasco'!$A1307,'Dec 31 2018 OFFS'!$U:$U,'T1 2019 Pipeline Data Lagasco'!$E1307,'Dec 31 2018 OFFS'!$AK:$AK,'T1 2019 Pipeline Data Lagasco'!$Q1307,'Dec 31 2018 OFFS'!$W:$W,'T1 2019 Pipeline Data Lagasco'!$G1307),1))</f>
        <v>125207</v>
      </c>
      <c r="S1307" s="275">
        <f t="shared" si="46"/>
        <v>0</v>
      </c>
    </row>
    <row r="1308" spans="1:19" s="217" customFormat="1" ht="14.1" customHeight="1">
      <c r="A1308" s="224" t="s">
        <v>1533</v>
      </c>
      <c r="B1308" s="218" t="s">
        <v>1534</v>
      </c>
      <c r="C1308" s="223">
        <v>1</v>
      </c>
      <c r="D1308" s="218" t="s">
        <v>1488</v>
      </c>
      <c r="E1308" s="240">
        <v>6</v>
      </c>
      <c r="F1308" s="223">
        <v>11736</v>
      </c>
      <c r="G1308" s="223">
        <v>2001</v>
      </c>
      <c r="H1308" s="230">
        <v>0.75</v>
      </c>
      <c r="I1308" s="223">
        <v>1</v>
      </c>
      <c r="J1308" s="223"/>
      <c r="K1308" s="238">
        <v>406417.68</v>
      </c>
      <c r="L1308" s="241">
        <v>59</v>
      </c>
      <c r="M1308" s="228">
        <v>166631.2488</v>
      </c>
      <c r="N1308" s="230">
        <v>34.630000000000003</v>
      </c>
      <c r="O1308" s="231">
        <v>124973</v>
      </c>
      <c r="P1308" s="314"/>
      <c r="Q1308" s="276">
        <f t="shared" si="45"/>
        <v>11736</v>
      </c>
      <c r="R1308" s="275">
        <f>(SUMIFS('Dec 31 2018 OFFS'!$AG:$AG,'Dec 31 2018 OFFS'!$AI:$AI,'T1 2019 Pipeline Data Lagasco'!$A1308,'Dec 31 2018 OFFS'!$U:$U,'T1 2019 Pipeline Data Lagasco'!$E1308,'Dec 31 2018 OFFS'!$AK:$AK,'T1 2019 Pipeline Data Lagasco'!$Q1308,'Dec 31 2018 OFFS'!$W:$W,'T1 2019 Pipeline Data Lagasco'!$G1308))/(MAX(COUNTIFS('Dec 31 2018 OFFS'!$AI:$AI,'T1 2019 Pipeline Data Lagasco'!$A1308,'Dec 31 2018 OFFS'!$U:$U,'T1 2019 Pipeline Data Lagasco'!$E1308,'Dec 31 2018 OFFS'!$AK:$AK,'T1 2019 Pipeline Data Lagasco'!$Q1308,'Dec 31 2018 OFFS'!$W:$W,'T1 2019 Pipeline Data Lagasco'!$G1308),1))</f>
        <v>124973</v>
      </c>
      <c r="S1308" s="275">
        <f t="shared" si="46"/>
        <v>0</v>
      </c>
    </row>
    <row r="1309" spans="1:19" s="217" customFormat="1" ht="14.1" customHeight="1">
      <c r="A1309" s="224" t="s">
        <v>1533</v>
      </c>
      <c r="B1309" s="218" t="s">
        <v>1534</v>
      </c>
      <c r="C1309" s="223">
        <v>1</v>
      </c>
      <c r="D1309" s="218" t="s">
        <v>1488</v>
      </c>
      <c r="E1309" s="240">
        <v>6</v>
      </c>
      <c r="F1309" s="223">
        <v>12903</v>
      </c>
      <c r="G1309" s="223">
        <v>2001</v>
      </c>
      <c r="H1309" s="230">
        <v>0.75</v>
      </c>
      <c r="I1309" s="223">
        <v>1</v>
      </c>
      <c r="J1309" s="223"/>
      <c r="K1309" s="238">
        <v>446830.89</v>
      </c>
      <c r="L1309" s="241">
        <v>59</v>
      </c>
      <c r="M1309" s="228">
        <v>183200.6649</v>
      </c>
      <c r="N1309" s="230">
        <v>34.630000000000003</v>
      </c>
      <c r="O1309" s="231">
        <v>137400</v>
      </c>
      <c r="P1309" s="314"/>
      <c r="Q1309" s="276">
        <f t="shared" si="45"/>
        <v>12903</v>
      </c>
      <c r="R1309" s="275">
        <f>(SUMIFS('Dec 31 2018 OFFS'!$AG:$AG,'Dec 31 2018 OFFS'!$AI:$AI,'T1 2019 Pipeline Data Lagasco'!$A1309,'Dec 31 2018 OFFS'!$U:$U,'T1 2019 Pipeline Data Lagasco'!$E1309,'Dec 31 2018 OFFS'!$AK:$AK,'T1 2019 Pipeline Data Lagasco'!$Q1309,'Dec 31 2018 OFFS'!$W:$W,'T1 2019 Pipeline Data Lagasco'!$G1309))/(MAX(COUNTIFS('Dec 31 2018 OFFS'!$AI:$AI,'T1 2019 Pipeline Data Lagasco'!$A1309,'Dec 31 2018 OFFS'!$U:$U,'T1 2019 Pipeline Data Lagasco'!$E1309,'Dec 31 2018 OFFS'!$AK:$AK,'T1 2019 Pipeline Data Lagasco'!$Q1309,'Dec 31 2018 OFFS'!$W:$W,'T1 2019 Pipeline Data Lagasco'!$G1309),1))</f>
        <v>137400</v>
      </c>
      <c r="S1309" s="275">
        <f t="shared" si="46"/>
        <v>0</v>
      </c>
    </row>
    <row r="1310" spans="1:19" s="217" customFormat="1" ht="14.1" customHeight="1">
      <c r="A1310" s="224" t="s">
        <v>1533</v>
      </c>
      <c r="B1310" s="218" t="s">
        <v>1534</v>
      </c>
      <c r="C1310" s="223">
        <v>1</v>
      </c>
      <c r="D1310" s="218" t="s">
        <v>1488</v>
      </c>
      <c r="E1310" s="240">
        <v>6</v>
      </c>
      <c r="F1310" s="223">
        <v>2565</v>
      </c>
      <c r="G1310" s="223">
        <v>2001</v>
      </c>
      <c r="H1310" s="230">
        <v>0.75</v>
      </c>
      <c r="I1310" s="223">
        <v>1</v>
      </c>
      <c r="J1310" s="223"/>
      <c r="K1310" s="238">
        <v>88825.95</v>
      </c>
      <c r="L1310" s="241">
        <v>59</v>
      </c>
      <c r="M1310" s="228">
        <v>36418.639499999997</v>
      </c>
      <c r="N1310" s="230">
        <v>34.630000000000003</v>
      </c>
      <c r="O1310" s="231">
        <v>27313</v>
      </c>
      <c r="P1310" s="314"/>
      <c r="Q1310" s="276">
        <f t="shared" si="45"/>
        <v>2565</v>
      </c>
      <c r="R1310" s="275">
        <f>(SUMIFS('Dec 31 2018 OFFS'!$AG:$AG,'Dec 31 2018 OFFS'!$AI:$AI,'T1 2019 Pipeline Data Lagasco'!$A1310,'Dec 31 2018 OFFS'!$U:$U,'T1 2019 Pipeline Data Lagasco'!$E1310,'Dec 31 2018 OFFS'!$AK:$AK,'T1 2019 Pipeline Data Lagasco'!$Q1310,'Dec 31 2018 OFFS'!$W:$W,'T1 2019 Pipeline Data Lagasco'!$G1310))/(MAX(COUNTIFS('Dec 31 2018 OFFS'!$AI:$AI,'T1 2019 Pipeline Data Lagasco'!$A1310,'Dec 31 2018 OFFS'!$U:$U,'T1 2019 Pipeline Data Lagasco'!$E1310,'Dec 31 2018 OFFS'!$AK:$AK,'T1 2019 Pipeline Data Lagasco'!$Q1310,'Dec 31 2018 OFFS'!$W:$W,'T1 2019 Pipeline Data Lagasco'!$G1310),1))</f>
        <v>27313</v>
      </c>
      <c r="S1310" s="275">
        <f t="shared" si="46"/>
        <v>0</v>
      </c>
    </row>
    <row r="1311" spans="1:19" s="217" customFormat="1" ht="14.1" customHeight="1">
      <c r="A1311" s="224" t="s">
        <v>1533</v>
      </c>
      <c r="B1311" s="218" t="s">
        <v>1534</v>
      </c>
      <c r="C1311" s="223">
        <v>1</v>
      </c>
      <c r="D1311" s="218" t="s">
        <v>1488</v>
      </c>
      <c r="E1311" s="240">
        <v>6</v>
      </c>
      <c r="F1311" s="223">
        <v>6350</v>
      </c>
      <c r="G1311" s="223">
        <v>2001</v>
      </c>
      <c r="H1311" s="230">
        <v>0.75</v>
      </c>
      <c r="I1311" s="223">
        <v>1</v>
      </c>
      <c r="J1311" s="223"/>
      <c r="K1311" s="237">
        <v>219900.50</v>
      </c>
      <c r="L1311" s="241">
        <v>59</v>
      </c>
      <c r="M1311" s="239">
        <v>90159.205000000002</v>
      </c>
      <c r="N1311" s="230">
        <v>34.630000000000003</v>
      </c>
      <c r="O1311" s="231">
        <v>67619</v>
      </c>
      <c r="P1311" s="314"/>
      <c r="Q1311" s="276">
        <f t="shared" si="45"/>
        <v>6350</v>
      </c>
      <c r="R1311" s="275">
        <f>(SUMIFS('Dec 31 2018 OFFS'!$AG:$AG,'Dec 31 2018 OFFS'!$AI:$AI,'T1 2019 Pipeline Data Lagasco'!$A1311,'Dec 31 2018 OFFS'!$U:$U,'T1 2019 Pipeline Data Lagasco'!$E1311,'Dec 31 2018 OFFS'!$AK:$AK,'T1 2019 Pipeline Data Lagasco'!$Q1311,'Dec 31 2018 OFFS'!$W:$W,'T1 2019 Pipeline Data Lagasco'!$G1311))/(MAX(COUNTIFS('Dec 31 2018 OFFS'!$AI:$AI,'T1 2019 Pipeline Data Lagasco'!$A1311,'Dec 31 2018 OFFS'!$U:$U,'T1 2019 Pipeline Data Lagasco'!$E1311,'Dec 31 2018 OFFS'!$AK:$AK,'T1 2019 Pipeline Data Lagasco'!$Q1311,'Dec 31 2018 OFFS'!$W:$W,'T1 2019 Pipeline Data Lagasco'!$G1311),1))</f>
        <v>67619</v>
      </c>
      <c r="S1311" s="275">
        <f t="shared" si="46"/>
        <v>0</v>
      </c>
    </row>
    <row r="1312" spans="1:19" s="217" customFormat="1" ht="14.1" customHeight="1">
      <c r="A1312" s="224" t="s">
        <v>1533</v>
      </c>
      <c r="B1312" s="218" t="s">
        <v>1534</v>
      </c>
      <c r="C1312" s="223">
        <v>1</v>
      </c>
      <c r="D1312" s="218" t="s">
        <v>1488</v>
      </c>
      <c r="E1312" s="240">
        <v>6</v>
      </c>
      <c r="F1312" s="223">
        <v>11749</v>
      </c>
      <c r="G1312" s="223">
        <v>2001</v>
      </c>
      <c r="H1312" s="230">
        <v>0.75</v>
      </c>
      <c r="I1312" s="223">
        <v>0</v>
      </c>
      <c r="J1312" s="223"/>
      <c r="K1312" s="238">
        <v>406867.87</v>
      </c>
      <c r="L1312" s="241">
        <v>59</v>
      </c>
      <c r="M1312" s="228">
        <v>166815.82670000001</v>
      </c>
      <c r="N1312" s="230">
        <v>34.630000000000003</v>
      </c>
      <c r="O1312" s="231">
        <v>0</v>
      </c>
      <c r="P1312" s="314"/>
      <c r="Q1312" s="276">
        <f t="shared" si="45"/>
        <v>11749</v>
      </c>
      <c r="R1312" s="275">
        <f>(SUMIFS('Dec 31 2018 OFFS'!$AG:$AG,'Dec 31 2018 OFFS'!$AI:$AI,'T1 2019 Pipeline Data Lagasco'!$A1312,'Dec 31 2018 OFFS'!$U:$U,'T1 2019 Pipeline Data Lagasco'!$E1312,'Dec 31 2018 OFFS'!$AK:$AK,'T1 2019 Pipeline Data Lagasco'!$Q1312,'Dec 31 2018 OFFS'!$W:$W,'T1 2019 Pipeline Data Lagasco'!$G1312))/(MAX(COUNTIFS('Dec 31 2018 OFFS'!$AI:$AI,'T1 2019 Pipeline Data Lagasco'!$A1312,'Dec 31 2018 OFFS'!$U:$U,'T1 2019 Pipeline Data Lagasco'!$E1312,'Dec 31 2018 OFFS'!$AK:$AK,'T1 2019 Pipeline Data Lagasco'!$Q1312,'Dec 31 2018 OFFS'!$W:$W,'T1 2019 Pipeline Data Lagasco'!$G1312),1))</f>
        <v>0</v>
      </c>
      <c r="S1312" s="275">
        <f t="shared" si="46"/>
        <v>0</v>
      </c>
    </row>
    <row r="1313" spans="1:20" ht="14.1" customHeight="1">
      <c r="A1313" s="224" t="s">
        <v>1533</v>
      </c>
      <c r="B1313" s="218" t="s">
        <v>1534</v>
      </c>
      <c r="C1313" s="223">
        <v>1</v>
      </c>
      <c r="D1313" s="218" t="s">
        <v>1488</v>
      </c>
      <c r="E1313" s="240">
        <v>6</v>
      </c>
      <c r="F1313" s="223">
        <v>13136</v>
      </c>
      <c r="G1313" s="223">
        <v>2001</v>
      </c>
      <c r="H1313" s="230">
        <v>0.75</v>
      </c>
      <c r="I1313" s="223">
        <v>1</v>
      </c>
      <c r="J1313" s="223"/>
      <c r="K1313" s="238">
        <v>454899.68</v>
      </c>
      <c r="L1313" s="241">
        <v>59</v>
      </c>
      <c r="M1313" s="228">
        <v>186508.8688</v>
      </c>
      <c r="N1313" s="230">
        <v>34.630000000000003</v>
      </c>
      <c r="O1313" s="231">
        <v>139881</v>
      </c>
      <c r="P1313" s="314"/>
      <c r="Q1313" s="276">
        <f t="shared" si="45"/>
        <v>13136</v>
      </c>
      <c r="R1313" s="275">
        <f>(SUMIFS('Dec 31 2018 OFFS'!$AG:$AG,'Dec 31 2018 OFFS'!$AI:$AI,'T1 2019 Pipeline Data Lagasco'!$A1313,'Dec 31 2018 OFFS'!$U:$U,'T1 2019 Pipeline Data Lagasco'!$E1313,'Dec 31 2018 OFFS'!$AK:$AK,'T1 2019 Pipeline Data Lagasco'!$Q1313,'Dec 31 2018 OFFS'!$W:$W,'T1 2019 Pipeline Data Lagasco'!$G1313))/(MAX(COUNTIFS('Dec 31 2018 OFFS'!$AI:$AI,'T1 2019 Pipeline Data Lagasco'!$A1313,'Dec 31 2018 OFFS'!$U:$U,'T1 2019 Pipeline Data Lagasco'!$E1313,'Dec 31 2018 OFFS'!$AK:$AK,'T1 2019 Pipeline Data Lagasco'!$Q1313,'Dec 31 2018 OFFS'!$W:$W,'T1 2019 Pipeline Data Lagasco'!$G1313),1))</f>
        <v>139881</v>
      </c>
      <c r="S1313" s="275">
        <f t="shared" si="46"/>
        <v>0</v>
      </c>
      <c r="T1313" s="217"/>
    </row>
    <row r="1314" spans="1:20" ht="14.1" customHeight="1">
      <c r="A1314" s="224" t="s">
        <v>1533</v>
      </c>
      <c r="B1314" s="218" t="s">
        <v>1534</v>
      </c>
      <c r="C1314" s="223">
        <v>1</v>
      </c>
      <c r="D1314" s="218" t="s">
        <v>1488</v>
      </c>
      <c r="E1314" s="240">
        <v>6</v>
      </c>
      <c r="F1314" s="223">
        <v>2264</v>
      </c>
      <c r="G1314" s="223">
        <v>1995</v>
      </c>
      <c r="H1314" s="230">
        <v>0.75</v>
      </c>
      <c r="I1314" s="223">
        <v>1</v>
      </c>
      <c r="J1314" s="223"/>
      <c r="K1314" s="238">
        <v>78402.320000000007</v>
      </c>
      <c r="L1314" s="241">
        <v>67</v>
      </c>
      <c r="M1314" s="228">
        <v>25872.765599999999</v>
      </c>
      <c r="N1314" s="230">
        <v>34.630000000000003</v>
      </c>
      <c r="O1314" s="231">
        <v>19404</v>
      </c>
      <c r="P1314" s="314"/>
      <c r="Q1314" s="276">
        <f t="shared" si="45"/>
        <v>2264</v>
      </c>
      <c r="R1314" s="275">
        <f>(SUMIFS('Dec 31 2018 OFFS'!$AG:$AG,'Dec 31 2018 OFFS'!$AI:$AI,'T1 2019 Pipeline Data Lagasco'!$A1314,'Dec 31 2018 OFFS'!$U:$U,'T1 2019 Pipeline Data Lagasco'!$E1314,'Dec 31 2018 OFFS'!$AK:$AK,'T1 2019 Pipeline Data Lagasco'!$Q1314,'Dec 31 2018 OFFS'!$W:$W,'T1 2019 Pipeline Data Lagasco'!$G1314))/(MAX(COUNTIFS('Dec 31 2018 OFFS'!$AI:$AI,'T1 2019 Pipeline Data Lagasco'!$A1314,'Dec 31 2018 OFFS'!$U:$U,'T1 2019 Pipeline Data Lagasco'!$E1314,'Dec 31 2018 OFFS'!$AK:$AK,'T1 2019 Pipeline Data Lagasco'!$Q1314,'Dec 31 2018 OFFS'!$W:$W,'T1 2019 Pipeline Data Lagasco'!$G1314),1))</f>
        <v>19404</v>
      </c>
      <c r="S1314" s="275">
        <f t="shared" si="46"/>
        <v>0</v>
      </c>
      <c r="T1314" s="217"/>
    </row>
    <row r="1315" spans="1:20" ht="14.1" customHeight="1">
      <c r="A1315" s="224" t="s">
        <v>1533</v>
      </c>
      <c r="B1315" s="218" t="s">
        <v>1534</v>
      </c>
      <c r="C1315" s="223">
        <v>1</v>
      </c>
      <c r="D1315" s="218" t="s">
        <v>1488</v>
      </c>
      <c r="E1315" s="240">
        <v>6</v>
      </c>
      <c r="F1315" s="230">
        <v>2837.57</v>
      </c>
      <c r="G1315" s="223">
        <v>1999</v>
      </c>
      <c r="H1315" s="223">
        <v>1</v>
      </c>
      <c r="I1315" s="223">
        <v>1</v>
      </c>
      <c r="J1315" s="223"/>
      <c r="K1315" s="228">
        <v>98265.049100000004</v>
      </c>
      <c r="L1315" s="241">
        <v>62</v>
      </c>
      <c r="M1315" s="229">
        <v>37340.718659999999</v>
      </c>
      <c r="N1315" s="230">
        <v>34.630000000000003</v>
      </c>
      <c r="O1315" s="231">
        <v>37340</v>
      </c>
      <c r="P1315" s="314"/>
      <c r="Q1315" s="276">
        <f t="shared" si="45"/>
        <v>2837.57</v>
      </c>
      <c r="R1315" s="275">
        <f>(SUMIFS('Dec 31 2018 OFFS'!$AG:$AG,'Dec 31 2018 OFFS'!$AI:$AI,'T1 2019 Pipeline Data Lagasco'!$A1315,'Dec 31 2018 OFFS'!$U:$U,'T1 2019 Pipeline Data Lagasco'!$E1315,'Dec 31 2018 OFFS'!$AK:$AK,'T1 2019 Pipeline Data Lagasco'!$Q1315,'Dec 31 2018 OFFS'!$W:$W,'T1 2019 Pipeline Data Lagasco'!$G1315))/(MAX(COUNTIFS('Dec 31 2018 OFFS'!$AI:$AI,'T1 2019 Pipeline Data Lagasco'!$A1315,'Dec 31 2018 OFFS'!$U:$U,'T1 2019 Pipeline Data Lagasco'!$E1315,'Dec 31 2018 OFFS'!$AK:$AK,'T1 2019 Pipeline Data Lagasco'!$Q1315,'Dec 31 2018 OFFS'!$W:$W,'T1 2019 Pipeline Data Lagasco'!$G1315),1))</f>
        <v>37340</v>
      </c>
      <c r="S1315" s="275">
        <f t="shared" si="46"/>
        <v>0</v>
      </c>
      <c r="T1315" s="217"/>
    </row>
    <row r="1316" spans="1:20" ht="14.1" customHeight="1">
      <c r="A1316" s="224" t="s">
        <v>1533</v>
      </c>
      <c r="B1316" s="218" t="s">
        <v>1534</v>
      </c>
      <c r="C1316" s="223">
        <v>1</v>
      </c>
      <c r="D1316" s="218" t="s">
        <v>1488</v>
      </c>
      <c r="E1316" s="240">
        <v>6</v>
      </c>
      <c r="F1316" s="236">
        <v>60230.608489999999</v>
      </c>
      <c r="G1316" s="223">
        <v>1979</v>
      </c>
      <c r="H1316" s="223">
        <v>1</v>
      </c>
      <c r="I1316" s="246">
        <v>0</v>
      </c>
      <c r="J1316" s="223"/>
      <c r="K1316" s="239">
        <v>2085785.9720000001</v>
      </c>
      <c r="L1316" s="241">
        <v>80</v>
      </c>
      <c r="M1316" s="228">
        <v>417157.19439999998</v>
      </c>
      <c r="N1316" s="230">
        <v>34.630000000000003</v>
      </c>
      <c r="O1316" s="248">
        <f>417157*0</f>
        <v>0</v>
      </c>
      <c r="P1316" s="319" t="s">
        <v>1560</v>
      </c>
      <c r="Q1316" s="276">
        <f t="shared" si="45"/>
        <v>60230.61</v>
      </c>
      <c r="R1316" s="275">
        <f>(SUMIFS('Dec 31 2018 OFFS'!$AG:$AG,'Dec 31 2018 OFFS'!$AI:$AI,'T1 2019 Pipeline Data Lagasco'!$A1316,'Dec 31 2018 OFFS'!$U:$U,'T1 2019 Pipeline Data Lagasco'!$E1316,'Dec 31 2018 OFFS'!$AK:$AK,'T1 2019 Pipeline Data Lagasco'!$Q1316,'Dec 31 2018 OFFS'!$W:$W,'T1 2019 Pipeline Data Lagasco'!$G1316))/(MAX(COUNTIFS('Dec 31 2018 OFFS'!$AI:$AI,'T1 2019 Pipeline Data Lagasco'!$A1316,'Dec 31 2018 OFFS'!$U:$U,'T1 2019 Pipeline Data Lagasco'!$E1316,'Dec 31 2018 OFFS'!$AK:$AK,'T1 2019 Pipeline Data Lagasco'!$Q1316,'Dec 31 2018 OFFS'!$W:$W,'T1 2019 Pipeline Data Lagasco'!$G1316),1))</f>
        <v>0</v>
      </c>
      <c r="S1316" s="275">
        <f t="shared" si="46"/>
        <v>0</v>
      </c>
      <c r="T1316" s="278" t="e">
        <f>R1316/O1316</f>
        <v>#DIV/0!</v>
      </c>
    </row>
    <row r="1317" spans="1:20" ht="14.1" customHeight="1">
      <c r="A1317" s="224" t="s">
        <v>1535</v>
      </c>
      <c r="B1317" s="218" t="s">
        <v>1534</v>
      </c>
      <c r="C1317" s="223">
        <v>3</v>
      </c>
      <c r="D1317" s="218" t="s">
        <v>1493</v>
      </c>
      <c r="E1317" s="240">
        <v>4</v>
      </c>
      <c r="F1317" s="223">
        <v>4123</v>
      </c>
      <c r="G1317" s="223">
        <v>1994</v>
      </c>
      <c r="H1317" s="223">
        <v>1</v>
      </c>
      <c r="I1317" s="223">
        <v>1</v>
      </c>
      <c r="J1317" s="223"/>
      <c r="K1317" s="238">
        <v>147026.18</v>
      </c>
      <c r="L1317" s="241">
        <v>49</v>
      </c>
      <c r="M1317" s="228">
        <v>74983.351800000004</v>
      </c>
      <c r="N1317" s="230">
        <v>35.659999999999997</v>
      </c>
      <c r="O1317" s="231">
        <v>74983</v>
      </c>
      <c r="R1317" s="223"/>
      <c r="T1317" s="217"/>
    </row>
    <row r="1318" spans="1:20" ht="14.1" customHeight="1">
      <c r="A1318" s="224" t="s">
        <v>1535</v>
      </c>
      <c r="B1318" s="218" t="s">
        <v>1534</v>
      </c>
      <c r="C1318" s="223">
        <v>3</v>
      </c>
      <c r="D1318" s="218" t="s">
        <v>1493</v>
      </c>
      <c r="E1318" s="240">
        <v>6</v>
      </c>
      <c r="F1318" s="223">
        <v>4123</v>
      </c>
      <c r="G1318" s="223">
        <v>1999</v>
      </c>
      <c r="H1318" s="223">
        <v>1</v>
      </c>
      <c r="I1318" s="223">
        <v>1</v>
      </c>
      <c r="J1318" s="223"/>
      <c r="K1318" s="238">
        <v>189369.39</v>
      </c>
      <c r="L1318" s="241">
        <v>37</v>
      </c>
      <c r="M1318" s="228">
        <v>119302.7157</v>
      </c>
      <c r="N1318" s="230">
        <v>45.93</v>
      </c>
      <c r="O1318" s="231">
        <v>119302</v>
      </c>
      <c r="R1318" s="223"/>
      <c r="T1318" s="217"/>
    </row>
    <row r="1319" spans="1:20" ht="14.1" customHeight="1">
      <c r="A1319" s="224" t="s">
        <v>1535</v>
      </c>
      <c r="B1319" s="218" t="s">
        <v>1534</v>
      </c>
      <c r="C1319" s="223">
        <v>3</v>
      </c>
      <c r="D1319" s="218" t="s">
        <v>1493</v>
      </c>
      <c r="E1319" s="240">
        <v>6</v>
      </c>
      <c r="F1319" s="223">
        <v>4123</v>
      </c>
      <c r="G1319" s="223">
        <v>1979</v>
      </c>
      <c r="H1319" s="223">
        <v>1</v>
      </c>
      <c r="I1319" s="223">
        <v>1</v>
      </c>
      <c r="J1319" s="223"/>
      <c r="K1319" s="238">
        <v>189369.39</v>
      </c>
      <c r="L1319" s="241">
        <v>60</v>
      </c>
      <c r="M1319" s="239">
        <v>75747.755999999994</v>
      </c>
      <c r="N1319" s="230">
        <v>45.93</v>
      </c>
      <c r="O1319" s="231">
        <v>75747</v>
      </c>
      <c r="R1319" s="223"/>
      <c r="T1319" s="217"/>
    </row>
    <row r="1320" spans="1:20" ht="14.1" customHeight="1">
      <c r="A1320" s="224" t="s">
        <v>1535</v>
      </c>
      <c r="B1320" s="218" t="s">
        <v>1534</v>
      </c>
      <c r="C1320" s="223">
        <v>3</v>
      </c>
      <c r="D1320" s="218" t="s">
        <v>1493</v>
      </c>
      <c r="E1320" s="240">
        <v>6</v>
      </c>
      <c r="F1320" s="223">
        <v>4123</v>
      </c>
      <c r="G1320" s="223">
        <v>1995</v>
      </c>
      <c r="H1320" s="223">
        <v>1</v>
      </c>
      <c r="I1320" s="223">
        <v>1</v>
      </c>
      <c r="J1320" s="223"/>
      <c r="K1320" s="238">
        <v>189369.39</v>
      </c>
      <c r="L1320" s="241">
        <v>47</v>
      </c>
      <c r="M1320" s="228">
        <v>100365.7767</v>
      </c>
      <c r="N1320" s="230">
        <v>45.93</v>
      </c>
      <c r="O1320" s="231">
        <v>100365</v>
      </c>
      <c r="R1320" s="223"/>
      <c r="T1320" s="217"/>
    </row>
    <row r="1321" spans="1:20" ht="14.1" customHeight="1">
      <c r="A1321" s="224" t="s">
        <v>1536</v>
      </c>
      <c r="B1321" s="218" t="s">
        <v>1537</v>
      </c>
      <c r="C1321" s="223">
        <v>1</v>
      </c>
      <c r="D1321" s="218" t="s">
        <v>1488</v>
      </c>
      <c r="E1321" s="240">
        <v>3</v>
      </c>
      <c r="F1321" s="223">
        <v>3550</v>
      </c>
      <c r="G1321" s="223">
        <v>2001</v>
      </c>
      <c r="H1321" s="223">
        <v>1</v>
      </c>
      <c r="I1321" s="223">
        <v>1</v>
      </c>
      <c r="J1321" s="223"/>
      <c r="K1321" s="237">
        <v>83744.50</v>
      </c>
      <c r="L1321" s="241">
        <v>59</v>
      </c>
      <c r="M1321" s="239">
        <v>34335.245000000003</v>
      </c>
      <c r="N1321" s="230">
        <v>23.59</v>
      </c>
      <c r="O1321" s="231">
        <v>34335</v>
      </c>
      <c r="P1321" s="314"/>
      <c r="Q1321" s="276">
        <f t="shared" si="47" ref="Q1321:Q1342">ROUND(F1321,2)</f>
        <v>3550</v>
      </c>
      <c r="R1321" s="275">
        <f>(SUMIFS('Dec 31 2018 OFFS'!$AG:$AG,'Dec 31 2018 OFFS'!$AI:$AI,'T1 2019 Pipeline Data Lagasco'!$A1321,'Dec 31 2018 OFFS'!$U:$U,'T1 2019 Pipeline Data Lagasco'!$E1321,'Dec 31 2018 OFFS'!$AK:$AK,'T1 2019 Pipeline Data Lagasco'!$Q1321,'Dec 31 2018 OFFS'!$W:$W,'T1 2019 Pipeline Data Lagasco'!$G1321))/(MAX(COUNTIFS('Dec 31 2018 OFFS'!$AI:$AI,'T1 2019 Pipeline Data Lagasco'!$A1321,'Dec 31 2018 OFFS'!$U:$U,'T1 2019 Pipeline Data Lagasco'!$E1321,'Dec 31 2018 OFFS'!$AK:$AK,'T1 2019 Pipeline Data Lagasco'!$Q1321,'Dec 31 2018 OFFS'!$W:$W,'T1 2019 Pipeline Data Lagasco'!$G1321),1))</f>
        <v>34335</v>
      </c>
      <c r="S1321" s="275">
        <f t="shared" si="48" ref="S1321:S1342">O1321-R1321</f>
        <v>0</v>
      </c>
      <c r="T1321" s="278">
        <f>R1321/O1321</f>
        <v>1</v>
      </c>
    </row>
    <row r="1322" spans="1:20" ht="14.1" customHeight="1">
      <c r="A1322" s="224" t="s">
        <v>1536</v>
      </c>
      <c r="B1322" s="218" t="s">
        <v>1537</v>
      </c>
      <c r="C1322" s="223">
        <v>1</v>
      </c>
      <c r="D1322" s="218" t="s">
        <v>1488</v>
      </c>
      <c r="E1322" s="240">
        <v>3</v>
      </c>
      <c r="F1322" s="223">
        <v>5317</v>
      </c>
      <c r="G1322" s="223">
        <v>2003</v>
      </c>
      <c r="H1322" s="223">
        <v>1</v>
      </c>
      <c r="I1322" s="223">
        <v>0</v>
      </c>
      <c r="J1322" s="223"/>
      <c r="K1322" s="238">
        <v>125428.03</v>
      </c>
      <c r="L1322" s="241">
        <v>57</v>
      </c>
      <c r="M1322" s="228">
        <v>53934.052900000002</v>
      </c>
      <c r="N1322" s="230">
        <v>23.59</v>
      </c>
      <c r="O1322" s="231">
        <v>0</v>
      </c>
      <c r="P1322" s="314"/>
      <c r="Q1322" s="276">
        <f t="shared" si="47"/>
        <v>5317</v>
      </c>
      <c r="R1322" s="275">
        <f>(SUMIFS('Dec 31 2018 OFFS'!$AG:$AG,'Dec 31 2018 OFFS'!$AI:$AI,'T1 2019 Pipeline Data Lagasco'!$A1322,'Dec 31 2018 OFFS'!$U:$U,'T1 2019 Pipeline Data Lagasco'!$E1322,'Dec 31 2018 OFFS'!$AK:$AK,'T1 2019 Pipeline Data Lagasco'!$Q1322,'Dec 31 2018 OFFS'!$W:$W,'T1 2019 Pipeline Data Lagasco'!$G1322))/(MAX(COUNTIFS('Dec 31 2018 OFFS'!$AI:$AI,'T1 2019 Pipeline Data Lagasco'!$A1322,'Dec 31 2018 OFFS'!$U:$U,'T1 2019 Pipeline Data Lagasco'!$E1322,'Dec 31 2018 OFFS'!$AK:$AK,'T1 2019 Pipeline Data Lagasco'!$Q1322,'Dec 31 2018 OFFS'!$W:$W,'T1 2019 Pipeline Data Lagasco'!$G1322),1))</f>
        <v>0</v>
      </c>
      <c r="S1322" s="275">
        <f t="shared" si="48"/>
        <v>0</v>
      </c>
      <c r="T1322" s="217"/>
    </row>
    <row r="1323" spans="1:20" ht="14.1" customHeight="1">
      <c r="A1323" s="224" t="s">
        <v>1536</v>
      </c>
      <c r="B1323" s="218" t="s">
        <v>1537</v>
      </c>
      <c r="C1323" s="223">
        <v>1</v>
      </c>
      <c r="D1323" s="218" t="s">
        <v>1488</v>
      </c>
      <c r="E1323" s="240">
        <v>3</v>
      </c>
      <c r="F1323" s="223">
        <v>755</v>
      </c>
      <c r="G1323" s="223">
        <v>2003</v>
      </c>
      <c r="H1323" s="223">
        <v>1</v>
      </c>
      <c r="I1323" s="246">
        <v>0</v>
      </c>
      <c r="J1323" s="223"/>
      <c r="K1323" s="238">
        <v>17810.45</v>
      </c>
      <c r="L1323" s="241">
        <v>57</v>
      </c>
      <c r="M1323" s="228">
        <v>7658.4934999999996</v>
      </c>
      <c r="N1323" s="230">
        <v>23.59</v>
      </c>
      <c r="O1323" s="248">
        <v>0</v>
      </c>
      <c r="P1323" s="319" t="s">
        <v>1560</v>
      </c>
      <c r="Q1323" s="276">
        <f t="shared" si="47"/>
        <v>755</v>
      </c>
      <c r="R1323" s="275">
        <f>(SUMIFS('Dec 31 2018 OFFS'!$AG:$AG,'Dec 31 2018 OFFS'!$AI:$AI,'T1 2019 Pipeline Data Lagasco'!$A1323,'Dec 31 2018 OFFS'!$U:$U,'T1 2019 Pipeline Data Lagasco'!$E1323,'Dec 31 2018 OFFS'!$AK:$AK,'T1 2019 Pipeline Data Lagasco'!$Q1323,'Dec 31 2018 OFFS'!$W:$W,'T1 2019 Pipeline Data Lagasco'!$G1323))/(MAX(COUNTIFS('Dec 31 2018 OFFS'!$AI:$AI,'T1 2019 Pipeline Data Lagasco'!$A1323,'Dec 31 2018 OFFS'!$U:$U,'T1 2019 Pipeline Data Lagasco'!$E1323,'Dec 31 2018 OFFS'!$AK:$AK,'T1 2019 Pipeline Data Lagasco'!$Q1323,'Dec 31 2018 OFFS'!$W:$W,'T1 2019 Pipeline Data Lagasco'!$G1323),1))</f>
        <v>0</v>
      </c>
      <c r="S1323" s="275">
        <f t="shared" si="48"/>
        <v>0</v>
      </c>
      <c r="T1323" s="278" t="e">
        <f>R1323/O1323</f>
        <v>#DIV/0!</v>
      </c>
    </row>
    <row r="1324" spans="1:20" ht="14.1" customHeight="1">
      <c r="A1324" s="224" t="s">
        <v>1536</v>
      </c>
      <c r="B1324" s="218" t="s">
        <v>1537</v>
      </c>
      <c r="C1324" s="223">
        <v>1</v>
      </c>
      <c r="D1324" s="218" t="s">
        <v>1488</v>
      </c>
      <c r="E1324" s="240">
        <v>3</v>
      </c>
      <c r="F1324" s="223">
        <v>5128</v>
      </c>
      <c r="G1324" s="223">
        <v>2001</v>
      </c>
      <c r="H1324" s="223">
        <v>1</v>
      </c>
      <c r="I1324" s="223">
        <v>0</v>
      </c>
      <c r="J1324" s="223"/>
      <c r="K1324" s="238">
        <v>120969.52</v>
      </c>
      <c r="L1324" s="241">
        <v>59</v>
      </c>
      <c r="M1324" s="228">
        <v>49597.503199999999</v>
      </c>
      <c r="N1324" s="230">
        <v>23.59</v>
      </c>
      <c r="O1324" s="231">
        <v>0</v>
      </c>
      <c r="P1324" s="314"/>
      <c r="Q1324" s="276">
        <f t="shared" si="47"/>
        <v>5128</v>
      </c>
      <c r="R1324" s="275">
        <f>(SUMIFS('Dec 31 2018 OFFS'!$AG:$AG,'Dec 31 2018 OFFS'!$AI:$AI,'T1 2019 Pipeline Data Lagasco'!$A1324,'Dec 31 2018 OFFS'!$U:$U,'T1 2019 Pipeline Data Lagasco'!$E1324,'Dec 31 2018 OFFS'!$AK:$AK,'T1 2019 Pipeline Data Lagasco'!$Q1324,'Dec 31 2018 OFFS'!$W:$W,'T1 2019 Pipeline Data Lagasco'!$G1324))/(MAX(COUNTIFS('Dec 31 2018 OFFS'!$AI:$AI,'T1 2019 Pipeline Data Lagasco'!$A1324,'Dec 31 2018 OFFS'!$U:$U,'T1 2019 Pipeline Data Lagasco'!$E1324,'Dec 31 2018 OFFS'!$AK:$AK,'T1 2019 Pipeline Data Lagasco'!$Q1324,'Dec 31 2018 OFFS'!$W:$W,'T1 2019 Pipeline Data Lagasco'!$G1324),1))</f>
        <v>0</v>
      </c>
      <c r="S1324" s="275">
        <f t="shared" si="48"/>
        <v>0</v>
      </c>
      <c r="T1324" s="217"/>
    </row>
    <row r="1325" spans="1:20" ht="14.1" customHeight="1">
      <c r="A1325" s="224" t="s">
        <v>1536</v>
      </c>
      <c r="B1325" s="218" t="s">
        <v>1537</v>
      </c>
      <c r="C1325" s="223">
        <v>1</v>
      </c>
      <c r="D1325" s="218" t="s">
        <v>1488</v>
      </c>
      <c r="E1325" s="240">
        <v>3</v>
      </c>
      <c r="F1325" s="223">
        <v>1652</v>
      </c>
      <c r="G1325" s="223">
        <v>2001</v>
      </c>
      <c r="H1325" s="223">
        <v>1</v>
      </c>
      <c r="I1325" s="223">
        <v>0</v>
      </c>
      <c r="J1325" s="223"/>
      <c r="K1325" s="238">
        <v>38970.68</v>
      </c>
      <c r="L1325" s="241">
        <v>59</v>
      </c>
      <c r="M1325" s="228">
        <v>15977.978800000001</v>
      </c>
      <c r="N1325" s="230">
        <v>23.59</v>
      </c>
      <c r="O1325" s="231">
        <v>0</v>
      </c>
      <c r="P1325" s="314"/>
      <c r="Q1325" s="276">
        <f t="shared" si="47"/>
        <v>1652</v>
      </c>
      <c r="R1325" s="275">
        <f>(SUMIFS('Dec 31 2018 OFFS'!$AG:$AG,'Dec 31 2018 OFFS'!$AI:$AI,'T1 2019 Pipeline Data Lagasco'!$A1325,'Dec 31 2018 OFFS'!$U:$U,'T1 2019 Pipeline Data Lagasco'!$E1325,'Dec 31 2018 OFFS'!$AK:$AK,'T1 2019 Pipeline Data Lagasco'!$Q1325,'Dec 31 2018 OFFS'!$W:$W,'T1 2019 Pipeline Data Lagasco'!$G1325))/(MAX(COUNTIFS('Dec 31 2018 OFFS'!$AI:$AI,'T1 2019 Pipeline Data Lagasco'!$A1325,'Dec 31 2018 OFFS'!$U:$U,'T1 2019 Pipeline Data Lagasco'!$E1325,'Dec 31 2018 OFFS'!$AK:$AK,'T1 2019 Pipeline Data Lagasco'!$Q1325,'Dec 31 2018 OFFS'!$W:$W,'T1 2019 Pipeline Data Lagasco'!$G1325),1))</f>
        <v>0</v>
      </c>
      <c r="S1325" s="275">
        <f t="shared" si="48"/>
        <v>0</v>
      </c>
      <c r="T1325" s="217"/>
    </row>
    <row r="1326" spans="1:20" ht="14.1" customHeight="1">
      <c r="A1326" s="224" t="s">
        <v>1536</v>
      </c>
      <c r="B1326" s="218" t="s">
        <v>1537</v>
      </c>
      <c r="C1326" s="223">
        <v>1</v>
      </c>
      <c r="D1326" s="218" t="s">
        <v>1488</v>
      </c>
      <c r="E1326" s="240">
        <v>3</v>
      </c>
      <c r="F1326" s="226">
        <v>2395.3739460000002</v>
      </c>
      <c r="G1326" s="223">
        <v>1984</v>
      </c>
      <c r="H1326" s="223">
        <v>1</v>
      </c>
      <c r="I1326" s="223">
        <v>0</v>
      </c>
      <c r="J1326" s="223"/>
      <c r="K1326" s="228">
        <v>56506.871400000004</v>
      </c>
      <c r="L1326" s="241">
        <v>80</v>
      </c>
      <c r="M1326" s="229">
        <v>11301.37428</v>
      </c>
      <c r="N1326" s="230">
        <v>23.59</v>
      </c>
      <c r="O1326" s="231">
        <v>0</v>
      </c>
      <c r="P1326" s="314"/>
      <c r="Q1326" s="276">
        <f t="shared" si="47"/>
        <v>2395.37</v>
      </c>
      <c r="R1326" s="275">
        <f>(SUMIFS('Dec 31 2018 OFFS'!$AG:$AG,'Dec 31 2018 OFFS'!$AI:$AI,'T1 2019 Pipeline Data Lagasco'!$A1326,'Dec 31 2018 OFFS'!$U:$U,'T1 2019 Pipeline Data Lagasco'!$E1326,'Dec 31 2018 OFFS'!$AK:$AK,'T1 2019 Pipeline Data Lagasco'!$Q1326,'Dec 31 2018 OFFS'!$W:$W,'T1 2019 Pipeline Data Lagasco'!$G1326))/(MAX(COUNTIFS('Dec 31 2018 OFFS'!$AI:$AI,'T1 2019 Pipeline Data Lagasco'!$A1326,'Dec 31 2018 OFFS'!$U:$U,'T1 2019 Pipeline Data Lagasco'!$E1326,'Dec 31 2018 OFFS'!$AK:$AK,'T1 2019 Pipeline Data Lagasco'!$Q1326,'Dec 31 2018 OFFS'!$W:$W,'T1 2019 Pipeline Data Lagasco'!$G1326),1))</f>
        <v>0</v>
      </c>
      <c r="S1326" s="275">
        <f t="shared" si="48"/>
        <v>0</v>
      </c>
      <c r="T1326" s="217"/>
    </row>
    <row r="1327" spans="1:20" ht="14.1" customHeight="1">
      <c r="A1327" s="224" t="s">
        <v>1536</v>
      </c>
      <c r="B1327" s="218" t="s">
        <v>1537</v>
      </c>
      <c r="C1327" s="223">
        <v>1</v>
      </c>
      <c r="D1327" s="218" t="s">
        <v>1488</v>
      </c>
      <c r="E1327" s="240">
        <v>3</v>
      </c>
      <c r="F1327" s="223">
        <v>6941</v>
      </c>
      <c r="G1327" s="223">
        <v>2002</v>
      </c>
      <c r="H1327" s="223">
        <v>1</v>
      </c>
      <c r="I1327" s="223">
        <v>1</v>
      </c>
      <c r="J1327" s="223"/>
      <c r="K1327" s="238">
        <v>163738.19</v>
      </c>
      <c r="L1327" s="241">
        <v>57</v>
      </c>
      <c r="M1327" s="228">
        <v>70407.421700000006</v>
      </c>
      <c r="N1327" s="230">
        <v>23.59</v>
      </c>
      <c r="O1327" s="231">
        <v>70407</v>
      </c>
      <c r="P1327" s="314"/>
      <c r="Q1327" s="276">
        <f t="shared" si="47"/>
        <v>6941</v>
      </c>
      <c r="R1327" s="275">
        <f>(SUMIFS('Dec 31 2018 OFFS'!$AG:$AG,'Dec 31 2018 OFFS'!$AI:$AI,'T1 2019 Pipeline Data Lagasco'!$A1327,'Dec 31 2018 OFFS'!$U:$U,'T1 2019 Pipeline Data Lagasco'!$E1327,'Dec 31 2018 OFFS'!$AK:$AK,'T1 2019 Pipeline Data Lagasco'!$Q1327,'Dec 31 2018 OFFS'!$W:$W,'T1 2019 Pipeline Data Lagasco'!$G1327))/(MAX(COUNTIFS('Dec 31 2018 OFFS'!$AI:$AI,'T1 2019 Pipeline Data Lagasco'!$A1327,'Dec 31 2018 OFFS'!$U:$U,'T1 2019 Pipeline Data Lagasco'!$E1327,'Dec 31 2018 OFFS'!$AK:$AK,'T1 2019 Pipeline Data Lagasco'!$Q1327,'Dec 31 2018 OFFS'!$W:$W,'T1 2019 Pipeline Data Lagasco'!$G1327),1))</f>
        <v>70407</v>
      </c>
      <c r="S1327" s="275">
        <f t="shared" si="48"/>
        <v>0</v>
      </c>
      <c r="T1327" s="217"/>
    </row>
    <row r="1328" spans="1:20" ht="14.1" customHeight="1">
      <c r="A1328" s="224" t="s">
        <v>1536</v>
      </c>
      <c r="B1328" s="218" t="s">
        <v>1537</v>
      </c>
      <c r="C1328" s="223">
        <v>1</v>
      </c>
      <c r="D1328" s="218" t="s">
        <v>1488</v>
      </c>
      <c r="E1328" s="240">
        <v>3</v>
      </c>
      <c r="F1328" s="223">
        <v>2879</v>
      </c>
      <c r="G1328" s="223">
        <v>2000</v>
      </c>
      <c r="H1328" s="223">
        <v>1</v>
      </c>
      <c r="I1328" s="223">
        <v>0</v>
      </c>
      <c r="J1328" s="223"/>
      <c r="K1328" s="238">
        <v>67915.61</v>
      </c>
      <c r="L1328" s="241">
        <v>61</v>
      </c>
      <c r="M1328" s="228">
        <v>26487.087899999999</v>
      </c>
      <c r="N1328" s="230">
        <v>23.59</v>
      </c>
      <c r="O1328" s="231">
        <v>0</v>
      </c>
      <c r="P1328" s="314"/>
      <c r="Q1328" s="276">
        <f t="shared" si="47"/>
        <v>2879</v>
      </c>
      <c r="R1328" s="275">
        <f>(SUMIFS('Dec 31 2018 OFFS'!$AG:$AG,'Dec 31 2018 OFFS'!$AI:$AI,'T1 2019 Pipeline Data Lagasco'!$A1328,'Dec 31 2018 OFFS'!$U:$U,'T1 2019 Pipeline Data Lagasco'!$E1328,'Dec 31 2018 OFFS'!$AK:$AK,'T1 2019 Pipeline Data Lagasco'!$Q1328,'Dec 31 2018 OFFS'!$W:$W,'T1 2019 Pipeline Data Lagasco'!$G1328))/(MAX(COUNTIFS('Dec 31 2018 OFFS'!$AI:$AI,'T1 2019 Pipeline Data Lagasco'!$A1328,'Dec 31 2018 OFFS'!$U:$U,'T1 2019 Pipeline Data Lagasco'!$E1328,'Dec 31 2018 OFFS'!$AK:$AK,'T1 2019 Pipeline Data Lagasco'!$Q1328,'Dec 31 2018 OFFS'!$W:$W,'T1 2019 Pipeline Data Lagasco'!$G1328),1))</f>
        <v>0</v>
      </c>
      <c r="S1328" s="275">
        <f t="shared" si="48"/>
        <v>0</v>
      </c>
      <c r="T1328" s="217"/>
    </row>
    <row r="1329" spans="1:19" s="217" customFormat="1" ht="14.1" customHeight="1">
      <c r="A1329" s="224" t="s">
        <v>1536</v>
      </c>
      <c r="B1329" s="218" t="s">
        <v>1537</v>
      </c>
      <c r="C1329" s="223">
        <v>1</v>
      </c>
      <c r="D1329" s="218" t="s">
        <v>1488</v>
      </c>
      <c r="E1329" s="240">
        <v>3</v>
      </c>
      <c r="F1329" s="223">
        <v>1567</v>
      </c>
      <c r="G1329" s="223">
        <v>2008</v>
      </c>
      <c r="H1329" s="223">
        <v>1</v>
      </c>
      <c r="I1329" s="223">
        <v>0</v>
      </c>
      <c r="J1329" s="223"/>
      <c r="K1329" s="238">
        <v>36965.53</v>
      </c>
      <c r="L1329" s="241">
        <v>49</v>
      </c>
      <c r="M1329" s="228">
        <v>18852.420300000002</v>
      </c>
      <c r="N1329" s="230">
        <v>23.59</v>
      </c>
      <c r="O1329" s="231">
        <v>0</v>
      </c>
      <c r="P1329" s="314"/>
      <c r="Q1329" s="276">
        <f t="shared" si="47"/>
        <v>1567</v>
      </c>
      <c r="R1329" s="275">
        <f>(SUMIFS('Dec 31 2018 OFFS'!$AG:$AG,'Dec 31 2018 OFFS'!$AI:$AI,'T1 2019 Pipeline Data Lagasco'!$A1329,'Dec 31 2018 OFFS'!$U:$U,'T1 2019 Pipeline Data Lagasco'!$E1329,'Dec 31 2018 OFFS'!$AK:$AK,'T1 2019 Pipeline Data Lagasco'!$Q1329,'Dec 31 2018 OFFS'!$W:$W,'T1 2019 Pipeline Data Lagasco'!$G1329))/(MAX(COUNTIFS('Dec 31 2018 OFFS'!$AI:$AI,'T1 2019 Pipeline Data Lagasco'!$A1329,'Dec 31 2018 OFFS'!$U:$U,'T1 2019 Pipeline Data Lagasco'!$E1329,'Dec 31 2018 OFFS'!$AK:$AK,'T1 2019 Pipeline Data Lagasco'!$Q1329,'Dec 31 2018 OFFS'!$W:$W,'T1 2019 Pipeline Data Lagasco'!$G1329),1))</f>
        <v>0</v>
      </c>
      <c r="S1329" s="275">
        <f t="shared" si="48"/>
        <v>0</v>
      </c>
    </row>
    <row r="1330" spans="1:19" s="217" customFormat="1" ht="14.1" customHeight="1">
      <c r="A1330" s="224" t="s">
        <v>1536</v>
      </c>
      <c r="B1330" s="218" t="s">
        <v>1537</v>
      </c>
      <c r="C1330" s="223">
        <v>1</v>
      </c>
      <c r="D1330" s="218" t="s">
        <v>1488</v>
      </c>
      <c r="E1330" s="240">
        <v>4</v>
      </c>
      <c r="F1330" s="223">
        <v>4189</v>
      </c>
      <c r="G1330" s="223">
        <v>1984</v>
      </c>
      <c r="H1330" s="223">
        <v>1</v>
      </c>
      <c r="I1330" s="223">
        <v>0</v>
      </c>
      <c r="J1330" s="223"/>
      <c r="K1330" s="238">
        <v>110799.05</v>
      </c>
      <c r="L1330" s="241">
        <v>80</v>
      </c>
      <c r="M1330" s="238">
        <v>22159.81</v>
      </c>
      <c r="N1330" s="230">
        <v>26.45</v>
      </c>
      <c r="O1330" s="231">
        <v>0</v>
      </c>
      <c r="P1330" s="314"/>
      <c r="Q1330" s="276">
        <f t="shared" si="47"/>
        <v>4189</v>
      </c>
      <c r="R1330" s="275">
        <f>(SUMIFS('Dec 31 2018 OFFS'!$AG:$AG,'Dec 31 2018 OFFS'!$AI:$AI,'T1 2019 Pipeline Data Lagasco'!$A1330,'Dec 31 2018 OFFS'!$U:$U,'T1 2019 Pipeline Data Lagasco'!$E1330,'Dec 31 2018 OFFS'!$AK:$AK,'T1 2019 Pipeline Data Lagasco'!$Q1330,'Dec 31 2018 OFFS'!$W:$W,'T1 2019 Pipeline Data Lagasco'!$G1330))/(MAX(COUNTIFS('Dec 31 2018 OFFS'!$AI:$AI,'T1 2019 Pipeline Data Lagasco'!$A1330,'Dec 31 2018 OFFS'!$U:$U,'T1 2019 Pipeline Data Lagasco'!$E1330,'Dec 31 2018 OFFS'!$AK:$AK,'T1 2019 Pipeline Data Lagasco'!$Q1330,'Dec 31 2018 OFFS'!$W:$W,'T1 2019 Pipeline Data Lagasco'!$G1330),1))</f>
        <v>0</v>
      </c>
      <c r="S1330" s="275">
        <f t="shared" si="48"/>
        <v>0</v>
      </c>
    </row>
    <row r="1331" spans="1:19" s="217" customFormat="1" ht="15" customHeight="1">
      <c r="A1331" s="224" t="s">
        <v>1536</v>
      </c>
      <c r="B1331" s="218" t="s">
        <v>1537</v>
      </c>
      <c r="C1331" s="223">
        <v>1</v>
      </c>
      <c r="D1331" s="218" t="s">
        <v>1488</v>
      </c>
      <c r="E1331" s="240">
        <v>4</v>
      </c>
      <c r="F1331" s="236">
        <v>13698.982540000001</v>
      </c>
      <c r="G1331" s="223">
        <v>1984</v>
      </c>
      <c r="H1331" s="223">
        <v>1</v>
      </c>
      <c r="I1331" s="223">
        <v>1</v>
      </c>
      <c r="J1331" s="223"/>
      <c r="K1331" s="228">
        <v>362338.0883</v>
      </c>
      <c r="L1331" s="241">
        <v>80</v>
      </c>
      <c r="M1331" s="229">
        <v>72467.61765</v>
      </c>
      <c r="N1331" s="230">
        <v>26.45</v>
      </c>
      <c r="O1331" s="231">
        <v>72467</v>
      </c>
      <c r="P1331" s="314"/>
      <c r="Q1331" s="276">
        <f t="shared" si="47"/>
        <v>13698.98</v>
      </c>
      <c r="R1331" s="275">
        <f>(SUMIFS('Dec 31 2018 OFFS'!$AG:$AG,'Dec 31 2018 OFFS'!$AI:$AI,'T1 2019 Pipeline Data Lagasco'!$A1331,'Dec 31 2018 OFFS'!$U:$U,'T1 2019 Pipeline Data Lagasco'!$E1331,'Dec 31 2018 OFFS'!$AK:$AK,'T1 2019 Pipeline Data Lagasco'!$Q1331,'Dec 31 2018 OFFS'!$W:$W,'T1 2019 Pipeline Data Lagasco'!$G1331))/(MAX(COUNTIFS('Dec 31 2018 OFFS'!$AI:$AI,'T1 2019 Pipeline Data Lagasco'!$A1331,'Dec 31 2018 OFFS'!$U:$U,'T1 2019 Pipeline Data Lagasco'!$E1331,'Dec 31 2018 OFFS'!$AK:$AK,'T1 2019 Pipeline Data Lagasco'!$Q1331,'Dec 31 2018 OFFS'!$W:$W,'T1 2019 Pipeline Data Lagasco'!$G1331),1))</f>
        <v>72467</v>
      </c>
      <c r="S1331" s="275">
        <f t="shared" si="48"/>
        <v>0</v>
      </c>
    </row>
    <row r="1332" spans="1:19" s="217" customFormat="1" ht="15" customHeight="1">
      <c r="A1332" s="224" t="s">
        <v>1536</v>
      </c>
      <c r="B1332" s="218" t="s">
        <v>1537</v>
      </c>
      <c r="C1332" s="223">
        <v>1</v>
      </c>
      <c r="D1332" s="218" t="s">
        <v>1488</v>
      </c>
      <c r="E1332" s="240">
        <v>4</v>
      </c>
      <c r="F1332" s="226">
        <v>4651.902752</v>
      </c>
      <c r="G1332" s="223">
        <v>1984</v>
      </c>
      <c r="H1332" s="223">
        <v>1</v>
      </c>
      <c r="I1332" s="223">
        <v>1</v>
      </c>
      <c r="J1332" s="223"/>
      <c r="K1332" s="228">
        <v>123042.8278</v>
      </c>
      <c r="L1332" s="241">
        <v>80</v>
      </c>
      <c r="M1332" s="229">
        <v>24608.565559999999</v>
      </c>
      <c r="N1332" s="230">
        <v>26.45</v>
      </c>
      <c r="O1332" s="231">
        <v>24608</v>
      </c>
      <c r="P1332" s="314"/>
      <c r="Q1332" s="276">
        <f t="shared" si="47"/>
        <v>4651.8999999999996</v>
      </c>
      <c r="R1332" s="275">
        <f>(SUMIFS('Dec 31 2018 OFFS'!$AG:$AG,'Dec 31 2018 OFFS'!$AI:$AI,'T1 2019 Pipeline Data Lagasco'!$A1332,'Dec 31 2018 OFFS'!$U:$U,'T1 2019 Pipeline Data Lagasco'!$E1332,'Dec 31 2018 OFFS'!$AK:$AK,'T1 2019 Pipeline Data Lagasco'!$Q1332,'Dec 31 2018 OFFS'!$W:$W,'T1 2019 Pipeline Data Lagasco'!$G1332))/(MAX(COUNTIFS('Dec 31 2018 OFFS'!$AI:$AI,'T1 2019 Pipeline Data Lagasco'!$A1332,'Dec 31 2018 OFFS'!$U:$U,'T1 2019 Pipeline Data Lagasco'!$E1332,'Dec 31 2018 OFFS'!$AK:$AK,'T1 2019 Pipeline Data Lagasco'!$Q1332,'Dec 31 2018 OFFS'!$W:$W,'T1 2019 Pipeline Data Lagasco'!$G1332),1))</f>
        <v>24608</v>
      </c>
      <c r="S1332" s="275">
        <f t="shared" si="48"/>
        <v>0</v>
      </c>
    </row>
    <row r="1333" spans="1:19" s="217" customFormat="1" ht="14.1" customHeight="1">
      <c r="A1333" s="224" t="s">
        <v>1536</v>
      </c>
      <c r="B1333" s="218" t="s">
        <v>1537</v>
      </c>
      <c r="C1333" s="223">
        <v>1</v>
      </c>
      <c r="D1333" s="218" t="s">
        <v>1488</v>
      </c>
      <c r="E1333" s="240">
        <v>4</v>
      </c>
      <c r="F1333" s="236">
        <v>10673.75297</v>
      </c>
      <c r="G1333" s="223">
        <v>1984</v>
      </c>
      <c r="H1333" s="223">
        <v>1</v>
      </c>
      <c r="I1333" s="223">
        <v>1</v>
      </c>
      <c r="J1333" s="223"/>
      <c r="K1333" s="228">
        <v>282320.76610000001</v>
      </c>
      <c r="L1333" s="241">
        <v>80</v>
      </c>
      <c r="M1333" s="229">
        <v>56464.15322</v>
      </c>
      <c r="N1333" s="230">
        <v>26.45</v>
      </c>
      <c r="O1333" s="231">
        <v>56464</v>
      </c>
      <c r="P1333" s="314"/>
      <c r="Q1333" s="276">
        <f t="shared" si="47"/>
        <v>10673.75</v>
      </c>
      <c r="R1333" s="275">
        <f>(SUMIFS('Dec 31 2018 OFFS'!$AG:$AG,'Dec 31 2018 OFFS'!$AI:$AI,'T1 2019 Pipeline Data Lagasco'!$A1333,'Dec 31 2018 OFFS'!$U:$U,'T1 2019 Pipeline Data Lagasco'!$E1333,'Dec 31 2018 OFFS'!$AK:$AK,'T1 2019 Pipeline Data Lagasco'!$Q1333,'Dec 31 2018 OFFS'!$W:$W,'T1 2019 Pipeline Data Lagasco'!$G1333))/(MAX(COUNTIFS('Dec 31 2018 OFFS'!$AI:$AI,'T1 2019 Pipeline Data Lagasco'!$A1333,'Dec 31 2018 OFFS'!$U:$U,'T1 2019 Pipeline Data Lagasco'!$E1333,'Dec 31 2018 OFFS'!$AK:$AK,'T1 2019 Pipeline Data Lagasco'!$Q1333,'Dec 31 2018 OFFS'!$W:$W,'T1 2019 Pipeline Data Lagasco'!$G1333),1))</f>
        <v>56464</v>
      </c>
      <c r="S1333" s="275">
        <f t="shared" si="48"/>
        <v>0</v>
      </c>
    </row>
    <row r="1334" spans="1:19" s="217" customFormat="1" ht="14.1" customHeight="1">
      <c r="A1334" s="224" t="s">
        <v>1536</v>
      </c>
      <c r="B1334" s="218" t="s">
        <v>1537</v>
      </c>
      <c r="C1334" s="223">
        <v>1</v>
      </c>
      <c r="D1334" s="218" t="s">
        <v>1488</v>
      </c>
      <c r="E1334" s="240">
        <v>4</v>
      </c>
      <c r="F1334" s="223">
        <v>1680</v>
      </c>
      <c r="G1334" s="223">
        <v>1994</v>
      </c>
      <c r="H1334" s="223">
        <v>1</v>
      </c>
      <c r="I1334" s="223">
        <v>1</v>
      </c>
      <c r="J1334" s="223"/>
      <c r="K1334" s="240">
        <v>44436</v>
      </c>
      <c r="L1334" s="241">
        <v>68</v>
      </c>
      <c r="M1334" s="238">
        <v>14219.52</v>
      </c>
      <c r="N1334" s="230">
        <v>26.45</v>
      </c>
      <c r="O1334" s="231">
        <v>14219</v>
      </c>
      <c r="P1334" s="314"/>
      <c r="Q1334" s="276">
        <f t="shared" si="47"/>
        <v>1680</v>
      </c>
      <c r="R1334" s="275">
        <f>(SUMIFS('Dec 31 2018 OFFS'!$AG:$AG,'Dec 31 2018 OFFS'!$AI:$AI,'T1 2019 Pipeline Data Lagasco'!$A1334,'Dec 31 2018 OFFS'!$U:$U,'T1 2019 Pipeline Data Lagasco'!$E1334,'Dec 31 2018 OFFS'!$AK:$AK,'T1 2019 Pipeline Data Lagasco'!$Q1334,'Dec 31 2018 OFFS'!$W:$W,'T1 2019 Pipeline Data Lagasco'!$G1334))/(MAX(COUNTIFS('Dec 31 2018 OFFS'!$AI:$AI,'T1 2019 Pipeline Data Lagasco'!$A1334,'Dec 31 2018 OFFS'!$U:$U,'T1 2019 Pipeline Data Lagasco'!$E1334,'Dec 31 2018 OFFS'!$AK:$AK,'T1 2019 Pipeline Data Lagasco'!$Q1334,'Dec 31 2018 OFFS'!$W:$W,'T1 2019 Pipeline Data Lagasco'!$G1334),1))</f>
        <v>14219</v>
      </c>
      <c r="S1334" s="275">
        <f t="shared" si="48"/>
        <v>0</v>
      </c>
    </row>
    <row r="1335" spans="1:19" s="217" customFormat="1" ht="14.1" customHeight="1">
      <c r="A1335" s="224" t="s">
        <v>1536</v>
      </c>
      <c r="B1335" s="218" t="s">
        <v>1537</v>
      </c>
      <c r="C1335" s="223">
        <v>1</v>
      </c>
      <c r="D1335" s="218" t="s">
        <v>1488</v>
      </c>
      <c r="E1335" s="240">
        <v>4</v>
      </c>
      <c r="F1335" s="223">
        <v>5130</v>
      </c>
      <c r="G1335" s="223">
        <v>1994</v>
      </c>
      <c r="H1335" s="223">
        <v>1</v>
      </c>
      <c r="I1335" s="223">
        <v>1</v>
      </c>
      <c r="J1335" s="223"/>
      <c r="K1335" s="237">
        <v>135688.50</v>
      </c>
      <c r="L1335" s="241">
        <v>68</v>
      </c>
      <c r="M1335" s="238">
        <v>43420.32</v>
      </c>
      <c r="N1335" s="230">
        <v>26.45</v>
      </c>
      <c r="O1335" s="231">
        <v>43420</v>
      </c>
      <c r="P1335" s="314"/>
      <c r="Q1335" s="276">
        <f t="shared" si="47"/>
        <v>5130</v>
      </c>
      <c r="R1335" s="275">
        <f>(SUMIFS('Dec 31 2018 OFFS'!$AG:$AG,'Dec 31 2018 OFFS'!$AI:$AI,'T1 2019 Pipeline Data Lagasco'!$A1335,'Dec 31 2018 OFFS'!$U:$U,'T1 2019 Pipeline Data Lagasco'!$E1335,'Dec 31 2018 OFFS'!$AK:$AK,'T1 2019 Pipeline Data Lagasco'!$Q1335,'Dec 31 2018 OFFS'!$W:$W,'T1 2019 Pipeline Data Lagasco'!$G1335))/(MAX(COUNTIFS('Dec 31 2018 OFFS'!$AI:$AI,'T1 2019 Pipeline Data Lagasco'!$A1335,'Dec 31 2018 OFFS'!$U:$U,'T1 2019 Pipeline Data Lagasco'!$E1335,'Dec 31 2018 OFFS'!$AK:$AK,'T1 2019 Pipeline Data Lagasco'!$Q1335,'Dec 31 2018 OFFS'!$W:$W,'T1 2019 Pipeline Data Lagasco'!$G1335),1))</f>
        <v>43420</v>
      </c>
      <c r="S1335" s="275">
        <f t="shared" si="48"/>
        <v>0</v>
      </c>
    </row>
    <row r="1336" spans="1:19" s="217" customFormat="1" ht="14.1" customHeight="1">
      <c r="A1336" s="224" t="s">
        <v>1536</v>
      </c>
      <c r="B1336" s="218" t="s">
        <v>1537</v>
      </c>
      <c r="C1336" s="223">
        <v>1</v>
      </c>
      <c r="D1336" s="218" t="s">
        <v>1488</v>
      </c>
      <c r="E1336" s="240">
        <v>4</v>
      </c>
      <c r="F1336" s="235">
        <v>22029.067599999998</v>
      </c>
      <c r="G1336" s="223">
        <v>1984</v>
      </c>
      <c r="H1336" s="223">
        <v>1</v>
      </c>
      <c r="I1336" s="223">
        <v>0</v>
      </c>
      <c r="J1336" s="223"/>
      <c r="K1336" s="228">
        <v>582668.83810000005</v>
      </c>
      <c r="L1336" s="241">
        <v>80</v>
      </c>
      <c r="M1336" s="228">
        <v>116533.76760000001</v>
      </c>
      <c r="N1336" s="230">
        <v>26.45</v>
      </c>
      <c r="O1336" s="231">
        <v>0</v>
      </c>
      <c r="P1336" s="314"/>
      <c r="Q1336" s="276">
        <f t="shared" si="47"/>
        <v>22029.07</v>
      </c>
      <c r="R1336" s="275">
        <f>(SUMIFS('Dec 31 2018 OFFS'!$AG:$AG,'Dec 31 2018 OFFS'!$AI:$AI,'T1 2019 Pipeline Data Lagasco'!$A1336,'Dec 31 2018 OFFS'!$U:$U,'T1 2019 Pipeline Data Lagasco'!$E1336,'Dec 31 2018 OFFS'!$AK:$AK,'T1 2019 Pipeline Data Lagasco'!$Q1336,'Dec 31 2018 OFFS'!$W:$W,'T1 2019 Pipeline Data Lagasco'!$G1336))/(MAX(COUNTIFS('Dec 31 2018 OFFS'!$AI:$AI,'T1 2019 Pipeline Data Lagasco'!$A1336,'Dec 31 2018 OFFS'!$U:$U,'T1 2019 Pipeline Data Lagasco'!$E1336,'Dec 31 2018 OFFS'!$AK:$AK,'T1 2019 Pipeline Data Lagasco'!$Q1336,'Dec 31 2018 OFFS'!$W:$W,'T1 2019 Pipeline Data Lagasco'!$G1336),1))</f>
        <v>0</v>
      </c>
      <c r="S1336" s="275">
        <f t="shared" si="48"/>
        <v>0</v>
      </c>
    </row>
    <row r="1337" spans="1:19" s="217" customFormat="1" ht="14.1" customHeight="1">
      <c r="A1337" s="224" t="s">
        <v>1536</v>
      </c>
      <c r="B1337" s="218" t="s">
        <v>1537</v>
      </c>
      <c r="C1337" s="223">
        <v>1</v>
      </c>
      <c r="D1337" s="218" t="s">
        <v>1488</v>
      </c>
      <c r="E1337" s="240">
        <v>6</v>
      </c>
      <c r="F1337" s="242">
        <v>1731.10</v>
      </c>
      <c r="G1337" s="223">
        <v>1999</v>
      </c>
      <c r="H1337" s="223">
        <v>1</v>
      </c>
      <c r="I1337" s="223">
        <v>1</v>
      </c>
      <c r="J1337" s="223"/>
      <c r="K1337" s="239">
        <v>59947.993000000002</v>
      </c>
      <c r="L1337" s="241">
        <v>62</v>
      </c>
      <c r="M1337" s="229">
        <v>22780.23734</v>
      </c>
      <c r="N1337" s="230">
        <v>34.630000000000003</v>
      </c>
      <c r="O1337" s="231">
        <v>22780</v>
      </c>
      <c r="P1337" s="314"/>
      <c r="Q1337" s="276">
        <f t="shared" si="47"/>
        <v>1731.10</v>
      </c>
      <c r="R1337" s="275">
        <f>(SUMIFS('Dec 31 2018 OFFS'!$AG:$AG,'Dec 31 2018 OFFS'!$AI:$AI,'T1 2019 Pipeline Data Lagasco'!$A1337,'Dec 31 2018 OFFS'!$U:$U,'T1 2019 Pipeline Data Lagasco'!$E1337,'Dec 31 2018 OFFS'!$AK:$AK,'T1 2019 Pipeline Data Lagasco'!$Q1337,'Dec 31 2018 OFFS'!$W:$W,'T1 2019 Pipeline Data Lagasco'!$G1337))/(MAX(COUNTIFS('Dec 31 2018 OFFS'!$AI:$AI,'T1 2019 Pipeline Data Lagasco'!$A1337,'Dec 31 2018 OFFS'!$U:$U,'T1 2019 Pipeline Data Lagasco'!$E1337,'Dec 31 2018 OFFS'!$AK:$AK,'T1 2019 Pipeline Data Lagasco'!$Q1337,'Dec 31 2018 OFFS'!$W:$W,'T1 2019 Pipeline Data Lagasco'!$G1337),1))</f>
        <v>22780</v>
      </c>
      <c r="S1337" s="275">
        <f t="shared" si="48"/>
        <v>0</v>
      </c>
    </row>
    <row r="1338" spans="1:19" s="217" customFormat="1" ht="14.1" customHeight="1">
      <c r="A1338" s="224" t="s">
        <v>1536</v>
      </c>
      <c r="B1338" s="218" t="s">
        <v>1537</v>
      </c>
      <c r="C1338" s="223">
        <v>1</v>
      </c>
      <c r="D1338" s="218" t="s">
        <v>1488</v>
      </c>
      <c r="E1338" s="240">
        <v>6</v>
      </c>
      <c r="F1338" s="230">
        <v>11958.33</v>
      </c>
      <c r="G1338" s="223">
        <v>1999</v>
      </c>
      <c r="H1338" s="223">
        <v>1</v>
      </c>
      <c r="I1338" s="223">
        <v>1</v>
      </c>
      <c r="J1338" s="223"/>
      <c r="K1338" s="228">
        <v>414116.96789999999</v>
      </c>
      <c r="L1338" s="241">
        <v>62</v>
      </c>
      <c r="M1338" s="228">
        <v>157364.44779999999</v>
      </c>
      <c r="N1338" s="230">
        <v>34.630000000000003</v>
      </c>
      <c r="O1338" s="231">
        <v>157364</v>
      </c>
      <c r="P1338" s="314"/>
      <c r="Q1338" s="276">
        <f t="shared" si="47"/>
        <v>11958.33</v>
      </c>
      <c r="R1338" s="275">
        <f>(SUMIFS('Dec 31 2018 OFFS'!$AG:$AG,'Dec 31 2018 OFFS'!$AI:$AI,'T1 2019 Pipeline Data Lagasco'!$A1338,'Dec 31 2018 OFFS'!$U:$U,'T1 2019 Pipeline Data Lagasco'!$E1338,'Dec 31 2018 OFFS'!$AK:$AK,'T1 2019 Pipeline Data Lagasco'!$Q1338,'Dec 31 2018 OFFS'!$W:$W,'T1 2019 Pipeline Data Lagasco'!$G1338))/(MAX(COUNTIFS('Dec 31 2018 OFFS'!$AI:$AI,'T1 2019 Pipeline Data Lagasco'!$A1338,'Dec 31 2018 OFFS'!$U:$U,'T1 2019 Pipeline Data Lagasco'!$E1338,'Dec 31 2018 OFFS'!$AK:$AK,'T1 2019 Pipeline Data Lagasco'!$Q1338,'Dec 31 2018 OFFS'!$W:$W,'T1 2019 Pipeline Data Lagasco'!$G1338),1))</f>
        <v>157364</v>
      </c>
      <c r="S1338" s="275">
        <f t="shared" si="48"/>
        <v>0</v>
      </c>
    </row>
    <row r="1339" spans="1:19" s="217" customFormat="1" ht="14.1" customHeight="1">
      <c r="A1339" s="224" t="s">
        <v>1536</v>
      </c>
      <c r="B1339" s="218" t="s">
        <v>1537</v>
      </c>
      <c r="C1339" s="223">
        <v>1</v>
      </c>
      <c r="D1339" s="218" t="s">
        <v>1488</v>
      </c>
      <c r="E1339" s="240">
        <v>6</v>
      </c>
      <c r="F1339" s="230">
        <v>11953.21</v>
      </c>
      <c r="G1339" s="223">
        <v>1999</v>
      </c>
      <c r="H1339" s="223">
        <v>1</v>
      </c>
      <c r="I1339" s="223">
        <v>1</v>
      </c>
      <c r="J1339" s="223"/>
      <c r="K1339" s="228">
        <v>413939.66230000003</v>
      </c>
      <c r="L1339" s="241">
        <v>62</v>
      </c>
      <c r="M1339" s="228">
        <v>157297.0717</v>
      </c>
      <c r="N1339" s="230">
        <v>34.630000000000003</v>
      </c>
      <c r="O1339" s="231">
        <v>157297</v>
      </c>
      <c r="P1339" s="314"/>
      <c r="Q1339" s="276">
        <f t="shared" si="47"/>
        <v>11953.21</v>
      </c>
      <c r="R1339" s="275">
        <f>(SUMIFS('Dec 31 2018 OFFS'!$AG:$AG,'Dec 31 2018 OFFS'!$AI:$AI,'T1 2019 Pipeline Data Lagasco'!$A1339,'Dec 31 2018 OFFS'!$U:$U,'T1 2019 Pipeline Data Lagasco'!$E1339,'Dec 31 2018 OFFS'!$AK:$AK,'T1 2019 Pipeline Data Lagasco'!$Q1339,'Dec 31 2018 OFFS'!$W:$W,'T1 2019 Pipeline Data Lagasco'!$G1339))/(MAX(COUNTIFS('Dec 31 2018 OFFS'!$AI:$AI,'T1 2019 Pipeline Data Lagasco'!$A1339,'Dec 31 2018 OFFS'!$U:$U,'T1 2019 Pipeline Data Lagasco'!$E1339,'Dec 31 2018 OFFS'!$AK:$AK,'T1 2019 Pipeline Data Lagasco'!$Q1339,'Dec 31 2018 OFFS'!$W:$W,'T1 2019 Pipeline Data Lagasco'!$G1339),1))</f>
        <v>157297</v>
      </c>
      <c r="S1339" s="275">
        <f t="shared" si="48"/>
        <v>0</v>
      </c>
    </row>
    <row r="1340" spans="1:19" s="217" customFormat="1" ht="14.1" customHeight="1">
      <c r="A1340" s="224" t="s">
        <v>1536</v>
      </c>
      <c r="B1340" s="218" t="s">
        <v>1537</v>
      </c>
      <c r="C1340" s="223">
        <v>1</v>
      </c>
      <c r="D1340" s="218" t="s">
        <v>1488</v>
      </c>
      <c r="E1340" s="240">
        <v>6</v>
      </c>
      <c r="F1340" s="230">
        <v>2552.0700000000002</v>
      </c>
      <c r="G1340" s="223">
        <v>1999</v>
      </c>
      <c r="H1340" s="223">
        <v>1</v>
      </c>
      <c r="I1340" s="223">
        <v>1</v>
      </c>
      <c r="J1340" s="223"/>
      <c r="K1340" s="228">
        <v>88378.184099999999</v>
      </c>
      <c r="L1340" s="241">
        <v>62</v>
      </c>
      <c r="M1340" s="229">
        <v>33583.70996</v>
      </c>
      <c r="N1340" s="230">
        <v>34.630000000000003</v>
      </c>
      <c r="O1340" s="231">
        <v>33583</v>
      </c>
      <c r="P1340" s="314"/>
      <c r="Q1340" s="276">
        <f t="shared" si="47"/>
        <v>2552.0700000000002</v>
      </c>
      <c r="R1340" s="275">
        <f>(SUMIFS('Dec 31 2018 OFFS'!$AG:$AG,'Dec 31 2018 OFFS'!$AI:$AI,'T1 2019 Pipeline Data Lagasco'!$A1340,'Dec 31 2018 OFFS'!$U:$U,'T1 2019 Pipeline Data Lagasco'!$E1340,'Dec 31 2018 OFFS'!$AK:$AK,'T1 2019 Pipeline Data Lagasco'!$Q1340,'Dec 31 2018 OFFS'!$W:$W,'T1 2019 Pipeline Data Lagasco'!$G1340))/(MAX(COUNTIFS('Dec 31 2018 OFFS'!$AI:$AI,'T1 2019 Pipeline Data Lagasco'!$A1340,'Dec 31 2018 OFFS'!$U:$U,'T1 2019 Pipeline Data Lagasco'!$E1340,'Dec 31 2018 OFFS'!$AK:$AK,'T1 2019 Pipeline Data Lagasco'!$Q1340,'Dec 31 2018 OFFS'!$W:$W,'T1 2019 Pipeline Data Lagasco'!$G1340),1))</f>
        <v>33583</v>
      </c>
      <c r="S1340" s="275">
        <f t="shared" si="48"/>
        <v>0</v>
      </c>
    </row>
    <row r="1341" spans="1:19" s="217" customFormat="1" ht="14.1" customHeight="1">
      <c r="A1341" s="224" t="s">
        <v>1536</v>
      </c>
      <c r="B1341" s="218" t="s">
        <v>1537</v>
      </c>
      <c r="C1341" s="223">
        <v>1</v>
      </c>
      <c r="D1341" s="218" t="s">
        <v>1488</v>
      </c>
      <c r="E1341" s="240">
        <v>6</v>
      </c>
      <c r="F1341" s="230">
        <v>11937.07</v>
      </c>
      <c r="G1341" s="223">
        <v>1999</v>
      </c>
      <c r="H1341" s="223">
        <v>1</v>
      </c>
      <c r="I1341" s="223">
        <v>1</v>
      </c>
      <c r="J1341" s="223"/>
      <c r="K1341" s="228">
        <v>413380.7341</v>
      </c>
      <c r="L1341" s="241">
        <v>62</v>
      </c>
      <c r="M1341" s="239">
        <v>157084.679</v>
      </c>
      <c r="N1341" s="230">
        <v>34.630000000000003</v>
      </c>
      <c r="O1341" s="231">
        <v>157084</v>
      </c>
      <c r="P1341" s="314"/>
      <c r="Q1341" s="276">
        <f t="shared" si="47"/>
        <v>11937.07</v>
      </c>
      <c r="R1341" s="275">
        <f>(SUMIFS('Dec 31 2018 OFFS'!$AG:$AG,'Dec 31 2018 OFFS'!$AI:$AI,'T1 2019 Pipeline Data Lagasco'!$A1341,'Dec 31 2018 OFFS'!$U:$U,'T1 2019 Pipeline Data Lagasco'!$E1341,'Dec 31 2018 OFFS'!$AK:$AK,'T1 2019 Pipeline Data Lagasco'!$Q1341,'Dec 31 2018 OFFS'!$W:$W,'T1 2019 Pipeline Data Lagasco'!$G1341))/(MAX(COUNTIFS('Dec 31 2018 OFFS'!$AI:$AI,'T1 2019 Pipeline Data Lagasco'!$A1341,'Dec 31 2018 OFFS'!$U:$U,'T1 2019 Pipeline Data Lagasco'!$E1341,'Dec 31 2018 OFFS'!$AK:$AK,'T1 2019 Pipeline Data Lagasco'!$Q1341,'Dec 31 2018 OFFS'!$W:$W,'T1 2019 Pipeline Data Lagasco'!$G1341),1))</f>
        <v>157084</v>
      </c>
      <c r="S1341" s="275">
        <f t="shared" si="48"/>
        <v>0</v>
      </c>
    </row>
    <row r="1342" spans="1:19" s="217" customFormat="1" ht="14.1" customHeight="1">
      <c r="A1342" s="224" t="s">
        <v>1536</v>
      </c>
      <c r="B1342" s="218" t="s">
        <v>1537</v>
      </c>
      <c r="C1342" s="223">
        <v>1</v>
      </c>
      <c r="D1342" s="218" t="s">
        <v>1488</v>
      </c>
      <c r="E1342" s="240">
        <v>6</v>
      </c>
      <c r="F1342" s="223">
        <v>11739</v>
      </c>
      <c r="G1342" s="223">
        <v>2001</v>
      </c>
      <c r="H1342" s="230">
        <v>0.75</v>
      </c>
      <c r="I1342" s="223">
        <v>1</v>
      </c>
      <c r="J1342" s="223"/>
      <c r="K1342" s="238">
        <v>406521.57</v>
      </c>
      <c r="L1342" s="241">
        <v>59</v>
      </c>
      <c r="M1342" s="228">
        <v>166673.8437</v>
      </c>
      <c r="N1342" s="230">
        <v>34.630000000000003</v>
      </c>
      <c r="O1342" s="231">
        <v>125005</v>
      </c>
      <c r="P1342" s="314"/>
      <c r="Q1342" s="276">
        <f t="shared" si="47"/>
        <v>11739</v>
      </c>
      <c r="R1342" s="275">
        <f>(SUMIFS('Dec 31 2018 OFFS'!$AG:$AG,'Dec 31 2018 OFFS'!$AI:$AI,'T1 2019 Pipeline Data Lagasco'!$A1342,'Dec 31 2018 OFFS'!$U:$U,'T1 2019 Pipeline Data Lagasco'!$E1342,'Dec 31 2018 OFFS'!$AK:$AK,'T1 2019 Pipeline Data Lagasco'!$Q1342,'Dec 31 2018 OFFS'!$W:$W,'T1 2019 Pipeline Data Lagasco'!$G1342))/(MAX(COUNTIFS('Dec 31 2018 OFFS'!$AI:$AI,'T1 2019 Pipeline Data Lagasco'!$A1342,'Dec 31 2018 OFFS'!$U:$U,'T1 2019 Pipeline Data Lagasco'!$E1342,'Dec 31 2018 OFFS'!$AK:$AK,'T1 2019 Pipeline Data Lagasco'!$Q1342,'Dec 31 2018 OFFS'!$W:$W,'T1 2019 Pipeline Data Lagasco'!$G1342),1))</f>
        <v>125005</v>
      </c>
      <c r="S1342" s="275">
        <f t="shared" si="48"/>
        <v>0</v>
      </c>
    </row>
    <row r="1343" spans="1:18" s="217" customFormat="1" ht="14.1" customHeight="1">
      <c r="A1343" s="224" t="s">
        <v>1538</v>
      </c>
      <c r="B1343" s="218" t="s">
        <v>1539</v>
      </c>
      <c r="C1343" s="223">
        <v>2</v>
      </c>
      <c r="D1343" s="218" t="s">
        <v>1516</v>
      </c>
      <c r="E1343" s="240">
        <v>2</v>
      </c>
      <c r="F1343" s="230">
        <v>329.07</v>
      </c>
      <c r="G1343" s="223">
        <v>1993</v>
      </c>
      <c r="H1343" s="223">
        <v>1</v>
      </c>
      <c r="I1343" s="223">
        <v>1</v>
      </c>
      <c r="J1343" s="223"/>
      <c r="K1343" s="228">
        <v>3070.2231000000002</v>
      </c>
      <c r="L1343" s="241">
        <v>50</v>
      </c>
      <c r="M1343" s="229">
        <v>1535.1115500000001</v>
      </c>
      <c r="N1343" s="230">
        <v>9.33</v>
      </c>
      <c r="O1343" s="231">
        <v>1535</v>
      </c>
      <c r="R1343" s="223"/>
    </row>
    <row r="1344" spans="1:18" s="217" customFormat="1" ht="14.1" customHeight="1">
      <c r="A1344" s="224" t="s">
        <v>1538</v>
      </c>
      <c r="B1344" s="218" t="s">
        <v>1539</v>
      </c>
      <c r="C1344" s="223">
        <v>2</v>
      </c>
      <c r="D1344" s="218" t="s">
        <v>1516</v>
      </c>
      <c r="E1344" s="240">
        <v>2</v>
      </c>
      <c r="F1344" s="230">
        <v>141.38</v>
      </c>
      <c r="G1344" s="223">
        <v>1993</v>
      </c>
      <c r="H1344" s="223">
        <v>1</v>
      </c>
      <c r="I1344" s="223">
        <v>1</v>
      </c>
      <c r="J1344" s="223"/>
      <c r="K1344" s="228">
        <v>1319.0753999999999</v>
      </c>
      <c r="L1344" s="241">
        <v>50</v>
      </c>
      <c r="M1344" s="228">
        <v>659.53769999999997</v>
      </c>
      <c r="N1344" s="230">
        <v>9.33</v>
      </c>
      <c r="O1344" s="231">
        <v>659</v>
      </c>
      <c r="R1344" s="223"/>
    </row>
    <row r="1345" spans="1:18" s="217" customFormat="1" ht="14.1" customHeight="1">
      <c r="A1345" s="224" t="s">
        <v>1538</v>
      </c>
      <c r="B1345" s="218" t="s">
        <v>1539</v>
      </c>
      <c r="C1345" s="223">
        <v>2</v>
      </c>
      <c r="D1345" s="218" t="s">
        <v>1516</v>
      </c>
      <c r="E1345" s="240">
        <v>2</v>
      </c>
      <c r="F1345" s="230">
        <v>448.29</v>
      </c>
      <c r="G1345" s="223">
        <v>1993</v>
      </c>
      <c r="H1345" s="223">
        <v>1</v>
      </c>
      <c r="I1345" s="223">
        <v>1</v>
      </c>
      <c r="J1345" s="223"/>
      <c r="K1345" s="228">
        <v>4182.5456999999997</v>
      </c>
      <c r="L1345" s="241">
        <v>50</v>
      </c>
      <c r="M1345" s="229">
        <v>2091.2728499999998</v>
      </c>
      <c r="N1345" s="230">
        <v>9.33</v>
      </c>
      <c r="O1345" s="231">
        <v>2091</v>
      </c>
      <c r="R1345" s="223"/>
    </row>
    <row r="1346" spans="1:18" s="217" customFormat="1" ht="14.1" customHeight="1">
      <c r="A1346" s="224" t="s">
        <v>1538</v>
      </c>
      <c r="B1346" s="218" t="s">
        <v>1539</v>
      </c>
      <c r="C1346" s="223">
        <v>2</v>
      </c>
      <c r="D1346" s="218" t="s">
        <v>1516</v>
      </c>
      <c r="E1346" s="240">
        <v>2</v>
      </c>
      <c r="F1346" s="230">
        <v>885.63</v>
      </c>
      <c r="G1346" s="223">
        <v>1993</v>
      </c>
      <c r="H1346" s="223">
        <v>1</v>
      </c>
      <c r="I1346" s="223">
        <v>1</v>
      </c>
      <c r="J1346" s="223"/>
      <c r="K1346" s="228">
        <v>8262.9279000000006</v>
      </c>
      <c r="L1346" s="241">
        <v>50</v>
      </c>
      <c r="M1346" s="229">
        <v>4131.4639500000003</v>
      </c>
      <c r="N1346" s="230">
        <v>9.33</v>
      </c>
      <c r="O1346" s="231">
        <v>4131</v>
      </c>
      <c r="R1346" s="223"/>
    </row>
    <row r="1347" spans="1:18" s="217" customFormat="1" ht="14.1" customHeight="1">
      <c r="A1347" s="224" t="s">
        <v>1538</v>
      </c>
      <c r="B1347" s="218" t="s">
        <v>1539</v>
      </c>
      <c r="C1347" s="223">
        <v>2</v>
      </c>
      <c r="D1347" s="218" t="s">
        <v>1516</v>
      </c>
      <c r="E1347" s="240">
        <v>2</v>
      </c>
      <c r="F1347" s="230">
        <v>96.29</v>
      </c>
      <c r="G1347" s="223">
        <v>1993</v>
      </c>
      <c r="H1347" s="223">
        <v>1</v>
      </c>
      <c r="I1347" s="223">
        <v>1</v>
      </c>
      <c r="J1347" s="223"/>
      <c r="K1347" s="228">
        <v>898.38570000000004</v>
      </c>
      <c r="L1347" s="241">
        <v>50</v>
      </c>
      <c r="M1347" s="229">
        <v>449.19285000000002</v>
      </c>
      <c r="N1347" s="230">
        <v>9.33</v>
      </c>
      <c r="O1347" s="231">
        <v>449</v>
      </c>
      <c r="R1347" s="223"/>
    </row>
    <row r="1348" spans="1:18" s="217" customFormat="1" ht="14.1" customHeight="1">
      <c r="A1348" s="224" t="s">
        <v>1538</v>
      </c>
      <c r="B1348" s="218" t="s">
        <v>1539</v>
      </c>
      <c r="C1348" s="223">
        <v>2</v>
      </c>
      <c r="D1348" s="218" t="s">
        <v>1516</v>
      </c>
      <c r="E1348" s="240">
        <v>2</v>
      </c>
      <c r="F1348" s="230">
        <v>935.19</v>
      </c>
      <c r="G1348" s="223">
        <v>1993</v>
      </c>
      <c r="H1348" s="223">
        <v>1</v>
      </c>
      <c r="I1348" s="223">
        <v>1</v>
      </c>
      <c r="J1348" s="223"/>
      <c r="K1348" s="228">
        <v>8725.3227000000006</v>
      </c>
      <c r="L1348" s="241">
        <v>50</v>
      </c>
      <c r="M1348" s="229">
        <v>4362.6613500000003</v>
      </c>
      <c r="N1348" s="230">
        <v>9.33</v>
      </c>
      <c r="O1348" s="231">
        <v>4362</v>
      </c>
      <c r="R1348" s="223"/>
    </row>
    <row r="1349" spans="1:18" s="217" customFormat="1" ht="14.1" customHeight="1">
      <c r="A1349" s="224" t="s">
        <v>1538</v>
      </c>
      <c r="B1349" s="218" t="s">
        <v>1539</v>
      </c>
      <c r="C1349" s="223">
        <v>2</v>
      </c>
      <c r="D1349" s="218" t="s">
        <v>1516</v>
      </c>
      <c r="E1349" s="240">
        <v>2</v>
      </c>
      <c r="F1349" s="230">
        <v>196.06</v>
      </c>
      <c r="G1349" s="223">
        <v>1993</v>
      </c>
      <c r="H1349" s="223">
        <v>1</v>
      </c>
      <c r="I1349" s="223">
        <v>1</v>
      </c>
      <c r="J1349" s="223"/>
      <c r="K1349" s="228">
        <v>1829.2398000000001</v>
      </c>
      <c r="L1349" s="241">
        <v>50</v>
      </c>
      <c r="M1349" s="228">
        <v>914.61990000000003</v>
      </c>
      <c r="N1349" s="230">
        <v>9.33</v>
      </c>
      <c r="O1349" s="231">
        <v>914</v>
      </c>
      <c r="R1349" s="223"/>
    </row>
    <row r="1350" spans="1:18" s="217" customFormat="1" ht="14.1" customHeight="1">
      <c r="A1350" s="224" t="s">
        <v>1538</v>
      </c>
      <c r="B1350" s="218" t="s">
        <v>1539</v>
      </c>
      <c r="C1350" s="223">
        <v>2</v>
      </c>
      <c r="D1350" s="218" t="s">
        <v>1516</v>
      </c>
      <c r="E1350" s="240">
        <v>2</v>
      </c>
      <c r="F1350" s="230">
        <v>955.31</v>
      </c>
      <c r="G1350" s="223">
        <v>1993</v>
      </c>
      <c r="H1350" s="223">
        <v>1</v>
      </c>
      <c r="I1350" s="223">
        <v>1</v>
      </c>
      <c r="J1350" s="223"/>
      <c r="K1350" s="228">
        <v>8913.0422999999992</v>
      </c>
      <c r="L1350" s="241">
        <v>50</v>
      </c>
      <c r="M1350" s="229">
        <v>4456.5211499999996</v>
      </c>
      <c r="N1350" s="230">
        <v>9.33</v>
      </c>
      <c r="O1350" s="231">
        <v>4456</v>
      </c>
      <c r="R1350" s="223"/>
    </row>
    <row r="1351" spans="1:18" s="217" customFormat="1" ht="14.1" customHeight="1">
      <c r="A1351" s="224" t="s">
        <v>1538</v>
      </c>
      <c r="B1351" s="218" t="s">
        <v>1539</v>
      </c>
      <c r="C1351" s="223">
        <v>2</v>
      </c>
      <c r="D1351" s="218" t="s">
        <v>1516</v>
      </c>
      <c r="E1351" s="240">
        <v>2</v>
      </c>
      <c r="F1351" s="230">
        <v>70.28</v>
      </c>
      <c r="G1351" s="223">
        <v>1993</v>
      </c>
      <c r="H1351" s="223">
        <v>1</v>
      </c>
      <c r="I1351" s="223">
        <v>0</v>
      </c>
      <c r="J1351" s="223"/>
      <c r="K1351" s="228">
        <v>655.7124</v>
      </c>
      <c r="L1351" s="241">
        <v>50</v>
      </c>
      <c r="M1351" s="228">
        <v>327.8562</v>
      </c>
      <c r="N1351" s="230">
        <v>9.33</v>
      </c>
      <c r="O1351" s="231">
        <v>0</v>
      </c>
      <c r="R1351" s="223"/>
    </row>
    <row r="1352" spans="1:18" s="217" customFormat="1" ht="14.1" customHeight="1">
      <c r="A1352" s="224" t="s">
        <v>1538</v>
      </c>
      <c r="B1352" s="218" t="s">
        <v>1539</v>
      </c>
      <c r="C1352" s="223">
        <v>2</v>
      </c>
      <c r="D1352" s="218" t="s">
        <v>1516</v>
      </c>
      <c r="E1352" s="240">
        <v>3</v>
      </c>
      <c r="F1352" s="223">
        <v>92</v>
      </c>
      <c r="G1352" s="223">
        <v>2001</v>
      </c>
      <c r="H1352" s="223">
        <v>1</v>
      </c>
      <c r="I1352" s="223">
        <v>1</v>
      </c>
      <c r="J1352" s="223"/>
      <c r="K1352" s="238">
        <v>1379.08</v>
      </c>
      <c r="L1352" s="241">
        <v>32</v>
      </c>
      <c r="M1352" s="228">
        <v>937.77440000000001</v>
      </c>
      <c r="N1352" s="230">
        <v>14.99</v>
      </c>
      <c r="O1352" s="231">
        <v>937</v>
      </c>
      <c r="R1352" s="223"/>
    </row>
    <row r="1353" spans="1:18" s="217" customFormat="1" ht="14.1" customHeight="1">
      <c r="A1353" s="224" t="s">
        <v>1538</v>
      </c>
      <c r="B1353" s="218" t="s">
        <v>1539</v>
      </c>
      <c r="C1353" s="223">
        <v>2</v>
      </c>
      <c r="D1353" s="218" t="s">
        <v>1516</v>
      </c>
      <c r="E1353" s="240">
        <v>3</v>
      </c>
      <c r="F1353" s="223">
        <v>227</v>
      </c>
      <c r="G1353" s="223">
        <v>2001</v>
      </c>
      <c r="H1353" s="223">
        <v>1</v>
      </c>
      <c r="I1353" s="223">
        <v>1</v>
      </c>
      <c r="J1353" s="223"/>
      <c r="K1353" s="238">
        <v>3402.73</v>
      </c>
      <c r="L1353" s="241">
        <v>32</v>
      </c>
      <c r="M1353" s="228">
        <v>2313.8564000000001</v>
      </c>
      <c r="N1353" s="230">
        <v>14.99</v>
      </c>
      <c r="O1353" s="231">
        <v>2313</v>
      </c>
      <c r="R1353" s="223"/>
    </row>
    <row r="1354" spans="1:18" s="217" customFormat="1" ht="14.1" customHeight="1">
      <c r="A1354" s="224" t="s">
        <v>1538</v>
      </c>
      <c r="B1354" s="218" t="s">
        <v>1539</v>
      </c>
      <c r="C1354" s="223">
        <v>2</v>
      </c>
      <c r="D1354" s="218" t="s">
        <v>1516</v>
      </c>
      <c r="E1354" s="240">
        <v>3</v>
      </c>
      <c r="F1354" s="223">
        <v>653</v>
      </c>
      <c r="G1354" s="223">
        <v>2001</v>
      </c>
      <c r="H1354" s="223">
        <v>1</v>
      </c>
      <c r="I1354" s="223">
        <v>1</v>
      </c>
      <c r="J1354" s="223"/>
      <c r="K1354" s="238">
        <v>9788.4699999999993</v>
      </c>
      <c r="L1354" s="241">
        <v>32</v>
      </c>
      <c r="M1354" s="228">
        <v>6656.1596</v>
      </c>
      <c r="N1354" s="230">
        <v>14.99</v>
      </c>
      <c r="O1354" s="231">
        <v>6656</v>
      </c>
      <c r="R1354" s="223"/>
    </row>
    <row r="1355" spans="1:18" s="217" customFormat="1" ht="14.1" customHeight="1">
      <c r="A1355" s="224" t="s">
        <v>1538</v>
      </c>
      <c r="B1355" s="218" t="s">
        <v>1539</v>
      </c>
      <c r="C1355" s="223">
        <v>2</v>
      </c>
      <c r="D1355" s="218" t="s">
        <v>1516</v>
      </c>
      <c r="E1355" s="240">
        <v>3</v>
      </c>
      <c r="F1355" s="223">
        <v>64</v>
      </c>
      <c r="G1355" s="223">
        <v>2000</v>
      </c>
      <c r="H1355" s="223">
        <v>1</v>
      </c>
      <c r="I1355" s="225">
        <v>0</v>
      </c>
      <c r="J1355" s="223"/>
      <c r="K1355" s="247">
        <v>959.36</v>
      </c>
      <c r="L1355" s="241">
        <v>35</v>
      </c>
      <c r="M1355" s="247">
        <v>623.58399999999995</v>
      </c>
      <c r="N1355" s="230">
        <v>14.99</v>
      </c>
      <c r="O1355" s="287">
        <v>0</v>
      </c>
      <c r="P1355" s="316" t="s">
        <v>1568</v>
      </c>
      <c r="R1355" s="223"/>
    </row>
    <row r="1356" spans="1:18" s="217" customFormat="1" ht="14.1" customHeight="1">
      <c r="A1356" s="224" t="s">
        <v>1538</v>
      </c>
      <c r="B1356" s="218" t="s">
        <v>1539</v>
      </c>
      <c r="C1356" s="223">
        <v>2</v>
      </c>
      <c r="D1356" s="218" t="s">
        <v>1516</v>
      </c>
      <c r="E1356" s="240">
        <v>3</v>
      </c>
      <c r="F1356" s="223">
        <v>813</v>
      </c>
      <c r="G1356" s="223">
        <v>2000</v>
      </c>
      <c r="H1356" s="223">
        <v>1</v>
      </c>
      <c r="I1356" s="225">
        <v>0</v>
      </c>
      <c r="J1356" s="223"/>
      <c r="K1356" s="247">
        <v>12186.87</v>
      </c>
      <c r="L1356" s="241">
        <v>35</v>
      </c>
      <c r="M1356" s="247">
        <v>7921.4655000000002</v>
      </c>
      <c r="N1356" s="230">
        <v>14.99</v>
      </c>
      <c r="O1356" s="287">
        <v>0</v>
      </c>
      <c r="P1356" s="316" t="s">
        <v>1568</v>
      </c>
      <c r="R1356" s="223"/>
    </row>
    <row r="1357" spans="1:18" s="217" customFormat="1" ht="14.1" customHeight="1">
      <c r="A1357" s="224" t="s">
        <v>1538</v>
      </c>
      <c r="B1357" s="218" t="s">
        <v>1539</v>
      </c>
      <c r="C1357" s="223">
        <v>2</v>
      </c>
      <c r="D1357" s="218" t="s">
        <v>1516</v>
      </c>
      <c r="E1357" s="240">
        <v>3</v>
      </c>
      <c r="F1357" s="223">
        <v>970</v>
      </c>
      <c r="G1357" s="223">
        <v>2000</v>
      </c>
      <c r="H1357" s="223">
        <v>1</v>
      </c>
      <c r="I1357" s="225">
        <v>0</v>
      </c>
      <c r="J1357" s="223"/>
      <c r="K1357" s="247">
        <v>14540.30</v>
      </c>
      <c r="L1357" s="241">
        <v>35</v>
      </c>
      <c r="M1357" s="247">
        <v>9451.1949999999997</v>
      </c>
      <c r="N1357" s="230">
        <v>14.99</v>
      </c>
      <c r="O1357" s="287">
        <v>0</v>
      </c>
      <c r="P1357" s="316" t="s">
        <v>1568</v>
      </c>
      <c r="R1357" s="223"/>
    </row>
    <row r="1358" spans="1:18" s="217" customFormat="1" ht="14.1" customHeight="1">
      <c r="A1358" s="224" t="s">
        <v>1538</v>
      </c>
      <c r="B1358" s="218" t="s">
        <v>1539</v>
      </c>
      <c r="C1358" s="223">
        <v>2</v>
      </c>
      <c r="D1358" s="218" t="s">
        <v>1516</v>
      </c>
      <c r="E1358" s="240">
        <v>3</v>
      </c>
      <c r="F1358" s="223">
        <v>157</v>
      </c>
      <c r="G1358" s="223">
        <v>2000</v>
      </c>
      <c r="H1358" s="223">
        <v>1</v>
      </c>
      <c r="I1358" s="225">
        <v>0</v>
      </c>
      <c r="J1358" s="223"/>
      <c r="K1358" s="247">
        <v>2353.4299999999998</v>
      </c>
      <c r="L1358" s="241">
        <v>35</v>
      </c>
      <c r="M1358" s="247">
        <v>1529.7294999999999</v>
      </c>
      <c r="N1358" s="230">
        <v>14.99</v>
      </c>
      <c r="O1358" s="287">
        <v>0</v>
      </c>
      <c r="P1358" s="316" t="s">
        <v>1568</v>
      </c>
      <c r="R1358" s="223"/>
    </row>
    <row r="1359" spans="1:18" s="217" customFormat="1" ht="14.1" customHeight="1">
      <c r="A1359" s="224" t="s">
        <v>1538</v>
      </c>
      <c r="B1359" s="218" t="s">
        <v>1539</v>
      </c>
      <c r="C1359" s="223">
        <v>2</v>
      </c>
      <c r="D1359" s="218" t="s">
        <v>1516</v>
      </c>
      <c r="E1359" s="240">
        <v>3</v>
      </c>
      <c r="F1359" s="223">
        <v>36</v>
      </c>
      <c r="G1359" s="223">
        <v>2000</v>
      </c>
      <c r="H1359" s="223">
        <v>1</v>
      </c>
      <c r="I1359" s="225">
        <v>0</v>
      </c>
      <c r="J1359" s="223"/>
      <c r="K1359" s="247">
        <v>539.64</v>
      </c>
      <c r="L1359" s="241">
        <v>35</v>
      </c>
      <c r="M1359" s="247">
        <v>350.76600000000002</v>
      </c>
      <c r="N1359" s="230">
        <v>14.99</v>
      </c>
      <c r="O1359" s="287">
        <v>0</v>
      </c>
      <c r="P1359" s="316" t="s">
        <v>1568</v>
      </c>
      <c r="R1359" s="223"/>
    </row>
    <row r="1360" spans="1:18" s="217" customFormat="1" ht="14.1" customHeight="1">
      <c r="A1360" s="224" t="s">
        <v>1538</v>
      </c>
      <c r="B1360" s="218" t="s">
        <v>1539</v>
      </c>
      <c r="C1360" s="223">
        <v>2</v>
      </c>
      <c r="D1360" s="218" t="s">
        <v>1516</v>
      </c>
      <c r="E1360" s="240">
        <v>3</v>
      </c>
      <c r="F1360" s="230">
        <v>1703.89</v>
      </c>
      <c r="G1360" s="223">
        <v>1998</v>
      </c>
      <c r="H1360" s="223">
        <v>1</v>
      </c>
      <c r="I1360" s="223">
        <v>1</v>
      </c>
      <c r="J1360" s="223"/>
      <c r="K1360" s="228">
        <v>25541.311099999999</v>
      </c>
      <c r="L1360" s="241">
        <v>40</v>
      </c>
      <c r="M1360" s="229">
        <v>15324.78666</v>
      </c>
      <c r="N1360" s="230">
        <v>14.99</v>
      </c>
      <c r="O1360" s="231">
        <v>15324</v>
      </c>
      <c r="R1360" s="223"/>
    </row>
    <row r="1361" spans="1:18" s="217" customFormat="1" ht="14.1" customHeight="1">
      <c r="A1361" s="224" t="s">
        <v>1538</v>
      </c>
      <c r="B1361" s="218" t="s">
        <v>1539</v>
      </c>
      <c r="C1361" s="223">
        <v>2</v>
      </c>
      <c r="D1361" s="218" t="s">
        <v>1516</v>
      </c>
      <c r="E1361" s="240">
        <v>3</v>
      </c>
      <c r="F1361" s="230">
        <v>905.05</v>
      </c>
      <c r="G1361" s="223">
        <v>1995</v>
      </c>
      <c r="H1361" s="223">
        <v>1</v>
      </c>
      <c r="I1361" s="223">
        <v>1</v>
      </c>
      <c r="J1361" s="223"/>
      <c r="K1361" s="228">
        <v>13566.699500000001</v>
      </c>
      <c r="L1361" s="241">
        <v>47</v>
      </c>
      <c r="M1361" s="233">
        <v>7190.350735</v>
      </c>
      <c r="N1361" s="230">
        <v>14.99</v>
      </c>
      <c r="O1361" s="231">
        <v>7190</v>
      </c>
      <c r="R1361" s="223"/>
    </row>
    <row r="1362" spans="1:18" s="217" customFormat="1" ht="14.1" customHeight="1">
      <c r="A1362" s="224" t="s">
        <v>1538</v>
      </c>
      <c r="B1362" s="218" t="s">
        <v>1539</v>
      </c>
      <c r="C1362" s="223">
        <v>2</v>
      </c>
      <c r="D1362" s="218" t="s">
        <v>1516</v>
      </c>
      <c r="E1362" s="240">
        <v>3</v>
      </c>
      <c r="F1362" s="230">
        <v>650.38</v>
      </c>
      <c r="G1362" s="223">
        <v>1999</v>
      </c>
      <c r="H1362" s="223">
        <v>1</v>
      </c>
      <c r="I1362" s="223">
        <v>1</v>
      </c>
      <c r="J1362" s="223"/>
      <c r="K1362" s="228">
        <v>9749.1962000000003</v>
      </c>
      <c r="L1362" s="241">
        <v>37</v>
      </c>
      <c r="M1362" s="233">
        <v>6141.993606</v>
      </c>
      <c r="N1362" s="230">
        <v>14.99</v>
      </c>
      <c r="O1362" s="231">
        <v>6141</v>
      </c>
      <c r="R1362" s="223"/>
    </row>
    <row r="1363" spans="1:18" s="217" customFormat="1" ht="14.1" customHeight="1">
      <c r="A1363" s="224" t="s">
        <v>1538</v>
      </c>
      <c r="B1363" s="218" t="s">
        <v>1539</v>
      </c>
      <c r="C1363" s="223">
        <v>2</v>
      </c>
      <c r="D1363" s="218" t="s">
        <v>1516</v>
      </c>
      <c r="E1363" s="240">
        <v>3</v>
      </c>
      <c r="F1363" s="230">
        <v>2322.59</v>
      </c>
      <c r="G1363" s="223">
        <v>1999</v>
      </c>
      <c r="H1363" s="223">
        <v>1</v>
      </c>
      <c r="I1363" s="223">
        <v>1</v>
      </c>
      <c r="J1363" s="223"/>
      <c r="K1363" s="228">
        <v>34815.624100000001</v>
      </c>
      <c r="L1363" s="241">
        <v>37</v>
      </c>
      <c r="M1363" s="229">
        <v>21933.84318</v>
      </c>
      <c r="N1363" s="230">
        <v>14.99</v>
      </c>
      <c r="O1363" s="231">
        <v>21933</v>
      </c>
      <c r="R1363" s="223"/>
    </row>
    <row r="1364" spans="1:18" s="217" customFormat="1" ht="14.1" customHeight="1">
      <c r="A1364" s="224" t="s">
        <v>1538</v>
      </c>
      <c r="B1364" s="218" t="s">
        <v>1539</v>
      </c>
      <c r="C1364" s="223">
        <v>2</v>
      </c>
      <c r="D1364" s="218" t="s">
        <v>1516</v>
      </c>
      <c r="E1364" s="240">
        <v>3</v>
      </c>
      <c r="F1364" s="230">
        <v>1845.07</v>
      </c>
      <c r="G1364" s="223">
        <v>1999</v>
      </c>
      <c r="H1364" s="223">
        <v>1</v>
      </c>
      <c r="I1364" s="223">
        <v>1</v>
      </c>
      <c r="J1364" s="223"/>
      <c r="K1364" s="228">
        <v>27657.599300000002</v>
      </c>
      <c r="L1364" s="241">
        <v>37</v>
      </c>
      <c r="M1364" s="229">
        <v>17424.287560000001</v>
      </c>
      <c r="N1364" s="230">
        <v>14.99</v>
      </c>
      <c r="O1364" s="231">
        <v>17424</v>
      </c>
      <c r="R1364" s="223"/>
    </row>
    <row r="1365" spans="1:18" s="217" customFormat="1" ht="14.1" customHeight="1">
      <c r="A1365" s="224" t="s">
        <v>1538</v>
      </c>
      <c r="B1365" s="218" t="s">
        <v>1539</v>
      </c>
      <c r="C1365" s="223">
        <v>2</v>
      </c>
      <c r="D1365" s="218" t="s">
        <v>1516</v>
      </c>
      <c r="E1365" s="240">
        <v>3</v>
      </c>
      <c r="F1365" s="223">
        <v>250</v>
      </c>
      <c r="G1365" s="223">
        <v>1994</v>
      </c>
      <c r="H1365" s="223">
        <v>1</v>
      </c>
      <c r="I1365" s="223">
        <v>1</v>
      </c>
      <c r="J1365" s="223"/>
      <c r="K1365" s="237">
        <v>3747.50</v>
      </c>
      <c r="L1365" s="241">
        <v>49</v>
      </c>
      <c r="M1365" s="239">
        <v>1911.225</v>
      </c>
      <c r="N1365" s="230">
        <v>14.99</v>
      </c>
      <c r="O1365" s="231">
        <v>1911</v>
      </c>
      <c r="R1365" s="223"/>
    </row>
    <row r="1366" spans="1:18" s="217" customFormat="1" ht="14.1" customHeight="1">
      <c r="A1366" s="224" t="s">
        <v>1538</v>
      </c>
      <c r="B1366" s="218" t="s">
        <v>1539</v>
      </c>
      <c r="C1366" s="223">
        <v>2</v>
      </c>
      <c r="D1366" s="218" t="s">
        <v>1516</v>
      </c>
      <c r="E1366" s="240">
        <v>3</v>
      </c>
      <c r="F1366" s="230">
        <v>2676.64</v>
      </c>
      <c r="G1366" s="223">
        <v>1994</v>
      </c>
      <c r="H1366" s="223">
        <v>1</v>
      </c>
      <c r="I1366" s="223">
        <v>1</v>
      </c>
      <c r="J1366" s="223"/>
      <c r="K1366" s="228">
        <v>40122.833599999998</v>
      </c>
      <c r="L1366" s="241">
        <v>49</v>
      </c>
      <c r="M1366" s="229">
        <v>20462.645140000001</v>
      </c>
      <c r="N1366" s="230">
        <v>14.99</v>
      </c>
      <c r="O1366" s="231">
        <v>20462</v>
      </c>
      <c r="R1366" s="223"/>
    </row>
    <row r="1367" spans="1:18" s="217" customFormat="1" ht="14.1" customHeight="1">
      <c r="A1367" s="224" t="s">
        <v>1538</v>
      </c>
      <c r="B1367" s="218" t="s">
        <v>1539</v>
      </c>
      <c r="C1367" s="223">
        <v>2</v>
      </c>
      <c r="D1367" s="218" t="s">
        <v>1516</v>
      </c>
      <c r="E1367" s="240">
        <v>3</v>
      </c>
      <c r="F1367" s="230">
        <v>277.77999999999997</v>
      </c>
      <c r="G1367" s="223">
        <v>1995</v>
      </c>
      <c r="H1367" s="223">
        <v>1</v>
      </c>
      <c r="I1367" s="223">
        <v>0</v>
      </c>
      <c r="J1367" s="223"/>
      <c r="K1367" s="228">
        <v>4163.9222</v>
      </c>
      <c r="L1367" s="241">
        <v>47</v>
      </c>
      <c r="M1367" s="233">
        <v>2206.8787659999998</v>
      </c>
      <c r="N1367" s="230">
        <v>14.99</v>
      </c>
      <c r="O1367" s="231">
        <v>0</v>
      </c>
      <c r="R1367" s="223"/>
    </row>
    <row r="1368" spans="1:18" s="217" customFormat="1" ht="14.1" customHeight="1">
      <c r="A1368" s="224" t="s">
        <v>1538</v>
      </c>
      <c r="B1368" s="218" t="s">
        <v>1539</v>
      </c>
      <c r="C1368" s="223">
        <v>2</v>
      </c>
      <c r="D1368" s="218" t="s">
        <v>1516</v>
      </c>
      <c r="E1368" s="240">
        <v>3</v>
      </c>
      <c r="F1368" s="230">
        <v>299.44</v>
      </c>
      <c r="G1368" s="223">
        <v>1996</v>
      </c>
      <c r="H1368" s="223">
        <v>1</v>
      </c>
      <c r="I1368" s="223">
        <v>1</v>
      </c>
      <c r="J1368" s="223"/>
      <c r="K1368" s="228">
        <v>4488.6055999999999</v>
      </c>
      <c r="L1368" s="241">
        <v>44</v>
      </c>
      <c r="M1368" s="233">
        <v>2513.6191359999998</v>
      </c>
      <c r="N1368" s="230">
        <v>14.99</v>
      </c>
      <c r="O1368" s="231">
        <v>2513</v>
      </c>
      <c r="R1368" s="223"/>
    </row>
    <row r="1369" spans="1:18" s="217" customFormat="1" ht="14.1" customHeight="1">
      <c r="A1369" s="224" t="s">
        <v>1538</v>
      </c>
      <c r="B1369" s="218" t="s">
        <v>1539</v>
      </c>
      <c r="C1369" s="223">
        <v>2</v>
      </c>
      <c r="D1369" s="218" t="s">
        <v>1516</v>
      </c>
      <c r="E1369" s="240">
        <v>3</v>
      </c>
      <c r="F1369" s="230">
        <v>290.91000000000003</v>
      </c>
      <c r="G1369" s="223">
        <v>1995</v>
      </c>
      <c r="H1369" s="223">
        <v>1</v>
      </c>
      <c r="I1369" s="223">
        <v>1</v>
      </c>
      <c r="J1369" s="223"/>
      <c r="K1369" s="228">
        <v>4360.7408999999998</v>
      </c>
      <c r="L1369" s="241">
        <v>47</v>
      </c>
      <c r="M1369" s="233">
        <v>2311.192677</v>
      </c>
      <c r="N1369" s="230">
        <v>14.99</v>
      </c>
      <c r="O1369" s="231">
        <v>2311</v>
      </c>
      <c r="R1369" s="223"/>
    </row>
    <row r="1370" spans="1:18" s="217" customFormat="1" ht="14.1" customHeight="1">
      <c r="A1370" s="224" t="s">
        <v>1538</v>
      </c>
      <c r="B1370" s="218" t="s">
        <v>1539</v>
      </c>
      <c r="C1370" s="223">
        <v>2</v>
      </c>
      <c r="D1370" s="218" t="s">
        <v>1516</v>
      </c>
      <c r="E1370" s="240">
        <v>3</v>
      </c>
      <c r="F1370" s="230">
        <v>562.04999999999995</v>
      </c>
      <c r="G1370" s="223">
        <v>1995</v>
      </c>
      <c r="H1370" s="223">
        <v>1</v>
      </c>
      <c r="I1370" s="223">
        <v>1</v>
      </c>
      <c r="J1370" s="223"/>
      <c r="K1370" s="228">
        <v>8425.1294999999991</v>
      </c>
      <c r="L1370" s="241">
        <v>47</v>
      </c>
      <c r="M1370" s="233">
        <v>4465.3186349999996</v>
      </c>
      <c r="N1370" s="230">
        <v>14.99</v>
      </c>
      <c r="O1370" s="231">
        <v>4465</v>
      </c>
      <c r="R1370" s="223"/>
    </row>
    <row r="1371" spans="1:18" s="217" customFormat="1" ht="14.1" customHeight="1">
      <c r="A1371" s="224" t="s">
        <v>1538</v>
      </c>
      <c r="B1371" s="218" t="s">
        <v>1539</v>
      </c>
      <c r="C1371" s="223">
        <v>2</v>
      </c>
      <c r="D1371" s="218" t="s">
        <v>1516</v>
      </c>
      <c r="E1371" s="240">
        <v>3</v>
      </c>
      <c r="F1371" s="230">
        <v>492.45</v>
      </c>
      <c r="G1371" s="223">
        <v>1995</v>
      </c>
      <c r="H1371" s="223">
        <v>1</v>
      </c>
      <c r="I1371" s="223">
        <v>1</v>
      </c>
      <c r="J1371" s="223"/>
      <c r="K1371" s="228">
        <v>7381.8254999999999</v>
      </c>
      <c r="L1371" s="241">
        <v>47</v>
      </c>
      <c r="M1371" s="233">
        <v>3912.3675149999999</v>
      </c>
      <c r="N1371" s="230">
        <v>14.99</v>
      </c>
      <c r="O1371" s="231">
        <v>3912</v>
      </c>
      <c r="R1371" s="223"/>
    </row>
    <row r="1372" spans="1:18" s="217" customFormat="1" ht="14.1" customHeight="1">
      <c r="A1372" s="224" t="s">
        <v>1538</v>
      </c>
      <c r="B1372" s="218" t="s">
        <v>1539</v>
      </c>
      <c r="C1372" s="223">
        <v>2</v>
      </c>
      <c r="D1372" s="218" t="s">
        <v>1516</v>
      </c>
      <c r="E1372" s="240">
        <v>3</v>
      </c>
      <c r="F1372" s="230">
        <v>142.22</v>
      </c>
      <c r="G1372" s="223">
        <v>1995</v>
      </c>
      <c r="H1372" s="223">
        <v>1</v>
      </c>
      <c r="I1372" s="223">
        <v>1</v>
      </c>
      <c r="J1372" s="223"/>
      <c r="K1372" s="228">
        <v>2131.8778000000002</v>
      </c>
      <c r="L1372" s="241">
        <v>47</v>
      </c>
      <c r="M1372" s="233">
        <v>1129.8952340000001</v>
      </c>
      <c r="N1372" s="230">
        <v>14.99</v>
      </c>
      <c r="O1372" s="231">
        <v>1129</v>
      </c>
      <c r="R1372" s="223"/>
    </row>
    <row r="1373" spans="1:18" s="217" customFormat="1" ht="14.1" customHeight="1">
      <c r="A1373" s="224" t="s">
        <v>1538</v>
      </c>
      <c r="B1373" s="218" t="s">
        <v>1539</v>
      </c>
      <c r="C1373" s="223">
        <v>2</v>
      </c>
      <c r="D1373" s="218" t="s">
        <v>1516</v>
      </c>
      <c r="E1373" s="240">
        <v>3</v>
      </c>
      <c r="F1373" s="230">
        <v>536.19000000000005</v>
      </c>
      <c r="G1373" s="223">
        <v>1993</v>
      </c>
      <c r="H1373" s="223">
        <v>1</v>
      </c>
      <c r="I1373" s="225">
        <v>0</v>
      </c>
      <c r="J1373" s="223"/>
      <c r="K1373" s="247">
        <v>8037.4880999999996</v>
      </c>
      <c r="L1373" s="241">
        <v>50</v>
      </c>
      <c r="M1373" s="247">
        <v>4018.7440499999998</v>
      </c>
      <c r="N1373" s="230">
        <v>14.99</v>
      </c>
      <c r="O1373" s="287">
        <v>0</v>
      </c>
      <c r="P1373" s="316" t="s">
        <v>1568</v>
      </c>
      <c r="R1373" s="223"/>
    </row>
    <row r="1374" spans="1:18" s="217" customFormat="1" ht="15" customHeight="1">
      <c r="A1374" s="249" t="s">
        <v>1538</v>
      </c>
      <c r="B1374" s="250" t="s">
        <v>1539</v>
      </c>
      <c r="C1374" s="251">
        <v>2</v>
      </c>
      <c r="D1374" s="250" t="s">
        <v>1516</v>
      </c>
      <c r="E1374" s="259">
        <v>3</v>
      </c>
      <c r="F1374" s="252">
        <v>2521.19</v>
      </c>
      <c r="G1374" s="251">
        <v>1993</v>
      </c>
      <c r="H1374" s="251">
        <v>1</v>
      </c>
      <c r="I1374" s="251">
        <v>0</v>
      </c>
      <c r="J1374" s="251"/>
      <c r="K1374" s="253" t="s">
        <v>1540</v>
      </c>
      <c r="L1374" s="254">
        <v>50</v>
      </c>
      <c r="M1374" s="258" t="s">
        <v>1541</v>
      </c>
      <c r="N1374" s="252">
        <v>14.99</v>
      </c>
      <c r="O1374" s="256">
        <v>0</v>
      </c>
      <c r="P1374" s="252" t="s">
        <v>1519</v>
      </c>
      <c r="Q1374" s="252"/>
      <c r="R1374" s="223"/>
    </row>
    <row r="1375" spans="1:17" s="217" customFormat="1" ht="15" customHeight="1">
      <c r="A1375" s="224" t="s">
        <v>1538</v>
      </c>
      <c r="B1375" s="218" t="s">
        <v>1539</v>
      </c>
      <c r="C1375" s="223">
        <v>2</v>
      </c>
      <c r="D1375" s="218" t="s">
        <v>1516</v>
      </c>
      <c r="E1375" s="223">
        <v>3</v>
      </c>
      <c r="F1375" s="230">
        <v>563.67999999999995</v>
      </c>
      <c r="G1375" s="223">
        <v>1994</v>
      </c>
      <c r="H1375" s="223">
        <v>1</v>
      </c>
      <c r="I1375" s="223">
        <v>1</v>
      </c>
      <c r="J1375" s="223"/>
      <c r="K1375" s="228">
        <v>8449.5632000000005</v>
      </c>
      <c r="L1375" s="241">
        <v>49</v>
      </c>
      <c r="M1375" s="233">
        <v>4309.2772320000004</v>
      </c>
      <c r="N1375" s="230">
        <v>14.99</v>
      </c>
      <c r="O1375" s="231">
        <v>4309</v>
      </c>
      <c r="P1375" s="230"/>
      <c r="Q1375" s="230"/>
    </row>
    <row r="1376" spans="1:17" s="217" customFormat="1" ht="14.1" customHeight="1">
      <c r="A1376" s="224" t="s">
        <v>1538</v>
      </c>
      <c r="B1376" s="218" t="s">
        <v>1539</v>
      </c>
      <c r="C1376" s="223">
        <v>2</v>
      </c>
      <c r="D1376" s="218" t="s">
        <v>1516</v>
      </c>
      <c r="E1376" s="223">
        <v>3</v>
      </c>
      <c r="F1376" s="230">
        <v>101.25</v>
      </c>
      <c r="G1376" s="223">
        <v>1994</v>
      </c>
      <c r="H1376" s="223">
        <v>1</v>
      </c>
      <c r="I1376" s="223">
        <v>1</v>
      </c>
      <c r="J1376" s="223"/>
      <c r="K1376" s="228">
        <v>1517.7375</v>
      </c>
      <c r="L1376" s="241">
        <v>49</v>
      </c>
      <c r="M1376" s="233">
        <v>774.04612499999996</v>
      </c>
      <c r="N1376" s="230">
        <v>14.99</v>
      </c>
      <c r="O1376" s="231">
        <v>774</v>
      </c>
      <c r="P1376" s="230"/>
      <c r="Q1376" s="230"/>
    </row>
    <row r="1377" spans="1:17" s="217" customFormat="1" ht="14.1" customHeight="1">
      <c r="A1377" s="224" t="s">
        <v>1538</v>
      </c>
      <c r="B1377" s="218" t="s">
        <v>1539</v>
      </c>
      <c r="C1377" s="223">
        <v>2</v>
      </c>
      <c r="D1377" s="218" t="s">
        <v>1516</v>
      </c>
      <c r="E1377" s="223">
        <v>3</v>
      </c>
      <c r="F1377" s="230">
        <v>252.46</v>
      </c>
      <c r="G1377" s="223">
        <v>1994</v>
      </c>
      <c r="H1377" s="223">
        <v>1</v>
      </c>
      <c r="I1377" s="223">
        <v>1</v>
      </c>
      <c r="J1377" s="223"/>
      <c r="K1377" s="228">
        <v>3784.3753999999999</v>
      </c>
      <c r="L1377" s="241">
        <v>49</v>
      </c>
      <c r="M1377" s="233">
        <v>1930.0314539999999</v>
      </c>
      <c r="N1377" s="230">
        <v>14.99</v>
      </c>
      <c r="O1377" s="231">
        <v>1930</v>
      </c>
      <c r="P1377" s="230"/>
      <c r="Q1377" s="230"/>
    </row>
    <row r="1378" spans="1:17" s="217" customFormat="1" ht="14.1" customHeight="1">
      <c r="A1378" s="224" t="s">
        <v>1538</v>
      </c>
      <c r="B1378" s="218" t="s">
        <v>1539</v>
      </c>
      <c r="C1378" s="223">
        <v>2</v>
      </c>
      <c r="D1378" s="218" t="s">
        <v>1516</v>
      </c>
      <c r="E1378" s="223">
        <v>3</v>
      </c>
      <c r="F1378" s="242">
        <v>125.10</v>
      </c>
      <c r="G1378" s="223">
        <v>1994</v>
      </c>
      <c r="H1378" s="223">
        <v>1</v>
      </c>
      <c r="I1378" s="223">
        <v>1</v>
      </c>
      <c r="J1378" s="223"/>
      <c r="K1378" s="239">
        <v>1875.249</v>
      </c>
      <c r="L1378" s="241">
        <v>49</v>
      </c>
      <c r="M1378" s="229">
        <v>956.37698999999998</v>
      </c>
      <c r="N1378" s="230">
        <v>14.99</v>
      </c>
      <c r="O1378" s="231">
        <v>956</v>
      </c>
      <c r="P1378" s="230"/>
      <c r="Q1378" s="230"/>
    </row>
    <row r="1379" spans="1:17" s="217" customFormat="1" ht="14.1" customHeight="1">
      <c r="A1379" s="224" t="s">
        <v>1538</v>
      </c>
      <c r="B1379" s="218" t="s">
        <v>1539</v>
      </c>
      <c r="C1379" s="223">
        <v>2</v>
      </c>
      <c r="D1379" s="218" t="s">
        <v>1516</v>
      </c>
      <c r="E1379" s="223">
        <v>3</v>
      </c>
      <c r="F1379" s="230">
        <v>516.01</v>
      </c>
      <c r="G1379" s="223">
        <v>1994</v>
      </c>
      <c r="H1379" s="223">
        <v>1</v>
      </c>
      <c r="I1379" s="223">
        <v>1</v>
      </c>
      <c r="J1379" s="223"/>
      <c r="K1379" s="228">
        <v>7734.9898999999996</v>
      </c>
      <c r="L1379" s="241">
        <v>49</v>
      </c>
      <c r="M1379" s="233">
        <v>3944.8448490000001</v>
      </c>
      <c r="N1379" s="230">
        <v>14.99</v>
      </c>
      <c r="O1379" s="231">
        <v>3944</v>
      </c>
      <c r="P1379" s="230"/>
      <c r="Q1379" s="230"/>
    </row>
    <row r="1380" spans="1:17" s="217" customFormat="1" ht="14.1" customHeight="1">
      <c r="A1380" s="224" t="s">
        <v>1538</v>
      </c>
      <c r="B1380" s="218" t="s">
        <v>1539</v>
      </c>
      <c r="C1380" s="223">
        <v>2</v>
      </c>
      <c r="D1380" s="218" t="s">
        <v>1516</v>
      </c>
      <c r="E1380" s="223">
        <v>3</v>
      </c>
      <c r="F1380" s="230">
        <v>767.42</v>
      </c>
      <c r="G1380" s="223">
        <v>1988</v>
      </c>
      <c r="H1380" s="223">
        <v>1</v>
      </c>
      <c r="I1380" s="223">
        <v>0</v>
      </c>
      <c r="J1380" s="223"/>
      <c r="K1380" s="228">
        <v>11503.6258</v>
      </c>
      <c r="L1380" s="241">
        <v>54</v>
      </c>
      <c r="M1380" s="233">
        <v>5291.6678680000005</v>
      </c>
      <c r="N1380" s="230">
        <v>14.99</v>
      </c>
      <c r="O1380" s="231">
        <v>0</v>
      </c>
      <c r="P1380" s="230"/>
      <c r="Q1380" s="230"/>
    </row>
    <row r="1381" spans="1:17" s="217" customFormat="1" ht="14.1" customHeight="1">
      <c r="A1381" s="224" t="s">
        <v>1538</v>
      </c>
      <c r="B1381" s="218" t="s">
        <v>1539</v>
      </c>
      <c r="C1381" s="223">
        <v>2</v>
      </c>
      <c r="D1381" s="218" t="s">
        <v>1516</v>
      </c>
      <c r="E1381" s="223">
        <v>3</v>
      </c>
      <c r="F1381" s="230">
        <v>432.95</v>
      </c>
      <c r="G1381" s="223">
        <v>1994</v>
      </c>
      <c r="H1381" s="223">
        <v>1</v>
      </c>
      <c r="I1381" s="223">
        <v>0</v>
      </c>
      <c r="J1381" s="223"/>
      <c r="K1381" s="228">
        <v>6489.9205000000002</v>
      </c>
      <c r="L1381" s="241">
        <v>49</v>
      </c>
      <c r="M1381" s="233">
        <v>3309.8594549999998</v>
      </c>
      <c r="N1381" s="230">
        <v>14.99</v>
      </c>
      <c r="O1381" s="231">
        <v>0</v>
      </c>
      <c r="P1381" s="230"/>
      <c r="Q1381" s="230"/>
    </row>
    <row r="1382" spans="1:17" s="217" customFormat="1" ht="14.1" customHeight="1">
      <c r="A1382" s="224" t="s">
        <v>1538</v>
      </c>
      <c r="B1382" s="218" t="s">
        <v>1539</v>
      </c>
      <c r="C1382" s="223">
        <v>2</v>
      </c>
      <c r="D1382" s="218" t="s">
        <v>1516</v>
      </c>
      <c r="E1382" s="223">
        <v>3</v>
      </c>
      <c r="F1382" s="230">
        <v>3104.53</v>
      </c>
      <c r="G1382" s="223">
        <v>1993</v>
      </c>
      <c r="H1382" s="223">
        <v>1</v>
      </c>
      <c r="I1382" s="223">
        <v>1</v>
      </c>
      <c r="J1382" s="223"/>
      <c r="K1382" s="228">
        <v>46536.904699999999</v>
      </c>
      <c r="L1382" s="241">
        <v>50</v>
      </c>
      <c r="M1382" s="229">
        <v>23268.45235</v>
      </c>
      <c r="N1382" s="230">
        <v>14.99</v>
      </c>
      <c r="O1382" s="231">
        <v>23268</v>
      </c>
      <c r="P1382" s="230"/>
      <c r="Q1382" s="230"/>
    </row>
    <row r="1383" spans="1:17" s="217" customFormat="1" ht="14.1" customHeight="1">
      <c r="A1383" s="224" t="s">
        <v>1538</v>
      </c>
      <c r="B1383" s="218" t="s">
        <v>1539</v>
      </c>
      <c r="C1383" s="223">
        <v>2</v>
      </c>
      <c r="D1383" s="218" t="s">
        <v>1516</v>
      </c>
      <c r="E1383" s="223">
        <v>3</v>
      </c>
      <c r="F1383" s="230">
        <v>4274.32</v>
      </c>
      <c r="G1383" s="223">
        <v>1993</v>
      </c>
      <c r="H1383" s="223">
        <v>1</v>
      </c>
      <c r="I1383" s="223">
        <v>1</v>
      </c>
      <c r="J1383" s="223"/>
      <c r="K1383" s="228">
        <v>64072.056799999998</v>
      </c>
      <c r="L1383" s="241">
        <v>50</v>
      </c>
      <c r="M1383" s="228">
        <v>32036.028399999999</v>
      </c>
      <c r="N1383" s="230">
        <v>14.99</v>
      </c>
      <c r="O1383" s="231">
        <v>32036</v>
      </c>
      <c r="P1383" s="230"/>
      <c r="Q1383" s="230"/>
    </row>
    <row r="1384" spans="1:17" s="217" customFormat="1" ht="14.1" customHeight="1">
      <c r="A1384" s="224" t="s">
        <v>1538</v>
      </c>
      <c r="B1384" s="218" t="s">
        <v>1539</v>
      </c>
      <c r="C1384" s="223">
        <v>2</v>
      </c>
      <c r="D1384" s="218" t="s">
        <v>1516</v>
      </c>
      <c r="E1384" s="223">
        <v>3</v>
      </c>
      <c r="F1384" s="230">
        <v>2303.9499999999998</v>
      </c>
      <c r="G1384" s="223">
        <v>1990</v>
      </c>
      <c r="H1384" s="223">
        <v>1</v>
      </c>
      <c r="I1384" s="223">
        <v>1</v>
      </c>
      <c r="J1384" s="223"/>
      <c r="K1384" s="228">
        <v>34536.210500000001</v>
      </c>
      <c r="L1384" s="241">
        <v>52</v>
      </c>
      <c r="M1384" s="229">
        <v>16577.38104</v>
      </c>
      <c r="N1384" s="230">
        <v>14.99</v>
      </c>
      <c r="O1384" s="231">
        <v>16577</v>
      </c>
      <c r="P1384" s="230"/>
      <c r="Q1384" s="230"/>
    </row>
    <row r="1385" spans="1:17" s="217" customFormat="1" ht="14.1" customHeight="1">
      <c r="A1385" s="224" t="s">
        <v>1538</v>
      </c>
      <c r="B1385" s="218" t="s">
        <v>1539</v>
      </c>
      <c r="C1385" s="223">
        <v>2</v>
      </c>
      <c r="D1385" s="218" t="s">
        <v>1516</v>
      </c>
      <c r="E1385" s="223">
        <v>3</v>
      </c>
      <c r="F1385" s="230">
        <v>577.55999999999995</v>
      </c>
      <c r="G1385" s="223">
        <v>1990</v>
      </c>
      <c r="H1385" s="223">
        <v>1</v>
      </c>
      <c r="I1385" s="223">
        <v>0</v>
      </c>
      <c r="J1385" s="223"/>
      <c r="K1385" s="228">
        <v>8657.6244000000006</v>
      </c>
      <c r="L1385" s="241">
        <v>52</v>
      </c>
      <c r="M1385" s="233">
        <v>4155.6597119999997</v>
      </c>
      <c r="N1385" s="230">
        <v>14.99</v>
      </c>
      <c r="O1385" s="231">
        <v>0</v>
      </c>
      <c r="P1385" s="230"/>
      <c r="Q1385" s="230"/>
    </row>
    <row r="1386" spans="1:17" s="217" customFormat="1" ht="14.1" customHeight="1">
      <c r="A1386" s="224" t="s">
        <v>1538</v>
      </c>
      <c r="B1386" s="218" t="s">
        <v>1539</v>
      </c>
      <c r="C1386" s="223">
        <v>2</v>
      </c>
      <c r="D1386" s="218" t="s">
        <v>1516</v>
      </c>
      <c r="E1386" s="223">
        <v>3</v>
      </c>
      <c r="F1386" s="230">
        <v>478.74</v>
      </c>
      <c r="G1386" s="223">
        <v>1990</v>
      </c>
      <c r="H1386" s="223">
        <v>1</v>
      </c>
      <c r="I1386" s="223">
        <v>1</v>
      </c>
      <c r="J1386" s="223"/>
      <c r="K1386" s="228">
        <v>7176.3126000000002</v>
      </c>
      <c r="L1386" s="241">
        <v>52</v>
      </c>
      <c r="M1386" s="233">
        <v>3444.630048</v>
      </c>
      <c r="N1386" s="230">
        <v>14.99</v>
      </c>
      <c r="O1386" s="231">
        <v>3444</v>
      </c>
      <c r="P1386" s="230"/>
      <c r="Q1386" s="230"/>
    </row>
    <row r="1387" spans="1:17" s="217" customFormat="1" ht="14.1" customHeight="1">
      <c r="A1387" s="224" t="s">
        <v>1538</v>
      </c>
      <c r="B1387" s="218" t="s">
        <v>1539</v>
      </c>
      <c r="C1387" s="223">
        <v>2</v>
      </c>
      <c r="D1387" s="218" t="s">
        <v>1516</v>
      </c>
      <c r="E1387" s="223">
        <v>3</v>
      </c>
      <c r="F1387" s="230">
        <v>710.33</v>
      </c>
      <c r="G1387" s="223">
        <v>1998</v>
      </c>
      <c r="H1387" s="223">
        <v>1</v>
      </c>
      <c r="I1387" s="223">
        <v>1</v>
      </c>
      <c r="J1387" s="223"/>
      <c r="K1387" s="228">
        <v>10647.8467</v>
      </c>
      <c r="L1387" s="241">
        <v>40</v>
      </c>
      <c r="M1387" s="229">
        <v>6388.70802</v>
      </c>
      <c r="N1387" s="230">
        <v>14.99</v>
      </c>
      <c r="O1387" s="231">
        <v>6388</v>
      </c>
      <c r="P1387" s="230"/>
      <c r="Q1387" s="230"/>
    </row>
    <row r="1388" spans="1:17" s="217" customFormat="1" ht="14.1" customHeight="1">
      <c r="A1388" s="224" t="s">
        <v>1538</v>
      </c>
      <c r="B1388" s="218" t="s">
        <v>1539</v>
      </c>
      <c r="C1388" s="223">
        <v>2</v>
      </c>
      <c r="D1388" s="218" t="s">
        <v>1516</v>
      </c>
      <c r="E1388" s="223">
        <v>3</v>
      </c>
      <c r="F1388" s="230">
        <v>297.83</v>
      </c>
      <c r="G1388" s="223">
        <v>1993</v>
      </c>
      <c r="H1388" s="223">
        <v>1</v>
      </c>
      <c r="I1388" s="223">
        <v>1</v>
      </c>
      <c r="J1388" s="223"/>
      <c r="K1388" s="228">
        <v>4464.4717000000001</v>
      </c>
      <c r="L1388" s="241">
        <v>50</v>
      </c>
      <c r="M1388" s="229">
        <v>2232.23585</v>
      </c>
      <c r="N1388" s="230">
        <v>14.99</v>
      </c>
      <c r="O1388" s="231">
        <v>2232</v>
      </c>
      <c r="P1388" s="230"/>
      <c r="Q1388" s="230"/>
    </row>
    <row r="1389" spans="1:17" s="217" customFormat="1" ht="14.1" customHeight="1">
      <c r="A1389" s="224" t="s">
        <v>1538</v>
      </c>
      <c r="B1389" s="218" t="s">
        <v>1539</v>
      </c>
      <c r="C1389" s="223">
        <v>2</v>
      </c>
      <c r="D1389" s="218" t="s">
        <v>1516</v>
      </c>
      <c r="E1389" s="223">
        <v>3</v>
      </c>
      <c r="F1389" s="230">
        <v>157.44999999999999</v>
      </c>
      <c r="G1389" s="223">
        <v>1990</v>
      </c>
      <c r="H1389" s="223">
        <v>1</v>
      </c>
      <c r="I1389" s="223">
        <v>0</v>
      </c>
      <c r="J1389" s="223"/>
      <c r="K1389" s="228">
        <v>2360.1754999999998</v>
      </c>
      <c r="L1389" s="241">
        <v>52</v>
      </c>
      <c r="M1389" s="229">
        <v>1132.8842400000001</v>
      </c>
      <c r="N1389" s="230">
        <v>14.99</v>
      </c>
      <c r="O1389" s="231">
        <v>0</v>
      </c>
      <c r="P1389" s="230"/>
      <c r="Q1389" s="230"/>
    </row>
    <row r="1390" spans="1:17" s="217" customFormat="1" ht="14.1" customHeight="1">
      <c r="A1390" s="224" t="s">
        <v>1538</v>
      </c>
      <c r="B1390" s="218" t="s">
        <v>1539</v>
      </c>
      <c r="C1390" s="223">
        <v>2</v>
      </c>
      <c r="D1390" s="218" t="s">
        <v>1516</v>
      </c>
      <c r="E1390" s="223">
        <v>3</v>
      </c>
      <c r="F1390" s="230">
        <v>192.59</v>
      </c>
      <c r="G1390" s="223">
        <v>1990</v>
      </c>
      <c r="H1390" s="223">
        <v>1</v>
      </c>
      <c r="I1390" s="223">
        <v>0</v>
      </c>
      <c r="J1390" s="223"/>
      <c r="K1390" s="228">
        <v>2886.9241000000002</v>
      </c>
      <c r="L1390" s="241">
        <v>52</v>
      </c>
      <c r="M1390" s="233">
        <v>1385.7235679999999</v>
      </c>
      <c r="N1390" s="230">
        <v>14.99</v>
      </c>
      <c r="O1390" s="231">
        <v>0</v>
      </c>
      <c r="P1390" s="230"/>
      <c r="Q1390" s="230"/>
    </row>
    <row r="1391" spans="1:17" s="217" customFormat="1" ht="14.1" customHeight="1">
      <c r="A1391" s="224" t="s">
        <v>1538</v>
      </c>
      <c r="B1391" s="218" t="s">
        <v>1539</v>
      </c>
      <c r="C1391" s="223">
        <v>2</v>
      </c>
      <c r="D1391" s="218" t="s">
        <v>1516</v>
      </c>
      <c r="E1391" s="223">
        <v>3</v>
      </c>
      <c r="F1391" s="230">
        <v>189.27</v>
      </c>
      <c r="G1391" s="223">
        <v>1990</v>
      </c>
      <c r="H1391" s="223">
        <v>1</v>
      </c>
      <c r="I1391" s="223">
        <v>0</v>
      </c>
      <c r="J1391" s="223"/>
      <c r="K1391" s="228">
        <v>2837.1572999999999</v>
      </c>
      <c r="L1391" s="241">
        <v>52</v>
      </c>
      <c r="M1391" s="233">
        <v>1361.8355039999999</v>
      </c>
      <c r="N1391" s="230">
        <v>14.99</v>
      </c>
      <c r="O1391" s="231">
        <v>0</v>
      </c>
      <c r="P1391" s="230"/>
      <c r="Q1391" s="230"/>
    </row>
    <row r="1392" spans="1:17" s="217" customFormat="1" ht="14.1" customHeight="1">
      <c r="A1392" s="224" t="s">
        <v>1538</v>
      </c>
      <c r="B1392" s="218" t="s">
        <v>1539</v>
      </c>
      <c r="C1392" s="223">
        <v>2</v>
      </c>
      <c r="D1392" s="218" t="s">
        <v>1516</v>
      </c>
      <c r="E1392" s="223">
        <v>3</v>
      </c>
      <c r="F1392" s="230">
        <v>401.78</v>
      </c>
      <c r="G1392" s="223">
        <v>1998</v>
      </c>
      <c r="H1392" s="223">
        <v>1</v>
      </c>
      <c r="I1392" s="223">
        <v>1</v>
      </c>
      <c r="J1392" s="223"/>
      <c r="K1392" s="228">
        <v>6022.6822000000002</v>
      </c>
      <c r="L1392" s="241">
        <v>40</v>
      </c>
      <c r="M1392" s="229">
        <v>3613.60932</v>
      </c>
      <c r="N1392" s="230">
        <v>14.99</v>
      </c>
      <c r="O1392" s="231">
        <v>3613</v>
      </c>
      <c r="P1392" s="230"/>
      <c r="Q1392" s="230"/>
    </row>
    <row r="1393" spans="1:17" s="217" customFormat="1" ht="14.1" customHeight="1">
      <c r="A1393" s="224" t="s">
        <v>1538</v>
      </c>
      <c r="B1393" s="218" t="s">
        <v>1539</v>
      </c>
      <c r="C1393" s="223">
        <v>2</v>
      </c>
      <c r="D1393" s="218" t="s">
        <v>1516</v>
      </c>
      <c r="E1393" s="223">
        <v>3</v>
      </c>
      <c r="F1393" s="230">
        <v>909.09</v>
      </c>
      <c r="G1393" s="223">
        <v>1998</v>
      </c>
      <c r="H1393" s="223">
        <v>1</v>
      </c>
      <c r="I1393" s="223">
        <v>0</v>
      </c>
      <c r="J1393" s="223"/>
      <c r="K1393" s="228">
        <v>13627.259099999999</v>
      </c>
      <c r="L1393" s="241">
        <v>40</v>
      </c>
      <c r="M1393" s="229">
        <v>8176.3554599999998</v>
      </c>
      <c r="N1393" s="230">
        <v>14.99</v>
      </c>
      <c r="O1393" s="231">
        <v>0</v>
      </c>
      <c r="P1393" s="230"/>
      <c r="Q1393" s="230"/>
    </row>
    <row r="1394" spans="1:17" s="217" customFormat="1" ht="14.1" customHeight="1">
      <c r="A1394" s="224" t="s">
        <v>1538</v>
      </c>
      <c r="B1394" s="218" t="s">
        <v>1539</v>
      </c>
      <c r="C1394" s="223">
        <v>2</v>
      </c>
      <c r="D1394" s="218" t="s">
        <v>1516</v>
      </c>
      <c r="E1394" s="223">
        <v>3</v>
      </c>
      <c r="F1394" s="230">
        <v>2694.34</v>
      </c>
      <c r="G1394" s="223">
        <v>1998</v>
      </c>
      <c r="H1394" s="223">
        <v>1</v>
      </c>
      <c r="I1394" s="223">
        <v>1</v>
      </c>
      <c r="J1394" s="223"/>
      <c r="K1394" s="228">
        <v>40388.156600000002</v>
      </c>
      <c r="L1394" s="241">
        <v>40</v>
      </c>
      <c r="M1394" s="229">
        <v>24232.893960000001</v>
      </c>
      <c r="N1394" s="230">
        <v>14.99</v>
      </c>
      <c r="O1394" s="231">
        <v>24232</v>
      </c>
      <c r="P1394" s="230"/>
      <c r="Q1394" s="230"/>
    </row>
    <row r="1395" spans="1:17" s="217" customFormat="1" ht="14.1" customHeight="1">
      <c r="A1395" s="224" t="s">
        <v>1538</v>
      </c>
      <c r="B1395" s="218" t="s">
        <v>1539</v>
      </c>
      <c r="C1395" s="223">
        <v>2</v>
      </c>
      <c r="D1395" s="218" t="s">
        <v>1516</v>
      </c>
      <c r="E1395" s="223">
        <v>3</v>
      </c>
      <c r="F1395" s="242">
        <v>15.70</v>
      </c>
      <c r="G1395" s="223">
        <v>1995</v>
      </c>
      <c r="H1395" s="223">
        <v>1</v>
      </c>
      <c r="I1395" s="223">
        <v>1</v>
      </c>
      <c r="J1395" s="223"/>
      <c r="K1395" s="239">
        <v>235.34299999999999</v>
      </c>
      <c r="L1395" s="241">
        <v>47</v>
      </c>
      <c r="M1395" s="229">
        <v>124.73179</v>
      </c>
      <c r="N1395" s="230">
        <v>14.99</v>
      </c>
      <c r="O1395" s="231">
        <v>124</v>
      </c>
      <c r="P1395" s="230"/>
      <c r="Q1395" s="230"/>
    </row>
    <row r="1396" spans="1:17" s="217" customFormat="1" ht="14.1" customHeight="1">
      <c r="A1396" s="224" t="s">
        <v>1538</v>
      </c>
      <c r="B1396" s="218" t="s">
        <v>1539</v>
      </c>
      <c r="C1396" s="223">
        <v>2</v>
      </c>
      <c r="D1396" s="218" t="s">
        <v>1516</v>
      </c>
      <c r="E1396" s="223">
        <v>3</v>
      </c>
      <c r="F1396" s="230">
        <v>227.29</v>
      </c>
      <c r="G1396" s="223">
        <v>1995</v>
      </c>
      <c r="H1396" s="223">
        <v>1</v>
      </c>
      <c r="I1396" s="223">
        <v>1</v>
      </c>
      <c r="J1396" s="223"/>
      <c r="K1396" s="228">
        <v>3407.0771</v>
      </c>
      <c r="L1396" s="241">
        <v>47</v>
      </c>
      <c r="M1396" s="233">
        <v>1805.750863</v>
      </c>
      <c r="N1396" s="230">
        <v>14.99</v>
      </c>
      <c r="O1396" s="231">
        <v>1805</v>
      </c>
      <c r="P1396" s="230"/>
      <c r="Q1396" s="230"/>
    </row>
    <row r="1397" spans="1:17" s="217" customFormat="1" ht="14.1" customHeight="1">
      <c r="A1397" s="224" t="s">
        <v>1538</v>
      </c>
      <c r="B1397" s="218" t="s">
        <v>1539</v>
      </c>
      <c r="C1397" s="223">
        <v>2</v>
      </c>
      <c r="D1397" s="218" t="s">
        <v>1516</v>
      </c>
      <c r="E1397" s="223">
        <v>3</v>
      </c>
      <c r="F1397" s="230">
        <v>241.06</v>
      </c>
      <c r="G1397" s="223">
        <v>1995</v>
      </c>
      <c r="H1397" s="223">
        <v>1</v>
      </c>
      <c r="I1397" s="223">
        <v>1</v>
      </c>
      <c r="J1397" s="223"/>
      <c r="K1397" s="228">
        <v>3613.4893999999999</v>
      </c>
      <c r="L1397" s="241">
        <v>47</v>
      </c>
      <c r="M1397" s="233">
        <v>1915.1493820000001</v>
      </c>
      <c r="N1397" s="230">
        <v>14.99</v>
      </c>
      <c r="O1397" s="231">
        <v>1915</v>
      </c>
      <c r="P1397" s="230"/>
      <c r="Q1397" s="230"/>
    </row>
    <row r="1398" spans="1:17" s="217" customFormat="1" ht="14.1" customHeight="1">
      <c r="A1398" s="224" t="s">
        <v>1538</v>
      </c>
      <c r="B1398" s="218" t="s">
        <v>1539</v>
      </c>
      <c r="C1398" s="223">
        <v>2</v>
      </c>
      <c r="D1398" s="218" t="s">
        <v>1516</v>
      </c>
      <c r="E1398" s="223">
        <v>3</v>
      </c>
      <c r="F1398" s="230">
        <v>1678.56</v>
      </c>
      <c r="G1398" s="223">
        <v>1995</v>
      </c>
      <c r="H1398" s="223">
        <v>1</v>
      </c>
      <c r="I1398" s="223">
        <v>1</v>
      </c>
      <c r="J1398" s="223"/>
      <c r="K1398" s="228">
        <v>25161.614399999999</v>
      </c>
      <c r="L1398" s="241">
        <v>47</v>
      </c>
      <c r="M1398" s="229">
        <v>13335.655629999999</v>
      </c>
      <c r="N1398" s="230">
        <v>14.99</v>
      </c>
      <c r="O1398" s="231">
        <v>13335</v>
      </c>
      <c r="P1398" s="230"/>
      <c r="Q1398" s="230"/>
    </row>
    <row r="1399" spans="1:17" s="217" customFormat="1" ht="14.1" customHeight="1">
      <c r="A1399" s="224" t="s">
        <v>1538</v>
      </c>
      <c r="B1399" s="218" t="s">
        <v>1539</v>
      </c>
      <c r="C1399" s="223">
        <v>2</v>
      </c>
      <c r="D1399" s="218" t="s">
        <v>1516</v>
      </c>
      <c r="E1399" s="223">
        <v>3</v>
      </c>
      <c r="F1399" s="230">
        <v>880.38</v>
      </c>
      <c r="G1399" s="223">
        <v>1995</v>
      </c>
      <c r="H1399" s="223">
        <v>1</v>
      </c>
      <c r="I1399" s="223">
        <v>1</v>
      </c>
      <c r="J1399" s="223"/>
      <c r="K1399" s="228">
        <v>13196.896199999999</v>
      </c>
      <c r="L1399" s="241">
        <v>47</v>
      </c>
      <c r="M1399" s="233">
        <v>6994.3549860000003</v>
      </c>
      <c r="N1399" s="230">
        <v>14.99</v>
      </c>
      <c r="O1399" s="231">
        <v>6994</v>
      </c>
      <c r="P1399" s="230"/>
      <c r="Q1399" s="230"/>
    </row>
    <row r="1400" spans="1:17" s="217" customFormat="1" ht="14.1" customHeight="1">
      <c r="A1400" s="224" t="s">
        <v>1538</v>
      </c>
      <c r="B1400" s="218" t="s">
        <v>1539</v>
      </c>
      <c r="C1400" s="223">
        <v>2</v>
      </c>
      <c r="D1400" s="218" t="s">
        <v>1516</v>
      </c>
      <c r="E1400" s="223">
        <v>3</v>
      </c>
      <c r="F1400" s="230">
        <v>2387.83</v>
      </c>
      <c r="G1400" s="223">
        <v>1998</v>
      </c>
      <c r="H1400" s="223">
        <v>1</v>
      </c>
      <c r="I1400" s="225">
        <v>0</v>
      </c>
      <c r="J1400" s="223"/>
      <c r="K1400" s="247">
        <v>35793.5717</v>
      </c>
      <c r="L1400" s="241">
        <v>40</v>
      </c>
      <c r="M1400" s="247">
        <v>21476.14302</v>
      </c>
      <c r="N1400" s="230">
        <v>14.99</v>
      </c>
      <c r="O1400" s="287">
        <v>0</v>
      </c>
      <c r="P1400" s="316" t="s">
        <v>1568</v>
      </c>
      <c r="Q1400" s="230"/>
    </row>
    <row r="1401" spans="1:17" s="217" customFormat="1" ht="14.1" customHeight="1">
      <c r="A1401" s="224" t="s">
        <v>1538</v>
      </c>
      <c r="B1401" s="218" t="s">
        <v>1539</v>
      </c>
      <c r="C1401" s="223">
        <v>2</v>
      </c>
      <c r="D1401" s="218" t="s">
        <v>1516</v>
      </c>
      <c r="E1401" s="223">
        <v>3</v>
      </c>
      <c r="F1401" s="230">
        <v>3720.78</v>
      </c>
      <c r="G1401" s="223">
        <v>1998</v>
      </c>
      <c r="H1401" s="223">
        <v>1</v>
      </c>
      <c r="I1401" s="223">
        <v>1</v>
      </c>
      <c r="J1401" s="223"/>
      <c r="K1401" s="228">
        <v>55774.492200000001</v>
      </c>
      <c r="L1401" s="241">
        <v>40</v>
      </c>
      <c r="M1401" s="229">
        <v>33464.695319999999</v>
      </c>
      <c r="N1401" s="230">
        <v>14.99</v>
      </c>
      <c r="O1401" s="231">
        <v>33464</v>
      </c>
      <c r="P1401" s="230"/>
      <c r="Q1401" s="230"/>
    </row>
    <row r="1402" spans="1:17" s="217" customFormat="1" ht="14.1" customHeight="1">
      <c r="A1402" s="224" t="s">
        <v>1538</v>
      </c>
      <c r="B1402" s="218" t="s">
        <v>1539</v>
      </c>
      <c r="C1402" s="223">
        <v>2</v>
      </c>
      <c r="D1402" s="218" t="s">
        <v>1516</v>
      </c>
      <c r="E1402" s="223">
        <v>3</v>
      </c>
      <c r="F1402" s="230">
        <v>159.61000000000001</v>
      </c>
      <c r="G1402" s="223">
        <v>1992</v>
      </c>
      <c r="H1402" s="223">
        <v>1</v>
      </c>
      <c r="I1402" s="223">
        <v>1</v>
      </c>
      <c r="J1402" s="223"/>
      <c r="K1402" s="228">
        <v>2392.5538999999999</v>
      </c>
      <c r="L1402" s="241">
        <v>51</v>
      </c>
      <c r="M1402" s="233">
        <v>1172.3514110000001</v>
      </c>
      <c r="N1402" s="230">
        <v>14.99</v>
      </c>
      <c r="O1402" s="231">
        <v>1172</v>
      </c>
      <c r="P1402" s="230"/>
      <c r="Q1402" s="230"/>
    </row>
    <row r="1403" spans="1:17" s="217" customFormat="1" ht="14.1" customHeight="1">
      <c r="A1403" s="224" t="s">
        <v>1538</v>
      </c>
      <c r="B1403" s="218" t="s">
        <v>1539</v>
      </c>
      <c r="C1403" s="223">
        <v>2</v>
      </c>
      <c r="D1403" s="218" t="s">
        <v>1516</v>
      </c>
      <c r="E1403" s="223">
        <v>3</v>
      </c>
      <c r="F1403" s="230">
        <v>848.59</v>
      </c>
      <c r="G1403" s="223">
        <v>1992</v>
      </c>
      <c r="H1403" s="223">
        <v>1</v>
      </c>
      <c r="I1403" s="223">
        <v>1</v>
      </c>
      <c r="J1403" s="223"/>
      <c r="K1403" s="228">
        <v>12720.364100000001</v>
      </c>
      <c r="L1403" s="241">
        <v>51</v>
      </c>
      <c r="M1403" s="233">
        <v>6232.9784090000003</v>
      </c>
      <c r="N1403" s="230">
        <v>14.99</v>
      </c>
      <c r="O1403" s="231">
        <v>6232</v>
      </c>
      <c r="P1403" s="230"/>
      <c r="Q1403" s="230"/>
    </row>
    <row r="1404" spans="1:17" s="217" customFormat="1" ht="14.1" customHeight="1">
      <c r="A1404" s="224" t="s">
        <v>1538</v>
      </c>
      <c r="B1404" s="218" t="s">
        <v>1539</v>
      </c>
      <c r="C1404" s="223">
        <v>2</v>
      </c>
      <c r="D1404" s="218" t="s">
        <v>1516</v>
      </c>
      <c r="E1404" s="223">
        <v>3</v>
      </c>
      <c r="F1404" s="230">
        <v>205.26</v>
      </c>
      <c r="G1404" s="223">
        <v>1992</v>
      </c>
      <c r="H1404" s="223">
        <v>1</v>
      </c>
      <c r="I1404" s="223">
        <v>1</v>
      </c>
      <c r="J1404" s="223"/>
      <c r="K1404" s="228">
        <v>3076.8474000000001</v>
      </c>
      <c r="L1404" s="241">
        <v>51</v>
      </c>
      <c r="M1404" s="233">
        <v>1507.6552260000001</v>
      </c>
      <c r="N1404" s="230">
        <v>14.99</v>
      </c>
      <c r="O1404" s="231">
        <v>1507</v>
      </c>
      <c r="P1404" s="230"/>
      <c r="Q1404" s="230"/>
    </row>
    <row r="1405" spans="1:17" s="217" customFormat="1" ht="14.1" customHeight="1">
      <c r="A1405" s="224" t="s">
        <v>1538</v>
      </c>
      <c r="B1405" s="218" t="s">
        <v>1539</v>
      </c>
      <c r="C1405" s="223">
        <v>2</v>
      </c>
      <c r="D1405" s="218" t="s">
        <v>1516</v>
      </c>
      <c r="E1405" s="223">
        <v>3</v>
      </c>
      <c r="F1405" s="230">
        <v>241.66</v>
      </c>
      <c r="G1405" s="223">
        <v>1996</v>
      </c>
      <c r="H1405" s="223">
        <v>1</v>
      </c>
      <c r="I1405" s="223">
        <v>0</v>
      </c>
      <c r="J1405" s="223"/>
      <c r="K1405" s="228">
        <v>3622.4834000000001</v>
      </c>
      <c r="L1405" s="241">
        <v>44</v>
      </c>
      <c r="M1405" s="233">
        <v>2028.590704</v>
      </c>
      <c r="N1405" s="230">
        <v>14.99</v>
      </c>
      <c r="O1405" s="231">
        <v>0</v>
      </c>
      <c r="P1405" s="230"/>
      <c r="Q1405" s="230"/>
    </row>
    <row r="1406" spans="1:17" s="217" customFormat="1" ht="14.1" customHeight="1">
      <c r="A1406" s="224" t="s">
        <v>1538</v>
      </c>
      <c r="B1406" s="218" t="s">
        <v>1539</v>
      </c>
      <c r="C1406" s="223">
        <v>2</v>
      </c>
      <c r="D1406" s="218" t="s">
        <v>1516</v>
      </c>
      <c r="E1406" s="223">
        <v>3</v>
      </c>
      <c r="F1406" s="230">
        <v>38.06</v>
      </c>
      <c r="G1406" s="223">
        <v>1994</v>
      </c>
      <c r="H1406" s="223">
        <v>1</v>
      </c>
      <c r="I1406" s="225">
        <v>0</v>
      </c>
      <c r="J1406" s="223"/>
      <c r="K1406" s="247">
        <v>570.51940000000002</v>
      </c>
      <c r="L1406" s="241">
        <v>49</v>
      </c>
      <c r="M1406" s="247">
        <v>290.96489400000002</v>
      </c>
      <c r="N1406" s="230">
        <v>14.99</v>
      </c>
      <c r="O1406" s="287">
        <v>0</v>
      </c>
      <c r="P1406" s="316" t="s">
        <v>1568</v>
      </c>
      <c r="Q1406" s="230"/>
    </row>
    <row r="1407" spans="1:17" s="217" customFormat="1" ht="14.1" customHeight="1">
      <c r="A1407" s="224" t="s">
        <v>1538</v>
      </c>
      <c r="B1407" s="218" t="s">
        <v>1539</v>
      </c>
      <c r="C1407" s="223">
        <v>2</v>
      </c>
      <c r="D1407" s="218" t="s">
        <v>1516</v>
      </c>
      <c r="E1407" s="223">
        <v>3</v>
      </c>
      <c r="F1407" s="230">
        <v>1145.1600000000001</v>
      </c>
      <c r="G1407" s="223">
        <v>1994</v>
      </c>
      <c r="H1407" s="223">
        <v>1</v>
      </c>
      <c r="I1407" s="225">
        <v>0</v>
      </c>
      <c r="J1407" s="223"/>
      <c r="K1407" s="247">
        <v>17165.948400000001</v>
      </c>
      <c r="L1407" s="241">
        <v>49</v>
      </c>
      <c r="M1407" s="247">
        <v>8754.6336840000004</v>
      </c>
      <c r="N1407" s="230">
        <v>14.99</v>
      </c>
      <c r="O1407" s="287">
        <v>0</v>
      </c>
      <c r="P1407" s="316" t="s">
        <v>1568</v>
      </c>
      <c r="Q1407" s="230"/>
    </row>
    <row r="1408" spans="1:17" s="217" customFormat="1" ht="14.1" customHeight="1">
      <c r="A1408" s="224" t="s">
        <v>1538</v>
      </c>
      <c r="B1408" s="218" t="s">
        <v>1539</v>
      </c>
      <c r="C1408" s="223">
        <v>2</v>
      </c>
      <c r="D1408" s="218" t="s">
        <v>1516</v>
      </c>
      <c r="E1408" s="223">
        <v>3</v>
      </c>
      <c r="F1408" s="230">
        <v>1538.81</v>
      </c>
      <c r="G1408" s="223">
        <v>1994</v>
      </c>
      <c r="H1408" s="223">
        <v>1</v>
      </c>
      <c r="I1408" s="225">
        <v>0</v>
      </c>
      <c r="J1408" s="223"/>
      <c r="K1408" s="247">
        <v>23066.761900000001</v>
      </c>
      <c r="L1408" s="241">
        <v>49</v>
      </c>
      <c r="M1408" s="247">
        <v>11764.048570000001</v>
      </c>
      <c r="N1408" s="230">
        <v>14.99</v>
      </c>
      <c r="O1408" s="287">
        <v>0</v>
      </c>
      <c r="P1408" s="316" t="s">
        <v>1568</v>
      </c>
      <c r="Q1408" s="230"/>
    </row>
    <row r="1409" spans="1:17" s="217" customFormat="1" ht="14.1" customHeight="1">
      <c r="A1409" s="224" t="s">
        <v>1538</v>
      </c>
      <c r="B1409" s="218" t="s">
        <v>1539</v>
      </c>
      <c r="C1409" s="223">
        <v>2</v>
      </c>
      <c r="D1409" s="218" t="s">
        <v>1516</v>
      </c>
      <c r="E1409" s="223">
        <v>3</v>
      </c>
      <c r="F1409" s="242">
        <v>1167.80</v>
      </c>
      <c r="G1409" s="223">
        <v>1998</v>
      </c>
      <c r="H1409" s="223">
        <v>1</v>
      </c>
      <c r="I1409" s="223">
        <v>1</v>
      </c>
      <c r="J1409" s="223"/>
      <c r="K1409" s="239">
        <v>17505.322</v>
      </c>
      <c r="L1409" s="241">
        <v>40</v>
      </c>
      <c r="M1409" s="228">
        <v>10503.1932</v>
      </c>
      <c r="N1409" s="230">
        <v>14.99</v>
      </c>
      <c r="O1409" s="231">
        <v>10503</v>
      </c>
      <c r="P1409" s="230"/>
      <c r="Q1409" s="230"/>
    </row>
    <row r="1410" spans="1:17" s="217" customFormat="1" ht="14.1" customHeight="1">
      <c r="A1410" s="224" t="s">
        <v>1538</v>
      </c>
      <c r="B1410" s="218" t="s">
        <v>1539</v>
      </c>
      <c r="C1410" s="223">
        <v>2</v>
      </c>
      <c r="D1410" s="218" t="s">
        <v>1516</v>
      </c>
      <c r="E1410" s="223">
        <v>3</v>
      </c>
      <c r="F1410" s="230">
        <v>134.41</v>
      </c>
      <c r="G1410" s="223">
        <v>1995</v>
      </c>
      <c r="H1410" s="223">
        <v>1</v>
      </c>
      <c r="I1410" s="223">
        <v>1</v>
      </c>
      <c r="J1410" s="223"/>
      <c r="K1410" s="228">
        <v>2014.8059000000001</v>
      </c>
      <c r="L1410" s="241">
        <v>47</v>
      </c>
      <c r="M1410" s="233">
        <v>1067.847127</v>
      </c>
      <c r="N1410" s="230">
        <v>14.99</v>
      </c>
      <c r="O1410" s="231">
        <v>1067</v>
      </c>
      <c r="P1410" s="230"/>
      <c r="Q1410" s="230"/>
    </row>
    <row r="1411" spans="1:17" s="217" customFormat="1" ht="14.1" customHeight="1">
      <c r="A1411" s="224" t="s">
        <v>1538</v>
      </c>
      <c r="B1411" s="218" t="s">
        <v>1539</v>
      </c>
      <c r="C1411" s="223">
        <v>2</v>
      </c>
      <c r="D1411" s="218" t="s">
        <v>1516</v>
      </c>
      <c r="E1411" s="223">
        <v>3</v>
      </c>
      <c r="F1411" s="230">
        <v>1152.07</v>
      </c>
      <c r="G1411" s="223">
        <v>1995</v>
      </c>
      <c r="H1411" s="223">
        <v>1</v>
      </c>
      <c r="I1411" s="223">
        <v>1</v>
      </c>
      <c r="J1411" s="223"/>
      <c r="K1411" s="228">
        <v>17269.529299999998</v>
      </c>
      <c r="L1411" s="241">
        <v>47</v>
      </c>
      <c r="M1411" s="233">
        <v>9152.8505289999994</v>
      </c>
      <c r="N1411" s="230">
        <v>14.99</v>
      </c>
      <c r="O1411" s="231">
        <v>9152</v>
      </c>
      <c r="P1411" s="230"/>
      <c r="Q1411" s="230"/>
    </row>
    <row r="1412" spans="1:17" s="217" customFormat="1" ht="14.1" customHeight="1">
      <c r="A1412" s="224" t="s">
        <v>1538</v>
      </c>
      <c r="B1412" s="218" t="s">
        <v>1539</v>
      </c>
      <c r="C1412" s="223">
        <v>2</v>
      </c>
      <c r="D1412" s="218" t="s">
        <v>1516</v>
      </c>
      <c r="E1412" s="223">
        <v>3</v>
      </c>
      <c r="F1412" s="242">
        <v>1376.60</v>
      </c>
      <c r="G1412" s="223">
        <v>2002</v>
      </c>
      <c r="H1412" s="223">
        <v>1</v>
      </c>
      <c r="I1412" s="223">
        <v>1</v>
      </c>
      <c r="J1412" s="223"/>
      <c r="K1412" s="239">
        <v>20635.234</v>
      </c>
      <c r="L1412" s="241">
        <v>30</v>
      </c>
      <c r="M1412" s="228">
        <v>14444.6638</v>
      </c>
      <c r="N1412" s="230">
        <v>14.99</v>
      </c>
      <c r="O1412" s="231">
        <v>14444</v>
      </c>
      <c r="P1412" s="230"/>
      <c r="Q1412" s="230"/>
    </row>
    <row r="1413" spans="1:17" s="217" customFormat="1" ht="14.1" customHeight="1">
      <c r="A1413" s="224" t="s">
        <v>1538</v>
      </c>
      <c r="B1413" s="218" t="s">
        <v>1539</v>
      </c>
      <c r="C1413" s="223">
        <v>2</v>
      </c>
      <c r="D1413" s="218" t="s">
        <v>1516</v>
      </c>
      <c r="E1413" s="223">
        <v>4</v>
      </c>
      <c r="F1413" s="223">
        <v>299</v>
      </c>
      <c r="G1413" s="223">
        <v>2001</v>
      </c>
      <c r="H1413" s="223">
        <v>1</v>
      </c>
      <c r="I1413" s="223">
        <v>1</v>
      </c>
      <c r="J1413" s="223"/>
      <c r="K1413" s="238">
        <v>5399.94</v>
      </c>
      <c r="L1413" s="241">
        <v>32</v>
      </c>
      <c r="M1413" s="228">
        <v>3671.9591999999998</v>
      </c>
      <c r="N1413" s="230">
        <v>18.06</v>
      </c>
      <c r="O1413" s="231">
        <v>3671</v>
      </c>
      <c r="P1413" s="230"/>
      <c r="Q1413" s="230"/>
    </row>
    <row r="1414" spans="1:17" s="217" customFormat="1" ht="14.1" customHeight="1">
      <c r="A1414" s="224" t="s">
        <v>1538</v>
      </c>
      <c r="B1414" s="218" t="s">
        <v>1539</v>
      </c>
      <c r="C1414" s="223">
        <v>2</v>
      </c>
      <c r="D1414" s="218" t="s">
        <v>1516</v>
      </c>
      <c r="E1414" s="223">
        <v>4</v>
      </c>
      <c r="F1414" s="223">
        <v>1314</v>
      </c>
      <c r="G1414" s="223">
        <v>2001</v>
      </c>
      <c r="H1414" s="223">
        <v>1</v>
      </c>
      <c r="I1414" s="223">
        <v>1</v>
      </c>
      <c r="J1414" s="223"/>
      <c r="K1414" s="238">
        <v>23730.84</v>
      </c>
      <c r="L1414" s="241">
        <v>32</v>
      </c>
      <c r="M1414" s="228">
        <v>16136.9712</v>
      </c>
      <c r="N1414" s="230">
        <v>18.06</v>
      </c>
      <c r="O1414" s="231">
        <v>16136</v>
      </c>
      <c r="P1414" s="230"/>
      <c r="Q1414" s="230"/>
    </row>
    <row r="1415" spans="1:17" s="217" customFormat="1" ht="14.1" customHeight="1">
      <c r="A1415" s="224" t="s">
        <v>1538</v>
      </c>
      <c r="B1415" s="218" t="s">
        <v>1539</v>
      </c>
      <c r="C1415" s="223">
        <v>2</v>
      </c>
      <c r="D1415" s="218" t="s">
        <v>1516</v>
      </c>
      <c r="E1415" s="223">
        <v>4</v>
      </c>
      <c r="F1415" s="223">
        <v>1757</v>
      </c>
      <c r="G1415" s="223">
        <v>2001</v>
      </c>
      <c r="H1415" s="223">
        <v>1</v>
      </c>
      <c r="I1415" s="223">
        <v>1</v>
      </c>
      <c r="J1415" s="223"/>
      <c r="K1415" s="238">
        <v>31731.42</v>
      </c>
      <c r="L1415" s="241">
        <v>32</v>
      </c>
      <c r="M1415" s="228">
        <v>21577.365600000001</v>
      </c>
      <c r="N1415" s="230">
        <v>18.06</v>
      </c>
      <c r="O1415" s="231">
        <v>21577</v>
      </c>
      <c r="P1415" s="230"/>
      <c r="Q1415" s="230"/>
    </row>
    <row r="1416" spans="1:17" s="217" customFormat="1" ht="14.1" customHeight="1">
      <c r="A1416" s="224" t="s">
        <v>1538</v>
      </c>
      <c r="B1416" s="218" t="s">
        <v>1539</v>
      </c>
      <c r="C1416" s="223">
        <v>2</v>
      </c>
      <c r="D1416" s="218" t="s">
        <v>1516</v>
      </c>
      <c r="E1416" s="223">
        <v>4</v>
      </c>
      <c r="F1416" s="223">
        <v>471</v>
      </c>
      <c r="G1416" s="223">
        <v>2000</v>
      </c>
      <c r="H1416" s="223">
        <v>1</v>
      </c>
      <c r="I1416" s="223">
        <v>1</v>
      </c>
      <c r="J1416" s="223"/>
      <c r="K1416" s="238">
        <v>8506.26</v>
      </c>
      <c r="L1416" s="241">
        <v>35</v>
      </c>
      <c r="M1416" s="239">
        <v>5529.0690000000004</v>
      </c>
      <c r="N1416" s="230">
        <v>18.06</v>
      </c>
      <c r="O1416" s="231">
        <v>5529</v>
      </c>
      <c r="P1416" s="230"/>
      <c r="Q1416" s="230"/>
    </row>
    <row r="1417" spans="1:17" s="217" customFormat="1" ht="15" customHeight="1">
      <c r="A1417" s="224" t="s">
        <v>1538</v>
      </c>
      <c r="B1417" s="218" t="s">
        <v>1539</v>
      </c>
      <c r="C1417" s="223">
        <v>2</v>
      </c>
      <c r="D1417" s="218" t="s">
        <v>1516</v>
      </c>
      <c r="E1417" s="223">
        <v>4</v>
      </c>
      <c r="F1417" s="230">
        <v>1331.98</v>
      </c>
      <c r="G1417" s="223">
        <v>1998</v>
      </c>
      <c r="H1417" s="223">
        <v>1</v>
      </c>
      <c r="I1417" s="223">
        <v>1</v>
      </c>
      <c r="J1417" s="223"/>
      <c r="K1417" s="228">
        <v>24055.558799999999</v>
      </c>
      <c r="L1417" s="241">
        <v>40</v>
      </c>
      <c r="M1417" s="229">
        <v>14433.335279999999</v>
      </c>
      <c r="N1417" s="230">
        <v>18.06</v>
      </c>
      <c r="O1417" s="231">
        <v>14433</v>
      </c>
      <c r="P1417" s="230"/>
      <c r="Q1417" s="230"/>
    </row>
    <row r="1418" spans="1:17" s="217" customFormat="1" ht="15" customHeight="1">
      <c r="A1418" s="224" t="s">
        <v>1538</v>
      </c>
      <c r="B1418" s="218" t="s">
        <v>1539</v>
      </c>
      <c r="C1418" s="223">
        <v>2</v>
      </c>
      <c r="D1418" s="218" t="s">
        <v>1516</v>
      </c>
      <c r="E1418" s="223">
        <v>4</v>
      </c>
      <c r="F1418" s="230">
        <v>371.36</v>
      </c>
      <c r="G1418" s="223">
        <v>1995</v>
      </c>
      <c r="H1418" s="223">
        <v>1</v>
      </c>
      <c r="I1418" s="223">
        <v>1</v>
      </c>
      <c r="J1418" s="223"/>
      <c r="K1418" s="228">
        <v>6706.7615999999998</v>
      </c>
      <c r="L1418" s="241">
        <v>47</v>
      </c>
      <c r="M1418" s="233">
        <v>3554.5836479999998</v>
      </c>
      <c r="N1418" s="230">
        <v>18.06</v>
      </c>
      <c r="O1418" s="231">
        <v>3554</v>
      </c>
      <c r="P1418" s="230"/>
      <c r="Q1418" s="230"/>
    </row>
    <row r="1419" spans="1:17" s="217" customFormat="1" ht="14.1" customHeight="1">
      <c r="A1419" s="224" t="s">
        <v>1538</v>
      </c>
      <c r="B1419" s="218" t="s">
        <v>1539</v>
      </c>
      <c r="C1419" s="223">
        <v>2</v>
      </c>
      <c r="D1419" s="218" t="s">
        <v>1516</v>
      </c>
      <c r="E1419" s="223">
        <v>4</v>
      </c>
      <c r="F1419" s="230">
        <v>605.91</v>
      </c>
      <c r="G1419" s="223">
        <v>1995</v>
      </c>
      <c r="H1419" s="223">
        <v>1</v>
      </c>
      <c r="I1419" s="223">
        <v>1</v>
      </c>
      <c r="J1419" s="223"/>
      <c r="K1419" s="228">
        <v>10942.7346</v>
      </c>
      <c r="L1419" s="241">
        <v>47</v>
      </c>
      <c r="M1419" s="233">
        <v>5799.6493380000002</v>
      </c>
      <c r="N1419" s="230">
        <v>18.06</v>
      </c>
      <c r="O1419" s="231">
        <v>5799</v>
      </c>
      <c r="P1419" s="230"/>
      <c r="Q1419" s="230"/>
    </row>
    <row r="1420" spans="1:17" s="217" customFormat="1" ht="14.1" customHeight="1">
      <c r="A1420" s="224" t="s">
        <v>1538</v>
      </c>
      <c r="B1420" s="218" t="s">
        <v>1539</v>
      </c>
      <c r="C1420" s="223">
        <v>2</v>
      </c>
      <c r="D1420" s="218" t="s">
        <v>1516</v>
      </c>
      <c r="E1420" s="223">
        <v>4</v>
      </c>
      <c r="F1420" s="230">
        <v>8119.63</v>
      </c>
      <c r="G1420" s="223">
        <v>1995</v>
      </c>
      <c r="H1420" s="223">
        <v>1</v>
      </c>
      <c r="I1420" s="223">
        <v>1</v>
      </c>
      <c r="J1420" s="223"/>
      <c r="K1420" s="228">
        <v>146640.5178</v>
      </c>
      <c r="L1420" s="241">
        <v>47</v>
      </c>
      <c r="M1420" s="229">
        <v>77719.474430000002</v>
      </c>
      <c r="N1420" s="230">
        <v>18.06</v>
      </c>
      <c r="O1420" s="231">
        <v>77719</v>
      </c>
      <c r="P1420" s="230"/>
      <c r="Q1420" s="230"/>
    </row>
    <row r="1421" spans="1:17" s="217" customFormat="1" ht="14.1" customHeight="1">
      <c r="A1421" s="224" t="s">
        <v>1538</v>
      </c>
      <c r="B1421" s="218" t="s">
        <v>1539</v>
      </c>
      <c r="C1421" s="223">
        <v>2</v>
      </c>
      <c r="D1421" s="218" t="s">
        <v>1516</v>
      </c>
      <c r="E1421" s="223">
        <v>4</v>
      </c>
      <c r="F1421" s="230">
        <v>2652.22</v>
      </c>
      <c r="G1421" s="223">
        <v>1995</v>
      </c>
      <c r="H1421" s="223">
        <v>1</v>
      </c>
      <c r="I1421" s="223">
        <v>1</v>
      </c>
      <c r="J1421" s="223"/>
      <c r="K1421" s="228">
        <v>47899.093200000003</v>
      </c>
      <c r="L1421" s="241">
        <v>47</v>
      </c>
      <c r="M1421" s="228">
        <v>25386.519400000001</v>
      </c>
      <c r="N1421" s="230">
        <v>18.06</v>
      </c>
      <c r="O1421" s="231">
        <v>25386</v>
      </c>
      <c r="P1421" s="230"/>
      <c r="Q1421" s="230"/>
    </row>
    <row r="1422" spans="1:17" s="217" customFormat="1" ht="14.1" customHeight="1">
      <c r="A1422" s="224" t="s">
        <v>1538</v>
      </c>
      <c r="B1422" s="218" t="s">
        <v>1539</v>
      </c>
      <c r="C1422" s="223">
        <v>2</v>
      </c>
      <c r="D1422" s="218" t="s">
        <v>1516</v>
      </c>
      <c r="E1422" s="223">
        <v>4</v>
      </c>
      <c r="F1422" s="230">
        <v>310.98</v>
      </c>
      <c r="G1422" s="223">
        <v>1996</v>
      </c>
      <c r="H1422" s="223">
        <v>1</v>
      </c>
      <c r="I1422" s="223">
        <v>1</v>
      </c>
      <c r="J1422" s="223"/>
      <c r="K1422" s="228">
        <v>5616.2987999999996</v>
      </c>
      <c r="L1422" s="241">
        <v>44</v>
      </c>
      <c r="M1422" s="233">
        <v>3145.127328</v>
      </c>
      <c r="N1422" s="230">
        <v>18.06</v>
      </c>
      <c r="O1422" s="231">
        <v>3145</v>
      </c>
      <c r="P1422" s="230"/>
      <c r="Q1422" s="230"/>
    </row>
    <row r="1423" spans="1:17" s="217" customFormat="1" ht="14.1" customHeight="1">
      <c r="A1423" s="224" t="s">
        <v>1538</v>
      </c>
      <c r="B1423" s="218" t="s">
        <v>1539</v>
      </c>
      <c r="C1423" s="223">
        <v>2</v>
      </c>
      <c r="D1423" s="218" t="s">
        <v>1516</v>
      </c>
      <c r="E1423" s="223">
        <v>4</v>
      </c>
      <c r="F1423" s="230">
        <v>1290.6600000000001</v>
      </c>
      <c r="G1423" s="223">
        <v>1996</v>
      </c>
      <c r="H1423" s="223">
        <v>1</v>
      </c>
      <c r="I1423" s="223">
        <v>1</v>
      </c>
      <c r="J1423" s="223"/>
      <c r="K1423" s="228">
        <v>23309.319599999999</v>
      </c>
      <c r="L1423" s="241">
        <v>44</v>
      </c>
      <c r="M1423" s="229">
        <v>13053.21898</v>
      </c>
      <c r="N1423" s="230">
        <v>18.06</v>
      </c>
      <c r="O1423" s="231">
        <v>13053</v>
      </c>
      <c r="P1423" s="230"/>
      <c r="Q1423" s="230"/>
    </row>
    <row r="1424" spans="1:17" s="217" customFormat="1" ht="14.1" customHeight="1">
      <c r="A1424" s="224" t="s">
        <v>1538</v>
      </c>
      <c r="B1424" s="218" t="s">
        <v>1539</v>
      </c>
      <c r="C1424" s="223">
        <v>2</v>
      </c>
      <c r="D1424" s="218" t="s">
        <v>1516</v>
      </c>
      <c r="E1424" s="223">
        <v>4</v>
      </c>
      <c r="F1424" s="230">
        <v>254.63</v>
      </c>
      <c r="G1424" s="223">
        <v>1995</v>
      </c>
      <c r="H1424" s="223">
        <v>1</v>
      </c>
      <c r="I1424" s="223">
        <v>1</v>
      </c>
      <c r="J1424" s="223"/>
      <c r="K1424" s="228">
        <v>4598.6178</v>
      </c>
      <c r="L1424" s="241">
        <v>47</v>
      </c>
      <c r="M1424" s="233">
        <v>2437.2674339999999</v>
      </c>
      <c r="N1424" s="230">
        <v>18.06</v>
      </c>
      <c r="O1424" s="231">
        <v>2437</v>
      </c>
      <c r="P1424" s="230"/>
      <c r="Q1424" s="230"/>
    </row>
    <row r="1425" spans="1:17" s="217" customFormat="1" ht="14.1" customHeight="1">
      <c r="A1425" s="224" t="s">
        <v>1538</v>
      </c>
      <c r="B1425" s="218" t="s">
        <v>1539</v>
      </c>
      <c r="C1425" s="223">
        <v>2</v>
      </c>
      <c r="D1425" s="218" t="s">
        <v>1516</v>
      </c>
      <c r="E1425" s="223">
        <v>4</v>
      </c>
      <c r="F1425" s="230">
        <v>714.31</v>
      </c>
      <c r="G1425" s="223">
        <v>1996</v>
      </c>
      <c r="H1425" s="223">
        <v>1</v>
      </c>
      <c r="I1425" s="225">
        <v>0</v>
      </c>
      <c r="J1425" s="223"/>
      <c r="K1425" s="247">
        <v>12900.438599999999</v>
      </c>
      <c r="L1425" s="241">
        <v>44</v>
      </c>
      <c r="M1425" s="247">
        <v>7224.2456160000002</v>
      </c>
      <c r="N1425" s="230">
        <v>18.06</v>
      </c>
      <c r="O1425" s="287">
        <v>0</v>
      </c>
      <c r="P1425" s="316" t="s">
        <v>1568</v>
      </c>
      <c r="Q1425" s="230"/>
    </row>
    <row r="1426" spans="1:17" s="217" customFormat="1" ht="14.1" customHeight="1">
      <c r="A1426" s="224" t="s">
        <v>1538</v>
      </c>
      <c r="B1426" s="218" t="s">
        <v>1539</v>
      </c>
      <c r="C1426" s="223">
        <v>2</v>
      </c>
      <c r="D1426" s="218" t="s">
        <v>1516</v>
      </c>
      <c r="E1426" s="223">
        <v>4</v>
      </c>
      <c r="F1426" s="230">
        <v>1084.94</v>
      </c>
      <c r="G1426" s="223">
        <v>1996</v>
      </c>
      <c r="H1426" s="223">
        <v>1</v>
      </c>
      <c r="I1426" s="223">
        <v>1</v>
      </c>
      <c r="J1426" s="223"/>
      <c r="K1426" s="228">
        <v>19594.0164</v>
      </c>
      <c r="L1426" s="241">
        <v>44</v>
      </c>
      <c r="M1426" s="229">
        <v>10972.64918</v>
      </c>
      <c r="N1426" s="230">
        <v>18.06</v>
      </c>
      <c r="O1426" s="231">
        <v>10972</v>
      </c>
      <c r="P1426" s="230"/>
      <c r="Q1426" s="230"/>
    </row>
    <row r="1427" spans="1:17" s="217" customFormat="1" ht="14.1" customHeight="1">
      <c r="A1427" s="224" t="s">
        <v>1538</v>
      </c>
      <c r="B1427" s="218" t="s">
        <v>1539</v>
      </c>
      <c r="C1427" s="223">
        <v>2</v>
      </c>
      <c r="D1427" s="218" t="s">
        <v>1516</v>
      </c>
      <c r="E1427" s="223">
        <v>4</v>
      </c>
      <c r="F1427" s="230">
        <v>1079.99</v>
      </c>
      <c r="G1427" s="223">
        <v>1993</v>
      </c>
      <c r="H1427" s="223">
        <v>1</v>
      </c>
      <c r="I1427" s="223">
        <v>1</v>
      </c>
      <c r="J1427" s="223"/>
      <c r="K1427" s="228">
        <v>19504.6194</v>
      </c>
      <c r="L1427" s="241">
        <v>50</v>
      </c>
      <c r="M1427" s="228">
        <v>9752.3096999999998</v>
      </c>
      <c r="N1427" s="230">
        <v>18.06</v>
      </c>
      <c r="O1427" s="231">
        <v>9752</v>
      </c>
      <c r="P1427" s="230"/>
      <c r="Q1427" s="230"/>
    </row>
    <row r="1428" spans="1:17" s="217" customFormat="1" ht="14.1" customHeight="1">
      <c r="A1428" s="224" t="s">
        <v>1538</v>
      </c>
      <c r="B1428" s="218" t="s">
        <v>1539</v>
      </c>
      <c r="C1428" s="223">
        <v>2</v>
      </c>
      <c r="D1428" s="218" t="s">
        <v>1516</v>
      </c>
      <c r="E1428" s="223">
        <v>4</v>
      </c>
      <c r="F1428" s="230">
        <v>44.87</v>
      </c>
      <c r="G1428" s="223">
        <v>1995</v>
      </c>
      <c r="H1428" s="223">
        <v>1</v>
      </c>
      <c r="I1428" s="223">
        <v>1</v>
      </c>
      <c r="J1428" s="223"/>
      <c r="K1428" s="228">
        <v>810.35220000000004</v>
      </c>
      <c r="L1428" s="241">
        <v>47</v>
      </c>
      <c r="M1428" s="233">
        <v>429.48666600000001</v>
      </c>
      <c r="N1428" s="230">
        <v>18.06</v>
      </c>
      <c r="O1428" s="231">
        <v>429</v>
      </c>
      <c r="P1428" s="230"/>
      <c r="Q1428" s="230"/>
    </row>
    <row r="1429" spans="1:17" s="217" customFormat="1" ht="14.1" customHeight="1">
      <c r="A1429" s="224" t="s">
        <v>1538</v>
      </c>
      <c r="B1429" s="218" t="s">
        <v>1539</v>
      </c>
      <c r="C1429" s="223">
        <v>2</v>
      </c>
      <c r="D1429" s="218" t="s">
        <v>1516</v>
      </c>
      <c r="E1429" s="223">
        <v>4</v>
      </c>
      <c r="F1429" s="230">
        <v>3980.82</v>
      </c>
      <c r="G1429" s="223">
        <v>1995</v>
      </c>
      <c r="H1429" s="223">
        <v>1</v>
      </c>
      <c r="I1429" s="223">
        <v>1</v>
      </c>
      <c r="J1429" s="223"/>
      <c r="K1429" s="228">
        <v>71893.609200000006</v>
      </c>
      <c r="L1429" s="241">
        <v>47</v>
      </c>
      <c r="M1429" s="229">
        <v>38103.612880000001</v>
      </c>
      <c r="N1429" s="230">
        <v>18.06</v>
      </c>
      <c r="O1429" s="231">
        <v>38103</v>
      </c>
      <c r="P1429" s="230"/>
      <c r="Q1429" s="230"/>
    </row>
    <row r="1430" spans="1:17" s="217" customFormat="1" ht="14.1" customHeight="1">
      <c r="A1430" s="224" t="s">
        <v>1538</v>
      </c>
      <c r="B1430" s="218" t="s">
        <v>1539</v>
      </c>
      <c r="C1430" s="223">
        <v>2</v>
      </c>
      <c r="D1430" s="218" t="s">
        <v>1516</v>
      </c>
      <c r="E1430" s="223">
        <v>4</v>
      </c>
      <c r="F1430" s="230">
        <v>6502.65</v>
      </c>
      <c r="G1430" s="223">
        <v>1995</v>
      </c>
      <c r="H1430" s="223">
        <v>1</v>
      </c>
      <c r="I1430" s="223">
        <v>1</v>
      </c>
      <c r="J1430" s="223"/>
      <c r="K1430" s="239">
        <v>117437.859</v>
      </c>
      <c r="L1430" s="241">
        <v>47</v>
      </c>
      <c r="M1430" s="229">
        <v>62242.065269999999</v>
      </c>
      <c r="N1430" s="230">
        <v>18.06</v>
      </c>
      <c r="O1430" s="231">
        <v>62242</v>
      </c>
      <c r="P1430" s="230"/>
      <c r="Q1430" s="230"/>
    </row>
    <row r="1431" spans="1:17" s="217" customFormat="1" ht="14.1" customHeight="1">
      <c r="A1431" s="224" t="s">
        <v>1538</v>
      </c>
      <c r="B1431" s="218" t="s">
        <v>1539</v>
      </c>
      <c r="C1431" s="223">
        <v>2</v>
      </c>
      <c r="D1431" s="218" t="s">
        <v>1516</v>
      </c>
      <c r="E1431" s="223">
        <v>4</v>
      </c>
      <c r="F1431" s="230">
        <v>269.62</v>
      </c>
      <c r="G1431" s="223">
        <v>1996</v>
      </c>
      <c r="H1431" s="223">
        <v>1</v>
      </c>
      <c r="I1431" s="223">
        <v>1</v>
      </c>
      <c r="J1431" s="223"/>
      <c r="K1431" s="228">
        <v>4869.3371999999999</v>
      </c>
      <c r="L1431" s="241">
        <v>44</v>
      </c>
      <c r="M1431" s="233">
        <v>2726.8288320000001</v>
      </c>
      <c r="N1431" s="230">
        <v>18.06</v>
      </c>
      <c r="O1431" s="231">
        <v>2726</v>
      </c>
      <c r="P1431" s="230"/>
      <c r="Q1431" s="230"/>
    </row>
    <row r="1432" spans="1:17" s="217" customFormat="1" ht="14.1" customHeight="1">
      <c r="A1432" s="224" t="s">
        <v>1538</v>
      </c>
      <c r="B1432" s="218" t="s">
        <v>1539</v>
      </c>
      <c r="C1432" s="223">
        <v>2</v>
      </c>
      <c r="D1432" s="218" t="s">
        <v>1516</v>
      </c>
      <c r="E1432" s="223">
        <v>4</v>
      </c>
      <c r="F1432" s="230">
        <v>276.20999999999998</v>
      </c>
      <c r="G1432" s="223">
        <v>1996</v>
      </c>
      <c r="H1432" s="223">
        <v>1</v>
      </c>
      <c r="I1432" s="223">
        <v>1</v>
      </c>
      <c r="J1432" s="223"/>
      <c r="K1432" s="228">
        <v>4988.3526000000002</v>
      </c>
      <c r="L1432" s="241">
        <v>44</v>
      </c>
      <c r="M1432" s="233">
        <v>2793.4774560000001</v>
      </c>
      <c r="N1432" s="230">
        <v>18.06</v>
      </c>
      <c r="O1432" s="231">
        <v>2793</v>
      </c>
      <c r="P1432" s="230"/>
      <c r="Q1432" s="230"/>
    </row>
    <row r="1433" spans="1:17" s="217" customFormat="1" ht="14.1" customHeight="1">
      <c r="A1433" s="224" t="s">
        <v>1538</v>
      </c>
      <c r="B1433" s="218" t="s">
        <v>1539</v>
      </c>
      <c r="C1433" s="223">
        <v>2</v>
      </c>
      <c r="D1433" s="218" t="s">
        <v>1516</v>
      </c>
      <c r="E1433" s="223">
        <v>4</v>
      </c>
      <c r="F1433" s="230">
        <v>327.45999999999998</v>
      </c>
      <c r="G1433" s="223">
        <v>1996</v>
      </c>
      <c r="H1433" s="223">
        <v>1</v>
      </c>
      <c r="I1433" s="223">
        <v>1</v>
      </c>
      <c r="J1433" s="223"/>
      <c r="K1433" s="228">
        <v>5913.9276</v>
      </c>
      <c r="L1433" s="241">
        <v>44</v>
      </c>
      <c r="M1433" s="233">
        <v>3311.7994560000002</v>
      </c>
      <c r="N1433" s="230">
        <v>18.06</v>
      </c>
      <c r="O1433" s="231">
        <v>3311</v>
      </c>
      <c r="P1433" s="230"/>
      <c r="Q1433" s="230"/>
    </row>
    <row r="1434" spans="1:17" s="217" customFormat="1" ht="14.1" customHeight="1">
      <c r="A1434" s="224" t="s">
        <v>1538</v>
      </c>
      <c r="B1434" s="218" t="s">
        <v>1539</v>
      </c>
      <c r="C1434" s="223">
        <v>2</v>
      </c>
      <c r="D1434" s="218" t="s">
        <v>1516</v>
      </c>
      <c r="E1434" s="223">
        <v>4</v>
      </c>
      <c r="F1434" s="230">
        <v>143.63</v>
      </c>
      <c r="G1434" s="223">
        <v>1995</v>
      </c>
      <c r="H1434" s="223">
        <v>1</v>
      </c>
      <c r="I1434" s="223">
        <v>1</v>
      </c>
      <c r="J1434" s="223"/>
      <c r="K1434" s="228">
        <v>2593.9578000000001</v>
      </c>
      <c r="L1434" s="241">
        <v>47</v>
      </c>
      <c r="M1434" s="233">
        <v>1374.797634</v>
      </c>
      <c r="N1434" s="230">
        <v>18.06</v>
      </c>
      <c r="O1434" s="231">
        <v>1374</v>
      </c>
      <c r="P1434" s="230"/>
      <c r="Q1434" s="230"/>
    </row>
    <row r="1435" spans="1:17" s="217" customFormat="1" ht="14.1" customHeight="1">
      <c r="A1435" s="224" t="s">
        <v>1538</v>
      </c>
      <c r="B1435" s="218" t="s">
        <v>1539</v>
      </c>
      <c r="C1435" s="223">
        <v>2</v>
      </c>
      <c r="D1435" s="218" t="s">
        <v>1516</v>
      </c>
      <c r="E1435" s="223">
        <v>4</v>
      </c>
      <c r="F1435" s="230">
        <v>143.63</v>
      </c>
      <c r="G1435" s="223">
        <v>2002</v>
      </c>
      <c r="H1435" s="223">
        <v>1</v>
      </c>
      <c r="I1435" s="223">
        <v>1</v>
      </c>
      <c r="J1435" s="223"/>
      <c r="K1435" s="228">
        <v>2593.9578000000001</v>
      </c>
      <c r="L1435" s="241">
        <v>30</v>
      </c>
      <c r="M1435" s="229">
        <v>1815.77046</v>
      </c>
      <c r="N1435" s="230">
        <v>18.06</v>
      </c>
      <c r="O1435" s="231">
        <v>1815</v>
      </c>
      <c r="P1435" s="230"/>
      <c r="Q1435" s="230"/>
    </row>
    <row r="1436" spans="1:17" s="217" customFormat="1" ht="14.1" customHeight="1">
      <c r="A1436" s="224" t="s">
        <v>1538</v>
      </c>
      <c r="B1436" s="218" t="s">
        <v>1539</v>
      </c>
      <c r="C1436" s="223">
        <v>2</v>
      </c>
      <c r="D1436" s="218" t="s">
        <v>1516</v>
      </c>
      <c r="E1436" s="223">
        <v>4</v>
      </c>
      <c r="F1436" s="230">
        <v>1027.06</v>
      </c>
      <c r="G1436" s="223">
        <v>1996</v>
      </c>
      <c r="H1436" s="223">
        <v>1</v>
      </c>
      <c r="I1436" s="225">
        <v>0</v>
      </c>
      <c r="J1436" s="223"/>
      <c r="K1436" s="247">
        <v>18548.703600000001</v>
      </c>
      <c r="L1436" s="241">
        <v>44</v>
      </c>
      <c r="M1436" s="247">
        <v>10387.274020000001</v>
      </c>
      <c r="N1436" s="230">
        <v>18.06</v>
      </c>
      <c r="O1436" s="287">
        <v>0</v>
      </c>
      <c r="P1436" s="316" t="s">
        <v>1568</v>
      </c>
      <c r="Q1436" s="230"/>
    </row>
    <row r="1437" spans="1:17" s="217" customFormat="1" ht="14.1" customHeight="1">
      <c r="A1437" s="224" t="s">
        <v>1538</v>
      </c>
      <c r="B1437" s="218" t="s">
        <v>1539</v>
      </c>
      <c r="C1437" s="223">
        <v>2</v>
      </c>
      <c r="D1437" s="218" t="s">
        <v>1516</v>
      </c>
      <c r="E1437" s="223">
        <v>4</v>
      </c>
      <c r="F1437" s="230">
        <v>554.76</v>
      </c>
      <c r="G1437" s="223">
        <v>1996</v>
      </c>
      <c r="H1437" s="223">
        <v>1</v>
      </c>
      <c r="I1437" s="225">
        <v>0</v>
      </c>
      <c r="J1437" s="223"/>
      <c r="K1437" s="247">
        <v>10018.9656</v>
      </c>
      <c r="L1437" s="241">
        <v>44</v>
      </c>
      <c r="M1437" s="247">
        <v>5610.6207359999999</v>
      </c>
      <c r="N1437" s="230">
        <v>18.06</v>
      </c>
      <c r="O1437" s="287">
        <v>0</v>
      </c>
      <c r="P1437" s="316" t="s">
        <v>1568</v>
      </c>
      <c r="Q1437" s="230"/>
    </row>
    <row r="1438" spans="1:17" s="217" customFormat="1" ht="14.1" customHeight="1">
      <c r="A1438" s="224" t="s">
        <v>1538</v>
      </c>
      <c r="B1438" s="218" t="s">
        <v>1539</v>
      </c>
      <c r="C1438" s="223">
        <v>2</v>
      </c>
      <c r="D1438" s="218" t="s">
        <v>1516</v>
      </c>
      <c r="E1438" s="223">
        <v>4</v>
      </c>
      <c r="F1438" s="230">
        <v>1096.98</v>
      </c>
      <c r="G1438" s="223">
        <v>1995</v>
      </c>
      <c r="H1438" s="223">
        <v>1</v>
      </c>
      <c r="I1438" s="223">
        <v>1</v>
      </c>
      <c r="J1438" s="223"/>
      <c r="K1438" s="228">
        <v>19811.4588</v>
      </c>
      <c r="L1438" s="241">
        <v>47</v>
      </c>
      <c r="M1438" s="229">
        <v>10500.07316</v>
      </c>
      <c r="N1438" s="230">
        <v>18.06</v>
      </c>
      <c r="O1438" s="231">
        <v>10500</v>
      </c>
      <c r="P1438" s="230"/>
      <c r="Q1438" s="230"/>
    </row>
    <row r="1439" spans="1:17" s="217" customFormat="1" ht="14.1" customHeight="1">
      <c r="A1439" s="224" t="s">
        <v>1538</v>
      </c>
      <c r="B1439" s="218" t="s">
        <v>1539</v>
      </c>
      <c r="C1439" s="223">
        <v>2</v>
      </c>
      <c r="D1439" s="218" t="s">
        <v>1516</v>
      </c>
      <c r="E1439" s="223">
        <v>4</v>
      </c>
      <c r="F1439" s="230">
        <v>2169.77</v>
      </c>
      <c r="G1439" s="223">
        <v>1996</v>
      </c>
      <c r="H1439" s="223">
        <v>1</v>
      </c>
      <c r="I1439" s="223">
        <v>1</v>
      </c>
      <c r="J1439" s="223"/>
      <c r="K1439" s="228">
        <v>39186.046199999997</v>
      </c>
      <c r="L1439" s="241">
        <v>44</v>
      </c>
      <c r="M1439" s="229">
        <v>21944.185870000001</v>
      </c>
      <c r="N1439" s="230">
        <v>18.06</v>
      </c>
      <c r="O1439" s="231">
        <v>21944</v>
      </c>
      <c r="P1439" s="230"/>
      <c r="Q1439" s="230"/>
    </row>
    <row r="1440" spans="1:17" s="217" customFormat="1" ht="14.1" customHeight="1">
      <c r="A1440" s="224" t="s">
        <v>1538</v>
      </c>
      <c r="B1440" s="218" t="s">
        <v>1539</v>
      </c>
      <c r="C1440" s="223">
        <v>2</v>
      </c>
      <c r="D1440" s="218" t="s">
        <v>1516</v>
      </c>
      <c r="E1440" s="223">
        <v>4</v>
      </c>
      <c r="F1440" s="230">
        <v>213.46</v>
      </c>
      <c r="G1440" s="223">
        <v>1994</v>
      </c>
      <c r="H1440" s="223">
        <v>1</v>
      </c>
      <c r="I1440" s="223">
        <v>1</v>
      </c>
      <c r="J1440" s="223"/>
      <c r="K1440" s="228">
        <v>3855.0875999999998</v>
      </c>
      <c r="L1440" s="241">
        <v>49</v>
      </c>
      <c r="M1440" s="233">
        <v>1966.0946759999999</v>
      </c>
      <c r="N1440" s="230">
        <v>18.06</v>
      </c>
      <c r="O1440" s="231">
        <v>1966</v>
      </c>
      <c r="P1440" s="230"/>
      <c r="Q1440" s="230"/>
    </row>
    <row r="1441" spans="1:17" s="217" customFormat="1" ht="14.1" customHeight="1">
      <c r="A1441" s="224" t="s">
        <v>1538</v>
      </c>
      <c r="B1441" s="218" t="s">
        <v>1539</v>
      </c>
      <c r="C1441" s="223">
        <v>2</v>
      </c>
      <c r="D1441" s="218" t="s">
        <v>1516</v>
      </c>
      <c r="E1441" s="223">
        <v>4</v>
      </c>
      <c r="F1441" s="230">
        <v>560.34</v>
      </c>
      <c r="G1441" s="223">
        <v>1994</v>
      </c>
      <c r="H1441" s="223">
        <v>1</v>
      </c>
      <c r="I1441" s="223">
        <v>1</v>
      </c>
      <c r="J1441" s="223"/>
      <c r="K1441" s="228">
        <v>10119.740400000001</v>
      </c>
      <c r="L1441" s="241">
        <v>49</v>
      </c>
      <c r="M1441" s="233">
        <v>5161.0676039999998</v>
      </c>
      <c r="N1441" s="230">
        <v>18.06</v>
      </c>
      <c r="O1441" s="231">
        <v>5161</v>
      </c>
      <c r="P1441" s="230"/>
      <c r="Q1441" s="230"/>
    </row>
    <row r="1442" spans="1:17" s="217" customFormat="1" ht="14.1" customHeight="1">
      <c r="A1442" s="224" t="s">
        <v>1538</v>
      </c>
      <c r="B1442" s="218" t="s">
        <v>1539</v>
      </c>
      <c r="C1442" s="223">
        <v>2</v>
      </c>
      <c r="D1442" s="218" t="s">
        <v>1516</v>
      </c>
      <c r="E1442" s="223">
        <v>4</v>
      </c>
      <c r="F1442" s="230">
        <v>154.27000000000001</v>
      </c>
      <c r="G1442" s="223">
        <v>1996</v>
      </c>
      <c r="H1442" s="223">
        <v>1</v>
      </c>
      <c r="I1442" s="223">
        <v>1</v>
      </c>
      <c r="J1442" s="223"/>
      <c r="K1442" s="228">
        <v>2786.1161999999999</v>
      </c>
      <c r="L1442" s="241">
        <v>44</v>
      </c>
      <c r="M1442" s="233">
        <v>1560.225072</v>
      </c>
      <c r="N1442" s="230">
        <v>18.06</v>
      </c>
      <c r="O1442" s="231">
        <v>1560</v>
      </c>
      <c r="P1442" s="230"/>
      <c r="Q1442" s="230"/>
    </row>
    <row r="1443" spans="1:17" s="217" customFormat="1" ht="14.1" customHeight="1">
      <c r="A1443" s="224" t="s">
        <v>1538</v>
      </c>
      <c r="B1443" s="218" t="s">
        <v>1539</v>
      </c>
      <c r="C1443" s="223">
        <v>2</v>
      </c>
      <c r="D1443" s="218" t="s">
        <v>1516</v>
      </c>
      <c r="E1443" s="223">
        <v>4</v>
      </c>
      <c r="F1443" s="230">
        <v>932.48</v>
      </c>
      <c r="G1443" s="223">
        <v>1996</v>
      </c>
      <c r="H1443" s="223">
        <v>1</v>
      </c>
      <c r="I1443" s="223">
        <v>1</v>
      </c>
      <c r="J1443" s="223"/>
      <c r="K1443" s="228">
        <v>16840.588800000001</v>
      </c>
      <c r="L1443" s="241">
        <v>44</v>
      </c>
      <c r="M1443" s="233">
        <v>9430.7297280000003</v>
      </c>
      <c r="N1443" s="230">
        <v>18.06</v>
      </c>
      <c r="O1443" s="231">
        <v>9430</v>
      </c>
      <c r="P1443" s="230"/>
      <c r="Q1443" s="230"/>
    </row>
    <row r="1444" spans="1:17" s="217" customFormat="1" ht="14.1" customHeight="1">
      <c r="A1444" s="224" t="s">
        <v>1538</v>
      </c>
      <c r="B1444" s="218" t="s">
        <v>1539</v>
      </c>
      <c r="C1444" s="223">
        <v>2</v>
      </c>
      <c r="D1444" s="218" t="s">
        <v>1516</v>
      </c>
      <c r="E1444" s="223">
        <v>4</v>
      </c>
      <c r="F1444" s="230">
        <v>1762.41</v>
      </c>
      <c r="G1444" s="223">
        <v>1994</v>
      </c>
      <c r="H1444" s="223">
        <v>1</v>
      </c>
      <c r="I1444" s="223">
        <v>1</v>
      </c>
      <c r="J1444" s="223"/>
      <c r="K1444" s="228">
        <v>31829.124599999999</v>
      </c>
      <c r="L1444" s="241">
        <v>49</v>
      </c>
      <c r="M1444" s="229">
        <v>16232.85355</v>
      </c>
      <c r="N1444" s="230">
        <v>18.06</v>
      </c>
      <c r="O1444" s="231">
        <v>16232</v>
      </c>
      <c r="P1444" s="230"/>
      <c r="Q1444" s="230"/>
    </row>
    <row r="1445" spans="1:17" s="217" customFormat="1" ht="14.1" customHeight="1">
      <c r="A1445" s="224" t="s">
        <v>1538</v>
      </c>
      <c r="B1445" s="218" t="s">
        <v>1539</v>
      </c>
      <c r="C1445" s="223">
        <v>2</v>
      </c>
      <c r="D1445" s="218" t="s">
        <v>1516</v>
      </c>
      <c r="E1445" s="223">
        <v>4</v>
      </c>
      <c r="F1445" s="230">
        <v>1137.5899999999999</v>
      </c>
      <c r="G1445" s="223">
        <v>1994</v>
      </c>
      <c r="H1445" s="223">
        <v>1</v>
      </c>
      <c r="I1445" s="223">
        <v>1</v>
      </c>
      <c r="J1445" s="223"/>
      <c r="K1445" s="228">
        <v>20544.875400000001</v>
      </c>
      <c r="L1445" s="241">
        <v>49</v>
      </c>
      <c r="M1445" s="229">
        <v>10477.88645</v>
      </c>
      <c r="N1445" s="230">
        <v>18.06</v>
      </c>
      <c r="O1445" s="231">
        <v>10477</v>
      </c>
      <c r="P1445" s="230"/>
      <c r="Q1445" s="230"/>
    </row>
    <row r="1446" spans="1:17" s="217" customFormat="1" ht="14.1" customHeight="1">
      <c r="A1446" s="224" t="s">
        <v>1538</v>
      </c>
      <c r="B1446" s="218" t="s">
        <v>1539</v>
      </c>
      <c r="C1446" s="223">
        <v>2</v>
      </c>
      <c r="D1446" s="218" t="s">
        <v>1516</v>
      </c>
      <c r="E1446" s="223">
        <v>4</v>
      </c>
      <c r="F1446" s="230">
        <v>1235.47</v>
      </c>
      <c r="G1446" s="223">
        <v>1994</v>
      </c>
      <c r="H1446" s="223">
        <v>1</v>
      </c>
      <c r="I1446" s="223">
        <v>1</v>
      </c>
      <c r="J1446" s="223"/>
      <c r="K1446" s="228">
        <v>22312.588199999998</v>
      </c>
      <c r="L1446" s="241">
        <v>49</v>
      </c>
      <c r="M1446" s="229">
        <v>11379.419980000001</v>
      </c>
      <c r="N1446" s="230">
        <v>18.06</v>
      </c>
      <c r="O1446" s="231">
        <v>11379</v>
      </c>
      <c r="P1446" s="230"/>
      <c r="Q1446" s="230"/>
    </row>
    <row r="1447" spans="1:17" s="217" customFormat="1" ht="14.1" customHeight="1">
      <c r="A1447" s="224" t="s">
        <v>1538</v>
      </c>
      <c r="B1447" s="218" t="s">
        <v>1539</v>
      </c>
      <c r="C1447" s="223">
        <v>2</v>
      </c>
      <c r="D1447" s="218" t="s">
        <v>1516</v>
      </c>
      <c r="E1447" s="223">
        <v>4</v>
      </c>
      <c r="F1447" s="230">
        <v>679.46</v>
      </c>
      <c r="G1447" s="223">
        <v>1994</v>
      </c>
      <c r="H1447" s="223">
        <v>1</v>
      </c>
      <c r="I1447" s="223">
        <v>1</v>
      </c>
      <c r="J1447" s="223"/>
      <c r="K1447" s="228">
        <v>12271.0476</v>
      </c>
      <c r="L1447" s="241">
        <v>49</v>
      </c>
      <c r="M1447" s="233">
        <v>6258.2342760000001</v>
      </c>
      <c r="N1447" s="230">
        <v>18.06</v>
      </c>
      <c r="O1447" s="231">
        <v>6258</v>
      </c>
      <c r="P1447" s="230"/>
      <c r="Q1447" s="230"/>
    </row>
    <row r="1448" spans="1:17" s="217" customFormat="1" ht="14.1" customHeight="1">
      <c r="A1448" s="224" t="s">
        <v>1538</v>
      </c>
      <c r="B1448" s="218" t="s">
        <v>1539</v>
      </c>
      <c r="C1448" s="223">
        <v>2</v>
      </c>
      <c r="D1448" s="218" t="s">
        <v>1516</v>
      </c>
      <c r="E1448" s="223">
        <v>4</v>
      </c>
      <c r="F1448" s="242">
        <v>286.30</v>
      </c>
      <c r="G1448" s="223">
        <v>1994</v>
      </c>
      <c r="H1448" s="223">
        <v>1</v>
      </c>
      <c r="I1448" s="223">
        <v>1</v>
      </c>
      <c r="J1448" s="223"/>
      <c r="K1448" s="239">
        <v>5170.5780000000004</v>
      </c>
      <c r="L1448" s="241">
        <v>49</v>
      </c>
      <c r="M1448" s="229">
        <v>2636.99478</v>
      </c>
      <c r="N1448" s="230">
        <v>18.06</v>
      </c>
      <c r="O1448" s="231">
        <v>2636</v>
      </c>
      <c r="P1448" s="230"/>
      <c r="Q1448" s="230"/>
    </row>
    <row r="1449" spans="1:17" s="217" customFormat="1" ht="14.1" customHeight="1">
      <c r="A1449" s="224" t="s">
        <v>1538</v>
      </c>
      <c r="B1449" s="218" t="s">
        <v>1539</v>
      </c>
      <c r="C1449" s="223">
        <v>2</v>
      </c>
      <c r="D1449" s="218" t="s">
        <v>1516</v>
      </c>
      <c r="E1449" s="223">
        <v>4</v>
      </c>
      <c r="F1449" s="230">
        <v>1187.8599999999999</v>
      </c>
      <c r="G1449" s="223">
        <v>1994</v>
      </c>
      <c r="H1449" s="223">
        <v>1</v>
      </c>
      <c r="I1449" s="223">
        <v>1</v>
      </c>
      <c r="J1449" s="223"/>
      <c r="K1449" s="228">
        <v>21452.7516</v>
      </c>
      <c r="L1449" s="241">
        <v>49</v>
      </c>
      <c r="M1449" s="229">
        <v>10940.903319999999</v>
      </c>
      <c r="N1449" s="230">
        <v>18.06</v>
      </c>
      <c r="O1449" s="231">
        <v>10940</v>
      </c>
      <c r="P1449" s="230"/>
      <c r="Q1449" s="230"/>
    </row>
    <row r="1450" spans="1:17" s="217" customFormat="1" ht="14.1" customHeight="1">
      <c r="A1450" s="224" t="s">
        <v>1538</v>
      </c>
      <c r="B1450" s="218" t="s">
        <v>1539</v>
      </c>
      <c r="C1450" s="223">
        <v>2</v>
      </c>
      <c r="D1450" s="218" t="s">
        <v>1516</v>
      </c>
      <c r="E1450" s="223">
        <v>4</v>
      </c>
      <c r="F1450" s="230">
        <v>1003.64</v>
      </c>
      <c r="G1450" s="223">
        <v>1994</v>
      </c>
      <c r="H1450" s="223">
        <v>1</v>
      </c>
      <c r="I1450" s="223">
        <v>1</v>
      </c>
      <c r="J1450" s="223"/>
      <c r="K1450" s="228">
        <v>18125.738399999998</v>
      </c>
      <c r="L1450" s="241">
        <v>49</v>
      </c>
      <c r="M1450" s="233">
        <v>9244.1265839999996</v>
      </c>
      <c r="N1450" s="230">
        <v>18.06</v>
      </c>
      <c r="O1450" s="231">
        <v>9244</v>
      </c>
      <c r="P1450" s="230"/>
      <c r="Q1450" s="230"/>
    </row>
    <row r="1451" spans="1:17" s="217" customFormat="1" ht="14.1" customHeight="1">
      <c r="A1451" s="224" t="s">
        <v>1538</v>
      </c>
      <c r="B1451" s="218" t="s">
        <v>1539</v>
      </c>
      <c r="C1451" s="223">
        <v>2</v>
      </c>
      <c r="D1451" s="218" t="s">
        <v>1516</v>
      </c>
      <c r="E1451" s="223">
        <v>4</v>
      </c>
      <c r="F1451" s="242">
        <v>143.90</v>
      </c>
      <c r="G1451" s="223">
        <v>1994</v>
      </c>
      <c r="H1451" s="223">
        <v>1</v>
      </c>
      <c r="I1451" s="223">
        <v>1</v>
      </c>
      <c r="J1451" s="223"/>
      <c r="K1451" s="239">
        <v>2598.8339999999998</v>
      </c>
      <c r="L1451" s="241">
        <v>49</v>
      </c>
      <c r="M1451" s="229">
        <v>1325.40534</v>
      </c>
      <c r="N1451" s="230">
        <v>18.06</v>
      </c>
      <c r="O1451" s="231">
        <v>1325</v>
      </c>
      <c r="P1451" s="230"/>
      <c r="Q1451" s="230"/>
    </row>
    <row r="1452" spans="1:17" s="217" customFormat="1" ht="14.1" customHeight="1">
      <c r="A1452" s="224" t="s">
        <v>1538</v>
      </c>
      <c r="B1452" s="218" t="s">
        <v>1539</v>
      </c>
      <c r="C1452" s="223">
        <v>2</v>
      </c>
      <c r="D1452" s="218" t="s">
        <v>1516</v>
      </c>
      <c r="E1452" s="223">
        <v>4</v>
      </c>
      <c r="F1452" s="230">
        <v>336.61</v>
      </c>
      <c r="G1452" s="223">
        <v>1994</v>
      </c>
      <c r="H1452" s="223">
        <v>1</v>
      </c>
      <c r="I1452" s="223">
        <v>1</v>
      </c>
      <c r="J1452" s="223"/>
      <c r="K1452" s="228">
        <v>6079.1765999999998</v>
      </c>
      <c r="L1452" s="241">
        <v>49</v>
      </c>
      <c r="M1452" s="233">
        <v>3100.3800660000002</v>
      </c>
      <c r="N1452" s="230">
        <v>18.06</v>
      </c>
      <c r="O1452" s="231">
        <v>3100</v>
      </c>
      <c r="P1452" s="230"/>
      <c r="Q1452" s="230"/>
    </row>
    <row r="1453" spans="1:17" s="217" customFormat="1" ht="14.1" customHeight="1">
      <c r="A1453" s="224" t="s">
        <v>1538</v>
      </c>
      <c r="B1453" s="218" t="s">
        <v>1539</v>
      </c>
      <c r="C1453" s="223">
        <v>2</v>
      </c>
      <c r="D1453" s="218" t="s">
        <v>1516</v>
      </c>
      <c r="E1453" s="223">
        <v>4</v>
      </c>
      <c r="F1453" s="230">
        <v>186.75</v>
      </c>
      <c r="G1453" s="223">
        <v>1994</v>
      </c>
      <c r="H1453" s="223">
        <v>1</v>
      </c>
      <c r="I1453" s="223">
        <v>1</v>
      </c>
      <c r="J1453" s="223"/>
      <c r="K1453" s="239">
        <v>3372.7049999999999</v>
      </c>
      <c r="L1453" s="241">
        <v>49</v>
      </c>
      <c r="M1453" s="229">
        <v>1720.0795499999999</v>
      </c>
      <c r="N1453" s="230">
        <v>18.06</v>
      </c>
      <c r="O1453" s="231">
        <v>1720</v>
      </c>
      <c r="P1453" s="230"/>
      <c r="Q1453" s="230"/>
    </row>
    <row r="1454" spans="1:17" s="217" customFormat="1" ht="14.1" customHeight="1">
      <c r="A1454" s="224" t="s">
        <v>1538</v>
      </c>
      <c r="B1454" s="218" t="s">
        <v>1539</v>
      </c>
      <c r="C1454" s="223">
        <v>2</v>
      </c>
      <c r="D1454" s="218" t="s">
        <v>1516</v>
      </c>
      <c r="E1454" s="223">
        <v>4</v>
      </c>
      <c r="F1454" s="230">
        <v>211.52</v>
      </c>
      <c r="G1454" s="223">
        <v>1994</v>
      </c>
      <c r="H1454" s="223">
        <v>1</v>
      </c>
      <c r="I1454" s="223">
        <v>1</v>
      </c>
      <c r="J1454" s="223"/>
      <c r="K1454" s="228">
        <v>3820.0511999999999</v>
      </c>
      <c r="L1454" s="241">
        <v>49</v>
      </c>
      <c r="M1454" s="233">
        <v>1948.2261120000001</v>
      </c>
      <c r="N1454" s="230">
        <v>18.06</v>
      </c>
      <c r="O1454" s="231">
        <v>1948</v>
      </c>
      <c r="P1454" s="230"/>
      <c r="Q1454" s="230"/>
    </row>
    <row r="1455" spans="1:17" s="217" customFormat="1" ht="14.1" customHeight="1">
      <c r="A1455" s="224" t="s">
        <v>1538</v>
      </c>
      <c r="B1455" s="218" t="s">
        <v>1539</v>
      </c>
      <c r="C1455" s="223">
        <v>2</v>
      </c>
      <c r="D1455" s="218" t="s">
        <v>1516</v>
      </c>
      <c r="E1455" s="223">
        <v>4</v>
      </c>
      <c r="F1455" s="230">
        <v>154.66</v>
      </c>
      <c r="G1455" s="223">
        <v>1994</v>
      </c>
      <c r="H1455" s="223">
        <v>1</v>
      </c>
      <c r="I1455" s="223">
        <v>1</v>
      </c>
      <c r="J1455" s="223"/>
      <c r="K1455" s="228">
        <v>2793.1596</v>
      </c>
      <c r="L1455" s="241">
        <v>49</v>
      </c>
      <c r="M1455" s="233">
        <v>1424.5113960000001</v>
      </c>
      <c r="N1455" s="230">
        <v>18.06</v>
      </c>
      <c r="O1455" s="231">
        <v>1424</v>
      </c>
      <c r="P1455" s="230"/>
      <c r="Q1455" s="230"/>
    </row>
    <row r="1456" spans="1:17" s="217" customFormat="1" ht="14.1" customHeight="1">
      <c r="A1456" s="224" t="s">
        <v>1538</v>
      </c>
      <c r="B1456" s="218" t="s">
        <v>1539</v>
      </c>
      <c r="C1456" s="223">
        <v>2</v>
      </c>
      <c r="D1456" s="218" t="s">
        <v>1516</v>
      </c>
      <c r="E1456" s="223">
        <v>4</v>
      </c>
      <c r="F1456" s="230">
        <v>355.28</v>
      </c>
      <c r="G1456" s="223">
        <v>1994</v>
      </c>
      <c r="H1456" s="223">
        <v>1</v>
      </c>
      <c r="I1456" s="223">
        <v>1</v>
      </c>
      <c r="J1456" s="223"/>
      <c r="K1456" s="228">
        <v>6416.3567999999996</v>
      </c>
      <c r="L1456" s="241">
        <v>49</v>
      </c>
      <c r="M1456" s="233">
        <v>3272.3419680000002</v>
      </c>
      <c r="N1456" s="230">
        <v>18.06</v>
      </c>
      <c r="O1456" s="231">
        <v>3272</v>
      </c>
      <c r="P1456" s="230"/>
      <c r="Q1456" s="230"/>
    </row>
    <row r="1457" spans="1:17" s="217" customFormat="1" ht="14.1" customHeight="1">
      <c r="A1457" s="224" t="s">
        <v>1538</v>
      </c>
      <c r="B1457" s="218" t="s">
        <v>1539</v>
      </c>
      <c r="C1457" s="223">
        <v>2</v>
      </c>
      <c r="D1457" s="218" t="s">
        <v>1516</v>
      </c>
      <c r="E1457" s="223">
        <v>4</v>
      </c>
      <c r="F1457" s="230">
        <v>1243.67</v>
      </c>
      <c r="G1457" s="223">
        <v>1994</v>
      </c>
      <c r="H1457" s="223">
        <v>1</v>
      </c>
      <c r="I1457" s="223">
        <v>1</v>
      </c>
      <c r="J1457" s="223"/>
      <c r="K1457" s="228">
        <v>22460.680199999999</v>
      </c>
      <c r="L1457" s="241">
        <v>49</v>
      </c>
      <c r="M1457" s="228">
        <v>11454.946900000001</v>
      </c>
      <c r="N1457" s="230">
        <v>18.06</v>
      </c>
      <c r="O1457" s="231">
        <v>11454</v>
      </c>
      <c r="P1457" s="230"/>
      <c r="Q1457" s="230"/>
    </row>
    <row r="1458" spans="1:17" s="217" customFormat="1" ht="14.1" customHeight="1">
      <c r="A1458" s="224" t="s">
        <v>1538</v>
      </c>
      <c r="B1458" s="218" t="s">
        <v>1539</v>
      </c>
      <c r="C1458" s="223">
        <v>2</v>
      </c>
      <c r="D1458" s="218" t="s">
        <v>1516</v>
      </c>
      <c r="E1458" s="223">
        <v>4</v>
      </c>
      <c r="F1458" s="230">
        <v>1035.45</v>
      </c>
      <c r="G1458" s="223">
        <v>1994</v>
      </c>
      <c r="H1458" s="223">
        <v>1</v>
      </c>
      <c r="I1458" s="223">
        <v>1</v>
      </c>
      <c r="J1458" s="223"/>
      <c r="K1458" s="239">
        <v>18700.226999999999</v>
      </c>
      <c r="L1458" s="241">
        <v>49</v>
      </c>
      <c r="M1458" s="229">
        <v>9537.1157700000003</v>
      </c>
      <c r="N1458" s="230">
        <v>18.06</v>
      </c>
      <c r="O1458" s="231">
        <v>9537</v>
      </c>
      <c r="P1458" s="230"/>
      <c r="Q1458" s="230"/>
    </row>
    <row r="1459" spans="1:17" s="217" customFormat="1" ht="14.1" customHeight="1">
      <c r="A1459" s="224" t="s">
        <v>1538</v>
      </c>
      <c r="B1459" s="218" t="s">
        <v>1539</v>
      </c>
      <c r="C1459" s="223">
        <v>2</v>
      </c>
      <c r="D1459" s="218" t="s">
        <v>1516</v>
      </c>
      <c r="E1459" s="223">
        <v>4</v>
      </c>
      <c r="F1459" s="242">
        <v>439.60</v>
      </c>
      <c r="G1459" s="223">
        <v>1994</v>
      </c>
      <c r="H1459" s="223">
        <v>1</v>
      </c>
      <c r="I1459" s="223">
        <v>1</v>
      </c>
      <c r="J1459" s="223"/>
      <c r="K1459" s="239">
        <v>7939.1760000000004</v>
      </c>
      <c r="L1459" s="241">
        <v>49</v>
      </c>
      <c r="M1459" s="229">
        <v>4048.9797600000002</v>
      </c>
      <c r="N1459" s="230">
        <v>18.06</v>
      </c>
      <c r="O1459" s="231">
        <v>4048</v>
      </c>
      <c r="P1459" s="230"/>
      <c r="Q1459" s="230"/>
    </row>
    <row r="1460" spans="1:17" s="217" customFormat="1" ht="15" customHeight="1">
      <c r="A1460" s="224" t="s">
        <v>1538</v>
      </c>
      <c r="B1460" s="218" t="s">
        <v>1539</v>
      </c>
      <c r="C1460" s="223">
        <v>2</v>
      </c>
      <c r="D1460" s="218" t="s">
        <v>1516</v>
      </c>
      <c r="E1460" s="223">
        <v>4</v>
      </c>
      <c r="F1460" s="230">
        <v>239.36</v>
      </c>
      <c r="G1460" s="223">
        <v>1994</v>
      </c>
      <c r="H1460" s="223">
        <v>1</v>
      </c>
      <c r="I1460" s="223">
        <v>1</v>
      </c>
      <c r="J1460" s="223"/>
      <c r="K1460" s="228">
        <v>4322.8415999999997</v>
      </c>
      <c r="L1460" s="241">
        <v>49</v>
      </c>
      <c r="M1460" s="233">
        <v>2204.6492159999998</v>
      </c>
      <c r="N1460" s="230">
        <v>18.06</v>
      </c>
      <c r="O1460" s="231">
        <v>2204</v>
      </c>
      <c r="P1460" s="230"/>
      <c r="Q1460" s="230"/>
    </row>
    <row r="1461" spans="1:17" s="217" customFormat="1" ht="15" customHeight="1">
      <c r="A1461" s="224" t="s">
        <v>1538</v>
      </c>
      <c r="B1461" s="218" t="s">
        <v>1539</v>
      </c>
      <c r="C1461" s="223">
        <v>2</v>
      </c>
      <c r="D1461" s="218" t="s">
        <v>1516</v>
      </c>
      <c r="E1461" s="223">
        <v>4</v>
      </c>
      <c r="F1461" s="230">
        <v>4150.03</v>
      </c>
      <c r="G1461" s="223">
        <v>1994</v>
      </c>
      <c r="H1461" s="223">
        <v>1</v>
      </c>
      <c r="I1461" s="223">
        <v>1</v>
      </c>
      <c r="J1461" s="223"/>
      <c r="K1461" s="228">
        <v>74949.541800000006</v>
      </c>
      <c r="L1461" s="241">
        <v>49</v>
      </c>
      <c r="M1461" s="229">
        <v>38224.266320000002</v>
      </c>
      <c r="N1461" s="230">
        <v>18.06</v>
      </c>
      <c r="O1461" s="231">
        <v>38224</v>
      </c>
      <c r="P1461" s="230"/>
      <c r="Q1461" s="230"/>
    </row>
    <row r="1462" spans="1:17" s="217" customFormat="1" ht="14.1" customHeight="1">
      <c r="A1462" s="224" t="s">
        <v>1538</v>
      </c>
      <c r="B1462" s="218" t="s">
        <v>1539</v>
      </c>
      <c r="C1462" s="223">
        <v>2</v>
      </c>
      <c r="D1462" s="218" t="s">
        <v>1516</v>
      </c>
      <c r="E1462" s="223">
        <v>4</v>
      </c>
      <c r="F1462" s="230">
        <v>648.39</v>
      </c>
      <c r="G1462" s="223">
        <v>1994</v>
      </c>
      <c r="H1462" s="223">
        <v>1</v>
      </c>
      <c r="I1462" s="223">
        <v>1</v>
      </c>
      <c r="J1462" s="223"/>
      <c r="K1462" s="228">
        <v>11709.9234</v>
      </c>
      <c r="L1462" s="241">
        <v>49</v>
      </c>
      <c r="M1462" s="233">
        <v>5972.0609340000001</v>
      </c>
      <c r="N1462" s="230">
        <v>18.06</v>
      </c>
      <c r="O1462" s="231">
        <v>5972</v>
      </c>
      <c r="P1462" s="230"/>
      <c r="Q1462" s="230"/>
    </row>
    <row r="1463" spans="1:17" s="217" customFormat="1" ht="14.1" customHeight="1">
      <c r="A1463" s="224" t="s">
        <v>1538</v>
      </c>
      <c r="B1463" s="218" t="s">
        <v>1539</v>
      </c>
      <c r="C1463" s="223">
        <v>2</v>
      </c>
      <c r="D1463" s="218" t="s">
        <v>1516</v>
      </c>
      <c r="E1463" s="223">
        <v>4</v>
      </c>
      <c r="F1463" s="230">
        <v>1096.3599999999999</v>
      </c>
      <c r="G1463" s="223">
        <v>1990</v>
      </c>
      <c r="H1463" s="223">
        <v>1</v>
      </c>
      <c r="I1463" s="223">
        <v>1</v>
      </c>
      <c r="J1463" s="223"/>
      <c r="K1463" s="228">
        <v>19800.261600000002</v>
      </c>
      <c r="L1463" s="241">
        <v>52</v>
      </c>
      <c r="M1463" s="233">
        <v>9504.1255679999995</v>
      </c>
      <c r="N1463" s="230">
        <v>18.06</v>
      </c>
      <c r="O1463" s="231">
        <v>9504</v>
      </c>
      <c r="P1463" s="230"/>
      <c r="Q1463" s="230"/>
    </row>
    <row r="1464" spans="1:17" s="217" customFormat="1" ht="14.1" customHeight="1">
      <c r="A1464" s="224" t="s">
        <v>1538</v>
      </c>
      <c r="B1464" s="218" t="s">
        <v>1539</v>
      </c>
      <c r="C1464" s="223">
        <v>2</v>
      </c>
      <c r="D1464" s="218" t="s">
        <v>1516</v>
      </c>
      <c r="E1464" s="223">
        <v>4</v>
      </c>
      <c r="F1464" s="230">
        <v>705.28</v>
      </c>
      <c r="G1464" s="223">
        <v>1990</v>
      </c>
      <c r="H1464" s="223">
        <v>1</v>
      </c>
      <c r="I1464" s="223">
        <v>1</v>
      </c>
      <c r="J1464" s="223"/>
      <c r="K1464" s="228">
        <v>12737.3568</v>
      </c>
      <c r="L1464" s="241">
        <v>52</v>
      </c>
      <c r="M1464" s="233">
        <v>6113.9312639999998</v>
      </c>
      <c r="N1464" s="230">
        <v>18.06</v>
      </c>
      <c r="O1464" s="231">
        <v>6113</v>
      </c>
      <c r="P1464" s="230"/>
      <c r="Q1464" s="230"/>
    </row>
    <row r="1465" spans="1:17" s="217" customFormat="1" ht="14.1" customHeight="1">
      <c r="A1465" s="224" t="s">
        <v>1538</v>
      </c>
      <c r="B1465" s="218" t="s">
        <v>1539</v>
      </c>
      <c r="C1465" s="223">
        <v>2</v>
      </c>
      <c r="D1465" s="218" t="s">
        <v>1516</v>
      </c>
      <c r="E1465" s="223">
        <v>4</v>
      </c>
      <c r="F1465" s="230">
        <v>459.81</v>
      </c>
      <c r="G1465" s="223">
        <v>1990</v>
      </c>
      <c r="H1465" s="223">
        <v>1</v>
      </c>
      <c r="I1465" s="223">
        <v>1</v>
      </c>
      <c r="J1465" s="223"/>
      <c r="K1465" s="228">
        <v>8304.1686000000009</v>
      </c>
      <c r="L1465" s="241">
        <v>52</v>
      </c>
      <c r="M1465" s="233">
        <v>3986.0009279999999</v>
      </c>
      <c r="N1465" s="230">
        <v>18.06</v>
      </c>
      <c r="O1465" s="231">
        <v>3986</v>
      </c>
      <c r="P1465" s="230"/>
      <c r="Q1465" s="230"/>
    </row>
    <row r="1466" spans="1:17" s="217" customFormat="1" ht="14.1" customHeight="1">
      <c r="A1466" s="224" t="s">
        <v>1538</v>
      </c>
      <c r="B1466" s="218" t="s">
        <v>1539</v>
      </c>
      <c r="C1466" s="223">
        <v>2</v>
      </c>
      <c r="D1466" s="218" t="s">
        <v>1516</v>
      </c>
      <c r="E1466" s="223">
        <v>4</v>
      </c>
      <c r="F1466" s="230">
        <v>883.75</v>
      </c>
      <c r="G1466" s="223">
        <v>1990</v>
      </c>
      <c r="H1466" s="223">
        <v>1</v>
      </c>
      <c r="I1466" s="223">
        <v>0</v>
      </c>
      <c r="J1466" s="223"/>
      <c r="K1466" s="239">
        <v>15960.525</v>
      </c>
      <c r="L1466" s="241">
        <v>52</v>
      </c>
      <c r="M1466" s="239">
        <v>7661.0519999999997</v>
      </c>
      <c r="N1466" s="230">
        <v>18.06</v>
      </c>
      <c r="O1466" s="231">
        <v>0</v>
      </c>
      <c r="P1466" s="230"/>
      <c r="Q1466" s="230"/>
    </row>
    <row r="1467" spans="1:17" s="217" customFormat="1" ht="14.1" customHeight="1">
      <c r="A1467" s="224" t="s">
        <v>1538</v>
      </c>
      <c r="B1467" s="218" t="s">
        <v>1539</v>
      </c>
      <c r="C1467" s="223">
        <v>2</v>
      </c>
      <c r="D1467" s="218" t="s">
        <v>1516</v>
      </c>
      <c r="E1467" s="223">
        <v>4</v>
      </c>
      <c r="F1467" s="242">
        <v>474.10</v>
      </c>
      <c r="G1467" s="223">
        <v>1990</v>
      </c>
      <c r="H1467" s="223">
        <v>1</v>
      </c>
      <c r="I1467" s="223">
        <v>1</v>
      </c>
      <c r="J1467" s="223"/>
      <c r="K1467" s="239">
        <v>8562.2459999999992</v>
      </c>
      <c r="L1467" s="241">
        <v>52</v>
      </c>
      <c r="M1467" s="229">
        <v>4109.8780800000004</v>
      </c>
      <c r="N1467" s="230">
        <v>18.06</v>
      </c>
      <c r="O1467" s="231">
        <v>4109</v>
      </c>
      <c r="P1467" s="230"/>
      <c r="Q1467" s="230"/>
    </row>
    <row r="1468" spans="1:17" s="217" customFormat="1" ht="14.1" customHeight="1">
      <c r="A1468" s="224" t="s">
        <v>1538</v>
      </c>
      <c r="B1468" s="218" t="s">
        <v>1539</v>
      </c>
      <c r="C1468" s="223">
        <v>2</v>
      </c>
      <c r="D1468" s="218" t="s">
        <v>1516</v>
      </c>
      <c r="E1468" s="223">
        <v>4</v>
      </c>
      <c r="F1468" s="223">
        <v>613</v>
      </c>
      <c r="G1468" s="223">
        <v>2002</v>
      </c>
      <c r="H1468" s="223">
        <v>1</v>
      </c>
      <c r="I1468" s="223">
        <v>0</v>
      </c>
      <c r="J1468" s="223"/>
      <c r="K1468" s="238">
        <v>11070.78</v>
      </c>
      <c r="L1468" s="241">
        <v>30</v>
      </c>
      <c r="M1468" s="239">
        <v>7749.5460000000003</v>
      </c>
      <c r="N1468" s="230">
        <v>18.06</v>
      </c>
      <c r="O1468" s="231">
        <v>0</v>
      </c>
      <c r="P1468" s="230"/>
      <c r="Q1468" s="230"/>
    </row>
    <row r="1469" spans="1:17" s="217" customFormat="1" ht="14.1" customHeight="1">
      <c r="A1469" s="224" t="s">
        <v>1538</v>
      </c>
      <c r="B1469" s="218" t="s">
        <v>1539</v>
      </c>
      <c r="C1469" s="223">
        <v>2</v>
      </c>
      <c r="D1469" s="218" t="s">
        <v>1516</v>
      </c>
      <c r="E1469" s="223">
        <v>4</v>
      </c>
      <c r="F1469" s="230">
        <v>4946.24</v>
      </c>
      <c r="G1469" s="223">
        <v>1990</v>
      </c>
      <c r="H1469" s="223">
        <v>1</v>
      </c>
      <c r="I1469" s="223">
        <v>1</v>
      </c>
      <c r="J1469" s="223"/>
      <c r="K1469" s="228">
        <v>89329.094400000002</v>
      </c>
      <c r="L1469" s="241">
        <v>52</v>
      </c>
      <c r="M1469" s="229">
        <v>42877.96531</v>
      </c>
      <c r="N1469" s="230">
        <v>18.06</v>
      </c>
      <c r="O1469" s="231">
        <v>42877</v>
      </c>
      <c r="P1469" s="230"/>
      <c r="Q1469" s="230"/>
    </row>
    <row r="1470" spans="1:17" s="217" customFormat="1" ht="14.1" customHeight="1">
      <c r="A1470" s="224" t="s">
        <v>1538</v>
      </c>
      <c r="B1470" s="218" t="s">
        <v>1539</v>
      </c>
      <c r="C1470" s="223">
        <v>2</v>
      </c>
      <c r="D1470" s="218" t="s">
        <v>1516</v>
      </c>
      <c r="E1470" s="223">
        <v>4</v>
      </c>
      <c r="F1470" s="230">
        <v>760.71</v>
      </c>
      <c r="G1470" s="223">
        <v>1990</v>
      </c>
      <c r="H1470" s="223">
        <v>1</v>
      </c>
      <c r="I1470" s="223">
        <v>1</v>
      </c>
      <c r="J1470" s="223"/>
      <c r="K1470" s="228">
        <v>13738.4226</v>
      </c>
      <c r="L1470" s="241">
        <v>52</v>
      </c>
      <c r="M1470" s="233">
        <v>6594.4428479999997</v>
      </c>
      <c r="N1470" s="230">
        <v>18.06</v>
      </c>
      <c r="O1470" s="231">
        <v>6594</v>
      </c>
      <c r="P1470" s="230"/>
      <c r="Q1470" s="230"/>
    </row>
    <row r="1471" spans="1:17" s="217" customFormat="1" ht="14.1" customHeight="1">
      <c r="A1471" s="224" t="s">
        <v>1538</v>
      </c>
      <c r="B1471" s="218" t="s">
        <v>1539</v>
      </c>
      <c r="C1471" s="223">
        <v>2</v>
      </c>
      <c r="D1471" s="218" t="s">
        <v>1516</v>
      </c>
      <c r="E1471" s="223">
        <v>4</v>
      </c>
      <c r="F1471" s="260">
        <v>1383.50</v>
      </c>
      <c r="G1471" s="223">
        <v>1990</v>
      </c>
      <c r="H1471" s="223">
        <v>1</v>
      </c>
      <c r="I1471" s="246">
        <v>0</v>
      </c>
      <c r="J1471" s="223"/>
      <c r="K1471" s="247">
        <v>24986.01</v>
      </c>
      <c r="L1471" s="241">
        <v>52</v>
      </c>
      <c r="M1471" s="247">
        <v>11993.284799999999</v>
      </c>
      <c r="N1471" s="230">
        <v>18.06</v>
      </c>
      <c r="O1471" s="248">
        <v>0</v>
      </c>
      <c r="P1471" s="317" t="s">
        <v>1560</v>
      </c>
      <c r="Q1471" s="230"/>
    </row>
    <row r="1472" spans="1:17" s="217" customFormat="1" ht="14.1" customHeight="1">
      <c r="A1472" s="224" t="s">
        <v>1538</v>
      </c>
      <c r="B1472" s="218" t="s">
        <v>1539</v>
      </c>
      <c r="C1472" s="223">
        <v>2</v>
      </c>
      <c r="D1472" s="218" t="s">
        <v>1516</v>
      </c>
      <c r="E1472" s="223">
        <v>4</v>
      </c>
      <c r="F1472" s="260">
        <v>1383.50</v>
      </c>
      <c r="G1472" s="223">
        <v>1990</v>
      </c>
      <c r="H1472" s="223">
        <v>1</v>
      </c>
      <c r="I1472" s="246">
        <v>0</v>
      </c>
      <c r="J1472" s="223"/>
      <c r="K1472" s="247">
        <v>24986.01</v>
      </c>
      <c r="L1472" s="241">
        <v>52</v>
      </c>
      <c r="M1472" s="247">
        <v>11993.284799999999</v>
      </c>
      <c r="N1472" s="230">
        <v>18.06</v>
      </c>
      <c r="O1472" s="248">
        <v>0</v>
      </c>
      <c r="P1472" s="317" t="s">
        <v>1560</v>
      </c>
      <c r="Q1472" s="230"/>
    </row>
    <row r="1473" spans="1:17" s="217" customFormat="1" ht="14.1" customHeight="1">
      <c r="A1473" s="224" t="s">
        <v>1538</v>
      </c>
      <c r="B1473" s="218" t="s">
        <v>1539</v>
      </c>
      <c r="C1473" s="223">
        <v>2</v>
      </c>
      <c r="D1473" s="218" t="s">
        <v>1516</v>
      </c>
      <c r="E1473" s="223">
        <v>4</v>
      </c>
      <c r="F1473" s="242">
        <v>11368.40</v>
      </c>
      <c r="G1473" s="223">
        <v>1990</v>
      </c>
      <c r="H1473" s="223">
        <v>1</v>
      </c>
      <c r="I1473" s="223">
        <v>1</v>
      </c>
      <c r="J1473" s="223"/>
      <c r="K1473" s="239">
        <v>205313.304</v>
      </c>
      <c r="L1473" s="241">
        <v>52</v>
      </c>
      <c r="M1473" s="229">
        <v>98550.385920000001</v>
      </c>
      <c r="N1473" s="230">
        <v>18.06</v>
      </c>
      <c r="O1473" s="231">
        <v>98550</v>
      </c>
      <c r="P1473" s="230"/>
      <c r="Q1473" s="230"/>
    </row>
    <row r="1474" spans="1:17" s="217" customFormat="1" ht="14.1" customHeight="1">
      <c r="A1474" s="224" t="s">
        <v>1538</v>
      </c>
      <c r="B1474" s="218" t="s">
        <v>1539</v>
      </c>
      <c r="C1474" s="223">
        <v>2</v>
      </c>
      <c r="D1474" s="218" t="s">
        <v>1516</v>
      </c>
      <c r="E1474" s="223">
        <v>4</v>
      </c>
      <c r="F1474" s="242">
        <v>1368.40</v>
      </c>
      <c r="G1474" s="223">
        <v>1990</v>
      </c>
      <c r="H1474" s="223">
        <v>1</v>
      </c>
      <c r="I1474" s="223">
        <v>1</v>
      </c>
      <c r="J1474" s="223"/>
      <c r="K1474" s="239">
        <v>24713.304</v>
      </c>
      <c r="L1474" s="241">
        <v>52</v>
      </c>
      <c r="M1474" s="229">
        <v>11862.385920000001</v>
      </c>
      <c r="N1474" s="230">
        <v>18.06</v>
      </c>
      <c r="O1474" s="231">
        <v>11862</v>
      </c>
      <c r="P1474" s="230"/>
      <c r="Q1474" s="230"/>
    </row>
    <row r="1475" spans="1:17" s="217" customFormat="1" ht="14.1" customHeight="1">
      <c r="A1475" s="224" t="s">
        <v>1538</v>
      </c>
      <c r="B1475" s="218" t="s">
        <v>1539</v>
      </c>
      <c r="C1475" s="223">
        <v>2</v>
      </c>
      <c r="D1475" s="218" t="s">
        <v>1516</v>
      </c>
      <c r="E1475" s="223">
        <v>4</v>
      </c>
      <c r="F1475" s="242">
        <v>522.50</v>
      </c>
      <c r="G1475" s="223">
        <v>1990</v>
      </c>
      <c r="H1475" s="223">
        <v>1</v>
      </c>
      <c r="I1475" s="223">
        <v>1</v>
      </c>
      <c r="J1475" s="223"/>
      <c r="K1475" s="238">
        <v>9436.35</v>
      </c>
      <c r="L1475" s="241">
        <v>52</v>
      </c>
      <c r="M1475" s="239">
        <v>4529.4480000000003</v>
      </c>
      <c r="N1475" s="230">
        <v>18.06</v>
      </c>
      <c r="O1475" s="231">
        <v>4529</v>
      </c>
      <c r="P1475" s="230"/>
      <c r="Q1475" s="230"/>
    </row>
    <row r="1476" spans="1:17" s="217" customFormat="1" ht="14.1" customHeight="1">
      <c r="A1476" s="224" t="s">
        <v>1538</v>
      </c>
      <c r="B1476" s="218" t="s">
        <v>1539</v>
      </c>
      <c r="C1476" s="223">
        <v>2</v>
      </c>
      <c r="D1476" s="218" t="s">
        <v>1516</v>
      </c>
      <c r="E1476" s="223">
        <v>4</v>
      </c>
      <c r="F1476" s="242">
        <v>522.50</v>
      </c>
      <c r="G1476" s="223">
        <v>1990</v>
      </c>
      <c r="H1476" s="223">
        <v>1</v>
      </c>
      <c r="I1476" s="223">
        <v>1</v>
      </c>
      <c r="J1476" s="223"/>
      <c r="K1476" s="238">
        <v>9436.35</v>
      </c>
      <c r="L1476" s="241">
        <v>52</v>
      </c>
      <c r="M1476" s="239">
        <v>4529.4480000000003</v>
      </c>
      <c r="N1476" s="230">
        <v>18.06</v>
      </c>
      <c r="O1476" s="231">
        <v>4529</v>
      </c>
      <c r="P1476" s="230"/>
      <c r="Q1476" s="230"/>
    </row>
    <row r="1477" spans="1:17" s="217" customFormat="1" ht="14.1" customHeight="1">
      <c r="A1477" s="224" t="s">
        <v>1538</v>
      </c>
      <c r="B1477" s="218" t="s">
        <v>1539</v>
      </c>
      <c r="C1477" s="223">
        <v>2</v>
      </c>
      <c r="D1477" s="218" t="s">
        <v>1516</v>
      </c>
      <c r="E1477" s="223">
        <v>4</v>
      </c>
      <c r="F1477" s="242">
        <v>558.10</v>
      </c>
      <c r="G1477" s="223">
        <v>1990</v>
      </c>
      <c r="H1477" s="223">
        <v>1</v>
      </c>
      <c r="I1477" s="223">
        <v>1</v>
      </c>
      <c r="J1477" s="223"/>
      <c r="K1477" s="239">
        <v>10079.286</v>
      </c>
      <c r="L1477" s="241">
        <v>52</v>
      </c>
      <c r="M1477" s="229">
        <v>4838.05728</v>
      </c>
      <c r="N1477" s="230">
        <v>18.06</v>
      </c>
      <c r="O1477" s="231">
        <v>4838</v>
      </c>
      <c r="P1477" s="230"/>
      <c r="Q1477" s="230"/>
    </row>
    <row r="1478" spans="1:17" s="217" customFormat="1" ht="14.1" customHeight="1">
      <c r="A1478" s="224" t="s">
        <v>1538</v>
      </c>
      <c r="B1478" s="218" t="s">
        <v>1539</v>
      </c>
      <c r="C1478" s="223">
        <v>2</v>
      </c>
      <c r="D1478" s="218" t="s">
        <v>1516</v>
      </c>
      <c r="E1478" s="223">
        <v>4</v>
      </c>
      <c r="F1478" s="242">
        <v>558.10</v>
      </c>
      <c r="G1478" s="223">
        <v>1990</v>
      </c>
      <c r="H1478" s="223">
        <v>1</v>
      </c>
      <c r="I1478" s="223">
        <v>1</v>
      </c>
      <c r="J1478" s="223"/>
      <c r="K1478" s="239">
        <v>10079.286</v>
      </c>
      <c r="L1478" s="241">
        <v>52</v>
      </c>
      <c r="M1478" s="229">
        <v>4838.05728</v>
      </c>
      <c r="N1478" s="230">
        <v>18.06</v>
      </c>
      <c r="O1478" s="231">
        <v>4838</v>
      </c>
      <c r="P1478" s="230"/>
      <c r="Q1478" s="230"/>
    </row>
    <row r="1479" spans="1:17" s="217" customFormat="1" ht="14.1" customHeight="1">
      <c r="A1479" s="224" t="s">
        <v>1538</v>
      </c>
      <c r="B1479" s="218" t="s">
        <v>1539</v>
      </c>
      <c r="C1479" s="223">
        <v>2</v>
      </c>
      <c r="D1479" s="218" t="s">
        <v>1516</v>
      </c>
      <c r="E1479" s="223">
        <v>4</v>
      </c>
      <c r="F1479" s="223">
        <v>265</v>
      </c>
      <c r="G1479" s="223">
        <v>1990</v>
      </c>
      <c r="H1479" s="223">
        <v>1</v>
      </c>
      <c r="I1479" s="223">
        <v>1</v>
      </c>
      <c r="J1479" s="223"/>
      <c r="K1479" s="237">
        <v>4785.8999999999996</v>
      </c>
      <c r="L1479" s="241">
        <v>52</v>
      </c>
      <c r="M1479" s="239">
        <v>2297.232</v>
      </c>
      <c r="N1479" s="230">
        <v>18.06</v>
      </c>
      <c r="O1479" s="231">
        <v>2297</v>
      </c>
      <c r="P1479" s="230"/>
      <c r="Q1479" s="230"/>
    </row>
    <row r="1480" spans="1:17" s="217" customFormat="1" ht="14.1" customHeight="1">
      <c r="A1480" s="224" t="s">
        <v>1538</v>
      </c>
      <c r="B1480" s="218" t="s">
        <v>1539</v>
      </c>
      <c r="C1480" s="223">
        <v>2</v>
      </c>
      <c r="D1480" s="218" t="s">
        <v>1516</v>
      </c>
      <c r="E1480" s="223">
        <v>4</v>
      </c>
      <c r="F1480" s="223">
        <v>265</v>
      </c>
      <c r="G1480" s="223">
        <v>1990</v>
      </c>
      <c r="H1480" s="223">
        <v>1</v>
      </c>
      <c r="I1480" s="223">
        <v>1</v>
      </c>
      <c r="J1480" s="223"/>
      <c r="K1480" s="237">
        <v>4785.8999999999996</v>
      </c>
      <c r="L1480" s="241">
        <v>52</v>
      </c>
      <c r="M1480" s="239">
        <v>2297.232</v>
      </c>
      <c r="N1480" s="230">
        <v>18.06</v>
      </c>
      <c r="O1480" s="231">
        <v>2297</v>
      </c>
      <c r="P1480" s="230"/>
      <c r="Q1480" s="230"/>
    </row>
    <row r="1481" spans="1:17" s="217" customFormat="1" ht="14.1" customHeight="1">
      <c r="A1481" s="224" t="s">
        <v>1538</v>
      </c>
      <c r="B1481" s="218" t="s">
        <v>1539</v>
      </c>
      <c r="C1481" s="223">
        <v>2</v>
      </c>
      <c r="D1481" s="218" t="s">
        <v>1516</v>
      </c>
      <c r="E1481" s="223">
        <v>4</v>
      </c>
      <c r="F1481" s="223">
        <v>1155</v>
      </c>
      <c r="G1481" s="223">
        <v>1990</v>
      </c>
      <c r="H1481" s="223">
        <v>1</v>
      </c>
      <c r="I1481" s="223">
        <v>1</v>
      </c>
      <c r="J1481" s="223"/>
      <c r="K1481" s="237">
        <v>20859.30</v>
      </c>
      <c r="L1481" s="241">
        <v>52</v>
      </c>
      <c r="M1481" s="239">
        <v>10012.464</v>
      </c>
      <c r="N1481" s="230">
        <v>18.06</v>
      </c>
      <c r="O1481" s="231">
        <v>10012</v>
      </c>
      <c r="P1481" s="230"/>
      <c r="Q1481" s="230"/>
    </row>
    <row r="1482" spans="1:17" s="217" customFormat="1" ht="14.1" customHeight="1">
      <c r="A1482" s="224" t="s">
        <v>1538</v>
      </c>
      <c r="B1482" s="218" t="s">
        <v>1539</v>
      </c>
      <c r="C1482" s="223">
        <v>2</v>
      </c>
      <c r="D1482" s="218" t="s">
        <v>1516</v>
      </c>
      <c r="E1482" s="223">
        <v>4</v>
      </c>
      <c r="F1482" s="223">
        <v>1155</v>
      </c>
      <c r="G1482" s="223">
        <v>1990</v>
      </c>
      <c r="H1482" s="223">
        <v>1</v>
      </c>
      <c r="I1482" s="223">
        <v>1</v>
      </c>
      <c r="J1482" s="223"/>
      <c r="K1482" s="237">
        <v>20859.30</v>
      </c>
      <c r="L1482" s="241">
        <v>52</v>
      </c>
      <c r="M1482" s="239">
        <v>10012.464</v>
      </c>
      <c r="N1482" s="230">
        <v>18.06</v>
      </c>
      <c r="O1482" s="231">
        <v>10012</v>
      </c>
      <c r="P1482" s="230"/>
      <c r="Q1482" s="230"/>
    </row>
    <row r="1483" spans="1:17" s="217" customFormat="1" ht="14.1" customHeight="1">
      <c r="A1483" s="224" t="s">
        <v>1538</v>
      </c>
      <c r="B1483" s="218" t="s">
        <v>1539</v>
      </c>
      <c r="C1483" s="223">
        <v>2</v>
      </c>
      <c r="D1483" s="218" t="s">
        <v>1516</v>
      </c>
      <c r="E1483" s="223">
        <v>4</v>
      </c>
      <c r="F1483" s="246">
        <v>453</v>
      </c>
      <c r="G1483" s="223">
        <v>1990</v>
      </c>
      <c r="H1483" s="223">
        <v>1</v>
      </c>
      <c r="I1483" s="246">
        <v>0</v>
      </c>
      <c r="J1483" s="223"/>
      <c r="K1483" s="247">
        <v>8181.18</v>
      </c>
      <c r="L1483" s="241">
        <v>52</v>
      </c>
      <c r="M1483" s="247">
        <v>3926.9663999999998</v>
      </c>
      <c r="N1483" s="230">
        <v>18.06</v>
      </c>
      <c r="O1483" s="248">
        <v>0</v>
      </c>
      <c r="P1483" s="317" t="s">
        <v>1560</v>
      </c>
      <c r="Q1483" s="230"/>
    </row>
    <row r="1484" spans="1:17" s="217" customFormat="1" ht="14.1" customHeight="1">
      <c r="A1484" s="224" t="s">
        <v>1538</v>
      </c>
      <c r="B1484" s="218" t="s">
        <v>1539</v>
      </c>
      <c r="C1484" s="223">
        <v>2</v>
      </c>
      <c r="D1484" s="218" t="s">
        <v>1516</v>
      </c>
      <c r="E1484" s="223">
        <v>4</v>
      </c>
      <c r="F1484" s="246">
        <v>453</v>
      </c>
      <c r="G1484" s="223">
        <v>1990</v>
      </c>
      <c r="H1484" s="223">
        <v>1</v>
      </c>
      <c r="I1484" s="246">
        <v>0</v>
      </c>
      <c r="J1484" s="223"/>
      <c r="K1484" s="247">
        <v>8181.18</v>
      </c>
      <c r="L1484" s="241">
        <v>52</v>
      </c>
      <c r="M1484" s="247">
        <v>3926.9663999999998</v>
      </c>
      <c r="N1484" s="230">
        <v>18.06</v>
      </c>
      <c r="O1484" s="248">
        <v>0</v>
      </c>
      <c r="P1484" s="317" t="s">
        <v>1560</v>
      </c>
      <c r="Q1484" s="230"/>
    </row>
    <row r="1485" spans="1:17" s="217" customFormat="1" ht="14.1" customHeight="1">
      <c r="A1485" s="224" t="s">
        <v>1538</v>
      </c>
      <c r="B1485" s="218" t="s">
        <v>1539</v>
      </c>
      <c r="C1485" s="223">
        <v>2</v>
      </c>
      <c r="D1485" s="218" t="s">
        <v>1516</v>
      </c>
      <c r="E1485" s="223">
        <v>4</v>
      </c>
      <c r="F1485" s="230">
        <v>249.94</v>
      </c>
      <c r="G1485" s="223">
        <v>2002</v>
      </c>
      <c r="H1485" s="223">
        <v>1</v>
      </c>
      <c r="I1485" s="223">
        <v>1</v>
      </c>
      <c r="J1485" s="223"/>
      <c r="K1485" s="228">
        <v>4513.9164000000001</v>
      </c>
      <c r="L1485" s="241">
        <v>30</v>
      </c>
      <c r="M1485" s="229">
        <v>3159.7414800000001</v>
      </c>
      <c r="N1485" s="230">
        <v>18.06</v>
      </c>
      <c r="O1485" s="231">
        <v>3159</v>
      </c>
      <c r="P1485" s="230"/>
      <c r="Q1485" s="230"/>
    </row>
    <row r="1486" spans="1:17" s="217" customFormat="1" ht="14.1" customHeight="1">
      <c r="A1486" s="224" t="s">
        <v>1538</v>
      </c>
      <c r="B1486" s="218" t="s">
        <v>1539</v>
      </c>
      <c r="C1486" s="223">
        <v>2</v>
      </c>
      <c r="D1486" s="218" t="s">
        <v>1516</v>
      </c>
      <c r="E1486" s="223">
        <v>4</v>
      </c>
      <c r="F1486" s="230">
        <v>175.81</v>
      </c>
      <c r="G1486" s="223">
        <v>2002</v>
      </c>
      <c r="H1486" s="223">
        <v>1</v>
      </c>
      <c r="I1486" s="223">
        <v>1</v>
      </c>
      <c r="J1486" s="223"/>
      <c r="K1486" s="228">
        <v>3175.1286</v>
      </c>
      <c r="L1486" s="241">
        <v>30</v>
      </c>
      <c r="M1486" s="229">
        <v>2222.5900200000001</v>
      </c>
      <c r="N1486" s="230">
        <v>18.06</v>
      </c>
      <c r="O1486" s="231">
        <v>2222</v>
      </c>
      <c r="P1486" s="230"/>
      <c r="Q1486" s="230"/>
    </row>
    <row r="1487" spans="1:17" s="217" customFormat="1" ht="14.1" customHeight="1">
      <c r="A1487" s="224" t="s">
        <v>1538</v>
      </c>
      <c r="B1487" s="218" t="s">
        <v>1539</v>
      </c>
      <c r="C1487" s="223">
        <v>2</v>
      </c>
      <c r="D1487" s="218" t="s">
        <v>1516</v>
      </c>
      <c r="E1487" s="223">
        <v>4</v>
      </c>
      <c r="F1487" s="230">
        <v>125.94</v>
      </c>
      <c r="G1487" s="223">
        <v>2002</v>
      </c>
      <c r="H1487" s="223">
        <v>1</v>
      </c>
      <c r="I1487" s="223">
        <v>1</v>
      </c>
      <c r="J1487" s="223"/>
      <c r="K1487" s="228">
        <v>2274.4764</v>
      </c>
      <c r="L1487" s="241">
        <v>30</v>
      </c>
      <c r="M1487" s="229">
        <v>1592.13348</v>
      </c>
      <c r="N1487" s="230">
        <v>18.06</v>
      </c>
      <c r="O1487" s="231">
        <v>1592</v>
      </c>
      <c r="P1487" s="230"/>
      <c r="Q1487" s="230"/>
    </row>
    <row r="1488" spans="1:17" s="217" customFormat="1" ht="14.1" customHeight="1">
      <c r="A1488" s="224" t="s">
        <v>1538</v>
      </c>
      <c r="B1488" s="218" t="s">
        <v>1539</v>
      </c>
      <c r="C1488" s="223">
        <v>2</v>
      </c>
      <c r="D1488" s="218" t="s">
        <v>1516</v>
      </c>
      <c r="E1488" s="223">
        <v>4</v>
      </c>
      <c r="F1488" s="242">
        <v>169.40</v>
      </c>
      <c r="G1488" s="223">
        <v>2002</v>
      </c>
      <c r="H1488" s="223">
        <v>1</v>
      </c>
      <c r="I1488" s="223">
        <v>1</v>
      </c>
      <c r="J1488" s="223"/>
      <c r="K1488" s="239">
        <v>3059.364</v>
      </c>
      <c r="L1488" s="241">
        <v>30</v>
      </c>
      <c r="M1488" s="228">
        <v>2141.5547999999999</v>
      </c>
      <c r="N1488" s="230">
        <v>18.06</v>
      </c>
      <c r="O1488" s="231">
        <v>2141</v>
      </c>
      <c r="P1488" s="230"/>
      <c r="Q1488" s="230"/>
    </row>
    <row r="1489" spans="1:17" s="217" customFormat="1" ht="14.1" customHeight="1">
      <c r="A1489" s="224" t="s">
        <v>1538</v>
      </c>
      <c r="B1489" s="218" t="s">
        <v>1539</v>
      </c>
      <c r="C1489" s="223">
        <v>2</v>
      </c>
      <c r="D1489" s="218" t="s">
        <v>1516</v>
      </c>
      <c r="E1489" s="223">
        <v>4</v>
      </c>
      <c r="F1489" s="230">
        <v>2572.2199999999998</v>
      </c>
      <c r="G1489" s="223">
        <v>2002</v>
      </c>
      <c r="H1489" s="223">
        <v>1</v>
      </c>
      <c r="I1489" s="223">
        <v>1</v>
      </c>
      <c r="J1489" s="223"/>
      <c r="K1489" s="228">
        <v>46454.2932</v>
      </c>
      <c r="L1489" s="241">
        <v>30</v>
      </c>
      <c r="M1489" s="229">
        <v>32518.005239999999</v>
      </c>
      <c r="N1489" s="230">
        <v>18.06</v>
      </c>
      <c r="O1489" s="231">
        <v>32518</v>
      </c>
      <c r="P1489" s="230"/>
      <c r="Q1489" s="230"/>
    </row>
    <row r="1490" spans="1:17" s="217" customFormat="1" ht="14.1" customHeight="1">
      <c r="A1490" s="224" t="s">
        <v>1538</v>
      </c>
      <c r="B1490" s="218" t="s">
        <v>1539</v>
      </c>
      <c r="C1490" s="223">
        <v>2</v>
      </c>
      <c r="D1490" s="218" t="s">
        <v>1516</v>
      </c>
      <c r="E1490" s="223">
        <v>4</v>
      </c>
      <c r="F1490" s="230">
        <v>40.82</v>
      </c>
      <c r="G1490" s="223">
        <v>2002</v>
      </c>
      <c r="H1490" s="223">
        <v>1</v>
      </c>
      <c r="I1490" s="223">
        <v>1</v>
      </c>
      <c r="J1490" s="223"/>
      <c r="K1490" s="228">
        <v>737.20920000000001</v>
      </c>
      <c r="L1490" s="241">
        <v>30</v>
      </c>
      <c r="M1490" s="229">
        <v>516.04643999999996</v>
      </c>
      <c r="N1490" s="230">
        <v>18.06</v>
      </c>
      <c r="O1490" s="231">
        <v>516</v>
      </c>
      <c r="P1490" s="230"/>
      <c r="Q1490" s="230"/>
    </row>
    <row r="1491" spans="1:17" s="217" customFormat="1" ht="14.1" customHeight="1">
      <c r="A1491" s="224" t="s">
        <v>1538</v>
      </c>
      <c r="B1491" s="218" t="s">
        <v>1539</v>
      </c>
      <c r="C1491" s="223">
        <v>2</v>
      </c>
      <c r="D1491" s="218" t="s">
        <v>1516</v>
      </c>
      <c r="E1491" s="223">
        <v>4</v>
      </c>
      <c r="F1491" s="223">
        <v>232</v>
      </c>
      <c r="G1491" s="223">
        <v>2005</v>
      </c>
      <c r="H1491" s="223">
        <v>1</v>
      </c>
      <c r="I1491" s="223">
        <v>1</v>
      </c>
      <c r="J1491" s="223"/>
      <c r="K1491" s="238">
        <v>4189.92</v>
      </c>
      <c r="L1491" s="241">
        <v>22</v>
      </c>
      <c r="M1491" s="228">
        <v>3268.1376</v>
      </c>
      <c r="N1491" s="230">
        <v>18.06</v>
      </c>
      <c r="O1491" s="231">
        <v>3268</v>
      </c>
      <c r="P1491" s="230"/>
      <c r="Q1491" s="230"/>
    </row>
    <row r="1492" spans="1:17" s="217" customFormat="1" ht="14.1" customHeight="1">
      <c r="A1492" s="224" t="s">
        <v>1538</v>
      </c>
      <c r="B1492" s="218" t="s">
        <v>1539</v>
      </c>
      <c r="C1492" s="223">
        <v>2</v>
      </c>
      <c r="D1492" s="218" t="s">
        <v>1516</v>
      </c>
      <c r="E1492" s="223">
        <v>4</v>
      </c>
      <c r="F1492" s="223">
        <v>628</v>
      </c>
      <c r="G1492" s="223">
        <v>2005</v>
      </c>
      <c r="H1492" s="223">
        <v>1</v>
      </c>
      <c r="I1492" s="223">
        <v>1</v>
      </c>
      <c r="J1492" s="223"/>
      <c r="K1492" s="238">
        <v>11341.68</v>
      </c>
      <c r="L1492" s="241">
        <v>22</v>
      </c>
      <c r="M1492" s="228">
        <v>8846.5103999999992</v>
      </c>
      <c r="N1492" s="230">
        <v>18.06</v>
      </c>
      <c r="O1492" s="231">
        <v>8846</v>
      </c>
      <c r="P1492" s="230"/>
      <c r="Q1492" s="230"/>
    </row>
    <row r="1493" spans="1:17" s="217" customFormat="1" ht="14.1" customHeight="1">
      <c r="A1493" s="224" t="s">
        <v>1538</v>
      </c>
      <c r="B1493" s="218" t="s">
        <v>1539</v>
      </c>
      <c r="C1493" s="223">
        <v>2</v>
      </c>
      <c r="D1493" s="218" t="s">
        <v>1516</v>
      </c>
      <c r="E1493" s="223">
        <v>4</v>
      </c>
      <c r="F1493" s="223">
        <v>3060</v>
      </c>
      <c r="G1493" s="223">
        <v>2005</v>
      </c>
      <c r="H1493" s="223">
        <v>1</v>
      </c>
      <c r="I1493" s="223">
        <v>1</v>
      </c>
      <c r="J1493" s="223"/>
      <c r="K1493" s="237">
        <v>55263.60</v>
      </c>
      <c r="L1493" s="241">
        <v>22</v>
      </c>
      <c r="M1493" s="239">
        <v>43105.608</v>
      </c>
      <c r="N1493" s="230">
        <v>18.06</v>
      </c>
      <c r="O1493" s="231">
        <v>43105</v>
      </c>
      <c r="P1493" s="230"/>
      <c r="Q1493" s="230"/>
    </row>
    <row r="1494" spans="1:17" s="217" customFormat="1" ht="14.1" customHeight="1">
      <c r="A1494" s="224" t="s">
        <v>1538</v>
      </c>
      <c r="B1494" s="218" t="s">
        <v>1539</v>
      </c>
      <c r="C1494" s="223">
        <v>2</v>
      </c>
      <c r="D1494" s="218" t="s">
        <v>1516</v>
      </c>
      <c r="E1494" s="223">
        <v>4</v>
      </c>
      <c r="F1494" s="223">
        <v>391</v>
      </c>
      <c r="G1494" s="223">
        <v>2005</v>
      </c>
      <c r="H1494" s="223">
        <v>1</v>
      </c>
      <c r="I1494" s="223">
        <v>1</v>
      </c>
      <c r="J1494" s="223"/>
      <c r="K1494" s="238">
        <v>7061.46</v>
      </c>
      <c r="L1494" s="241">
        <v>22</v>
      </c>
      <c r="M1494" s="228">
        <v>5507.9387999999999</v>
      </c>
      <c r="N1494" s="230">
        <v>18.06</v>
      </c>
      <c r="O1494" s="231">
        <v>5507</v>
      </c>
      <c r="P1494" s="230"/>
      <c r="Q1494" s="230"/>
    </row>
    <row r="1495" spans="1:17" s="217" customFormat="1" ht="14.1" customHeight="1">
      <c r="A1495" s="224" t="s">
        <v>1538</v>
      </c>
      <c r="B1495" s="218" t="s">
        <v>1539</v>
      </c>
      <c r="C1495" s="223">
        <v>2</v>
      </c>
      <c r="D1495" s="218" t="s">
        <v>1516</v>
      </c>
      <c r="E1495" s="223">
        <v>4</v>
      </c>
      <c r="F1495" s="223">
        <v>53</v>
      </c>
      <c r="G1495" s="223">
        <v>2005</v>
      </c>
      <c r="H1495" s="223">
        <v>1</v>
      </c>
      <c r="I1495" s="223">
        <v>1</v>
      </c>
      <c r="J1495" s="223"/>
      <c r="K1495" s="238">
        <v>957.18</v>
      </c>
      <c r="L1495" s="241">
        <v>22</v>
      </c>
      <c r="M1495" s="228">
        <v>746.60040000000004</v>
      </c>
      <c r="N1495" s="230">
        <v>18.06</v>
      </c>
      <c r="O1495" s="231">
        <v>746</v>
      </c>
      <c r="P1495" s="230"/>
      <c r="Q1495" s="230"/>
    </row>
    <row r="1496" spans="1:17" s="217" customFormat="1" ht="14.1" customHeight="1">
      <c r="A1496" s="224" t="s">
        <v>1538</v>
      </c>
      <c r="B1496" s="218" t="s">
        <v>1539</v>
      </c>
      <c r="C1496" s="223">
        <v>2</v>
      </c>
      <c r="D1496" s="218" t="s">
        <v>1516</v>
      </c>
      <c r="E1496" s="223">
        <v>4</v>
      </c>
      <c r="F1496" s="223">
        <v>481</v>
      </c>
      <c r="G1496" s="223">
        <v>2005</v>
      </c>
      <c r="H1496" s="223">
        <v>1</v>
      </c>
      <c r="I1496" s="223">
        <v>1</v>
      </c>
      <c r="J1496" s="223"/>
      <c r="K1496" s="238">
        <v>8686.86</v>
      </c>
      <c r="L1496" s="241">
        <v>22</v>
      </c>
      <c r="M1496" s="228">
        <v>6775.7507999999998</v>
      </c>
      <c r="N1496" s="230">
        <v>18.06</v>
      </c>
      <c r="O1496" s="231">
        <v>6775</v>
      </c>
      <c r="P1496" s="230"/>
      <c r="Q1496" s="230"/>
    </row>
    <row r="1497" spans="1:17" s="217" customFormat="1" ht="14.1" customHeight="1">
      <c r="A1497" s="224" t="s">
        <v>1538</v>
      </c>
      <c r="B1497" s="218" t="s">
        <v>1539</v>
      </c>
      <c r="C1497" s="223">
        <v>2</v>
      </c>
      <c r="D1497" s="218" t="s">
        <v>1516</v>
      </c>
      <c r="E1497" s="223">
        <v>4</v>
      </c>
      <c r="F1497" s="223">
        <v>320</v>
      </c>
      <c r="G1497" s="223">
        <v>2005</v>
      </c>
      <c r="H1497" s="223">
        <v>1</v>
      </c>
      <c r="I1497" s="223">
        <v>1</v>
      </c>
      <c r="J1497" s="223"/>
      <c r="K1497" s="237">
        <v>5779.20</v>
      </c>
      <c r="L1497" s="241">
        <v>22</v>
      </c>
      <c r="M1497" s="239">
        <v>4507.7759999999998</v>
      </c>
      <c r="N1497" s="230">
        <v>18.06</v>
      </c>
      <c r="O1497" s="231">
        <v>4507</v>
      </c>
      <c r="P1497" s="230"/>
      <c r="Q1497" s="230"/>
    </row>
    <row r="1498" spans="1:17" s="217" customFormat="1" ht="14.1" customHeight="1">
      <c r="A1498" s="224" t="s">
        <v>1538</v>
      </c>
      <c r="B1498" s="218" t="s">
        <v>1539</v>
      </c>
      <c r="C1498" s="223">
        <v>2</v>
      </c>
      <c r="D1498" s="218" t="s">
        <v>1516</v>
      </c>
      <c r="E1498" s="223">
        <v>4</v>
      </c>
      <c r="F1498" s="223">
        <v>1122</v>
      </c>
      <c r="G1498" s="223">
        <v>2005</v>
      </c>
      <c r="H1498" s="223">
        <v>1</v>
      </c>
      <c r="I1498" s="223">
        <v>1</v>
      </c>
      <c r="J1498" s="223"/>
      <c r="K1498" s="238">
        <v>20263.32</v>
      </c>
      <c r="L1498" s="241">
        <v>22</v>
      </c>
      <c r="M1498" s="228">
        <v>15805.3896</v>
      </c>
      <c r="N1498" s="230">
        <v>18.06</v>
      </c>
      <c r="O1498" s="231">
        <v>15805</v>
      </c>
      <c r="P1498" s="230"/>
      <c r="Q1498" s="230"/>
    </row>
    <row r="1499" spans="1:17" s="217" customFormat="1" ht="14.1" customHeight="1">
      <c r="A1499" s="224" t="s">
        <v>1538</v>
      </c>
      <c r="B1499" s="218" t="s">
        <v>1539</v>
      </c>
      <c r="C1499" s="223">
        <v>2</v>
      </c>
      <c r="D1499" s="218" t="s">
        <v>1516</v>
      </c>
      <c r="E1499" s="223">
        <v>3</v>
      </c>
      <c r="F1499" s="223">
        <v>1071</v>
      </c>
      <c r="G1499" s="223">
        <v>2013</v>
      </c>
      <c r="H1499" s="223">
        <v>1</v>
      </c>
      <c r="I1499" s="223">
        <v>1</v>
      </c>
      <c r="J1499" s="223"/>
      <c r="K1499" s="238">
        <v>16054.29</v>
      </c>
      <c r="L1499" s="240">
        <v>8</v>
      </c>
      <c r="M1499" s="228">
        <v>14769.9468</v>
      </c>
      <c r="N1499" s="230">
        <v>14.99</v>
      </c>
      <c r="O1499" s="231">
        <v>14769</v>
      </c>
      <c r="P1499" s="230"/>
      <c r="Q1499" s="230"/>
    </row>
    <row r="1500" spans="1:17" s="217" customFormat="1" ht="14.1" customHeight="1">
      <c r="A1500" s="224" t="s">
        <v>1538</v>
      </c>
      <c r="B1500" s="218" t="s">
        <v>1539</v>
      </c>
      <c r="C1500" s="223">
        <v>3</v>
      </c>
      <c r="D1500" s="218" t="s">
        <v>1493</v>
      </c>
      <c r="E1500" s="223">
        <v>2</v>
      </c>
      <c r="F1500" s="230">
        <v>1041.56</v>
      </c>
      <c r="G1500" s="223">
        <v>1992</v>
      </c>
      <c r="H1500" s="223">
        <v>1</v>
      </c>
      <c r="I1500" s="225">
        <v>0</v>
      </c>
      <c r="J1500" s="223"/>
      <c r="K1500" s="247">
        <v>22289.383999999998</v>
      </c>
      <c r="L1500" s="241">
        <v>51</v>
      </c>
      <c r="M1500" s="247">
        <v>10921.79816</v>
      </c>
      <c r="N1500" s="242">
        <v>21.40</v>
      </c>
      <c r="O1500" s="287">
        <v>0</v>
      </c>
      <c r="P1500" s="316" t="s">
        <v>1568</v>
      </c>
      <c r="Q1500" s="242"/>
    </row>
    <row r="1501" spans="1:17" s="217" customFormat="1" ht="14.1" customHeight="1">
      <c r="A1501" s="224" t="s">
        <v>1538</v>
      </c>
      <c r="B1501" s="218" t="s">
        <v>1539</v>
      </c>
      <c r="C1501" s="223">
        <v>3</v>
      </c>
      <c r="D1501" s="218" t="s">
        <v>1493</v>
      </c>
      <c r="E1501" s="223">
        <v>2</v>
      </c>
      <c r="F1501" s="230">
        <v>1566.12</v>
      </c>
      <c r="G1501" s="223">
        <v>1992</v>
      </c>
      <c r="H1501" s="223">
        <v>1</v>
      </c>
      <c r="I1501" s="225">
        <v>0</v>
      </c>
      <c r="J1501" s="223"/>
      <c r="K1501" s="247">
        <v>33514.968000000001</v>
      </c>
      <c r="L1501" s="241">
        <v>51</v>
      </c>
      <c r="M1501" s="247">
        <v>16422.334320000002</v>
      </c>
      <c r="N1501" s="242">
        <v>21.40</v>
      </c>
      <c r="O1501" s="287">
        <v>0</v>
      </c>
      <c r="P1501" s="316" t="s">
        <v>1568</v>
      </c>
      <c r="Q1501" s="242"/>
    </row>
    <row r="1502" spans="1:17" s="217" customFormat="1" ht="14.1" customHeight="1">
      <c r="A1502" s="224" t="s">
        <v>1538</v>
      </c>
      <c r="B1502" s="218" t="s">
        <v>1539</v>
      </c>
      <c r="C1502" s="223">
        <v>3</v>
      </c>
      <c r="D1502" s="218" t="s">
        <v>1493</v>
      </c>
      <c r="E1502" s="223">
        <v>2</v>
      </c>
      <c r="F1502" s="230">
        <v>832.74</v>
      </c>
      <c r="G1502" s="223">
        <v>1992</v>
      </c>
      <c r="H1502" s="223">
        <v>1</v>
      </c>
      <c r="I1502" s="223">
        <v>1</v>
      </c>
      <c r="J1502" s="223"/>
      <c r="K1502" s="239">
        <v>17820.635999999999</v>
      </c>
      <c r="L1502" s="241">
        <v>51</v>
      </c>
      <c r="M1502" s="229">
        <v>8732.1116399999992</v>
      </c>
      <c r="N1502" s="242">
        <v>21.40</v>
      </c>
      <c r="O1502" s="231">
        <v>8732</v>
      </c>
      <c r="P1502" s="242"/>
      <c r="Q1502" s="242"/>
    </row>
    <row r="1503" spans="1:17" s="217" customFormat="1" ht="15" customHeight="1">
      <c r="A1503" s="224" t="s">
        <v>1538</v>
      </c>
      <c r="B1503" s="218" t="s">
        <v>1539</v>
      </c>
      <c r="C1503" s="223">
        <v>3</v>
      </c>
      <c r="D1503" s="218" t="s">
        <v>1493</v>
      </c>
      <c r="E1503" s="223">
        <v>2</v>
      </c>
      <c r="F1503" s="230">
        <v>372.41</v>
      </c>
      <c r="G1503" s="223">
        <v>2001</v>
      </c>
      <c r="H1503" s="223">
        <v>1</v>
      </c>
      <c r="I1503" s="223">
        <v>0</v>
      </c>
      <c r="J1503" s="223"/>
      <c r="K1503" s="239">
        <v>7969.5739999999996</v>
      </c>
      <c r="L1503" s="241">
        <v>32</v>
      </c>
      <c r="M1503" s="229">
        <v>5419.3103199999996</v>
      </c>
      <c r="N1503" s="242">
        <v>21.40</v>
      </c>
      <c r="O1503" s="231">
        <v>0</v>
      </c>
      <c r="P1503" s="242"/>
      <c r="Q1503" s="242"/>
    </row>
    <row r="1504" spans="1:18" s="217" customFormat="1" ht="15" customHeight="1">
      <c r="A1504" s="224" t="s">
        <v>1538</v>
      </c>
      <c r="B1504" s="218" t="s">
        <v>1539</v>
      </c>
      <c r="C1504" s="240">
        <v>3</v>
      </c>
      <c r="D1504" s="218" t="s">
        <v>1493</v>
      </c>
      <c r="E1504" s="223">
        <v>2</v>
      </c>
      <c r="F1504" s="230">
        <v>20.46</v>
      </c>
      <c r="G1504" s="223">
        <v>2001</v>
      </c>
      <c r="H1504" s="223">
        <v>1</v>
      </c>
      <c r="I1504" s="223">
        <v>0</v>
      </c>
      <c r="J1504" s="223"/>
      <c r="K1504" s="239">
        <v>437.84399999999999</v>
      </c>
      <c r="L1504" s="241">
        <v>32</v>
      </c>
      <c r="M1504" s="229">
        <v>297.73392000000001</v>
      </c>
      <c r="N1504" s="242">
        <v>21.40</v>
      </c>
      <c r="O1504" s="231">
        <v>0</v>
      </c>
      <c r="R1504" s="223"/>
    </row>
    <row r="1505" spans="1:18" s="217" customFormat="1" ht="14.1" customHeight="1">
      <c r="A1505" s="224" t="s">
        <v>1538</v>
      </c>
      <c r="B1505" s="218" t="s">
        <v>1539</v>
      </c>
      <c r="C1505" s="240">
        <v>3</v>
      </c>
      <c r="D1505" s="218" t="s">
        <v>1493</v>
      </c>
      <c r="E1505" s="223">
        <v>3</v>
      </c>
      <c r="F1505" s="230">
        <v>524.57000000000005</v>
      </c>
      <c r="G1505" s="223">
        <v>1995</v>
      </c>
      <c r="H1505" s="223">
        <v>1</v>
      </c>
      <c r="I1505" s="225">
        <v>0</v>
      </c>
      <c r="J1505" s="242"/>
      <c r="K1505" s="247">
        <v>16072.8248</v>
      </c>
      <c r="L1505" s="241">
        <v>47</v>
      </c>
      <c r="M1505" s="247">
        <v>8518.5971439999994</v>
      </c>
      <c r="N1505" s="230">
        <v>30.64</v>
      </c>
      <c r="O1505" s="287">
        <v>0</v>
      </c>
      <c r="P1505" s="316" t="s">
        <v>1568</v>
      </c>
      <c r="R1505" s="223"/>
    </row>
    <row r="1506" spans="1:18" s="217" customFormat="1" ht="14.1" customHeight="1">
      <c r="A1506" s="224" t="s">
        <v>1538</v>
      </c>
      <c r="B1506" s="218" t="s">
        <v>1539</v>
      </c>
      <c r="C1506" s="240">
        <v>3</v>
      </c>
      <c r="D1506" s="218" t="s">
        <v>1493</v>
      </c>
      <c r="E1506" s="223">
        <v>3</v>
      </c>
      <c r="F1506" s="230">
        <v>196.98</v>
      </c>
      <c r="G1506" s="223">
        <v>1995</v>
      </c>
      <c r="H1506" s="223">
        <v>1</v>
      </c>
      <c r="I1506" s="225">
        <v>0</v>
      </c>
      <c r="J1506" s="242"/>
      <c r="K1506" s="247">
        <v>6035.4672</v>
      </c>
      <c r="L1506" s="241">
        <v>47</v>
      </c>
      <c r="M1506" s="247">
        <v>3198.7976159999998</v>
      </c>
      <c r="N1506" s="230">
        <v>30.64</v>
      </c>
      <c r="O1506" s="287">
        <v>0</v>
      </c>
      <c r="P1506" s="316" t="s">
        <v>1568</v>
      </c>
      <c r="R1506" s="223"/>
    </row>
    <row r="1507" spans="1:18" s="217" customFormat="1" ht="14.1" customHeight="1">
      <c r="A1507" s="249" t="s">
        <v>1538</v>
      </c>
      <c r="B1507" s="250" t="s">
        <v>1539</v>
      </c>
      <c r="C1507" s="259">
        <v>3</v>
      </c>
      <c r="D1507" s="250" t="s">
        <v>1493</v>
      </c>
      <c r="E1507" s="251">
        <v>3</v>
      </c>
      <c r="F1507" s="252">
        <v>2521.19</v>
      </c>
      <c r="G1507" s="251">
        <v>1995</v>
      </c>
      <c r="H1507" s="251">
        <v>1</v>
      </c>
      <c r="I1507" s="251">
        <v>0</v>
      </c>
      <c r="J1507" s="251"/>
      <c r="K1507" s="253" t="s">
        <v>1542</v>
      </c>
      <c r="L1507" s="254">
        <v>47</v>
      </c>
      <c r="M1507" s="258" t="s">
        <v>1543</v>
      </c>
      <c r="N1507" s="252">
        <v>30.64</v>
      </c>
      <c r="O1507" s="256">
        <v>0</v>
      </c>
      <c r="P1507" s="252" t="s">
        <v>1519</v>
      </c>
      <c r="Q1507" s="252"/>
      <c r="R1507" s="223"/>
    </row>
    <row r="1508" spans="1:18" s="217" customFormat="1" ht="14.1" customHeight="1">
      <c r="A1508" s="224" t="s">
        <v>1538</v>
      </c>
      <c r="B1508" s="218" t="s">
        <v>1539</v>
      </c>
      <c r="C1508" s="240">
        <v>3</v>
      </c>
      <c r="D1508" s="218" t="s">
        <v>1493</v>
      </c>
      <c r="E1508" s="223">
        <v>3</v>
      </c>
      <c r="F1508" s="230">
        <v>536.19000000000005</v>
      </c>
      <c r="G1508" s="223">
        <v>1993</v>
      </c>
      <c r="H1508" s="223">
        <v>1</v>
      </c>
      <c r="I1508" s="225">
        <v>0</v>
      </c>
      <c r="J1508" s="223"/>
      <c r="K1508" s="247">
        <v>16428.8616</v>
      </c>
      <c r="L1508" s="241">
        <v>50</v>
      </c>
      <c r="M1508" s="247">
        <v>8214.4308000000001</v>
      </c>
      <c r="N1508" s="230">
        <v>30.64</v>
      </c>
      <c r="O1508" s="287">
        <v>0</v>
      </c>
      <c r="P1508" s="316" t="s">
        <v>1568</v>
      </c>
      <c r="R1508" s="223"/>
    </row>
    <row r="1509" spans="1:18" s="217" customFormat="1" ht="14.1" customHeight="1">
      <c r="A1509" s="224" t="s">
        <v>1538</v>
      </c>
      <c r="B1509" s="218" t="s">
        <v>1539</v>
      </c>
      <c r="C1509" s="240">
        <v>3</v>
      </c>
      <c r="D1509" s="218" t="s">
        <v>1493</v>
      </c>
      <c r="E1509" s="223">
        <v>3</v>
      </c>
      <c r="F1509" s="230">
        <v>1048.98</v>
      </c>
      <c r="G1509" s="223">
        <v>1985</v>
      </c>
      <c r="H1509" s="223">
        <v>1</v>
      </c>
      <c r="I1509" s="223">
        <v>0</v>
      </c>
      <c r="J1509" s="223"/>
      <c r="K1509" s="228">
        <v>32140.747200000002</v>
      </c>
      <c r="L1509" s="241">
        <v>56</v>
      </c>
      <c r="M1509" s="229">
        <v>14141.92877</v>
      </c>
      <c r="N1509" s="230">
        <v>30.64</v>
      </c>
      <c r="O1509" s="231">
        <v>0</v>
      </c>
      <c r="R1509" s="223"/>
    </row>
    <row r="1510" spans="1:18" s="217" customFormat="1" ht="14.1" customHeight="1">
      <c r="A1510" s="224" t="s">
        <v>1538</v>
      </c>
      <c r="B1510" s="218" t="s">
        <v>1539</v>
      </c>
      <c r="C1510" s="240">
        <v>3</v>
      </c>
      <c r="D1510" s="218" t="s">
        <v>1493</v>
      </c>
      <c r="E1510" s="223">
        <v>3</v>
      </c>
      <c r="F1510" s="230">
        <v>1401.25</v>
      </c>
      <c r="G1510" s="223">
        <v>1985</v>
      </c>
      <c r="H1510" s="223">
        <v>1</v>
      </c>
      <c r="I1510" s="223">
        <v>0</v>
      </c>
      <c r="J1510" s="223"/>
      <c r="K1510" s="237">
        <v>42934.30</v>
      </c>
      <c r="L1510" s="241">
        <v>56</v>
      </c>
      <c r="M1510" s="239">
        <v>18891.092000000001</v>
      </c>
      <c r="N1510" s="230">
        <v>30.64</v>
      </c>
      <c r="O1510" s="231">
        <v>0</v>
      </c>
      <c r="R1510" s="223"/>
    </row>
    <row r="1511" spans="1:18" s="217" customFormat="1" ht="14.1" customHeight="1">
      <c r="A1511" s="224" t="s">
        <v>1538</v>
      </c>
      <c r="B1511" s="218" t="s">
        <v>1539</v>
      </c>
      <c r="C1511" s="240">
        <v>3</v>
      </c>
      <c r="D1511" s="218" t="s">
        <v>1493</v>
      </c>
      <c r="E1511" s="223">
        <v>3</v>
      </c>
      <c r="F1511" s="230">
        <v>1327.79</v>
      </c>
      <c r="G1511" s="223">
        <v>1985</v>
      </c>
      <c r="H1511" s="223">
        <v>1</v>
      </c>
      <c r="I1511" s="223">
        <v>0</v>
      </c>
      <c r="J1511" s="223"/>
      <c r="K1511" s="228">
        <v>40683.4856</v>
      </c>
      <c r="L1511" s="241">
        <v>56</v>
      </c>
      <c r="M1511" s="229">
        <v>17900.733660000002</v>
      </c>
      <c r="N1511" s="230">
        <v>30.64</v>
      </c>
      <c r="O1511" s="231">
        <v>0</v>
      </c>
      <c r="R1511" s="223"/>
    </row>
    <row r="1512" spans="1:18" s="217" customFormat="1" ht="14.1" customHeight="1">
      <c r="A1512" s="224" t="s">
        <v>1538</v>
      </c>
      <c r="B1512" s="218" t="s">
        <v>1539</v>
      </c>
      <c r="C1512" s="240">
        <v>3</v>
      </c>
      <c r="D1512" s="218" t="s">
        <v>1493</v>
      </c>
      <c r="E1512" s="223">
        <v>3</v>
      </c>
      <c r="F1512" s="230">
        <v>3757.74</v>
      </c>
      <c r="G1512" s="223">
        <v>1990</v>
      </c>
      <c r="H1512" s="223">
        <v>1</v>
      </c>
      <c r="I1512" s="223">
        <v>1</v>
      </c>
      <c r="J1512" s="223"/>
      <c r="K1512" s="228">
        <v>115137.15360000001</v>
      </c>
      <c r="L1512" s="241">
        <v>52</v>
      </c>
      <c r="M1512" s="229">
        <v>55265.833729999998</v>
      </c>
      <c r="N1512" s="230">
        <v>30.64</v>
      </c>
      <c r="O1512" s="231">
        <v>55265</v>
      </c>
      <c r="R1512" s="223"/>
    </row>
    <row r="1513" spans="1:18" s="217" customFormat="1" ht="14.1" customHeight="1">
      <c r="A1513" s="224" t="s">
        <v>1538</v>
      </c>
      <c r="B1513" s="218" t="s">
        <v>1539</v>
      </c>
      <c r="C1513" s="240">
        <v>3</v>
      </c>
      <c r="D1513" s="218" t="s">
        <v>1493</v>
      </c>
      <c r="E1513" s="223">
        <v>3</v>
      </c>
      <c r="F1513" s="230">
        <v>451.97</v>
      </c>
      <c r="G1513" s="223">
        <v>1990</v>
      </c>
      <c r="H1513" s="223">
        <v>1</v>
      </c>
      <c r="I1513" s="223">
        <v>1</v>
      </c>
      <c r="J1513" s="223"/>
      <c r="K1513" s="228">
        <v>13848.3608</v>
      </c>
      <c r="L1513" s="241">
        <v>52</v>
      </c>
      <c r="M1513" s="233">
        <v>6647.2131840000002</v>
      </c>
      <c r="N1513" s="230">
        <v>30.64</v>
      </c>
      <c r="O1513" s="231">
        <v>6647</v>
      </c>
      <c r="R1513" s="223"/>
    </row>
    <row r="1514" spans="1:18" s="217" customFormat="1" ht="14.1" customHeight="1">
      <c r="A1514" s="224" t="s">
        <v>1538</v>
      </c>
      <c r="B1514" s="218" t="s">
        <v>1539</v>
      </c>
      <c r="C1514" s="240">
        <v>3</v>
      </c>
      <c r="D1514" s="218" t="s">
        <v>1493</v>
      </c>
      <c r="E1514" s="223">
        <v>3</v>
      </c>
      <c r="F1514" s="242">
        <v>3512.40</v>
      </c>
      <c r="G1514" s="223">
        <v>1990</v>
      </c>
      <c r="H1514" s="223">
        <v>1</v>
      </c>
      <c r="I1514" s="223">
        <v>1</v>
      </c>
      <c r="J1514" s="223"/>
      <c r="K1514" s="239">
        <v>107619.936</v>
      </c>
      <c r="L1514" s="241">
        <v>52</v>
      </c>
      <c r="M1514" s="229">
        <v>51657.569280000003</v>
      </c>
      <c r="N1514" s="230">
        <v>30.64</v>
      </c>
      <c r="O1514" s="231">
        <v>51657</v>
      </c>
      <c r="R1514" s="223"/>
    </row>
    <row r="1515" spans="1:18" s="217" customFormat="1" ht="14.1" customHeight="1">
      <c r="A1515" s="224" t="s">
        <v>1538</v>
      </c>
      <c r="B1515" s="218" t="s">
        <v>1539</v>
      </c>
      <c r="C1515" s="240">
        <v>3</v>
      </c>
      <c r="D1515" s="218" t="s">
        <v>1493</v>
      </c>
      <c r="E1515" s="223">
        <v>3</v>
      </c>
      <c r="F1515" s="230">
        <v>3818.04</v>
      </c>
      <c r="G1515" s="223">
        <v>1993</v>
      </c>
      <c r="H1515" s="223">
        <v>1</v>
      </c>
      <c r="I1515" s="223">
        <v>1</v>
      </c>
      <c r="J1515" s="223"/>
      <c r="K1515" s="228">
        <v>116984.74559999999</v>
      </c>
      <c r="L1515" s="241">
        <v>50</v>
      </c>
      <c r="M1515" s="228">
        <v>58492.372799999997</v>
      </c>
      <c r="N1515" s="230">
        <v>30.64</v>
      </c>
      <c r="O1515" s="231">
        <v>58492</v>
      </c>
      <c r="R1515" s="223"/>
    </row>
    <row r="1516" spans="1:18" s="217" customFormat="1" ht="14.1" customHeight="1">
      <c r="A1516" s="224" t="s">
        <v>1538</v>
      </c>
      <c r="B1516" s="218" t="s">
        <v>1539</v>
      </c>
      <c r="C1516" s="240">
        <v>3</v>
      </c>
      <c r="D1516" s="218" t="s">
        <v>1493</v>
      </c>
      <c r="E1516" s="223">
        <v>3</v>
      </c>
      <c r="F1516" s="230">
        <v>2249.37</v>
      </c>
      <c r="G1516" s="223">
        <v>1994</v>
      </c>
      <c r="H1516" s="223">
        <v>1</v>
      </c>
      <c r="I1516" s="223">
        <v>1</v>
      </c>
      <c r="J1516" s="223"/>
      <c r="K1516" s="228">
        <v>68920.696800000005</v>
      </c>
      <c r="L1516" s="241">
        <v>49</v>
      </c>
      <c r="M1516" s="229">
        <v>35149.555370000002</v>
      </c>
      <c r="N1516" s="230">
        <v>30.64</v>
      </c>
      <c r="O1516" s="231">
        <v>35149</v>
      </c>
      <c r="R1516" s="223"/>
    </row>
    <row r="1517" spans="1:18" s="217" customFormat="1" ht="14.1" customHeight="1">
      <c r="A1517" s="224" t="s">
        <v>1538</v>
      </c>
      <c r="B1517" s="218" t="s">
        <v>1539</v>
      </c>
      <c r="C1517" s="240">
        <v>3</v>
      </c>
      <c r="D1517" s="218" t="s">
        <v>1493</v>
      </c>
      <c r="E1517" s="223">
        <v>3</v>
      </c>
      <c r="F1517" s="242">
        <v>466.70</v>
      </c>
      <c r="G1517" s="223">
        <v>1990</v>
      </c>
      <c r="H1517" s="223">
        <v>1</v>
      </c>
      <c r="I1517" s="223">
        <v>1</v>
      </c>
      <c r="J1517" s="223"/>
      <c r="K1517" s="239">
        <v>14299.688</v>
      </c>
      <c r="L1517" s="241">
        <v>52</v>
      </c>
      <c r="M1517" s="229">
        <v>6863.8502399999998</v>
      </c>
      <c r="N1517" s="230">
        <v>30.64</v>
      </c>
      <c r="O1517" s="231">
        <v>6863</v>
      </c>
      <c r="R1517" s="223"/>
    </row>
    <row r="1518" spans="1:18" s="217" customFormat="1" ht="14.1" customHeight="1">
      <c r="A1518" s="224" t="s">
        <v>1538</v>
      </c>
      <c r="B1518" s="218" t="s">
        <v>1539</v>
      </c>
      <c r="C1518" s="240">
        <v>3</v>
      </c>
      <c r="D1518" s="218" t="s">
        <v>1493</v>
      </c>
      <c r="E1518" s="223">
        <v>4</v>
      </c>
      <c r="F1518" s="223">
        <v>33</v>
      </c>
      <c r="G1518" s="223">
        <v>2001</v>
      </c>
      <c r="H1518" s="223">
        <v>1</v>
      </c>
      <c r="I1518" s="223">
        <v>1</v>
      </c>
      <c r="J1518" s="223"/>
      <c r="K1518" s="238">
        <v>1176.78</v>
      </c>
      <c r="L1518" s="241">
        <v>32</v>
      </c>
      <c r="M1518" s="228">
        <v>800.21040000000005</v>
      </c>
      <c r="N1518" s="230">
        <v>35.659999999999997</v>
      </c>
      <c r="O1518" s="231">
        <v>800</v>
      </c>
      <c r="R1518" s="223"/>
    </row>
    <row r="1519" spans="1:18" s="217" customFormat="1" ht="14.1" customHeight="1">
      <c r="A1519" s="224" t="s">
        <v>1538</v>
      </c>
      <c r="B1519" s="218" t="s">
        <v>1539</v>
      </c>
      <c r="C1519" s="240">
        <v>3</v>
      </c>
      <c r="D1519" s="218" t="s">
        <v>1493</v>
      </c>
      <c r="E1519" s="223">
        <v>4</v>
      </c>
      <c r="F1519" s="223">
        <v>69</v>
      </c>
      <c r="G1519" s="223">
        <v>2001</v>
      </c>
      <c r="H1519" s="223">
        <v>1</v>
      </c>
      <c r="I1519" s="223">
        <v>1</v>
      </c>
      <c r="J1519" s="223"/>
      <c r="K1519" s="238">
        <v>2460.54</v>
      </c>
      <c r="L1519" s="241">
        <v>32</v>
      </c>
      <c r="M1519" s="228">
        <v>1673.1672000000001</v>
      </c>
      <c r="N1519" s="230">
        <v>35.659999999999997</v>
      </c>
      <c r="O1519" s="231">
        <v>1673</v>
      </c>
      <c r="R1519" s="223"/>
    </row>
    <row r="1520" spans="1:18" s="217" customFormat="1" ht="14.1" customHeight="1">
      <c r="A1520" s="224" t="s">
        <v>1538</v>
      </c>
      <c r="B1520" s="218" t="s">
        <v>1539</v>
      </c>
      <c r="C1520" s="240">
        <v>3</v>
      </c>
      <c r="D1520" s="218" t="s">
        <v>1493</v>
      </c>
      <c r="E1520" s="223">
        <v>4</v>
      </c>
      <c r="F1520" s="223">
        <v>42</v>
      </c>
      <c r="G1520" s="223">
        <v>2001</v>
      </c>
      <c r="H1520" s="223">
        <v>1</v>
      </c>
      <c r="I1520" s="223">
        <v>1</v>
      </c>
      <c r="J1520" s="223"/>
      <c r="K1520" s="238">
        <v>1497.72</v>
      </c>
      <c r="L1520" s="241">
        <v>32</v>
      </c>
      <c r="M1520" s="228">
        <v>1018.4496</v>
      </c>
      <c r="N1520" s="230">
        <v>35.659999999999997</v>
      </c>
      <c r="O1520" s="231">
        <v>1018</v>
      </c>
      <c r="R1520" s="223"/>
    </row>
    <row r="1521" spans="1:18" s="217" customFormat="1" ht="14.1" customHeight="1">
      <c r="A1521" s="224" t="s">
        <v>1538</v>
      </c>
      <c r="B1521" s="218" t="s">
        <v>1539</v>
      </c>
      <c r="C1521" s="240">
        <v>3</v>
      </c>
      <c r="D1521" s="218" t="s">
        <v>1493</v>
      </c>
      <c r="E1521" s="223">
        <v>4</v>
      </c>
      <c r="F1521" s="223">
        <v>688</v>
      </c>
      <c r="G1521" s="223">
        <v>2001</v>
      </c>
      <c r="H1521" s="223">
        <v>1</v>
      </c>
      <c r="I1521" s="223">
        <v>1</v>
      </c>
      <c r="J1521" s="223"/>
      <c r="K1521" s="238">
        <v>24534.08</v>
      </c>
      <c r="L1521" s="241">
        <v>32</v>
      </c>
      <c r="M1521" s="228">
        <v>16683.1744</v>
      </c>
      <c r="N1521" s="230">
        <v>35.659999999999997</v>
      </c>
      <c r="O1521" s="231">
        <v>16683</v>
      </c>
      <c r="R1521" s="223"/>
    </row>
    <row r="1522" spans="1:18" s="217" customFormat="1" ht="14.1" customHeight="1">
      <c r="A1522" s="224" t="s">
        <v>1538</v>
      </c>
      <c r="B1522" s="218" t="s">
        <v>1539</v>
      </c>
      <c r="C1522" s="240">
        <v>3</v>
      </c>
      <c r="D1522" s="218" t="s">
        <v>1493</v>
      </c>
      <c r="E1522" s="223">
        <v>4</v>
      </c>
      <c r="F1522" s="223">
        <v>2235</v>
      </c>
      <c r="G1522" s="223">
        <v>2001</v>
      </c>
      <c r="H1522" s="223">
        <v>1</v>
      </c>
      <c r="I1522" s="223">
        <v>1</v>
      </c>
      <c r="J1522" s="223"/>
      <c r="K1522" s="237">
        <v>79700.100000000006</v>
      </c>
      <c r="L1522" s="241">
        <v>32</v>
      </c>
      <c r="M1522" s="239">
        <v>54196.067999999999</v>
      </c>
      <c r="N1522" s="230">
        <v>35.659999999999997</v>
      </c>
      <c r="O1522" s="231">
        <v>54196</v>
      </c>
      <c r="R1522" s="223"/>
    </row>
    <row r="1523" spans="1:18" s="217" customFormat="1" ht="14.1" customHeight="1">
      <c r="A1523" s="224" t="s">
        <v>1538</v>
      </c>
      <c r="B1523" s="218" t="s">
        <v>1539</v>
      </c>
      <c r="C1523" s="240">
        <v>3</v>
      </c>
      <c r="D1523" s="218" t="s">
        <v>1493</v>
      </c>
      <c r="E1523" s="223">
        <v>4</v>
      </c>
      <c r="F1523" s="223">
        <v>5977</v>
      </c>
      <c r="G1523" s="223">
        <v>2001</v>
      </c>
      <c r="H1523" s="223">
        <v>1</v>
      </c>
      <c r="I1523" s="223">
        <v>1</v>
      </c>
      <c r="J1523" s="223"/>
      <c r="K1523" s="238">
        <v>213139.82</v>
      </c>
      <c r="L1523" s="241">
        <v>32</v>
      </c>
      <c r="M1523" s="228">
        <v>144935.07759999999</v>
      </c>
      <c r="N1523" s="230">
        <v>35.659999999999997</v>
      </c>
      <c r="O1523" s="231">
        <v>144935</v>
      </c>
      <c r="R1523" s="223"/>
    </row>
    <row r="1524" spans="1:18" s="217" customFormat="1" ht="14.1" customHeight="1">
      <c r="A1524" s="224" t="s">
        <v>1538</v>
      </c>
      <c r="B1524" s="218" t="s">
        <v>1539</v>
      </c>
      <c r="C1524" s="240">
        <v>3</v>
      </c>
      <c r="D1524" s="218" t="s">
        <v>1493</v>
      </c>
      <c r="E1524" s="223">
        <v>4</v>
      </c>
      <c r="F1524" s="223">
        <v>121</v>
      </c>
      <c r="G1524" s="223">
        <v>2001</v>
      </c>
      <c r="H1524" s="223">
        <v>1</v>
      </c>
      <c r="I1524" s="223">
        <v>1</v>
      </c>
      <c r="J1524" s="223"/>
      <c r="K1524" s="238">
        <v>4314.8599999999997</v>
      </c>
      <c r="L1524" s="241">
        <v>32</v>
      </c>
      <c r="M1524" s="228">
        <v>2934.1048000000001</v>
      </c>
      <c r="N1524" s="230">
        <v>35.659999999999997</v>
      </c>
      <c r="O1524" s="231">
        <v>2934</v>
      </c>
      <c r="R1524" s="223"/>
    </row>
    <row r="1525" spans="1:18" s="217" customFormat="1" ht="14.1" customHeight="1">
      <c r="A1525" s="224" t="s">
        <v>1538</v>
      </c>
      <c r="B1525" s="218" t="s">
        <v>1539</v>
      </c>
      <c r="C1525" s="240">
        <v>3</v>
      </c>
      <c r="D1525" s="218" t="s">
        <v>1493</v>
      </c>
      <c r="E1525" s="223">
        <v>4</v>
      </c>
      <c r="F1525" s="223">
        <v>981</v>
      </c>
      <c r="G1525" s="223">
        <v>2001</v>
      </c>
      <c r="H1525" s="223">
        <v>1</v>
      </c>
      <c r="I1525" s="223">
        <v>1</v>
      </c>
      <c r="J1525" s="223"/>
      <c r="K1525" s="238">
        <v>34982.46</v>
      </c>
      <c r="L1525" s="241">
        <v>32</v>
      </c>
      <c r="M1525" s="228">
        <v>23788.072800000002</v>
      </c>
      <c r="N1525" s="230">
        <v>35.659999999999997</v>
      </c>
      <c r="O1525" s="231">
        <v>23788</v>
      </c>
      <c r="R1525" s="223"/>
    </row>
    <row r="1526" spans="1:18" s="217" customFormat="1" ht="14.1" customHeight="1">
      <c r="A1526" s="224" t="s">
        <v>1538</v>
      </c>
      <c r="B1526" s="218" t="s">
        <v>1539</v>
      </c>
      <c r="C1526" s="240">
        <v>3</v>
      </c>
      <c r="D1526" s="218" t="s">
        <v>1493</v>
      </c>
      <c r="E1526" s="223">
        <v>6</v>
      </c>
      <c r="F1526" s="230">
        <v>2145.83</v>
      </c>
      <c r="G1526" s="223">
        <v>1969</v>
      </c>
      <c r="H1526" s="223">
        <v>1</v>
      </c>
      <c r="I1526" s="223">
        <v>1</v>
      </c>
      <c r="J1526" s="223"/>
      <c r="K1526" s="228">
        <v>98557.971900000004</v>
      </c>
      <c r="L1526" s="241">
        <v>66</v>
      </c>
      <c r="M1526" s="229">
        <v>33509.710449999999</v>
      </c>
      <c r="N1526" s="230">
        <v>45.93</v>
      </c>
      <c r="O1526" s="231">
        <v>33509</v>
      </c>
      <c r="R1526" s="223"/>
    </row>
    <row r="1527" spans="1:18" s="217" customFormat="1" ht="14.1" customHeight="1">
      <c r="A1527" s="224" t="s">
        <v>1538</v>
      </c>
      <c r="B1527" s="218" t="s">
        <v>1539</v>
      </c>
      <c r="C1527" s="240">
        <v>3</v>
      </c>
      <c r="D1527" s="218" t="s">
        <v>1493</v>
      </c>
      <c r="E1527" s="223">
        <v>6</v>
      </c>
      <c r="F1527" s="230">
        <v>107.74</v>
      </c>
      <c r="G1527" s="223">
        <v>1969</v>
      </c>
      <c r="H1527" s="223">
        <v>1</v>
      </c>
      <c r="I1527" s="223">
        <v>1</v>
      </c>
      <c r="J1527" s="223"/>
      <c r="K1527" s="228">
        <v>4948.4982</v>
      </c>
      <c r="L1527" s="241">
        <v>66</v>
      </c>
      <c r="M1527" s="233">
        <v>1682.489388</v>
      </c>
      <c r="N1527" s="230">
        <v>45.93</v>
      </c>
      <c r="O1527" s="231">
        <v>1682</v>
      </c>
      <c r="R1527" s="223"/>
    </row>
    <row r="1528" spans="1:18" s="217" customFormat="1" ht="14.1" customHeight="1">
      <c r="A1528" s="224" t="s">
        <v>1538</v>
      </c>
      <c r="B1528" s="218" t="s">
        <v>1539</v>
      </c>
      <c r="C1528" s="240">
        <v>3</v>
      </c>
      <c r="D1528" s="218" t="s">
        <v>1493</v>
      </c>
      <c r="E1528" s="223">
        <v>6</v>
      </c>
      <c r="F1528" s="230">
        <v>112.76</v>
      </c>
      <c r="G1528" s="223">
        <v>1969</v>
      </c>
      <c r="H1528" s="223">
        <v>1</v>
      </c>
      <c r="I1528" s="223">
        <v>1</v>
      </c>
      <c r="J1528" s="223"/>
      <c r="K1528" s="228">
        <v>5179.0667999999996</v>
      </c>
      <c r="L1528" s="241">
        <v>66</v>
      </c>
      <c r="M1528" s="233">
        <v>1760.8827120000001</v>
      </c>
      <c r="N1528" s="230">
        <v>45.93</v>
      </c>
      <c r="O1528" s="231">
        <v>1760</v>
      </c>
      <c r="R1528" s="223"/>
    </row>
    <row r="1529" spans="1:18" s="217" customFormat="1" ht="14.1" customHeight="1">
      <c r="A1529" s="224" t="s">
        <v>1538</v>
      </c>
      <c r="B1529" s="218" t="s">
        <v>1539</v>
      </c>
      <c r="C1529" s="240">
        <v>3</v>
      </c>
      <c r="D1529" s="218" t="s">
        <v>1493</v>
      </c>
      <c r="E1529" s="223">
        <v>6</v>
      </c>
      <c r="F1529" s="230">
        <v>36.35</v>
      </c>
      <c r="G1529" s="223">
        <v>1969</v>
      </c>
      <c r="H1529" s="223">
        <v>1</v>
      </c>
      <c r="I1529" s="223">
        <v>1</v>
      </c>
      <c r="J1529" s="223"/>
      <c r="K1529" s="228">
        <v>1669.5554999999999</v>
      </c>
      <c r="L1529" s="241">
        <v>66</v>
      </c>
      <c r="M1529" s="229">
        <v>567.64886999999999</v>
      </c>
      <c r="N1529" s="230">
        <v>45.93</v>
      </c>
      <c r="O1529" s="231">
        <v>567</v>
      </c>
      <c r="R1529" s="223"/>
    </row>
    <row r="1530" spans="1:18" s="217" customFormat="1" ht="14.1" customHeight="1">
      <c r="A1530" s="224" t="s">
        <v>1538</v>
      </c>
      <c r="B1530" s="218" t="s">
        <v>1539</v>
      </c>
      <c r="C1530" s="240">
        <v>3</v>
      </c>
      <c r="D1530" s="218" t="s">
        <v>1493</v>
      </c>
      <c r="E1530" s="223">
        <v>6</v>
      </c>
      <c r="F1530" s="230">
        <v>438.42</v>
      </c>
      <c r="G1530" s="223">
        <v>1969</v>
      </c>
      <c r="H1530" s="223">
        <v>1</v>
      </c>
      <c r="I1530" s="223">
        <v>1</v>
      </c>
      <c r="J1530" s="223"/>
      <c r="K1530" s="228">
        <v>20136.6306</v>
      </c>
      <c r="L1530" s="241">
        <v>66</v>
      </c>
      <c r="M1530" s="233">
        <v>6846.4544040000001</v>
      </c>
      <c r="N1530" s="230">
        <v>45.93</v>
      </c>
      <c r="O1530" s="231">
        <v>6846</v>
      </c>
      <c r="R1530" s="223"/>
    </row>
    <row r="1531" spans="1:18" s="217" customFormat="1" ht="14.1" customHeight="1">
      <c r="A1531" s="224" t="s">
        <v>1538</v>
      </c>
      <c r="B1531" s="218" t="s">
        <v>1539</v>
      </c>
      <c r="C1531" s="240">
        <v>3</v>
      </c>
      <c r="D1531" s="218" t="s">
        <v>1493</v>
      </c>
      <c r="E1531" s="223">
        <v>6</v>
      </c>
      <c r="F1531" s="230">
        <v>8747.0499999999993</v>
      </c>
      <c r="G1531" s="223">
        <v>1969</v>
      </c>
      <c r="H1531" s="223">
        <v>1</v>
      </c>
      <c r="I1531" s="223">
        <v>1</v>
      </c>
      <c r="J1531" s="223"/>
      <c r="K1531" s="228">
        <v>401752.00650000002</v>
      </c>
      <c r="L1531" s="241">
        <v>66</v>
      </c>
      <c r="M1531" s="228">
        <v>136595.68220000001</v>
      </c>
      <c r="N1531" s="230">
        <v>45.93</v>
      </c>
      <c r="O1531" s="231">
        <v>136595</v>
      </c>
      <c r="R1531" s="223"/>
    </row>
    <row r="1532" spans="1:18" s="217" customFormat="1" ht="14.1" customHeight="1">
      <c r="A1532" s="224" t="s">
        <v>1538</v>
      </c>
      <c r="B1532" s="218" t="s">
        <v>1539</v>
      </c>
      <c r="C1532" s="240">
        <v>3</v>
      </c>
      <c r="D1532" s="218" t="s">
        <v>1493</v>
      </c>
      <c r="E1532" s="223">
        <v>6</v>
      </c>
      <c r="F1532" s="230">
        <v>393.77</v>
      </c>
      <c r="G1532" s="223">
        <v>1969</v>
      </c>
      <c r="H1532" s="223">
        <v>1</v>
      </c>
      <c r="I1532" s="223">
        <v>1</v>
      </c>
      <c r="J1532" s="223"/>
      <c r="K1532" s="228">
        <v>18085.856100000001</v>
      </c>
      <c r="L1532" s="241">
        <v>66</v>
      </c>
      <c r="M1532" s="233">
        <v>6149.1910740000003</v>
      </c>
      <c r="N1532" s="230">
        <v>45.93</v>
      </c>
      <c r="O1532" s="231">
        <v>6149</v>
      </c>
      <c r="R1532" s="223"/>
    </row>
    <row r="1533" spans="1:18" s="217" customFormat="1" ht="14.1" customHeight="1">
      <c r="A1533" s="224" t="s">
        <v>1538</v>
      </c>
      <c r="B1533" s="218" t="s">
        <v>1539</v>
      </c>
      <c r="C1533" s="240">
        <v>3</v>
      </c>
      <c r="D1533" s="218" t="s">
        <v>1493</v>
      </c>
      <c r="E1533" s="223">
        <v>6</v>
      </c>
      <c r="F1533" s="242">
        <v>12135.10</v>
      </c>
      <c r="G1533" s="223">
        <v>1969</v>
      </c>
      <c r="H1533" s="223">
        <v>1</v>
      </c>
      <c r="I1533" s="223">
        <v>1</v>
      </c>
      <c r="J1533" s="223"/>
      <c r="K1533" s="239">
        <v>557365.14300000004</v>
      </c>
      <c r="L1533" s="241">
        <v>66</v>
      </c>
      <c r="M1533" s="228">
        <v>189504.14859999999</v>
      </c>
      <c r="N1533" s="230">
        <v>45.93</v>
      </c>
      <c r="O1533" s="231">
        <v>189504</v>
      </c>
      <c r="R1533" s="223"/>
    </row>
    <row r="1534" spans="1:18" s="217" customFormat="1" ht="14.1" customHeight="1">
      <c r="A1534" s="224" t="s">
        <v>1538</v>
      </c>
      <c r="B1534" s="218" t="s">
        <v>1539</v>
      </c>
      <c r="C1534" s="240">
        <v>3</v>
      </c>
      <c r="D1534" s="218" t="s">
        <v>1493</v>
      </c>
      <c r="E1534" s="223">
        <v>6</v>
      </c>
      <c r="F1534" s="242">
        <v>1645.80</v>
      </c>
      <c r="G1534" s="223">
        <v>1969</v>
      </c>
      <c r="H1534" s="223">
        <v>1</v>
      </c>
      <c r="I1534" s="223">
        <v>1</v>
      </c>
      <c r="J1534" s="223"/>
      <c r="K1534" s="239">
        <v>75591.593999999997</v>
      </c>
      <c r="L1534" s="241">
        <v>66</v>
      </c>
      <c r="M1534" s="229">
        <v>25701.141960000001</v>
      </c>
      <c r="N1534" s="230">
        <v>45.93</v>
      </c>
      <c r="O1534" s="231">
        <v>25701</v>
      </c>
      <c r="R1534" s="223"/>
    </row>
    <row r="1535" spans="1:18" s="217" customFormat="1" ht="14.1" customHeight="1">
      <c r="A1535" s="224" t="s">
        <v>1538</v>
      </c>
      <c r="B1535" s="218" t="s">
        <v>1539</v>
      </c>
      <c r="C1535" s="240">
        <v>3</v>
      </c>
      <c r="D1535" s="218" t="s">
        <v>1493</v>
      </c>
      <c r="E1535" s="223">
        <v>6</v>
      </c>
      <c r="F1535" s="242">
        <v>235.30</v>
      </c>
      <c r="G1535" s="223">
        <v>1969</v>
      </c>
      <c r="H1535" s="223">
        <v>1</v>
      </c>
      <c r="I1535" s="223">
        <v>1</v>
      </c>
      <c r="J1535" s="223"/>
      <c r="K1535" s="239">
        <v>10807.329</v>
      </c>
      <c r="L1535" s="241">
        <v>66</v>
      </c>
      <c r="M1535" s="229">
        <v>3674.4918600000001</v>
      </c>
      <c r="N1535" s="230">
        <v>45.93</v>
      </c>
      <c r="O1535" s="231">
        <v>3674</v>
      </c>
      <c r="R1535" s="223"/>
    </row>
    <row r="1536" spans="1:18" s="217" customFormat="1" ht="14.1" customHeight="1">
      <c r="A1536" s="224" t="s">
        <v>1538</v>
      </c>
      <c r="B1536" s="218" t="s">
        <v>1539</v>
      </c>
      <c r="C1536" s="240">
        <v>3</v>
      </c>
      <c r="D1536" s="218" t="s">
        <v>1493</v>
      </c>
      <c r="E1536" s="223">
        <v>6</v>
      </c>
      <c r="F1536" s="230">
        <v>1394.39</v>
      </c>
      <c r="G1536" s="223">
        <v>1969</v>
      </c>
      <c r="H1536" s="223">
        <v>1</v>
      </c>
      <c r="I1536" s="223">
        <v>1</v>
      </c>
      <c r="J1536" s="223"/>
      <c r="K1536" s="228">
        <v>64044.332699999999</v>
      </c>
      <c r="L1536" s="241">
        <v>66</v>
      </c>
      <c r="M1536" s="229">
        <v>21775.073120000001</v>
      </c>
      <c r="N1536" s="230">
        <v>45.93</v>
      </c>
      <c r="O1536" s="231">
        <v>21775</v>
      </c>
      <c r="R1536" s="223"/>
    </row>
    <row r="1537" spans="1:18" s="217" customFormat="1" ht="14.1" customHeight="1">
      <c r="A1537" s="224" t="s">
        <v>1538</v>
      </c>
      <c r="B1537" s="218" t="s">
        <v>1539</v>
      </c>
      <c r="C1537" s="240">
        <v>3</v>
      </c>
      <c r="D1537" s="218" t="s">
        <v>1493</v>
      </c>
      <c r="E1537" s="223">
        <v>6</v>
      </c>
      <c r="F1537" s="242">
        <v>2329.40</v>
      </c>
      <c r="G1537" s="223">
        <v>1969</v>
      </c>
      <c r="H1537" s="223">
        <v>1</v>
      </c>
      <c r="I1537" s="223">
        <v>1</v>
      </c>
      <c r="J1537" s="223"/>
      <c r="K1537" s="239">
        <v>106989.342</v>
      </c>
      <c r="L1537" s="241">
        <v>66</v>
      </c>
      <c r="M1537" s="229">
        <v>36376.376279999997</v>
      </c>
      <c r="N1537" s="230">
        <v>45.93</v>
      </c>
      <c r="O1537" s="231">
        <v>36376</v>
      </c>
      <c r="R1537" s="223"/>
    </row>
    <row r="1538" spans="1:18" s="217" customFormat="1" ht="14.1" customHeight="1">
      <c r="A1538" s="224" t="s">
        <v>1538</v>
      </c>
      <c r="B1538" s="218" t="s">
        <v>1539</v>
      </c>
      <c r="C1538" s="240">
        <v>3</v>
      </c>
      <c r="D1538" s="218" t="s">
        <v>1493</v>
      </c>
      <c r="E1538" s="223">
        <v>6</v>
      </c>
      <c r="F1538" s="230">
        <v>840.91</v>
      </c>
      <c r="G1538" s="223">
        <v>1969</v>
      </c>
      <c r="H1538" s="223">
        <v>1</v>
      </c>
      <c r="I1538" s="223">
        <v>1</v>
      </c>
      <c r="J1538" s="223"/>
      <c r="K1538" s="228">
        <v>38622.996299999999</v>
      </c>
      <c r="L1538" s="241">
        <v>66</v>
      </c>
      <c r="M1538" s="229">
        <v>13131.818740000001</v>
      </c>
      <c r="N1538" s="230">
        <v>45.93</v>
      </c>
      <c r="O1538" s="231">
        <v>13131</v>
      </c>
      <c r="R1538" s="223"/>
    </row>
    <row r="1539" spans="1:18" s="217" customFormat="1" ht="14.1" customHeight="1">
      <c r="A1539" s="224" t="s">
        <v>1538</v>
      </c>
      <c r="B1539" s="218" t="s">
        <v>1539</v>
      </c>
      <c r="C1539" s="240">
        <v>3</v>
      </c>
      <c r="D1539" s="218" t="s">
        <v>1493</v>
      </c>
      <c r="E1539" s="223">
        <v>8</v>
      </c>
      <c r="F1539" s="230">
        <v>15134.28</v>
      </c>
      <c r="G1539" s="223">
        <v>1969</v>
      </c>
      <c r="H1539" s="223">
        <v>1</v>
      </c>
      <c r="I1539" s="223">
        <v>0</v>
      </c>
      <c r="J1539" s="223"/>
      <c r="K1539" s="238">
        <v>896706.09</v>
      </c>
      <c r="L1539" s="241">
        <v>66</v>
      </c>
      <c r="M1539" s="228">
        <v>304880.07059999998</v>
      </c>
      <c r="N1539" s="230">
        <v>59.25</v>
      </c>
      <c r="O1539" s="231">
        <v>0</v>
      </c>
      <c r="R1539" s="223"/>
    </row>
    <row r="1540" spans="1:18" s="217" customFormat="1" ht="14.1" customHeight="1">
      <c r="A1540" s="224" t="s">
        <v>1544</v>
      </c>
      <c r="B1540" s="218" t="s">
        <v>1545</v>
      </c>
      <c r="C1540" s="240">
        <v>2</v>
      </c>
      <c r="D1540" s="218" t="s">
        <v>1516</v>
      </c>
      <c r="E1540" s="223">
        <v>4</v>
      </c>
      <c r="F1540" s="223">
        <v>723</v>
      </c>
      <c r="G1540" s="223">
        <v>2006</v>
      </c>
      <c r="H1540" s="223">
        <v>1</v>
      </c>
      <c r="I1540" s="223">
        <v>1</v>
      </c>
      <c r="J1540" s="223"/>
      <c r="K1540" s="238">
        <v>13057.38</v>
      </c>
      <c r="L1540" s="241">
        <v>20</v>
      </c>
      <c r="M1540" s="239">
        <v>10445.904</v>
      </c>
      <c r="N1540" s="230">
        <v>18.06</v>
      </c>
      <c r="O1540" s="231">
        <v>10445</v>
      </c>
      <c r="R1540" s="223"/>
    </row>
    <row r="1541" spans="1:18" s="217" customFormat="1" ht="14.1" customHeight="1">
      <c r="A1541" s="224" t="s">
        <v>1544</v>
      </c>
      <c r="B1541" s="218" t="s">
        <v>1545</v>
      </c>
      <c r="C1541" s="240">
        <v>2</v>
      </c>
      <c r="D1541" s="218" t="s">
        <v>1516</v>
      </c>
      <c r="E1541" s="223">
        <v>4</v>
      </c>
      <c r="F1541" s="223">
        <v>1583</v>
      </c>
      <c r="G1541" s="223">
        <v>2006</v>
      </c>
      <c r="H1541" s="223">
        <v>1</v>
      </c>
      <c r="I1541" s="223">
        <v>1</v>
      </c>
      <c r="J1541" s="223"/>
      <c r="K1541" s="238">
        <v>28588.98</v>
      </c>
      <c r="L1541" s="241">
        <v>20</v>
      </c>
      <c r="M1541" s="239">
        <v>22871.184000000001</v>
      </c>
      <c r="N1541" s="230">
        <v>18.06</v>
      </c>
      <c r="O1541" s="231">
        <v>22871</v>
      </c>
      <c r="R1541" s="223"/>
    </row>
    <row r="1542" spans="1:18" s="217" customFormat="1" ht="14.1" customHeight="1">
      <c r="A1542" s="224" t="s">
        <v>1544</v>
      </c>
      <c r="B1542" s="218" t="s">
        <v>1545</v>
      </c>
      <c r="C1542" s="240">
        <v>2</v>
      </c>
      <c r="D1542" s="218" t="s">
        <v>1516</v>
      </c>
      <c r="E1542" s="223">
        <v>4</v>
      </c>
      <c r="F1542" s="223">
        <v>3023</v>
      </c>
      <c r="G1542" s="223">
        <v>2006</v>
      </c>
      <c r="H1542" s="223">
        <v>1</v>
      </c>
      <c r="I1542" s="223">
        <v>1</v>
      </c>
      <c r="J1542" s="223"/>
      <c r="K1542" s="238">
        <v>54595.38</v>
      </c>
      <c r="L1542" s="241">
        <v>20</v>
      </c>
      <c r="M1542" s="239">
        <v>43676.303999999996</v>
      </c>
      <c r="N1542" s="230">
        <v>18.06</v>
      </c>
      <c r="O1542" s="231">
        <v>43676</v>
      </c>
      <c r="R1542" s="223"/>
    </row>
    <row r="1543" spans="1:18" s="217" customFormat="1" ht="14.1" customHeight="1">
      <c r="A1543" s="224" t="s">
        <v>1544</v>
      </c>
      <c r="B1543" s="218" t="s">
        <v>1545</v>
      </c>
      <c r="C1543" s="240">
        <v>2</v>
      </c>
      <c r="D1543" s="218" t="s">
        <v>1516</v>
      </c>
      <c r="E1543" s="223">
        <v>4</v>
      </c>
      <c r="F1543" s="223">
        <v>325</v>
      </c>
      <c r="G1543" s="223">
        <v>1996</v>
      </c>
      <c r="H1543" s="223">
        <v>1</v>
      </c>
      <c r="I1543" s="223">
        <v>1</v>
      </c>
      <c r="J1543" s="223"/>
      <c r="K1543" s="237">
        <v>5869.50</v>
      </c>
      <c r="L1543" s="241">
        <v>44</v>
      </c>
      <c r="M1543" s="238">
        <v>3286.92</v>
      </c>
      <c r="N1543" s="230">
        <v>18.06</v>
      </c>
      <c r="O1543" s="231">
        <v>3286</v>
      </c>
      <c r="R1543" s="223"/>
    </row>
    <row r="1544" spans="1:18" s="217" customFormat="1" ht="14.1" customHeight="1">
      <c r="A1544" s="224" t="s">
        <v>1544</v>
      </c>
      <c r="B1544" s="218" t="s">
        <v>1545</v>
      </c>
      <c r="C1544" s="240">
        <v>2</v>
      </c>
      <c r="D1544" s="218" t="s">
        <v>1516</v>
      </c>
      <c r="E1544" s="223">
        <v>4</v>
      </c>
      <c r="F1544" s="223">
        <v>803</v>
      </c>
      <c r="G1544" s="223">
        <v>2001</v>
      </c>
      <c r="H1544" s="223">
        <v>1</v>
      </c>
      <c r="I1544" s="223">
        <v>1</v>
      </c>
      <c r="J1544" s="223"/>
      <c r="K1544" s="238">
        <v>14502.18</v>
      </c>
      <c r="L1544" s="241">
        <v>32</v>
      </c>
      <c r="M1544" s="228">
        <v>9861.4824000000008</v>
      </c>
      <c r="N1544" s="230">
        <v>18.06</v>
      </c>
      <c r="O1544" s="231">
        <v>9861</v>
      </c>
      <c r="R1544" s="223"/>
    </row>
    <row r="1545" spans="1:18" s="217" customFormat="1" ht="14.1" customHeight="1">
      <c r="A1545" s="224" t="s">
        <v>1544</v>
      </c>
      <c r="B1545" s="218" t="s">
        <v>1545</v>
      </c>
      <c r="C1545" s="240">
        <v>2</v>
      </c>
      <c r="D1545" s="218" t="s">
        <v>1516</v>
      </c>
      <c r="E1545" s="223">
        <v>4</v>
      </c>
      <c r="F1545" s="223">
        <v>619</v>
      </c>
      <c r="G1545" s="223">
        <v>2001</v>
      </c>
      <c r="H1545" s="223">
        <v>1</v>
      </c>
      <c r="I1545" s="223">
        <v>1</v>
      </c>
      <c r="J1545" s="223"/>
      <c r="K1545" s="238">
        <v>11179.14</v>
      </c>
      <c r="L1545" s="241">
        <v>32</v>
      </c>
      <c r="M1545" s="228">
        <v>7601.8152</v>
      </c>
      <c r="N1545" s="230">
        <v>18.06</v>
      </c>
      <c r="O1545" s="231">
        <v>7601</v>
      </c>
      <c r="R1545" s="223"/>
    </row>
    <row r="1546" spans="1:18" s="217" customFormat="1" ht="15" customHeight="1">
      <c r="A1546" s="224" t="s">
        <v>1544</v>
      </c>
      <c r="B1546" s="218" t="s">
        <v>1545</v>
      </c>
      <c r="C1546" s="240">
        <v>2</v>
      </c>
      <c r="D1546" s="218" t="s">
        <v>1516</v>
      </c>
      <c r="E1546" s="223">
        <v>4</v>
      </c>
      <c r="F1546" s="223">
        <v>47</v>
      </c>
      <c r="G1546" s="223">
        <v>2001</v>
      </c>
      <c r="H1546" s="223">
        <v>1</v>
      </c>
      <c r="I1546" s="223">
        <v>1</v>
      </c>
      <c r="J1546" s="223"/>
      <c r="K1546" s="238">
        <v>848.82</v>
      </c>
      <c r="L1546" s="241">
        <v>32</v>
      </c>
      <c r="M1546" s="228">
        <v>577.19759999999997</v>
      </c>
      <c r="N1546" s="230">
        <v>18.06</v>
      </c>
      <c r="O1546" s="231">
        <v>577</v>
      </c>
      <c r="R1546" s="223"/>
    </row>
    <row r="1547" spans="1:17" s="217" customFormat="1" ht="15" customHeight="1">
      <c r="A1547" s="224" t="s">
        <v>1544</v>
      </c>
      <c r="B1547" s="218" t="s">
        <v>1545</v>
      </c>
      <c r="C1547" s="240">
        <v>2</v>
      </c>
      <c r="D1547" s="218" t="s">
        <v>1516</v>
      </c>
      <c r="E1547" s="223">
        <v>4</v>
      </c>
      <c r="F1547" s="223">
        <v>460</v>
      </c>
      <c r="G1547" s="223">
        <v>2001</v>
      </c>
      <c r="H1547" s="223">
        <v>1</v>
      </c>
      <c r="I1547" s="223">
        <v>1</v>
      </c>
      <c r="J1547" s="223"/>
      <c r="K1547" s="237">
        <v>8307.60</v>
      </c>
      <c r="L1547" s="241">
        <v>32</v>
      </c>
      <c r="M1547" s="239">
        <v>5649.1679999999997</v>
      </c>
      <c r="N1547" s="230">
        <v>18.06</v>
      </c>
      <c r="O1547" s="231">
        <v>5649</v>
      </c>
      <c r="P1547" s="230"/>
      <c r="Q1547" s="230"/>
    </row>
    <row r="1548" spans="1:17" s="217" customFormat="1" ht="14.1" customHeight="1">
      <c r="A1548" s="224" t="s">
        <v>1544</v>
      </c>
      <c r="B1548" s="218" t="s">
        <v>1545</v>
      </c>
      <c r="C1548" s="240">
        <v>2</v>
      </c>
      <c r="D1548" s="218" t="s">
        <v>1516</v>
      </c>
      <c r="E1548" s="223">
        <v>4</v>
      </c>
      <c r="F1548" s="223">
        <v>652</v>
      </c>
      <c r="G1548" s="223">
        <v>2001</v>
      </c>
      <c r="H1548" s="223">
        <v>1</v>
      </c>
      <c r="I1548" s="223">
        <v>1</v>
      </c>
      <c r="J1548" s="223"/>
      <c r="K1548" s="238">
        <v>11775.12</v>
      </c>
      <c r="L1548" s="241">
        <v>32</v>
      </c>
      <c r="M1548" s="228">
        <v>8007.0816000000004</v>
      </c>
      <c r="N1548" s="230">
        <v>18.06</v>
      </c>
      <c r="O1548" s="231">
        <v>8007</v>
      </c>
      <c r="P1548" s="230"/>
      <c r="Q1548" s="230"/>
    </row>
    <row r="1549" spans="1:17" s="217" customFormat="1" ht="14.1" customHeight="1">
      <c r="A1549" s="224" t="s">
        <v>1544</v>
      </c>
      <c r="B1549" s="218" t="s">
        <v>1545</v>
      </c>
      <c r="C1549" s="240">
        <v>2</v>
      </c>
      <c r="D1549" s="218" t="s">
        <v>1516</v>
      </c>
      <c r="E1549" s="223">
        <v>4</v>
      </c>
      <c r="F1549" s="223">
        <v>484</v>
      </c>
      <c r="G1549" s="223">
        <v>2001</v>
      </c>
      <c r="H1549" s="223">
        <v>1</v>
      </c>
      <c r="I1549" s="223">
        <v>1</v>
      </c>
      <c r="J1549" s="223"/>
      <c r="K1549" s="238">
        <v>8741.0400000000009</v>
      </c>
      <c r="L1549" s="241">
        <v>32</v>
      </c>
      <c r="M1549" s="228">
        <v>5943.9071999999996</v>
      </c>
      <c r="N1549" s="230">
        <v>18.06</v>
      </c>
      <c r="O1549" s="231">
        <v>5943</v>
      </c>
      <c r="P1549" s="230"/>
      <c r="Q1549" s="230"/>
    </row>
    <row r="1550" spans="1:17" s="217" customFormat="1" ht="14.1" customHeight="1">
      <c r="A1550" s="224" t="s">
        <v>1544</v>
      </c>
      <c r="B1550" s="218" t="s">
        <v>1545</v>
      </c>
      <c r="C1550" s="240">
        <v>2</v>
      </c>
      <c r="D1550" s="218" t="s">
        <v>1516</v>
      </c>
      <c r="E1550" s="223">
        <v>4</v>
      </c>
      <c r="F1550" s="223">
        <v>29</v>
      </c>
      <c r="G1550" s="223">
        <v>2001</v>
      </c>
      <c r="H1550" s="223">
        <v>1</v>
      </c>
      <c r="I1550" s="223">
        <v>1</v>
      </c>
      <c r="J1550" s="223"/>
      <c r="K1550" s="238">
        <v>523.74</v>
      </c>
      <c r="L1550" s="241">
        <v>32</v>
      </c>
      <c r="M1550" s="228">
        <v>356.14319999999998</v>
      </c>
      <c r="N1550" s="230">
        <v>18.06</v>
      </c>
      <c r="O1550" s="231">
        <v>356</v>
      </c>
      <c r="P1550" s="230"/>
      <c r="Q1550" s="230"/>
    </row>
    <row r="1551" spans="1:17" s="217" customFormat="1" ht="14.1" customHeight="1">
      <c r="A1551" s="224" t="s">
        <v>1544</v>
      </c>
      <c r="B1551" s="218" t="s">
        <v>1545</v>
      </c>
      <c r="C1551" s="240">
        <v>2</v>
      </c>
      <c r="D1551" s="218" t="s">
        <v>1516</v>
      </c>
      <c r="E1551" s="223">
        <v>4</v>
      </c>
      <c r="F1551" s="223">
        <v>916</v>
      </c>
      <c r="G1551" s="223">
        <v>1996</v>
      </c>
      <c r="H1551" s="223">
        <v>1</v>
      </c>
      <c r="I1551" s="223">
        <v>1</v>
      </c>
      <c r="J1551" s="223"/>
      <c r="K1551" s="238">
        <v>16542.96</v>
      </c>
      <c r="L1551" s="241">
        <v>44</v>
      </c>
      <c r="M1551" s="228">
        <v>9264.0576000000001</v>
      </c>
      <c r="N1551" s="230">
        <v>18.06</v>
      </c>
      <c r="O1551" s="231">
        <v>9264</v>
      </c>
      <c r="P1551" s="230"/>
      <c r="Q1551" s="230"/>
    </row>
    <row r="1552" spans="1:17" s="217" customFormat="1" ht="14.1" customHeight="1">
      <c r="A1552" s="224" t="s">
        <v>1546</v>
      </c>
      <c r="B1552" s="218" t="s">
        <v>1547</v>
      </c>
      <c r="C1552" s="240">
        <v>2</v>
      </c>
      <c r="D1552" s="218" t="s">
        <v>1516</v>
      </c>
      <c r="E1552" s="223">
        <v>3</v>
      </c>
      <c r="F1552" s="223">
        <v>533</v>
      </c>
      <c r="G1552" s="223">
        <v>2011</v>
      </c>
      <c r="H1552" s="223">
        <v>1</v>
      </c>
      <c r="I1552" s="223">
        <v>1</v>
      </c>
      <c r="J1552" s="223"/>
      <c r="K1552" s="238">
        <v>7989.67</v>
      </c>
      <c r="L1552" s="241">
        <v>10</v>
      </c>
      <c r="M1552" s="239">
        <v>7190.7030000000004</v>
      </c>
      <c r="N1552" s="230">
        <v>14.99</v>
      </c>
      <c r="O1552" s="231">
        <v>7190</v>
      </c>
      <c r="P1552" s="230"/>
      <c r="Q1552" s="230"/>
    </row>
    <row r="1553" spans="1:17" s="217" customFormat="1" ht="14.1" customHeight="1">
      <c r="A1553" s="224" t="s">
        <v>1546</v>
      </c>
      <c r="B1553" s="218" t="s">
        <v>1547</v>
      </c>
      <c r="C1553" s="240">
        <v>2</v>
      </c>
      <c r="D1553" s="218" t="s">
        <v>1516</v>
      </c>
      <c r="E1553" s="223">
        <v>3</v>
      </c>
      <c r="F1553" s="223">
        <v>220</v>
      </c>
      <c r="G1553" s="223">
        <v>2013</v>
      </c>
      <c r="H1553" s="223">
        <v>1</v>
      </c>
      <c r="I1553" s="223">
        <v>1</v>
      </c>
      <c r="J1553" s="223"/>
      <c r="K1553" s="237">
        <v>3297.80</v>
      </c>
      <c r="L1553" s="240">
        <v>8</v>
      </c>
      <c r="M1553" s="239">
        <v>3033.9760000000001</v>
      </c>
      <c r="N1553" s="230">
        <v>14.99</v>
      </c>
      <c r="O1553" s="231">
        <v>3033</v>
      </c>
      <c r="P1553" s="230"/>
      <c r="Q1553" s="230"/>
    </row>
    <row r="1554" spans="1:17" s="217" customFormat="1" ht="14.1" customHeight="1">
      <c r="A1554" s="224" t="s">
        <v>1546</v>
      </c>
      <c r="B1554" s="218" t="s">
        <v>1547</v>
      </c>
      <c r="C1554" s="240">
        <v>2</v>
      </c>
      <c r="D1554" s="218" t="s">
        <v>1516</v>
      </c>
      <c r="E1554" s="223">
        <v>3</v>
      </c>
      <c r="F1554" s="223">
        <v>161</v>
      </c>
      <c r="G1554" s="223">
        <v>1994</v>
      </c>
      <c r="H1554" s="223">
        <v>1</v>
      </c>
      <c r="I1554" s="223">
        <v>1</v>
      </c>
      <c r="J1554" s="223"/>
      <c r="K1554" s="238">
        <v>2413.39</v>
      </c>
      <c r="L1554" s="241">
        <v>49</v>
      </c>
      <c r="M1554" s="228">
        <v>1230.8289</v>
      </c>
      <c r="N1554" s="230">
        <v>14.99</v>
      </c>
      <c r="O1554" s="231">
        <v>1230</v>
      </c>
      <c r="P1554" s="230"/>
      <c r="Q1554" s="230"/>
    </row>
    <row r="1555" spans="1:17" s="217" customFormat="1" ht="14.1" customHeight="1">
      <c r="A1555" s="224" t="s">
        <v>1546</v>
      </c>
      <c r="B1555" s="218" t="s">
        <v>1547</v>
      </c>
      <c r="C1555" s="240">
        <v>2</v>
      </c>
      <c r="D1555" s="218" t="s">
        <v>1516</v>
      </c>
      <c r="E1555" s="223">
        <v>3</v>
      </c>
      <c r="F1555" s="223">
        <v>319</v>
      </c>
      <c r="G1555" s="223">
        <v>1994</v>
      </c>
      <c r="H1555" s="223">
        <v>1</v>
      </c>
      <c r="I1555" s="223">
        <v>1</v>
      </c>
      <c r="J1555" s="223"/>
      <c r="K1555" s="238">
        <v>4781.8100000000004</v>
      </c>
      <c r="L1555" s="241">
        <v>49</v>
      </c>
      <c r="M1555" s="228">
        <v>2438.7231000000002</v>
      </c>
      <c r="N1555" s="230">
        <v>14.99</v>
      </c>
      <c r="O1555" s="231">
        <v>2438</v>
      </c>
      <c r="P1555" s="230"/>
      <c r="Q1555" s="230"/>
    </row>
    <row r="1556" spans="1:17" s="217" customFormat="1" ht="14.1" customHeight="1">
      <c r="A1556" s="224" t="s">
        <v>1546</v>
      </c>
      <c r="B1556" s="218" t="s">
        <v>1547</v>
      </c>
      <c r="C1556" s="240">
        <v>2</v>
      </c>
      <c r="D1556" s="218" t="s">
        <v>1516</v>
      </c>
      <c r="E1556" s="223">
        <v>3</v>
      </c>
      <c r="F1556" s="223">
        <v>2094</v>
      </c>
      <c r="G1556" s="223">
        <v>1994</v>
      </c>
      <c r="H1556" s="223">
        <v>1</v>
      </c>
      <c r="I1556" s="223">
        <v>1</v>
      </c>
      <c r="J1556" s="223"/>
      <c r="K1556" s="238">
        <v>31389.06</v>
      </c>
      <c r="L1556" s="241">
        <v>49</v>
      </c>
      <c r="M1556" s="228">
        <v>16008.420599999999</v>
      </c>
      <c r="N1556" s="230">
        <v>14.99</v>
      </c>
      <c r="O1556" s="231">
        <v>16008</v>
      </c>
      <c r="P1556" s="230"/>
      <c r="Q1556" s="230"/>
    </row>
    <row r="1557" spans="1:17" s="217" customFormat="1" ht="14.1" customHeight="1">
      <c r="A1557" s="224" t="s">
        <v>1546</v>
      </c>
      <c r="B1557" s="218" t="s">
        <v>1547</v>
      </c>
      <c r="C1557" s="240">
        <v>2</v>
      </c>
      <c r="D1557" s="218" t="s">
        <v>1516</v>
      </c>
      <c r="E1557" s="223">
        <v>3</v>
      </c>
      <c r="F1557" s="223">
        <v>1500</v>
      </c>
      <c r="G1557" s="223">
        <v>1994</v>
      </c>
      <c r="H1557" s="223">
        <v>1</v>
      </c>
      <c r="I1557" s="223">
        <v>1</v>
      </c>
      <c r="J1557" s="223"/>
      <c r="K1557" s="240">
        <v>22485</v>
      </c>
      <c r="L1557" s="241">
        <v>49</v>
      </c>
      <c r="M1557" s="238">
        <v>11467.35</v>
      </c>
      <c r="N1557" s="230">
        <v>14.99</v>
      </c>
      <c r="O1557" s="231">
        <v>11467</v>
      </c>
      <c r="P1557" s="230"/>
      <c r="Q1557" s="230"/>
    </row>
    <row r="1558" spans="1:17" s="217" customFormat="1" ht="14.1" customHeight="1">
      <c r="A1558" s="224" t="s">
        <v>1546</v>
      </c>
      <c r="B1558" s="218" t="s">
        <v>1547</v>
      </c>
      <c r="C1558" s="240">
        <v>2</v>
      </c>
      <c r="D1558" s="218" t="s">
        <v>1516</v>
      </c>
      <c r="E1558" s="223">
        <v>3</v>
      </c>
      <c r="F1558" s="223">
        <v>623</v>
      </c>
      <c r="G1558" s="223">
        <v>1994</v>
      </c>
      <c r="H1558" s="223">
        <v>1</v>
      </c>
      <c r="I1558" s="223">
        <v>1</v>
      </c>
      <c r="J1558" s="223"/>
      <c r="K1558" s="238">
        <v>9338.77</v>
      </c>
      <c r="L1558" s="241">
        <v>49</v>
      </c>
      <c r="M1558" s="228">
        <v>4762.7727000000004</v>
      </c>
      <c r="N1558" s="230">
        <v>14.99</v>
      </c>
      <c r="O1558" s="231">
        <v>4762</v>
      </c>
      <c r="P1558" s="230"/>
      <c r="Q1558" s="230"/>
    </row>
    <row r="1559" spans="1:17" s="217" customFormat="1" ht="14.1" customHeight="1">
      <c r="A1559" s="224" t="s">
        <v>1546</v>
      </c>
      <c r="B1559" s="218" t="s">
        <v>1547</v>
      </c>
      <c r="C1559" s="240">
        <v>2</v>
      </c>
      <c r="D1559" s="218" t="s">
        <v>1516</v>
      </c>
      <c r="E1559" s="223">
        <v>3</v>
      </c>
      <c r="F1559" s="223">
        <v>657</v>
      </c>
      <c r="G1559" s="223">
        <v>1994</v>
      </c>
      <c r="H1559" s="223">
        <v>1</v>
      </c>
      <c r="I1559" s="223">
        <v>1</v>
      </c>
      <c r="J1559" s="223"/>
      <c r="K1559" s="238">
        <v>9848.43</v>
      </c>
      <c r="L1559" s="241">
        <v>49</v>
      </c>
      <c r="M1559" s="228">
        <v>5022.6993000000002</v>
      </c>
      <c r="N1559" s="230">
        <v>14.99</v>
      </c>
      <c r="O1559" s="231">
        <v>5022</v>
      </c>
      <c r="P1559" s="230"/>
      <c r="Q1559" s="230"/>
    </row>
    <row r="1560" spans="1:17" s="217" customFormat="1" ht="14.1" customHeight="1">
      <c r="A1560" s="224" t="s">
        <v>1546</v>
      </c>
      <c r="B1560" s="218" t="s">
        <v>1547</v>
      </c>
      <c r="C1560" s="240">
        <v>2</v>
      </c>
      <c r="D1560" s="218" t="s">
        <v>1516</v>
      </c>
      <c r="E1560" s="223">
        <v>3</v>
      </c>
      <c r="F1560" s="223">
        <v>628</v>
      </c>
      <c r="G1560" s="223">
        <v>1994</v>
      </c>
      <c r="H1560" s="223">
        <v>1</v>
      </c>
      <c r="I1560" s="223">
        <v>1</v>
      </c>
      <c r="J1560" s="223"/>
      <c r="K1560" s="238">
        <v>9413.7199999999993</v>
      </c>
      <c r="L1560" s="241">
        <v>49</v>
      </c>
      <c r="M1560" s="228">
        <v>4800.9971999999998</v>
      </c>
      <c r="N1560" s="230">
        <v>14.99</v>
      </c>
      <c r="O1560" s="231">
        <v>4800</v>
      </c>
      <c r="P1560" s="230"/>
      <c r="Q1560" s="230"/>
    </row>
    <row r="1561" spans="1:17" s="217" customFormat="1" ht="14.1" customHeight="1">
      <c r="A1561" s="224" t="s">
        <v>1546</v>
      </c>
      <c r="B1561" s="218" t="s">
        <v>1547</v>
      </c>
      <c r="C1561" s="240">
        <v>2</v>
      </c>
      <c r="D1561" s="218" t="s">
        <v>1516</v>
      </c>
      <c r="E1561" s="223">
        <v>3</v>
      </c>
      <c r="F1561" s="223">
        <v>868</v>
      </c>
      <c r="G1561" s="223">
        <v>1994</v>
      </c>
      <c r="H1561" s="223">
        <v>1</v>
      </c>
      <c r="I1561" s="223">
        <v>1</v>
      </c>
      <c r="J1561" s="223"/>
      <c r="K1561" s="238">
        <v>13011.32</v>
      </c>
      <c r="L1561" s="241">
        <v>49</v>
      </c>
      <c r="M1561" s="228">
        <v>6635.7731999999996</v>
      </c>
      <c r="N1561" s="230">
        <v>14.99</v>
      </c>
      <c r="O1561" s="231">
        <v>6635</v>
      </c>
      <c r="P1561" s="230"/>
      <c r="Q1561" s="230"/>
    </row>
    <row r="1562" spans="1:17" s="217" customFormat="1" ht="14.1" customHeight="1">
      <c r="A1562" s="224" t="s">
        <v>1546</v>
      </c>
      <c r="B1562" s="218" t="s">
        <v>1547</v>
      </c>
      <c r="C1562" s="240">
        <v>2</v>
      </c>
      <c r="D1562" s="218" t="s">
        <v>1516</v>
      </c>
      <c r="E1562" s="223">
        <v>4</v>
      </c>
      <c r="F1562" s="230">
        <v>188.04</v>
      </c>
      <c r="G1562" s="223">
        <v>2003</v>
      </c>
      <c r="H1562" s="223">
        <v>1</v>
      </c>
      <c r="I1562" s="225">
        <v>0</v>
      </c>
      <c r="J1562" s="223"/>
      <c r="K1562" s="247">
        <v>3396.0023999999999</v>
      </c>
      <c r="L1562" s="241">
        <v>27</v>
      </c>
      <c r="M1562" s="247">
        <v>2479.0817520000001</v>
      </c>
      <c r="N1562" s="230">
        <v>18.06</v>
      </c>
      <c r="O1562" s="287">
        <v>0</v>
      </c>
      <c r="P1562" s="316" t="s">
        <v>1568</v>
      </c>
      <c r="Q1562" s="230"/>
    </row>
    <row r="1563" spans="1:17" s="217" customFormat="1" ht="14.1" customHeight="1">
      <c r="A1563" s="224" t="s">
        <v>1546</v>
      </c>
      <c r="B1563" s="218" t="s">
        <v>1547</v>
      </c>
      <c r="C1563" s="240">
        <v>2</v>
      </c>
      <c r="D1563" s="218" t="s">
        <v>1516</v>
      </c>
      <c r="E1563" s="223">
        <v>4</v>
      </c>
      <c r="F1563" s="230">
        <v>354.51</v>
      </c>
      <c r="G1563" s="223">
        <v>2003</v>
      </c>
      <c r="H1563" s="223">
        <v>1</v>
      </c>
      <c r="I1563" s="225">
        <v>0</v>
      </c>
      <c r="J1563" s="223"/>
      <c r="K1563" s="247">
        <v>6402.4506000000001</v>
      </c>
      <c r="L1563" s="241">
        <v>27</v>
      </c>
      <c r="M1563" s="247">
        <v>4673.7889379999997</v>
      </c>
      <c r="N1563" s="230">
        <v>18.06</v>
      </c>
      <c r="O1563" s="287">
        <v>0</v>
      </c>
      <c r="P1563" s="316" t="s">
        <v>1568</v>
      </c>
      <c r="Q1563" s="230"/>
    </row>
    <row r="1564" spans="1:17" s="217" customFormat="1" ht="14.1" customHeight="1">
      <c r="A1564" s="224" t="s">
        <v>1546</v>
      </c>
      <c r="B1564" s="218" t="s">
        <v>1547</v>
      </c>
      <c r="C1564" s="240">
        <v>2</v>
      </c>
      <c r="D1564" s="218" t="s">
        <v>1516</v>
      </c>
      <c r="E1564" s="223">
        <v>4</v>
      </c>
      <c r="F1564" s="230">
        <v>1875.28</v>
      </c>
      <c r="G1564" s="223">
        <v>2003</v>
      </c>
      <c r="H1564" s="223">
        <v>1</v>
      </c>
      <c r="I1564" s="225">
        <v>0</v>
      </c>
      <c r="J1564" s="223"/>
      <c r="K1564" s="247">
        <v>33867.556799999998</v>
      </c>
      <c r="L1564" s="241">
        <v>27</v>
      </c>
      <c r="M1564" s="247">
        <v>24723.316459999998</v>
      </c>
      <c r="N1564" s="230">
        <v>18.06</v>
      </c>
      <c r="O1564" s="287">
        <v>0</v>
      </c>
      <c r="P1564" s="316" t="s">
        <v>1568</v>
      </c>
      <c r="Q1564" s="230"/>
    </row>
    <row r="1565" spans="1:17" s="217" customFormat="1" ht="14.1" customHeight="1">
      <c r="A1565" s="224" t="s">
        <v>1546</v>
      </c>
      <c r="B1565" s="218" t="s">
        <v>1547</v>
      </c>
      <c r="C1565" s="240">
        <v>2</v>
      </c>
      <c r="D1565" s="218" t="s">
        <v>1516</v>
      </c>
      <c r="E1565" s="223">
        <v>4</v>
      </c>
      <c r="F1565" s="230">
        <v>812.87</v>
      </c>
      <c r="G1565" s="223">
        <v>2003</v>
      </c>
      <c r="H1565" s="223">
        <v>1</v>
      </c>
      <c r="I1565" s="225">
        <v>0</v>
      </c>
      <c r="J1565" s="223"/>
      <c r="K1565" s="247">
        <v>14680.432199999999</v>
      </c>
      <c r="L1565" s="241">
        <v>27</v>
      </c>
      <c r="M1565" s="247">
        <v>10716.71551</v>
      </c>
      <c r="N1565" s="230">
        <v>18.06</v>
      </c>
      <c r="O1565" s="287">
        <v>0</v>
      </c>
      <c r="P1565" s="316" t="s">
        <v>1568</v>
      </c>
      <c r="Q1565" s="230"/>
    </row>
    <row r="1566" spans="1:17" s="217" customFormat="1" ht="14.1" customHeight="1">
      <c r="A1566" s="224" t="s">
        <v>1546</v>
      </c>
      <c r="B1566" s="218" t="s">
        <v>1547</v>
      </c>
      <c r="C1566" s="240">
        <v>2</v>
      </c>
      <c r="D1566" s="218" t="s">
        <v>1516</v>
      </c>
      <c r="E1566" s="223">
        <v>4</v>
      </c>
      <c r="F1566" s="223">
        <v>5905</v>
      </c>
      <c r="G1566" s="223">
        <v>2006</v>
      </c>
      <c r="H1566" s="223">
        <v>1</v>
      </c>
      <c r="I1566" s="223">
        <v>1</v>
      </c>
      <c r="J1566" s="223"/>
      <c r="K1566" s="237">
        <v>106644.30</v>
      </c>
      <c r="L1566" s="241">
        <v>20</v>
      </c>
      <c r="M1566" s="238">
        <v>85315.44</v>
      </c>
      <c r="N1566" s="230">
        <v>18.06</v>
      </c>
      <c r="O1566" s="231">
        <v>85315</v>
      </c>
      <c r="P1566" s="230"/>
      <c r="Q1566" s="230"/>
    </row>
    <row r="1567" spans="1:17" s="217" customFormat="1" ht="14.1" customHeight="1">
      <c r="A1567" s="224" t="s">
        <v>1546</v>
      </c>
      <c r="B1567" s="218" t="s">
        <v>1547</v>
      </c>
      <c r="C1567" s="240">
        <v>3</v>
      </c>
      <c r="D1567" s="218" t="s">
        <v>1493</v>
      </c>
      <c r="E1567" s="223">
        <v>3</v>
      </c>
      <c r="F1567" s="223">
        <v>263</v>
      </c>
      <c r="G1567" s="223">
        <v>2002</v>
      </c>
      <c r="H1567" s="223">
        <v>1</v>
      </c>
      <c r="I1567" s="223">
        <v>1</v>
      </c>
      <c r="J1567" s="223"/>
      <c r="K1567" s="238">
        <v>8058.32</v>
      </c>
      <c r="L1567" s="241">
        <v>30</v>
      </c>
      <c r="M1567" s="239">
        <v>5640.8239999999996</v>
      </c>
      <c r="N1567" s="230">
        <v>30.64</v>
      </c>
      <c r="O1567" s="231">
        <v>5640</v>
      </c>
      <c r="P1567" s="230"/>
      <c r="Q1567" s="230"/>
    </row>
    <row r="1568" spans="1:17" s="217" customFormat="1" ht="14.1" customHeight="1">
      <c r="A1568" s="224" t="s">
        <v>1546</v>
      </c>
      <c r="B1568" s="218" t="s">
        <v>1547</v>
      </c>
      <c r="C1568" s="240">
        <v>3</v>
      </c>
      <c r="D1568" s="218" t="s">
        <v>1493</v>
      </c>
      <c r="E1568" s="223">
        <v>4</v>
      </c>
      <c r="F1568" s="230">
        <v>947.44</v>
      </c>
      <c r="G1568" s="223">
        <v>1994</v>
      </c>
      <c r="H1568" s="223">
        <v>1</v>
      </c>
      <c r="I1568" s="223">
        <v>1</v>
      </c>
      <c r="J1568" s="223"/>
      <c r="K1568" s="228">
        <v>33785.710400000004</v>
      </c>
      <c r="L1568" s="241">
        <v>49</v>
      </c>
      <c r="M1568" s="228">
        <v>17230.712299999999</v>
      </c>
      <c r="N1568" s="230">
        <v>35.659999999999997</v>
      </c>
      <c r="O1568" s="231">
        <v>17230</v>
      </c>
      <c r="P1568" s="230"/>
      <c r="Q1568" s="230"/>
    </row>
    <row r="1569" spans="1:17" s="217" customFormat="1" ht="14.1" customHeight="1">
      <c r="A1569" s="224" t="s">
        <v>1546</v>
      </c>
      <c r="B1569" s="218" t="s">
        <v>1547</v>
      </c>
      <c r="C1569" s="240">
        <v>3</v>
      </c>
      <c r="D1569" s="218" t="s">
        <v>1493</v>
      </c>
      <c r="E1569" s="223">
        <v>4</v>
      </c>
      <c r="F1569" s="230">
        <v>2313.91</v>
      </c>
      <c r="G1569" s="223">
        <v>1994</v>
      </c>
      <c r="H1569" s="223">
        <v>1</v>
      </c>
      <c r="I1569" s="223">
        <v>1</v>
      </c>
      <c r="J1569" s="223"/>
      <c r="K1569" s="228">
        <v>82514.030599999998</v>
      </c>
      <c r="L1569" s="241">
        <v>49</v>
      </c>
      <c r="M1569" s="229">
        <v>42082.155610000002</v>
      </c>
      <c r="N1569" s="230">
        <v>35.659999999999997</v>
      </c>
      <c r="O1569" s="231">
        <v>42082</v>
      </c>
      <c r="P1569" s="230"/>
      <c r="Q1569" s="230"/>
    </row>
    <row r="1570" spans="1:17" s="217" customFormat="1" ht="14.1" customHeight="1">
      <c r="A1570" s="224" t="s">
        <v>1546</v>
      </c>
      <c r="B1570" s="218" t="s">
        <v>1547</v>
      </c>
      <c r="C1570" s="240">
        <v>3</v>
      </c>
      <c r="D1570" s="218" t="s">
        <v>1493</v>
      </c>
      <c r="E1570" s="223">
        <v>4</v>
      </c>
      <c r="F1570" s="230">
        <v>469.46</v>
      </c>
      <c r="G1570" s="223">
        <v>1994</v>
      </c>
      <c r="H1570" s="223">
        <v>1</v>
      </c>
      <c r="I1570" s="223">
        <v>1</v>
      </c>
      <c r="J1570" s="223"/>
      <c r="K1570" s="228">
        <v>16740.943599999999</v>
      </c>
      <c r="L1570" s="241">
        <v>49</v>
      </c>
      <c r="M1570" s="233">
        <v>8537.8812359999993</v>
      </c>
      <c r="N1570" s="230">
        <v>35.659999999999997</v>
      </c>
      <c r="O1570" s="231">
        <v>8537</v>
      </c>
      <c r="P1570" s="230"/>
      <c r="Q1570" s="230"/>
    </row>
    <row r="1571" spans="1:17" s="217" customFormat="1" ht="14.1" customHeight="1">
      <c r="A1571" s="224" t="s">
        <v>1546</v>
      </c>
      <c r="B1571" s="218" t="s">
        <v>1547</v>
      </c>
      <c r="C1571" s="240">
        <v>3</v>
      </c>
      <c r="D1571" s="218" t="s">
        <v>1493</v>
      </c>
      <c r="E1571" s="223">
        <v>4</v>
      </c>
      <c r="F1571" s="230">
        <v>1011.09</v>
      </c>
      <c r="G1571" s="223">
        <v>1994</v>
      </c>
      <c r="H1571" s="223">
        <v>1</v>
      </c>
      <c r="I1571" s="223">
        <v>1</v>
      </c>
      <c r="J1571" s="223"/>
      <c r="K1571" s="228">
        <v>36055.469400000002</v>
      </c>
      <c r="L1571" s="241">
        <v>49</v>
      </c>
      <c r="M1571" s="229">
        <v>18388.289390000002</v>
      </c>
      <c r="N1571" s="230">
        <v>35.659999999999997</v>
      </c>
      <c r="O1571" s="231">
        <v>18388</v>
      </c>
      <c r="P1571" s="230"/>
      <c r="Q1571" s="230"/>
    </row>
    <row r="1572" spans="1:17" s="217" customFormat="1" ht="14.1" customHeight="1">
      <c r="A1572" s="224" t="s">
        <v>1546</v>
      </c>
      <c r="B1572" s="218" t="s">
        <v>1547</v>
      </c>
      <c r="C1572" s="240">
        <v>3</v>
      </c>
      <c r="D1572" s="218" t="s">
        <v>1493</v>
      </c>
      <c r="E1572" s="223">
        <v>4</v>
      </c>
      <c r="F1572" s="242">
        <v>43.70</v>
      </c>
      <c r="G1572" s="223">
        <v>1994</v>
      </c>
      <c r="H1572" s="223">
        <v>1</v>
      </c>
      <c r="I1572" s="223">
        <v>1</v>
      </c>
      <c r="J1572" s="223"/>
      <c r="K1572" s="239">
        <v>1558.3420000000001</v>
      </c>
      <c r="L1572" s="241">
        <v>49</v>
      </c>
      <c r="M1572" s="229">
        <v>794.75441999999998</v>
      </c>
      <c r="N1572" s="230">
        <v>35.659999999999997</v>
      </c>
      <c r="O1572" s="231">
        <v>794</v>
      </c>
      <c r="P1572" s="230"/>
      <c r="Q1572" s="230"/>
    </row>
    <row r="1573" spans="1:17" s="217" customFormat="1" ht="14.1" customHeight="1">
      <c r="A1573" s="224" t="s">
        <v>1546</v>
      </c>
      <c r="B1573" s="218" t="s">
        <v>1547</v>
      </c>
      <c r="C1573" s="240">
        <v>3</v>
      </c>
      <c r="D1573" s="218" t="s">
        <v>1493</v>
      </c>
      <c r="E1573" s="223">
        <v>4</v>
      </c>
      <c r="F1573" s="230">
        <v>1088.9100000000001</v>
      </c>
      <c r="G1573" s="223">
        <v>1994</v>
      </c>
      <c r="H1573" s="223">
        <v>1</v>
      </c>
      <c r="I1573" s="223">
        <v>1</v>
      </c>
      <c r="J1573" s="223"/>
      <c r="K1573" s="228">
        <v>38830.530599999998</v>
      </c>
      <c r="L1573" s="241">
        <v>49</v>
      </c>
      <c r="M1573" s="229">
        <v>19803.570609999999</v>
      </c>
      <c r="N1573" s="230">
        <v>35.659999999999997</v>
      </c>
      <c r="O1573" s="231">
        <v>19803</v>
      </c>
      <c r="P1573" s="230"/>
      <c r="Q1573" s="230"/>
    </row>
    <row r="1574" spans="1:17" s="217" customFormat="1" ht="14.1" customHeight="1">
      <c r="A1574" s="224" t="s">
        <v>1546</v>
      </c>
      <c r="B1574" s="218" t="s">
        <v>1547</v>
      </c>
      <c r="C1574" s="240">
        <v>3</v>
      </c>
      <c r="D1574" s="218" t="s">
        <v>1493</v>
      </c>
      <c r="E1574" s="223">
        <v>4</v>
      </c>
      <c r="F1574" s="230">
        <v>410.96</v>
      </c>
      <c r="G1574" s="223">
        <v>1994</v>
      </c>
      <c r="H1574" s="223">
        <v>1</v>
      </c>
      <c r="I1574" s="223">
        <v>1</v>
      </c>
      <c r="J1574" s="223"/>
      <c r="K1574" s="228">
        <v>14654.8336</v>
      </c>
      <c r="L1574" s="241">
        <v>49</v>
      </c>
      <c r="M1574" s="233">
        <v>7473.9651359999998</v>
      </c>
      <c r="N1574" s="230">
        <v>35.659999999999997</v>
      </c>
      <c r="O1574" s="231">
        <v>7473</v>
      </c>
      <c r="P1574" s="230"/>
      <c r="Q1574" s="230"/>
    </row>
    <row r="1575" spans="1:17" s="217" customFormat="1" ht="14.1" customHeight="1">
      <c r="A1575" s="224" t="s">
        <v>1546</v>
      </c>
      <c r="B1575" s="218" t="s">
        <v>1547</v>
      </c>
      <c r="C1575" s="240">
        <v>3</v>
      </c>
      <c r="D1575" s="218" t="s">
        <v>1493</v>
      </c>
      <c r="E1575" s="223">
        <v>4</v>
      </c>
      <c r="F1575" s="223">
        <v>1445</v>
      </c>
      <c r="G1575" s="223">
        <v>1994</v>
      </c>
      <c r="H1575" s="223">
        <v>1</v>
      </c>
      <c r="I1575" s="223">
        <v>1</v>
      </c>
      <c r="J1575" s="223"/>
      <c r="K1575" s="237">
        <v>51528.70</v>
      </c>
      <c r="L1575" s="241">
        <v>49</v>
      </c>
      <c r="M1575" s="239">
        <v>26279.636999999999</v>
      </c>
      <c r="N1575" s="230">
        <v>35.659999999999997</v>
      </c>
      <c r="O1575" s="231">
        <v>26279</v>
      </c>
      <c r="P1575" s="230"/>
      <c r="Q1575" s="230"/>
    </row>
    <row r="1576" spans="1:17" s="217" customFormat="1" ht="14.1" customHeight="1">
      <c r="A1576" s="224" t="s">
        <v>1546</v>
      </c>
      <c r="B1576" s="218" t="s">
        <v>1547</v>
      </c>
      <c r="C1576" s="240">
        <v>3</v>
      </c>
      <c r="D1576" s="218" t="s">
        <v>1493</v>
      </c>
      <c r="E1576" s="223">
        <v>4</v>
      </c>
      <c r="F1576" s="223">
        <v>1375</v>
      </c>
      <c r="G1576" s="223">
        <v>1994</v>
      </c>
      <c r="H1576" s="223">
        <v>1</v>
      </c>
      <c r="I1576" s="223">
        <v>1</v>
      </c>
      <c r="J1576" s="223"/>
      <c r="K1576" s="237">
        <v>49032.50</v>
      </c>
      <c r="L1576" s="241">
        <v>49</v>
      </c>
      <c r="M1576" s="239">
        <v>25006.575000000001</v>
      </c>
      <c r="N1576" s="230">
        <v>35.659999999999997</v>
      </c>
      <c r="O1576" s="231">
        <v>25006</v>
      </c>
      <c r="P1576" s="230"/>
      <c r="Q1576" s="230"/>
    </row>
    <row r="1577" spans="1:17" s="217" customFormat="1" ht="14.1" customHeight="1">
      <c r="A1577" s="224" t="s">
        <v>1546</v>
      </c>
      <c r="B1577" s="218" t="s">
        <v>1547</v>
      </c>
      <c r="C1577" s="240">
        <v>3</v>
      </c>
      <c r="D1577" s="218" t="s">
        <v>1493</v>
      </c>
      <c r="E1577" s="223">
        <v>4</v>
      </c>
      <c r="F1577" s="223">
        <v>2327</v>
      </c>
      <c r="G1577" s="223">
        <v>1994</v>
      </c>
      <c r="H1577" s="223">
        <v>1</v>
      </c>
      <c r="I1577" s="223">
        <v>1</v>
      </c>
      <c r="J1577" s="223"/>
      <c r="K1577" s="238">
        <v>82980.820000000007</v>
      </c>
      <c r="L1577" s="241">
        <v>49</v>
      </c>
      <c r="M1577" s="228">
        <v>42320.218200000003</v>
      </c>
      <c r="N1577" s="230">
        <v>35.659999999999997</v>
      </c>
      <c r="O1577" s="231">
        <v>42320</v>
      </c>
      <c r="P1577" s="230"/>
      <c r="Q1577" s="230"/>
    </row>
    <row r="1578" spans="1:17" s="217" customFormat="1" ht="14.1" customHeight="1">
      <c r="A1578" s="224" t="s">
        <v>1546</v>
      </c>
      <c r="B1578" s="218" t="s">
        <v>1547</v>
      </c>
      <c r="C1578" s="240">
        <v>3</v>
      </c>
      <c r="D1578" s="218" t="s">
        <v>1493</v>
      </c>
      <c r="E1578" s="223">
        <v>4</v>
      </c>
      <c r="F1578" s="223">
        <v>1445</v>
      </c>
      <c r="G1578" s="223">
        <v>1994</v>
      </c>
      <c r="H1578" s="223">
        <v>1</v>
      </c>
      <c r="I1578" s="223">
        <v>1</v>
      </c>
      <c r="J1578" s="223"/>
      <c r="K1578" s="237">
        <v>51528.70</v>
      </c>
      <c r="L1578" s="241">
        <v>49</v>
      </c>
      <c r="M1578" s="239">
        <v>26279.636999999999</v>
      </c>
      <c r="N1578" s="230">
        <v>35.659999999999997</v>
      </c>
      <c r="O1578" s="231">
        <v>26279</v>
      </c>
      <c r="P1578" s="230"/>
      <c r="Q1578" s="230"/>
    </row>
    <row r="1579" spans="1:17" s="217" customFormat="1" ht="14.1" customHeight="1">
      <c r="A1579" s="224" t="s">
        <v>1546</v>
      </c>
      <c r="B1579" s="218" t="s">
        <v>1547</v>
      </c>
      <c r="C1579" s="240">
        <v>3</v>
      </c>
      <c r="D1579" s="218" t="s">
        <v>1493</v>
      </c>
      <c r="E1579" s="223">
        <v>4</v>
      </c>
      <c r="F1579" s="223">
        <v>1375</v>
      </c>
      <c r="G1579" s="223">
        <v>1994</v>
      </c>
      <c r="H1579" s="223">
        <v>1</v>
      </c>
      <c r="I1579" s="223">
        <v>1</v>
      </c>
      <c r="J1579" s="223"/>
      <c r="K1579" s="237">
        <v>49032.50</v>
      </c>
      <c r="L1579" s="241">
        <v>49</v>
      </c>
      <c r="M1579" s="239">
        <v>25006.575000000001</v>
      </c>
      <c r="N1579" s="230">
        <v>35.659999999999997</v>
      </c>
      <c r="O1579" s="231">
        <v>25006</v>
      </c>
      <c r="P1579" s="230"/>
      <c r="Q1579" s="230"/>
    </row>
    <row r="1580" spans="1:17" s="217" customFormat="1" ht="14.1" customHeight="1">
      <c r="A1580" s="224" t="s">
        <v>1546</v>
      </c>
      <c r="B1580" s="218" t="s">
        <v>1547</v>
      </c>
      <c r="C1580" s="240">
        <v>3</v>
      </c>
      <c r="D1580" s="218" t="s">
        <v>1493</v>
      </c>
      <c r="E1580" s="223">
        <v>4</v>
      </c>
      <c r="F1580" s="223">
        <v>2327</v>
      </c>
      <c r="G1580" s="223">
        <v>1994</v>
      </c>
      <c r="H1580" s="223">
        <v>1</v>
      </c>
      <c r="I1580" s="223">
        <v>1</v>
      </c>
      <c r="J1580" s="223"/>
      <c r="K1580" s="238">
        <v>82980.820000000007</v>
      </c>
      <c r="L1580" s="241">
        <v>49</v>
      </c>
      <c r="M1580" s="228">
        <v>42320.218200000003</v>
      </c>
      <c r="N1580" s="230">
        <v>35.659999999999997</v>
      </c>
      <c r="O1580" s="231">
        <v>42320</v>
      </c>
      <c r="P1580" s="230"/>
      <c r="Q1580" s="230"/>
    </row>
    <row r="1581" spans="1:17" s="217" customFormat="1" ht="14.1" customHeight="1">
      <c r="A1581" s="224" t="s">
        <v>1546</v>
      </c>
      <c r="B1581" s="218" t="s">
        <v>1547</v>
      </c>
      <c r="C1581" s="240">
        <v>3</v>
      </c>
      <c r="D1581" s="218" t="s">
        <v>1493</v>
      </c>
      <c r="E1581" s="223">
        <v>4</v>
      </c>
      <c r="F1581" s="223">
        <v>341</v>
      </c>
      <c r="G1581" s="223">
        <v>1994</v>
      </c>
      <c r="H1581" s="223">
        <v>1</v>
      </c>
      <c r="I1581" s="223">
        <v>1</v>
      </c>
      <c r="J1581" s="223"/>
      <c r="K1581" s="238">
        <v>12160.06</v>
      </c>
      <c r="L1581" s="241">
        <v>49</v>
      </c>
      <c r="M1581" s="228">
        <v>6201.6306000000004</v>
      </c>
      <c r="N1581" s="230">
        <v>35.659999999999997</v>
      </c>
      <c r="O1581" s="231">
        <v>6201</v>
      </c>
      <c r="P1581" s="230"/>
      <c r="Q1581" s="230"/>
    </row>
    <row r="1582" spans="1:17" s="217" customFormat="1" ht="14.1" customHeight="1">
      <c r="A1582" s="224" t="s">
        <v>1546</v>
      </c>
      <c r="B1582" s="218" t="s">
        <v>1547</v>
      </c>
      <c r="C1582" s="240">
        <v>3</v>
      </c>
      <c r="D1582" s="218" t="s">
        <v>1493</v>
      </c>
      <c r="E1582" s="223">
        <v>4</v>
      </c>
      <c r="F1582" s="223">
        <v>600</v>
      </c>
      <c r="G1582" s="223">
        <v>1994</v>
      </c>
      <c r="H1582" s="223">
        <v>1</v>
      </c>
      <c r="I1582" s="223">
        <v>1</v>
      </c>
      <c r="J1582" s="223"/>
      <c r="K1582" s="240">
        <v>21396</v>
      </c>
      <c r="L1582" s="241">
        <v>49</v>
      </c>
      <c r="M1582" s="238">
        <v>10911.96</v>
      </c>
      <c r="N1582" s="230">
        <v>35.659999999999997</v>
      </c>
      <c r="O1582" s="231">
        <v>10911</v>
      </c>
      <c r="P1582" s="230"/>
      <c r="Q1582" s="230"/>
    </row>
    <row r="1583" spans="1:17" s="217" customFormat="1" ht="14.1" customHeight="1">
      <c r="A1583" s="224" t="s">
        <v>1546</v>
      </c>
      <c r="B1583" s="218" t="s">
        <v>1547</v>
      </c>
      <c r="C1583" s="240">
        <v>3</v>
      </c>
      <c r="D1583" s="218" t="s">
        <v>1493</v>
      </c>
      <c r="E1583" s="223">
        <v>4</v>
      </c>
      <c r="F1583" s="223">
        <v>1839</v>
      </c>
      <c r="G1583" s="223">
        <v>1994</v>
      </c>
      <c r="H1583" s="223">
        <v>1</v>
      </c>
      <c r="I1583" s="223">
        <v>1</v>
      </c>
      <c r="J1583" s="223"/>
      <c r="K1583" s="238">
        <v>65578.740000000005</v>
      </c>
      <c r="L1583" s="241">
        <v>49</v>
      </c>
      <c r="M1583" s="228">
        <v>33445.157399999996</v>
      </c>
      <c r="N1583" s="230">
        <v>35.659999999999997</v>
      </c>
      <c r="O1583" s="231">
        <v>33445</v>
      </c>
      <c r="P1583" s="230"/>
      <c r="Q1583" s="230"/>
    </row>
    <row r="1584" spans="1:17" s="217" customFormat="1" ht="14.1" customHeight="1">
      <c r="A1584" s="224" t="s">
        <v>1546</v>
      </c>
      <c r="B1584" s="218" t="s">
        <v>1547</v>
      </c>
      <c r="C1584" s="240">
        <v>3</v>
      </c>
      <c r="D1584" s="218" t="s">
        <v>1493</v>
      </c>
      <c r="E1584" s="223">
        <v>4</v>
      </c>
      <c r="F1584" s="223">
        <v>1246</v>
      </c>
      <c r="G1584" s="223">
        <v>1994</v>
      </c>
      <c r="H1584" s="223">
        <v>1</v>
      </c>
      <c r="I1584" s="223">
        <v>1</v>
      </c>
      <c r="J1584" s="223"/>
      <c r="K1584" s="238">
        <v>44432.36</v>
      </c>
      <c r="L1584" s="241">
        <v>49</v>
      </c>
      <c r="M1584" s="228">
        <v>22660.5036</v>
      </c>
      <c r="N1584" s="230">
        <v>35.659999999999997</v>
      </c>
      <c r="O1584" s="231">
        <v>22660</v>
      </c>
      <c r="P1584" s="230"/>
      <c r="Q1584" s="230"/>
    </row>
    <row r="1585" spans="1:17" s="217" customFormat="1" ht="14.1" customHeight="1">
      <c r="A1585" s="224" t="s">
        <v>1546</v>
      </c>
      <c r="B1585" s="218" t="s">
        <v>1547</v>
      </c>
      <c r="C1585" s="240">
        <v>3</v>
      </c>
      <c r="D1585" s="218" t="s">
        <v>1493</v>
      </c>
      <c r="E1585" s="223">
        <v>4</v>
      </c>
      <c r="F1585" s="223">
        <v>2094</v>
      </c>
      <c r="G1585" s="223">
        <v>1994</v>
      </c>
      <c r="H1585" s="223">
        <v>1</v>
      </c>
      <c r="I1585" s="223">
        <v>1</v>
      </c>
      <c r="J1585" s="223"/>
      <c r="K1585" s="238">
        <v>74672.039999999994</v>
      </c>
      <c r="L1585" s="241">
        <v>49</v>
      </c>
      <c r="M1585" s="228">
        <v>38082.740400000002</v>
      </c>
      <c r="N1585" s="230">
        <v>35.659999999999997</v>
      </c>
      <c r="O1585" s="231">
        <v>38082</v>
      </c>
      <c r="P1585" s="230"/>
      <c r="Q1585" s="230"/>
    </row>
    <row r="1586" spans="1:17" s="217" customFormat="1" ht="14.1" customHeight="1">
      <c r="A1586" s="224" t="s">
        <v>1546</v>
      </c>
      <c r="B1586" s="218" t="s">
        <v>1547</v>
      </c>
      <c r="C1586" s="240">
        <v>3</v>
      </c>
      <c r="D1586" s="218" t="s">
        <v>1493</v>
      </c>
      <c r="E1586" s="223">
        <v>4</v>
      </c>
      <c r="F1586" s="223">
        <v>1500</v>
      </c>
      <c r="G1586" s="223">
        <v>1994</v>
      </c>
      <c r="H1586" s="223">
        <v>1</v>
      </c>
      <c r="I1586" s="223">
        <v>1</v>
      </c>
      <c r="J1586" s="223"/>
      <c r="K1586" s="240">
        <v>53490</v>
      </c>
      <c r="L1586" s="241">
        <v>49</v>
      </c>
      <c r="M1586" s="237">
        <v>27279.90</v>
      </c>
      <c r="N1586" s="230">
        <v>35.659999999999997</v>
      </c>
      <c r="O1586" s="231">
        <v>27279</v>
      </c>
      <c r="P1586" s="230"/>
      <c r="Q1586" s="230"/>
    </row>
    <row r="1587" spans="1:17" s="217" customFormat="1" ht="14.1" customHeight="1">
      <c r="A1587" s="224" t="s">
        <v>1546</v>
      </c>
      <c r="B1587" s="218" t="s">
        <v>1547</v>
      </c>
      <c r="C1587" s="240">
        <v>3</v>
      </c>
      <c r="D1587" s="218" t="s">
        <v>1493</v>
      </c>
      <c r="E1587" s="223">
        <v>4</v>
      </c>
      <c r="F1587" s="223">
        <v>623</v>
      </c>
      <c r="G1587" s="223">
        <v>1994</v>
      </c>
      <c r="H1587" s="223">
        <v>1</v>
      </c>
      <c r="I1587" s="223">
        <v>1</v>
      </c>
      <c r="J1587" s="223"/>
      <c r="K1587" s="238">
        <v>22216.18</v>
      </c>
      <c r="L1587" s="241">
        <v>49</v>
      </c>
      <c r="M1587" s="228">
        <v>11330.2518</v>
      </c>
      <c r="N1587" s="230">
        <v>35.659999999999997</v>
      </c>
      <c r="O1587" s="231">
        <v>11330</v>
      </c>
      <c r="P1587" s="230"/>
      <c r="Q1587" s="230"/>
    </row>
    <row r="1588" spans="1:17" s="217" customFormat="1" ht="14.1" customHeight="1">
      <c r="A1588" s="224" t="s">
        <v>1546</v>
      </c>
      <c r="B1588" s="218" t="s">
        <v>1547</v>
      </c>
      <c r="C1588" s="240">
        <v>3</v>
      </c>
      <c r="D1588" s="218" t="s">
        <v>1493</v>
      </c>
      <c r="E1588" s="223">
        <v>4</v>
      </c>
      <c r="F1588" s="223">
        <v>657</v>
      </c>
      <c r="G1588" s="223">
        <v>1994</v>
      </c>
      <c r="H1588" s="223">
        <v>1</v>
      </c>
      <c r="I1588" s="223">
        <v>1</v>
      </c>
      <c r="J1588" s="223"/>
      <c r="K1588" s="238">
        <v>23428.62</v>
      </c>
      <c r="L1588" s="241">
        <v>49</v>
      </c>
      <c r="M1588" s="228">
        <v>11948.5962</v>
      </c>
      <c r="N1588" s="230">
        <v>35.659999999999997</v>
      </c>
      <c r="O1588" s="231">
        <v>11948</v>
      </c>
      <c r="P1588" s="230"/>
      <c r="Q1588" s="230"/>
    </row>
    <row r="1589" spans="1:17" s="217" customFormat="1" ht="15" customHeight="1">
      <c r="A1589" s="224" t="s">
        <v>1546</v>
      </c>
      <c r="B1589" s="218" t="s">
        <v>1547</v>
      </c>
      <c r="C1589" s="240">
        <v>3</v>
      </c>
      <c r="D1589" s="218" t="s">
        <v>1493</v>
      </c>
      <c r="E1589" s="223">
        <v>4</v>
      </c>
      <c r="F1589" s="223">
        <v>628</v>
      </c>
      <c r="G1589" s="223">
        <v>1994</v>
      </c>
      <c r="H1589" s="223">
        <v>1</v>
      </c>
      <c r="I1589" s="223">
        <v>1</v>
      </c>
      <c r="J1589" s="223"/>
      <c r="K1589" s="238">
        <v>22394.48</v>
      </c>
      <c r="L1589" s="241">
        <v>49</v>
      </c>
      <c r="M1589" s="228">
        <v>11421.184800000001</v>
      </c>
      <c r="N1589" s="230">
        <v>35.659999999999997</v>
      </c>
      <c r="O1589" s="231">
        <v>11421</v>
      </c>
      <c r="P1589" s="230"/>
      <c r="Q1589" s="230"/>
    </row>
    <row r="1590" spans="1:17" s="217" customFormat="1" ht="15" customHeight="1">
      <c r="A1590" s="224" t="s">
        <v>1546</v>
      </c>
      <c r="B1590" s="218" t="s">
        <v>1547</v>
      </c>
      <c r="C1590" s="223">
        <v>3</v>
      </c>
      <c r="D1590" s="218" t="s">
        <v>1493</v>
      </c>
      <c r="E1590" s="223">
        <v>4</v>
      </c>
      <c r="F1590" s="223">
        <v>868</v>
      </c>
      <c r="G1590" s="223">
        <v>1994</v>
      </c>
      <c r="H1590" s="223">
        <v>1</v>
      </c>
      <c r="I1590" s="223">
        <v>1</v>
      </c>
      <c r="J1590" s="223"/>
      <c r="K1590" s="238">
        <v>30952.88</v>
      </c>
      <c r="L1590" s="241">
        <v>49</v>
      </c>
      <c r="M1590" s="228">
        <v>15785.968800000001</v>
      </c>
      <c r="N1590" s="230">
        <v>35.659999999999997</v>
      </c>
      <c r="O1590" s="231">
        <v>15785</v>
      </c>
      <c r="P1590" s="230"/>
      <c r="Q1590" s="230"/>
    </row>
    <row r="1591" spans="1:17" s="217" customFormat="1" ht="14.1" customHeight="1">
      <c r="A1591" s="224" t="s">
        <v>1546</v>
      </c>
      <c r="B1591" s="218" t="s">
        <v>1547</v>
      </c>
      <c r="C1591" s="223">
        <v>3</v>
      </c>
      <c r="D1591" s="218" t="s">
        <v>1493</v>
      </c>
      <c r="E1591" s="223">
        <v>4</v>
      </c>
      <c r="F1591" s="223">
        <v>62</v>
      </c>
      <c r="G1591" s="223">
        <v>1994</v>
      </c>
      <c r="H1591" s="223">
        <v>1</v>
      </c>
      <c r="I1591" s="246">
        <v>0</v>
      </c>
      <c r="J1591" s="223"/>
      <c r="K1591" s="247">
        <v>2210.92</v>
      </c>
      <c r="L1591" s="241">
        <v>49</v>
      </c>
      <c r="M1591" s="247">
        <v>1127.5691999999999</v>
      </c>
      <c r="N1591" s="230">
        <v>35.659999999999997</v>
      </c>
      <c r="O1591" s="248">
        <v>0</v>
      </c>
      <c r="P1591" s="317" t="s">
        <v>1560</v>
      </c>
      <c r="Q1591" s="230"/>
    </row>
    <row r="1592" spans="1:17" s="217" customFormat="1" ht="14.1" customHeight="1">
      <c r="A1592" s="224" t="s">
        <v>1546</v>
      </c>
      <c r="B1592" s="218" t="s">
        <v>1547</v>
      </c>
      <c r="C1592" s="223">
        <v>3</v>
      </c>
      <c r="D1592" s="218" t="s">
        <v>1493</v>
      </c>
      <c r="E1592" s="223">
        <v>4</v>
      </c>
      <c r="F1592" s="223">
        <v>1639</v>
      </c>
      <c r="G1592" s="223">
        <v>1994</v>
      </c>
      <c r="H1592" s="223">
        <v>1</v>
      </c>
      <c r="I1592" s="246">
        <v>0</v>
      </c>
      <c r="J1592" s="223"/>
      <c r="K1592" s="247">
        <v>58446.74</v>
      </c>
      <c r="L1592" s="241">
        <v>49</v>
      </c>
      <c r="M1592" s="247">
        <v>29807.8374</v>
      </c>
      <c r="N1592" s="230">
        <v>35.659999999999997</v>
      </c>
      <c r="O1592" s="248">
        <v>0</v>
      </c>
      <c r="P1592" s="317" t="s">
        <v>1560</v>
      </c>
      <c r="Q1592" s="230"/>
    </row>
    <row r="1593" spans="1:17" s="217" customFormat="1" ht="14.1" customHeight="1">
      <c r="A1593" s="224" t="s">
        <v>1546</v>
      </c>
      <c r="B1593" s="218" t="s">
        <v>1547</v>
      </c>
      <c r="C1593" s="223">
        <v>3</v>
      </c>
      <c r="D1593" s="218" t="s">
        <v>1493</v>
      </c>
      <c r="E1593" s="223">
        <v>4</v>
      </c>
      <c r="F1593" s="223">
        <v>611</v>
      </c>
      <c r="G1593" s="223">
        <v>1994</v>
      </c>
      <c r="H1593" s="223">
        <v>1</v>
      </c>
      <c r="I1593" s="246">
        <v>0</v>
      </c>
      <c r="J1593" s="223"/>
      <c r="K1593" s="247">
        <v>21788.26</v>
      </c>
      <c r="L1593" s="241">
        <v>49</v>
      </c>
      <c r="M1593" s="247">
        <v>11112.0126</v>
      </c>
      <c r="N1593" s="230">
        <v>35.659999999999997</v>
      </c>
      <c r="O1593" s="248">
        <v>0</v>
      </c>
      <c r="P1593" s="317" t="s">
        <v>1560</v>
      </c>
      <c r="Q1593" s="230"/>
    </row>
    <row r="1594" spans="1:17" s="217" customFormat="1" ht="14.1" customHeight="1">
      <c r="A1594" s="224" t="s">
        <v>1546</v>
      </c>
      <c r="B1594" s="218" t="s">
        <v>1547</v>
      </c>
      <c r="C1594" s="223">
        <v>3</v>
      </c>
      <c r="D1594" s="218" t="s">
        <v>1493</v>
      </c>
      <c r="E1594" s="223">
        <v>4</v>
      </c>
      <c r="F1594" s="223">
        <v>3344</v>
      </c>
      <c r="G1594" s="223">
        <v>1994</v>
      </c>
      <c r="H1594" s="223">
        <v>1</v>
      </c>
      <c r="I1594" s="246">
        <v>0</v>
      </c>
      <c r="J1594" s="223"/>
      <c r="K1594" s="247">
        <v>119247.03999999999</v>
      </c>
      <c r="L1594" s="241">
        <v>49</v>
      </c>
      <c r="M1594" s="247">
        <v>60815.990400000002</v>
      </c>
      <c r="N1594" s="230">
        <v>35.659999999999997</v>
      </c>
      <c r="O1594" s="248">
        <v>0</v>
      </c>
      <c r="P1594" s="317" t="s">
        <v>1560</v>
      </c>
      <c r="Q1594" s="230"/>
    </row>
    <row r="1595" spans="1:17" s="217" customFormat="1" ht="14.1" customHeight="1">
      <c r="A1595" s="224" t="s">
        <v>1546</v>
      </c>
      <c r="B1595" s="218" t="s">
        <v>1547</v>
      </c>
      <c r="C1595" s="223">
        <v>3</v>
      </c>
      <c r="D1595" s="218" t="s">
        <v>1493</v>
      </c>
      <c r="E1595" s="223">
        <v>4</v>
      </c>
      <c r="F1595" s="223">
        <v>4403</v>
      </c>
      <c r="G1595" s="223">
        <v>1994</v>
      </c>
      <c r="H1595" s="223">
        <v>1</v>
      </c>
      <c r="I1595" s="246">
        <v>0</v>
      </c>
      <c r="J1595" s="223"/>
      <c r="K1595" s="247">
        <v>157010.98000000001</v>
      </c>
      <c r="L1595" s="241">
        <v>49</v>
      </c>
      <c r="M1595" s="247">
        <v>80075.599799999996</v>
      </c>
      <c r="N1595" s="230">
        <v>35.659999999999997</v>
      </c>
      <c r="O1595" s="248">
        <v>0</v>
      </c>
      <c r="P1595" s="317" t="s">
        <v>1560</v>
      </c>
      <c r="Q1595" s="230"/>
    </row>
    <row r="1596" spans="1:17" s="217" customFormat="1" ht="14.1" customHeight="1">
      <c r="A1596" s="224" t="s">
        <v>1546</v>
      </c>
      <c r="B1596" s="218" t="s">
        <v>1547</v>
      </c>
      <c r="C1596" s="223">
        <v>3</v>
      </c>
      <c r="D1596" s="218" t="s">
        <v>1493</v>
      </c>
      <c r="E1596" s="223">
        <v>4</v>
      </c>
      <c r="F1596" s="223">
        <v>1184</v>
      </c>
      <c r="G1596" s="223">
        <v>1994</v>
      </c>
      <c r="H1596" s="223">
        <v>1</v>
      </c>
      <c r="I1596" s="246">
        <v>0</v>
      </c>
      <c r="J1596" s="223"/>
      <c r="K1596" s="247">
        <v>42221.44</v>
      </c>
      <c r="L1596" s="241">
        <v>49</v>
      </c>
      <c r="M1596" s="247">
        <v>21532.934399999998</v>
      </c>
      <c r="N1596" s="230">
        <v>35.659999999999997</v>
      </c>
      <c r="O1596" s="248">
        <v>0</v>
      </c>
      <c r="P1596" s="317" t="s">
        <v>1560</v>
      </c>
      <c r="Q1596" s="230"/>
    </row>
    <row r="1597" spans="1:17" s="217" customFormat="1" ht="14.1" customHeight="1">
      <c r="A1597" s="224" t="s">
        <v>1546</v>
      </c>
      <c r="B1597" s="218" t="s">
        <v>1547</v>
      </c>
      <c r="C1597" s="223">
        <v>3</v>
      </c>
      <c r="D1597" s="218" t="s">
        <v>1493</v>
      </c>
      <c r="E1597" s="223">
        <v>4</v>
      </c>
      <c r="F1597" s="223">
        <v>3821</v>
      </c>
      <c r="G1597" s="223">
        <v>1994</v>
      </c>
      <c r="H1597" s="223">
        <v>1</v>
      </c>
      <c r="I1597" s="246">
        <v>0</v>
      </c>
      <c r="J1597" s="223"/>
      <c r="K1597" s="247">
        <v>136256.85999999999</v>
      </c>
      <c r="L1597" s="241">
        <v>49</v>
      </c>
      <c r="M1597" s="247">
        <v>69490.998600000006</v>
      </c>
      <c r="N1597" s="230">
        <v>35.659999999999997</v>
      </c>
      <c r="O1597" s="248">
        <v>0</v>
      </c>
      <c r="P1597" s="317" t="s">
        <v>1560</v>
      </c>
      <c r="Q1597" s="230"/>
    </row>
    <row r="1598" spans="1:17" s="217" customFormat="1" ht="14.1" customHeight="1">
      <c r="A1598" s="224" t="s">
        <v>1546</v>
      </c>
      <c r="B1598" s="218" t="s">
        <v>1547</v>
      </c>
      <c r="C1598" s="223">
        <v>3</v>
      </c>
      <c r="D1598" s="218" t="s">
        <v>1493</v>
      </c>
      <c r="E1598" s="223">
        <v>4</v>
      </c>
      <c r="F1598" s="223">
        <v>1939</v>
      </c>
      <c r="G1598" s="223">
        <v>1994</v>
      </c>
      <c r="H1598" s="223">
        <v>1</v>
      </c>
      <c r="I1598" s="246">
        <v>0</v>
      </c>
      <c r="J1598" s="223"/>
      <c r="K1598" s="247">
        <v>69144.740000000005</v>
      </c>
      <c r="L1598" s="241">
        <v>49</v>
      </c>
      <c r="M1598" s="247">
        <v>35263.8174</v>
      </c>
      <c r="N1598" s="230">
        <v>35.659999999999997</v>
      </c>
      <c r="O1598" s="248">
        <v>0</v>
      </c>
      <c r="P1598" s="317" t="s">
        <v>1560</v>
      </c>
      <c r="Q1598" s="230"/>
    </row>
    <row r="1599" spans="1:17" s="217" customFormat="1" ht="14.1" customHeight="1">
      <c r="A1599" s="224" t="s">
        <v>1546</v>
      </c>
      <c r="B1599" s="218" t="s">
        <v>1547</v>
      </c>
      <c r="C1599" s="223">
        <v>3</v>
      </c>
      <c r="D1599" s="218" t="s">
        <v>1493</v>
      </c>
      <c r="E1599" s="223">
        <v>4</v>
      </c>
      <c r="F1599" s="223">
        <v>2594</v>
      </c>
      <c r="G1599" s="223">
        <v>1994</v>
      </c>
      <c r="H1599" s="223">
        <v>1</v>
      </c>
      <c r="I1599" s="223">
        <v>1</v>
      </c>
      <c r="J1599" s="223"/>
      <c r="K1599" s="238">
        <v>92502.04</v>
      </c>
      <c r="L1599" s="241">
        <v>49</v>
      </c>
      <c r="M1599" s="228">
        <v>47176.040399999998</v>
      </c>
      <c r="N1599" s="230">
        <v>35.659999999999997</v>
      </c>
      <c r="O1599" s="231">
        <v>47176</v>
      </c>
      <c r="P1599" s="230"/>
      <c r="Q1599" s="230"/>
    </row>
    <row r="1600" spans="1:17" s="217" customFormat="1" ht="14.1" customHeight="1">
      <c r="A1600" s="224" t="s">
        <v>1546</v>
      </c>
      <c r="B1600" s="218" t="s">
        <v>1547</v>
      </c>
      <c r="C1600" s="223">
        <v>3</v>
      </c>
      <c r="D1600" s="218" t="s">
        <v>1493</v>
      </c>
      <c r="E1600" s="223">
        <v>4</v>
      </c>
      <c r="F1600" s="223">
        <v>1216</v>
      </c>
      <c r="G1600" s="223">
        <v>1994</v>
      </c>
      <c r="H1600" s="223">
        <v>1</v>
      </c>
      <c r="I1600" s="223">
        <v>1</v>
      </c>
      <c r="J1600" s="223"/>
      <c r="K1600" s="238">
        <v>43362.56</v>
      </c>
      <c r="L1600" s="241">
        <v>49</v>
      </c>
      <c r="M1600" s="228">
        <v>22114.905599999998</v>
      </c>
      <c r="N1600" s="230">
        <v>35.659999999999997</v>
      </c>
      <c r="O1600" s="231">
        <v>22114</v>
      </c>
      <c r="P1600" s="230"/>
      <c r="Q1600" s="230"/>
    </row>
    <row r="1601" spans="1:17" s="217" customFormat="1" ht="14.1" customHeight="1">
      <c r="A1601" s="224" t="s">
        <v>1546</v>
      </c>
      <c r="B1601" s="218" t="s">
        <v>1547</v>
      </c>
      <c r="C1601" s="223">
        <v>3</v>
      </c>
      <c r="D1601" s="218" t="s">
        <v>1493</v>
      </c>
      <c r="E1601" s="223">
        <v>4</v>
      </c>
      <c r="F1601" s="223">
        <v>3580</v>
      </c>
      <c r="G1601" s="223">
        <v>1994</v>
      </c>
      <c r="H1601" s="223">
        <v>1</v>
      </c>
      <c r="I1601" s="223">
        <v>1</v>
      </c>
      <c r="J1601" s="223"/>
      <c r="K1601" s="237">
        <v>127662.80</v>
      </c>
      <c r="L1601" s="241">
        <v>49</v>
      </c>
      <c r="M1601" s="239">
        <v>65108.027999999998</v>
      </c>
      <c r="N1601" s="230">
        <v>35.659999999999997</v>
      </c>
      <c r="O1601" s="231">
        <v>65108</v>
      </c>
      <c r="P1601" s="230"/>
      <c r="Q1601" s="230"/>
    </row>
    <row r="1602" spans="1:17" s="217" customFormat="1" ht="14.1" customHeight="1">
      <c r="A1602" s="224" t="s">
        <v>1546</v>
      </c>
      <c r="B1602" s="218" t="s">
        <v>1547</v>
      </c>
      <c r="C1602" s="223">
        <v>3</v>
      </c>
      <c r="D1602" s="218" t="s">
        <v>1493</v>
      </c>
      <c r="E1602" s="223">
        <v>4</v>
      </c>
      <c r="F1602" s="223">
        <v>1488</v>
      </c>
      <c r="G1602" s="223">
        <v>1994</v>
      </c>
      <c r="H1602" s="223">
        <v>1</v>
      </c>
      <c r="I1602" s="223">
        <v>1</v>
      </c>
      <c r="J1602" s="223"/>
      <c r="K1602" s="238">
        <v>53062.08</v>
      </c>
      <c r="L1602" s="241">
        <v>49</v>
      </c>
      <c r="M1602" s="228">
        <v>27061.660800000001</v>
      </c>
      <c r="N1602" s="230">
        <v>35.659999999999997</v>
      </c>
      <c r="O1602" s="231">
        <v>27061</v>
      </c>
      <c r="P1602" s="230"/>
      <c r="Q1602" s="230"/>
    </row>
    <row r="1603" spans="1:17" s="217" customFormat="1" ht="14.1" customHeight="1">
      <c r="A1603" s="224" t="s">
        <v>1546</v>
      </c>
      <c r="B1603" s="218" t="s">
        <v>1547</v>
      </c>
      <c r="C1603" s="223">
        <v>3</v>
      </c>
      <c r="D1603" s="218" t="s">
        <v>1493</v>
      </c>
      <c r="E1603" s="223">
        <v>4</v>
      </c>
      <c r="F1603" s="223">
        <v>623</v>
      </c>
      <c r="G1603" s="223">
        <v>1994</v>
      </c>
      <c r="H1603" s="223">
        <v>1</v>
      </c>
      <c r="I1603" s="223">
        <v>1</v>
      </c>
      <c r="J1603" s="223"/>
      <c r="K1603" s="238">
        <v>22216.18</v>
      </c>
      <c r="L1603" s="241">
        <v>49</v>
      </c>
      <c r="M1603" s="228">
        <v>11330.2518</v>
      </c>
      <c r="N1603" s="230">
        <v>35.659999999999997</v>
      </c>
      <c r="O1603" s="231">
        <v>11330</v>
      </c>
      <c r="P1603" s="230"/>
      <c r="Q1603" s="230"/>
    </row>
    <row r="1604" spans="1:17" s="217" customFormat="1" ht="14.1" customHeight="1">
      <c r="A1604" s="224" t="s">
        <v>1546</v>
      </c>
      <c r="B1604" s="218" t="s">
        <v>1547</v>
      </c>
      <c r="C1604" s="223">
        <v>3</v>
      </c>
      <c r="D1604" s="218" t="s">
        <v>1493</v>
      </c>
      <c r="E1604" s="223">
        <v>4</v>
      </c>
      <c r="F1604" s="223">
        <v>657</v>
      </c>
      <c r="G1604" s="223">
        <v>1994</v>
      </c>
      <c r="H1604" s="223">
        <v>1</v>
      </c>
      <c r="I1604" s="223">
        <v>1</v>
      </c>
      <c r="J1604" s="223"/>
      <c r="K1604" s="238">
        <v>23428.62</v>
      </c>
      <c r="L1604" s="241">
        <v>49</v>
      </c>
      <c r="M1604" s="228">
        <v>11948.5962</v>
      </c>
      <c r="N1604" s="230">
        <v>35.659999999999997</v>
      </c>
      <c r="O1604" s="231">
        <v>11948</v>
      </c>
      <c r="P1604" s="230"/>
      <c r="Q1604" s="230"/>
    </row>
    <row r="1605" spans="1:17" s="217" customFormat="1" ht="14.1" customHeight="1">
      <c r="A1605" s="224" t="s">
        <v>1546</v>
      </c>
      <c r="B1605" s="218" t="s">
        <v>1547</v>
      </c>
      <c r="C1605" s="223">
        <v>3</v>
      </c>
      <c r="D1605" s="218" t="s">
        <v>1493</v>
      </c>
      <c r="E1605" s="223">
        <v>4</v>
      </c>
      <c r="F1605" s="223">
        <v>628</v>
      </c>
      <c r="G1605" s="223">
        <v>1994</v>
      </c>
      <c r="H1605" s="223">
        <v>1</v>
      </c>
      <c r="I1605" s="223">
        <v>1</v>
      </c>
      <c r="J1605" s="223"/>
      <c r="K1605" s="238">
        <v>22394.48</v>
      </c>
      <c r="L1605" s="241">
        <v>49</v>
      </c>
      <c r="M1605" s="228">
        <v>11421.184800000001</v>
      </c>
      <c r="N1605" s="230">
        <v>35.659999999999997</v>
      </c>
      <c r="O1605" s="231">
        <v>11421</v>
      </c>
      <c r="P1605" s="230"/>
      <c r="Q1605" s="230"/>
    </row>
    <row r="1606" spans="1:17" s="217" customFormat="1" ht="14.1" customHeight="1">
      <c r="A1606" s="224" t="s">
        <v>1546</v>
      </c>
      <c r="B1606" s="218" t="s">
        <v>1547</v>
      </c>
      <c r="C1606" s="223">
        <v>3</v>
      </c>
      <c r="D1606" s="218" t="s">
        <v>1493</v>
      </c>
      <c r="E1606" s="223">
        <v>4</v>
      </c>
      <c r="F1606" s="223">
        <v>868</v>
      </c>
      <c r="G1606" s="223">
        <v>1994</v>
      </c>
      <c r="H1606" s="223">
        <v>1</v>
      </c>
      <c r="I1606" s="223">
        <v>1</v>
      </c>
      <c r="J1606" s="223"/>
      <c r="K1606" s="238">
        <v>30952.88</v>
      </c>
      <c r="L1606" s="241">
        <v>49</v>
      </c>
      <c r="M1606" s="228">
        <v>15785.968800000001</v>
      </c>
      <c r="N1606" s="230">
        <v>35.659999999999997</v>
      </c>
      <c r="O1606" s="231">
        <v>15785</v>
      </c>
      <c r="P1606" s="230"/>
      <c r="Q1606" s="230"/>
    </row>
    <row r="1607" spans="1:17" s="217" customFormat="1" ht="14.1" customHeight="1">
      <c r="A1607" s="224" t="s">
        <v>1546</v>
      </c>
      <c r="B1607" s="218" t="s">
        <v>1547</v>
      </c>
      <c r="C1607" s="223">
        <v>3</v>
      </c>
      <c r="D1607" s="218" t="s">
        <v>1493</v>
      </c>
      <c r="E1607" s="223">
        <v>4</v>
      </c>
      <c r="F1607" s="223">
        <v>460</v>
      </c>
      <c r="G1607" s="223">
        <v>1994</v>
      </c>
      <c r="H1607" s="223">
        <v>1</v>
      </c>
      <c r="I1607" s="223">
        <v>1</v>
      </c>
      <c r="J1607" s="223"/>
      <c r="K1607" s="237">
        <v>16403.60</v>
      </c>
      <c r="L1607" s="241">
        <v>49</v>
      </c>
      <c r="M1607" s="239">
        <v>8365.8359999999993</v>
      </c>
      <c r="N1607" s="230">
        <v>35.659999999999997</v>
      </c>
      <c r="O1607" s="231">
        <v>8365</v>
      </c>
      <c r="P1607" s="230"/>
      <c r="Q1607" s="230"/>
    </row>
    <row r="1608" spans="1:17" s="217" customFormat="1" ht="14.1" customHeight="1">
      <c r="A1608" s="224" t="s">
        <v>1546</v>
      </c>
      <c r="B1608" s="218" t="s">
        <v>1547</v>
      </c>
      <c r="C1608" s="223">
        <v>3</v>
      </c>
      <c r="D1608" s="218" t="s">
        <v>1493</v>
      </c>
      <c r="E1608" s="223">
        <v>4</v>
      </c>
      <c r="F1608" s="223">
        <v>458</v>
      </c>
      <c r="G1608" s="223">
        <v>1994</v>
      </c>
      <c r="H1608" s="223">
        <v>1</v>
      </c>
      <c r="I1608" s="223">
        <v>1</v>
      </c>
      <c r="J1608" s="223"/>
      <c r="K1608" s="238">
        <v>16332.28</v>
      </c>
      <c r="L1608" s="241">
        <v>49</v>
      </c>
      <c r="M1608" s="228">
        <v>8329.4627999999993</v>
      </c>
      <c r="N1608" s="230">
        <v>35.659999999999997</v>
      </c>
      <c r="O1608" s="231">
        <v>8329</v>
      </c>
      <c r="P1608" s="230"/>
      <c r="Q1608" s="230"/>
    </row>
    <row r="1609" spans="1:17" s="217" customFormat="1" ht="14.1" customHeight="1">
      <c r="A1609" s="224" t="s">
        <v>1546</v>
      </c>
      <c r="B1609" s="218" t="s">
        <v>1547</v>
      </c>
      <c r="C1609" s="223">
        <v>3</v>
      </c>
      <c r="D1609" s="218" t="s">
        <v>1493</v>
      </c>
      <c r="E1609" s="223">
        <v>4</v>
      </c>
      <c r="F1609" s="223">
        <v>695</v>
      </c>
      <c r="G1609" s="223">
        <v>1994</v>
      </c>
      <c r="H1609" s="223">
        <v>1</v>
      </c>
      <c r="I1609" s="223">
        <v>1</v>
      </c>
      <c r="J1609" s="223"/>
      <c r="K1609" s="237">
        <v>24783.70</v>
      </c>
      <c r="L1609" s="241">
        <v>49</v>
      </c>
      <c r="M1609" s="239">
        <v>12639.687</v>
      </c>
      <c r="N1609" s="230">
        <v>35.659999999999997</v>
      </c>
      <c r="O1609" s="231">
        <v>12639</v>
      </c>
      <c r="P1609" s="230"/>
      <c r="Q1609" s="230"/>
    </row>
    <row r="1610" spans="1:17" s="217" customFormat="1" ht="14.1" customHeight="1">
      <c r="A1610" s="224" t="s">
        <v>1546</v>
      </c>
      <c r="B1610" s="218" t="s">
        <v>1547</v>
      </c>
      <c r="C1610" s="223">
        <v>3</v>
      </c>
      <c r="D1610" s="218" t="s">
        <v>1493</v>
      </c>
      <c r="E1610" s="223">
        <v>4</v>
      </c>
      <c r="F1610" s="223">
        <v>762</v>
      </c>
      <c r="G1610" s="223">
        <v>1994</v>
      </c>
      <c r="H1610" s="223">
        <v>1</v>
      </c>
      <c r="I1610" s="223">
        <v>1</v>
      </c>
      <c r="J1610" s="223"/>
      <c r="K1610" s="238">
        <v>27172.92</v>
      </c>
      <c r="L1610" s="241">
        <v>49</v>
      </c>
      <c r="M1610" s="228">
        <v>13858.189200000001</v>
      </c>
      <c r="N1610" s="230">
        <v>35.659999999999997</v>
      </c>
      <c r="O1610" s="231">
        <v>13858</v>
      </c>
      <c r="P1610" s="230"/>
      <c r="Q1610" s="230"/>
    </row>
    <row r="1611" spans="1:17" s="217" customFormat="1" ht="14.1" customHeight="1">
      <c r="A1611" s="224" t="s">
        <v>1546</v>
      </c>
      <c r="B1611" s="218" t="s">
        <v>1547</v>
      </c>
      <c r="C1611" s="223">
        <v>3</v>
      </c>
      <c r="D1611" s="218" t="s">
        <v>1493</v>
      </c>
      <c r="E1611" s="223">
        <v>4</v>
      </c>
      <c r="F1611" s="223">
        <v>1639</v>
      </c>
      <c r="G1611" s="223">
        <v>1994</v>
      </c>
      <c r="H1611" s="223">
        <v>1</v>
      </c>
      <c r="I1611" s="223">
        <v>1</v>
      </c>
      <c r="J1611" s="223"/>
      <c r="K1611" s="238">
        <v>58446.74</v>
      </c>
      <c r="L1611" s="241">
        <v>49</v>
      </c>
      <c r="M1611" s="228">
        <v>29807.8374</v>
      </c>
      <c r="N1611" s="230">
        <v>35.659999999999997</v>
      </c>
      <c r="O1611" s="231">
        <v>29807</v>
      </c>
      <c r="P1611" s="230"/>
      <c r="Q1611" s="230"/>
    </row>
    <row r="1612" spans="1:17" s="217" customFormat="1" ht="14.1" customHeight="1">
      <c r="A1612" s="224" t="s">
        <v>1546</v>
      </c>
      <c r="B1612" s="218" t="s">
        <v>1547</v>
      </c>
      <c r="C1612" s="223">
        <v>3</v>
      </c>
      <c r="D1612" s="218" t="s">
        <v>1493</v>
      </c>
      <c r="E1612" s="223">
        <v>4</v>
      </c>
      <c r="F1612" s="223">
        <v>62</v>
      </c>
      <c r="G1612" s="223">
        <v>1994</v>
      </c>
      <c r="H1612" s="223">
        <v>1</v>
      </c>
      <c r="I1612" s="223">
        <v>1</v>
      </c>
      <c r="J1612" s="223"/>
      <c r="K1612" s="238">
        <v>2210.92</v>
      </c>
      <c r="L1612" s="241">
        <v>49</v>
      </c>
      <c r="M1612" s="228">
        <v>1127.5691999999999</v>
      </c>
      <c r="N1612" s="230">
        <v>35.659999999999997</v>
      </c>
      <c r="O1612" s="231">
        <v>1127</v>
      </c>
      <c r="P1612" s="230"/>
      <c r="Q1612" s="230"/>
    </row>
    <row r="1613" spans="1:17" s="217" customFormat="1" ht="14.1" customHeight="1">
      <c r="A1613" s="224" t="s">
        <v>1546</v>
      </c>
      <c r="B1613" s="218" t="s">
        <v>1547</v>
      </c>
      <c r="C1613" s="223">
        <v>3</v>
      </c>
      <c r="D1613" s="218" t="s">
        <v>1493</v>
      </c>
      <c r="E1613" s="223">
        <v>4</v>
      </c>
      <c r="F1613" s="223">
        <v>231</v>
      </c>
      <c r="G1613" s="223">
        <v>1994</v>
      </c>
      <c r="H1613" s="223">
        <v>1</v>
      </c>
      <c r="I1613" s="223">
        <v>1</v>
      </c>
      <c r="J1613" s="223"/>
      <c r="K1613" s="238">
        <v>8237.4599999999991</v>
      </c>
      <c r="L1613" s="241">
        <v>49</v>
      </c>
      <c r="M1613" s="228">
        <v>4201.1045999999997</v>
      </c>
      <c r="N1613" s="230">
        <v>35.659999999999997</v>
      </c>
      <c r="O1613" s="231">
        <v>4201</v>
      </c>
      <c r="P1613" s="230"/>
      <c r="Q1613" s="230"/>
    </row>
    <row r="1614" spans="1:17" s="217" customFormat="1" ht="14.1" customHeight="1">
      <c r="A1614" s="224" t="s">
        <v>1546</v>
      </c>
      <c r="B1614" s="218" t="s">
        <v>1547</v>
      </c>
      <c r="C1614" s="223">
        <v>3</v>
      </c>
      <c r="D1614" s="218" t="s">
        <v>1493</v>
      </c>
      <c r="E1614" s="223">
        <v>4</v>
      </c>
      <c r="F1614" s="223">
        <v>375</v>
      </c>
      <c r="G1614" s="223">
        <v>1994</v>
      </c>
      <c r="H1614" s="223">
        <v>1</v>
      </c>
      <c r="I1614" s="223">
        <v>1</v>
      </c>
      <c r="J1614" s="223"/>
      <c r="K1614" s="237">
        <v>13372.50</v>
      </c>
      <c r="L1614" s="241">
        <v>49</v>
      </c>
      <c r="M1614" s="239">
        <v>6819.9750000000004</v>
      </c>
      <c r="N1614" s="230">
        <v>35.659999999999997</v>
      </c>
      <c r="O1614" s="231">
        <v>6819</v>
      </c>
      <c r="P1614" s="230"/>
      <c r="Q1614" s="230"/>
    </row>
    <row r="1615" spans="1:17" s="217" customFormat="1" ht="14.1" customHeight="1">
      <c r="A1615" s="224" t="s">
        <v>1546</v>
      </c>
      <c r="B1615" s="218" t="s">
        <v>1547</v>
      </c>
      <c r="C1615" s="223">
        <v>3</v>
      </c>
      <c r="D1615" s="218" t="s">
        <v>1493</v>
      </c>
      <c r="E1615" s="223">
        <v>4</v>
      </c>
      <c r="F1615" s="223">
        <v>677</v>
      </c>
      <c r="G1615" s="223">
        <v>1994</v>
      </c>
      <c r="H1615" s="223">
        <v>1</v>
      </c>
      <c r="I1615" s="223">
        <v>1</v>
      </c>
      <c r="J1615" s="223"/>
      <c r="K1615" s="238">
        <v>24141.82</v>
      </c>
      <c r="L1615" s="241">
        <v>49</v>
      </c>
      <c r="M1615" s="228">
        <v>12312.3282</v>
      </c>
      <c r="N1615" s="230">
        <v>35.659999999999997</v>
      </c>
      <c r="O1615" s="231">
        <v>12312</v>
      </c>
      <c r="P1615" s="230"/>
      <c r="Q1615" s="230"/>
    </row>
    <row r="1616" spans="1:17" s="217" customFormat="1" ht="14.1" customHeight="1">
      <c r="A1616" s="224" t="s">
        <v>1546</v>
      </c>
      <c r="B1616" s="218" t="s">
        <v>1547</v>
      </c>
      <c r="C1616" s="223">
        <v>3</v>
      </c>
      <c r="D1616" s="218" t="s">
        <v>1493</v>
      </c>
      <c r="E1616" s="223">
        <v>4</v>
      </c>
      <c r="F1616" s="223">
        <v>1236</v>
      </c>
      <c r="G1616" s="223">
        <v>1994</v>
      </c>
      <c r="H1616" s="223">
        <v>1</v>
      </c>
      <c r="I1616" s="223">
        <v>1</v>
      </c>
      <c r="J1616" s="223"/>
      <c r="K1616" s="238">
        <v>44075.76</v>
      </c>
      <c r="L1616" s="241">
        <v>49</v>
      </c>
      <c r="M1616" s="228">
        <v>22478.637599999998</v>
      </c>
      <c r="N1616" s="230">
        <v>35.659999999999997</v>
      </c>
      <c r="O1616" s="231">
        <v>22478</v>
      </c>
      <c r="P1616" s="230"/>
      <c r="Q1616" s="230"/>
    </row>
    <row r="1617" spans="1:17" s="217" customFormat="1" ht="14.1" customHeight="1">
      <c r="A1617" s="224" t="s">
        <v>1546</v>
      </c>
      <c r="B1617" s="218" t="s">
        <v>1547</v>
      </c>
      <c r="C1617" s="223">
        <v>3</v>
      </c>
      <c r="D1617" s="218" t="s">
        <v>1493</v>
      </c>
      <c r="E1617" s="223">
        <v>4</v>
      </c>
      <c r="F1617" s="223">
        <v>762</v>
      </c>
      <c r="G1617" s="223">
        <v>1994</v>
      </c>
      <c r="H1617" s="223">
        <v>1</v>
      </c>
      <c r="I1617" s="223">
        <v>1</v>
      </c>
      <c r="J1617" s="223"/>
      <c r="K1617" s="238">
        <v>27172.92</v>
      </c>
      <c r="L1617" s="241">
        <v>49</v>
      </c>
      <c r="M1617" s="228">
        <v>13858.189200000001</v>
      </c>
      <c r="N1617" s="230">
        <v>35.659999999999997</v>
      </c>
      <c r="O1617" s="231">
        <v>13858</v>
      </c>
      <c r="P1617" s="230"/>
      <c r="Q1617" s="230"/>
    </row>
    <row r="1618" spans="1:17" s="217" customFormat="1" ht="14.1" customHeight="1">
      <c r="A1618" s="224" t="s">
        <v>1546</v>
      </c>
      <c r="B1618" s="218" t="s">
        <v>1547</v>
      </c>
      <c r="C1618" s="223">
        <v>3</v>
      </c>
      <c r="D1618" s="218" t="s">
        <v>1493</v>
      </c>
      <c r="E1618" s="223">
        <v>4</v>
      </c>
      <c r="F1618" s="223">
        <v>1639</v>
      </c>
      <c r="G1618" s="223">
        <v>1994</v>
      </c>
      <c r="H1618" s="223">
        <v>1</v>
      </c>
      <c r="I1618" s="223">
        <v>1</v>
      </c>
      <c r="J1618" s="223"/>
      <c r="K1618" s="238">
        <v>58446.74</v>
      </c>
      <c r="L1618" s="241">
        <v>49</v>
      </c>
      <c r="M1618" s="228">
        <v>29807.8374</v>
      </c>
      <c r="N1618" s="230">
        <v>35.659999999999997</v>
      </c>
      <c r="O1618" s="231">
        <v>29807</v>
      </c>
      <c r="P1618" s="230"/>
      <c r="Q1618" s="230"/>
    </row>
    <row r="1619" spans="1:17" s="217" customFormat="1" ht="14.1" customHeight="1">
      <c r="A1619" s="224" t="s">
        <v>1546</v>
      </c>
      <c r="B1619" s="218" t="s">
        <v>1547</v>
      </c>
      <c r="C1619" s="223">
        <v>3</v>
      </c>
      <c r="D1619" s="218" t="s">
        <v>1493</v>
      </c>
      <c r="E1619" s="223">
        <v>4</v>
      </c>
      <c r="F1619" s="223">
        <v>62</v>
      </c>
      <c r="G1619" s="223">
        <v>1994</v>
      </c>
      <c r="H1619" s="223">
        <v>1</v>
      </c>
      <c r="I1619" s="223">
        <v>1</v>
      </c>
      <c r="J1619" s="223"/>
      <c r="K1619" s="238">
        <v>2210.92</v>
      </c>
      <c r="L1619" s="241">
        <v>49</v>
      </c>
      <c r="M1619" s="228">
        <v>1127.5691999999999</v>
      </c>
      <c r="N1619" s="230">
        <v>35.659999999999997</v>
      </c>
      <c r="O1619" s="231">
        <v>1127</v>
      </c>
      <c r="P1619" s="230"/>
      <c r="Q1619" s="230"/>
    </row>
    <row r="1620" spans="1:17" s="217" customFormat="1" ht="14.1" customHeight="1">
      <c r="A1620" s="224" t="s">
        <v>1546</v>
      </c>
      <c r="B1620" s="218" t="s">
        <v>1547</v>
      </c>
      <c r="C1620" s="223">
        <v>3</v>
      </c>
      <c r="D1620" s="218" t="s">
        <v>1493</v>
      </c>
      <c r="E1620" s="223">
        <v>4</v>
      </c>
      <c r="F1620" s="223">
        <v>1236</v>
      </c>
      <c r="G1620" s="223">
        <v>1994</v>
      </c>
      <c r="H1620" s="223">
        <v>1</v>
      </c>
      <c r="I1620" s="223">
        <v>1</v>
      </c>
      <c r="J1620" s="223"/>
      <c r="K1620" s="238">
        <v>44075.76</v>
      </c>
      <c r="L1620" s="241">
        <v>49</v>
      </c>
      <c r="M1620" s="228">
        <v>22478.637599999998</v>
      </c>
      <c r="N1620" s="230">
        <v>35.659999999999997</v>
      </c>
      <c r="O1620" s="231">
        <v>22478</v>
      </c>
      <c r="P1620" s="230"/>
      <c r="Q1620" s="230"/>
    </row>
    <row r="1621" spans="1:17" s="217" customFormat="1" ht="14.1" customHeight="1">
      <c r="A1621" s="224" t="s">
        <v>1546</v>
      </c>
      <c r="B1621" s="218" t="s">
        <v>1547</v>
      </c>
      <c r="C1621" s="223">
        <v>3</v>
      </c>
      <c r="D1621" s="218" t="s">
        <v>1493</v>
      </c>
      <c r="E1621" s="223">
        <v>4</v>
      </c>
      <c r="F1621" s="223">
        <v>762</v>
      </c>
      <c r="G1621" s="223">
        <v>1994</v>
      </c>
      <c r="H1621" s="223">
        <v>1</v>
      </c>
      <c r="I1621" s="223">
        <v>1</v>
      </c>
      <c r="J1621" s="223"/>
      <c r="K1621" s="238">
        <v>27172.92</v>
      </c>
      <c r="L1621" s="241">
        <v>49</v>
      </c>
      <c r="M1621" s="228">
        <v>13858.189200000001</v>
      </c>
      <c r="N1621" s="230">
        <v>35.659999999999997</v>
      </c>
      <c r="O1621" s="231">
        <v>13858</v>
      </c>
      <c r="P1621" s="230"/>
      <c r="Q1621" s="230"/>
    </row>
    <row r="1622" spans="1:17" s="217" customFormat="1" ht="14.1" customHeight="1">
      <c r="A1622" s="224" t="s">
        <v>1546</v>
      </c>
      <c r="B1622" s="218" t="s">
        <v>1547</v>
      </c>
      <c r="C1622" s="223">
        <v>3</v>
      </c>
      <c r="D1622" s="218" t="s">
        <v>1493</v>
      </c>
      <c r="E1622" s="223">
        <v>4</v>
      </c>
      <c r="F1622" s="223">
        <v>1639</v>
      </c>
      <c r="G1622" s="223">
        <v>1994</v>
      </c>
      <c r="H1622" s="223">
        <v>1</v>
      </c>
      <c r="I1622" s="223">
        <v>1</v>
      </c>
      <c r="J1622" s="223"/>
      <c r="K1622" s="238">
        <v>58446.74</v>
      </c>
      <c r="L1622" s="241">
        <v>49</v>
      </c>
      <c r="M1622" s="228">
        <v>29807.8374</v>
      </c>
      <c r="N1622" s="230">
        <v>35.659999999999997</v>
      </c>
      <c r="O1622" s="231">
        <v>29807</v>
      </c>
      <c r="P1622" s="230"/>
      <c r="Q1622" s="230"/>
    </row>
    <row r="1623" spans="1:17" s="217" customFormat="1" ht="14.1" customHeight="1">
      <c r="A1623" s="224" t="s">
        <v>1546</v>
      </c>
      <c r="B1623" s="218" t="s">
        <v>1547</v>
      </c>
      <c r="C1623" s="223">
        <v>3</v>
      </c>
      <c r="D1623" s="218" t="s">
        <v>1493</v>
      </c>
      <c r="E1623" s="223">
        <v>4</v>
      </c>
      <c r="F1623" s="223">
        <v>62</v>
      </c>
      <c r="G1623" s="223">
        <v>1994</v>
      </c>
      <c r="H1623" s="223">
        <v>1</v>
      </c>
      <c r="I1623" s="223">
        <v>1</v>
      </c>
      <c r="J1623" s="223"/>
      <c r="K1623" s="238">
        <v>2210.92</v>
      </c>
      <c r="L1623" s="241">
        <v>49</v>
      </c>
      <c r="M1623" s="228">
        <v>1127.5691999999999</v>
      </c>
      <c r="N1623" s="230">
        <v>35.659999999999997</v>
      </c>
      <c r="O1623" s="231">
        <v>1127</v>
      </c>
      <c r="P1623" s="230"/>
      <c r="Q1623" s="230"/>
    </row>
    <row r="1624" spans="1:17" s="217" customFormat="1" ht="14.1" customHeight="1">
      <c r="A1624" s="224" t="s">
        <v>1546</v>
      </c>
      <c r="B1624" s="218" t="s">
        <v>1547</v>
      </c>
      <c r="C1624" s="223">
        <v>3</v>
      </c>
      <c r="D1624" s="218" t="s">
        <v>1493</v>
      </c>
      <c r="E1624" s="223">
        <v>4</v>
      </c>
      <c r="F1624" s="223">
        <v>250</v>
      </c>
      <c r="G1624" s="223">
        <v>1994</v>
      </c>
      <c r="H1624" s="223">
        <v>1</v>
      </c>
      <c r="I1624" s="223">
        <v>1</v>
      </c>
      <c r="J1624" s="223"/>
      <c r="K1624" s="240">
        <v>8915</v>
      </c>
      <c r="L1624" s="241">
        <v>49</v>
      </c>
      <c r="M1624" s="238">
        <v>4546.6499999999996</v>
      </c>
      <c r="N1624" s="230">
        <v>35.659999999999997</v>
      </c>
      <c r="O1624" s="231">
        <v>4546</v>
      </c>
      <c r="P1624" s="230"/>
      <c r="Q1624" s="230"/>
    </row>
    <row r="1625" spans="1:17" s="217" customFormat="1" ht="14.1" customHeight="1">
      <c r="A1625" s="224" t="s">
        <v>1546</v>
      </c>
      <c r="B1625" s="218" t="s">
        <v>1547</v>
      </c>
      <c r="C1625" s="223">
        <v>3</v>
      </c>
      <c r="D1625" s="218" t="s">
        <v>1493</v>
      </c>
      <c r="E1625" s="223">
        <v>4</v>
      </c>
      <c r="F1625" s="223">
        <v>3050</v>
      </c>
      <c r="G1625" s="223">
        <v>1994</v>
      </c>
      <c r="H1625" s="223">
        <v>1</v>
      </c>
      <c r="I1625" s="223">
        <v>1</v>
      </c>
      <c r="J1625" s="223"/>
      <c r="K1625" s="240">
        <v>108763</v>
      </c>
      <c r="L1625" s="241">
        <v>49</v>
      </c>
      <c r="M1625" s="238">
        <v>55469.13</v>
      </c>
      <c r="N1625" s="230">
        <v>35.659999999999997</v>
      </c>
      <c r="O1625" s="231">
        <v>55469</v>
      </c>
      <c r="P1625" s="230"/>
      <c r="Q1625" s="230"/>
    </row>
    <row r="1626" spans="1:17" s="217" customFormat="1" ht="14.1" customHeight="1">
      <c r="A1626" s="224" t="s">
        <v>1546</v>
      </c>
      <c r="B1626" s="218" t="s">
        <v>1547</v>
      </c>
      <c r="C1626" s="223">
        <v>3</v>
      </c>
      <c r="D1626" s="218" t="s">
        <v>1493</v>
      </c>
      <c r="E1626" s="223">
        <v>4</v>
      </c>
      <c r="F1626" s="223">
        <v>1120</v>
      </c>
      <c r="G1626" s="223">
        <v>1994</v>
      </c>
      <c r="H1626" s="223">
        <v>1</v>
      </c>
      <c r="I1626" s="223">
        <v>1</v>
      </c>
      <c r="J1626" s="223"/>
      <c r="K1626" s="237">
        <v>39939.199999999997</v>
      </c>
      <c r="L1626" s="241">
        <v>49</v>
      </c>
      <c r="M1626" s="239">
        <v>20368.991999999998</v>
      </c>
      <c r="N1626" s="230">
        <v>35.659999999999997</v>
      </c>
      <c r="O1626" s="231">
        <v>20368</v>
      </c>
      <c r="P1626" s="230"/>
      <c r="Q1626" s="230"/>
    </row>
    <row r="1627" spans="1:17" s="217" customFormat="1" ht="14.1" customHeight="1">
      <c r="A1627" s="224" t="s">
        <v>1546</v>
      </c>
      <c r="B1627" s="218" t="s">
        <v>1547</v>
      </c>
      <c r="C1627" s="223">
        <v>3</v>
      </c>
      <c r="D1627" s="218" t="s">
        <v>1493</v>
      </c>
      <c r="E1627" s="223">
        <v>4</v>
      </c>
      <c r="F1627" s="223">
        <v>830</v>
      </c>
      <c r="G1627" s="223">
        <v>1994</v>
      </c>
      <c r="H1627" s="223">
        <v>1</v>
      </c>
      <c r="I1627" s="223">
        <v>1</v>
      </c>
      <c r="J1627" s="223"/>
      <c r="K1627" s="237">
        <v>29597.80</v>
      </c>
      <c r="L1627" s="241">
        <v>49</v>
      </c>
      <c r="M1627" s="239">
        <v>15094.878000000001</v>
      </c>
      <c r="N1627" s="230">
        <v>35.659999999999997</v>
      </c>
      <c r="O1627" s="231">
        <v>15094</v>
      </c>
      <c r="P1627" s="230"/>
      <c r="Q1627" s="230"/>
    </row>
    <row r="1628" spans="1:17" s="217" customFormat="1" ht="14.1" customHeight="1">
      <c r="A1628" s="224" t="s">
        <v>1546</v>
      </c>
      <c r="B1628" s="218" t="s">
        <v>1547</v>
      </c>
      <c r="C1628" s="223">
        <v>3</v>
      </c>
      <c r="D1628" s="218" t="s">
        <v>1493</v>
      </c>
      <c r="E1628" s="223">
        <v>4</v>
      </c>
      <c r="F1628" s="223">
        <v>4390</v>
      </c>
      <c r="G1628" s="223">
        <v>1994</v>
      </c>
      <c r="H1628" s="223">
        <v>1</v>
      </c>
      <c r="I1628" s="223">
        <v>1</v>
      </c>
      <c r="J1628" s="223"/>
      <c r="K1628" s="237">
        <v>156547.40</v>
      </c>
      <c r="L1628" s="241">
        <v>49</v>
      </c>
      <c r="M1628" s="239">
        <v>79839.173999999999</v>
      </c>
      <c r="N1628" s="230">
        <v>35.659999999999997</v>
      </c>
      <c r="O1628" s="231">
        <v>79839</v>
      </c>
      <c r="P1628" s="230"/>
      <c r="Q1628" s="230"/>
    </row>
    <row r="1629" spans="1:17" s="217" customFormat="1" ht="14.1" customHeight="1">
      <c r="A1629" s="224" t="s">
        <v>1546</v>
      </c>
      <c r="B1629" s="218" t="s">
        <v>1547</v>
      </c>
      <c r="C1629" s="223">
        <v>3</v>
      </c>
      <c r="D1629" s="218" t="s">
        <v>1493</v>
      </c>
      <c r="E1629" s="223">
        <v>6</v>
      </c>
      <c r="F1629" s="223">
        <v>94</v>
      </c>
      <c r="G1629" s="223">
        <v>1994</v>
      </c>
      <c r="H1629" s="223">
        <v>1</v>
      </c>
      <c r="I1629" s="223">
        <v>1</v>
      </c>
      <c r="J1629" s="223"/>
      <c r="K1629" s="238">
        <v>4317.42</v>
      </c>
      <c r="L1629" s="241">
        <v>49</v>
      </c>
      <c r="M1629" s="228">
        <v>2201.8842</v>
      </c>
      <c r="N1629" s="230">
        <v>45.93</v>
      </c>
      <c r="O1629" s="231">
        <v>2201</v>
      </c>
      <c r="P1629" s="230"/>
      <c r="Q1629" s="230"/>
    </row>
    <row r="1630" spans="1:17" s="217" customFormat="1" ht="14.1" customHeight="1">
      <c r="A1630" s="224" t="s">
        <v>1546</v>
      </c>
      <c r="B1630" s="218" t="s">
        <v>1547</v>
      </c>
      <c r="C1630" s="223">
        <v>3</v>
      </c>
      <c r="D1630" s="218" t="s">
        <v>1493</v>
      </c>
      <c r="E1630" s="223">
        <v>6</v>
      </c>
      <c r="F1630" s="223">
        <v>405</v>
      </c>
      <c r="G1630" s="223">
        <v>1994</v>
      </c>
      <c r="H1630" s="223">
        <v>1</v>
      </c>
      <c r="I1630" s="223">
        <v>1</v>
      </c>
      <c r="J1630" s="223"/>
      <c r="K1630" s="238">
        <v>18601.650000000001</v>
      </c>
      <c r="L1630" s="241">
        <v>49</v>
      </c>
      <c r="M1630" s="228">
        <v>9486.8415000000005</v>
      </c>
      <c r="N1630" s="230">
        <v>45.93</v>
      </c>
      <c r="O1630" s="231">
        <v>9486</v>
      </c>
      <c r="P1630" s="230"/>
      <c r="Q1630" s="230"/>
    </row>
    <row r="1631" spans="1:17" s="217" customFormat="1" ht="14.1" customHeight="1">
      <c r="A1631" s="224" t="s">
        <v>1546</v>
      </c>
      <c r="B1631" s="218" t="s">
        <v>1547</v>
      </c>
      <c r="C1631" s="223">
        <v>3</v>
      </c>
      <c r="D1631" s="218" t="s">
        <v>1493</v>
      </c>
      <c r="E1631" s="223">
        <v>6</v>
      </c>
      <c r="F1631" s="223">
        <v>1024</v>
      </c>
      <c r="G1631" s="223">
        <v>1994</v>
      </c>
      <c r="H1631" s="223">
        <v>1</v>
      </c>
      <c r="I1631" s="223">
        <v>1</v>
      </c>
      <c r="J1631" s="223"/>
      <c r="K1631" s="238">
        <v>47032.32</v>
      </c>
      <c r="L1631" s="241">
        <v>49</v>
      </c>
      <c r="M1631" s="228">
        <v>23986.483199999999</v>
      </c>
      <c r="N1631" s="230">
        <v>45.93</v>
      </c>
      <c r="O1631" s="231">
        <v>23986</v>
      </c>
      <c r="P1631" s="230"/>
      <c r="Q1631" s="230"/>
    </row>
    <row r="1632" spans="1:17" s="217" customFormat="1" ht="15" customHeight="1">
      <c r="A1632" s="224" t="s">
        <v>1546</v>
      </c>
      <c r="B1632" s="218" t="s">
        <v>1547</v>
      </c>
      <c r="C1632" s="223">
        <v>3</v>
      </c>
      <c r="D1632" s="218" t="s">
        <v>1493</v>
      </c>
      <c r="E1632" s="223">
        <v>6</v>
      </c>
      <c r="F1632" s="223">
        <v>868</v>
      </c>
      <c r="G1632" s="223">
        <v>1994</v>
      </c>
      <c r="H1632" s="223">
        <v>1</v>
      </c>
      <c r="I1632" s="246">
        <v>0</v>
      </c>
      <c r="J1632" s="223"/>
      <c r="K1632" s="247">
        <v>39867.24</v>
      </c>
      <c r="L1632" s="241">
        <v>49</v>
      </c>
      <c r="M1632" s="247">
        <v>20332.292399999998</v>
      </c>
      <c r="N1632" s="230">
        <v>45.93</v>
      </c>
      <c r="O1632" s="248">
        <v>0</v>
      </c>
      <c r="P1632" s="317" t="s">
        <v>1560</v>
      </c>
      <c r="Q1632" s="230"/>
    </row>
    <row r="1633" spans="1:20" ht="14.35">
      <c r="A1633" s="326" t="s">
        <v>1449</v>
      </c>
      <c r="B1633" s="326" t="s">
        <v>839</v>
      </c>
      <c r="C1633" s="327">
        <v>1</v>
      </c>
      <c r="D1633" s="326" t="s">
        <v>909</v>
      </c>
      <c r="E1633" s="328">
        <v>4</v>
      </c>
      <c r="F1633" s="328">
        <v>3434</v>
      </c>
      <c r="G1633" s="328">
        <v>1999</v>
      </c>
      <c r="H1633" s="328">
        <v>1</v>
      </c>
      <c r="I1633" s="328">
        <v>1</v>
      </c>
      <c r="J1633" s="326"/>
      <c r="K1633" s="329">
        <v>90829.30</v>
      </c>
      <c r="L1633" s="326">
        <v>62</v>
      </c>
      <c r="M1633" s="329">
        <f>K1633*(1-L1633/100)</f>
        <v>34515.133999999998</v>
      </c>
      <c r="N1633" s="328">
        <v>26.45</v>
      </c>
      <c r="O1633" s="328">
        <f>ROUNDDOWN(M1633*H1633*I1633,0)</f>
        <v>34515</v>
      </c>
      <c r="P1633" s="326"/>
      <c r="Q1633" s="276">
        <f t="shared" si="49" ref="Q1633:Q1648">ROUND(F1633,2)</f>
        <v>3434</v>
      </c>
      <c r="R1633" s="275">
        <f>(SUMIFS('Dec 31 2018 OFFS'!$AG:$AG,'Dec 31 2018 OFFS'!$AI:$AI,'T1 2019 Pipeline Data Lagasco'!$A1633,'Dec 31 2018 OFFS'!$U:$U,'T1 2019 Pipeline Data Lagasco'!$E1633,'Dec 31 2018 OFFS'!$AK:$AK,'T1 2019 Pipeline Data Lagasco'!$Q1633,'Dec 31 2018 OFFS'!$W:$W,'T1 2019 Pipeline Data Lagasco'!$G1633))/(MAX(COUNTIFS('Dec 31 2018 OFFS'!$AI:$AI,'T1 2019 Pipeline Data Lagasco'!$A1633,'Dec 31 2018 OFFS'!$U:$U,'T1 2019 Pipeline Data Lagasco'!$E1633,'Dec 31 2018 OFFS'!$AK:$AK,'T1 2019 Pipeline Data Lagasco'!$Q1633,'Dec 31 2018 OFFS'!$W:$W,'T1 2019 Pipeline Data Lagasco'!$G1633),1))</f>
        <v>34515</v>
      </c>
      <c r="S1633" s="275">
        <f t="shared" si="50" ref="S1633:S1648">O1633-R1633</f>
        <v>0</v>
      </c>
      <c r="T1633" s="314"/>
    </row>
    <row r="1634" spans="1:20" ht="14.35">
      <c r="A1634" s="326" t="s">
        <v>1449</v>
      </c>
      <c r="B1634" s="326" t="s">
        <v>839</v>
      </c>
      <c r="C1634" s="327">
        <v>1</v>
      </c>
      <c r="D1634" s="326" t="s">
        <v>909</v>
      </c>
      <c r="E1634" s="328">
        <v>4</v>
      </c>
      <c r="F1634" s="328">
        <v>8513</v>
      </c>
      <c r="G1634" s="328">
        <v>1999</v>
      </c>
      <c r="H1634" s="328">
        <v>1</v>
      </c>
      <c r="I1634" s="328">
        <v>1</v>
      </c>
      <c r="J1634" s="326"/>
      <c r="K1634" s="329">
        <v>225168.85</v>
      </c>
      <c r="L1634" s="326">
        <v>62</v>
      </c>
      <c r="M1634" s="329">
        <f t="shared" si="51" ref="M1634:M1648">K1634*(1-L1634/100)</f>
        <v>85564.163</v>
      </c>
      <c r="N1634" s="328">
        <v>26.45</v>
      </c>
      <c r="O1634" s="328">
        <f t="shared" si="52" ref="O1634:O1635">ROUNDDOWN(M1634*H1634*I1634,0)</f>
        <v>85564</v>
      </c>
      <c r="P1634" s="326"/>
      <c r="Q1634" s="276">
        <f t="shared" si="49"/>
        <v>8513</v>
      </c>
      <c r="R1634" s="275">
        <f>(SUMIFS('Dec 31 2018 OFFS'!$AG:$AG,'Dec 31 2018 OFFS'!$AI:$AI,'T1 2019 Pipeline Data Lagasco'!$A1634,'Dec 31 2018 OFFS'!$U:$U,'T1 2019 Pipeline Data Lagasco'!$E1634,'Dec 31 2018 OFFS'!$AK:$AK,'T1 2019 Pipeline Data Lagasco'!$Q1634,'Dec 31 2018 OFFS'!$W:$W,'T1 2019 Pipeline Data Lagasco'!$G1634))/(MAX(COUNTIFS('Dec 31 2018 OFFS'!$AI:$AI,'T1 2019 Pipeline Data Lagasco'!$A1634,'Dec 31 2018 OFFS'!$U:$U,'T1 2019 Pipeline Data Lagasco'!$E1634,'Dec 31 2018 OFFS'!$AK:$AK,'T1 2019 Pipeline Data Lagasco'!$Q1634,'Dec 31 2018 OFFS'!$W:$W,'T1 2019 Pipeline Data Lagasco'!$G1634),1))</f>
        <v>85564</v>
      </c>
      <c r="S1634" s="275">
        <f t="shared" si="50"/>
        <v>0</v>
      </c>
      <c r="T1634" s="314"/>
    </row>
    <row r="1635" spans="1:20" ht="14.35">
      <c r="A1635" s="326" t="s">
        <v>1449</v>
      </c>
      <c r="B1635" s="326" t="s">
        <v>839</v>
      </c>
      <c r="C1635" s="327">
        <v>1</v>
      </c>
      <c r="D1635" s="326" t="s">
        <v>909</v>
      </c>
      <c r="E1635" s="328">
        <v>4</v>
      </c>
      <c r="F1635" s="328">
        <v>6016.07594126</v>
      </c>
      <c r="G1635" s="328">
        <v>1999</v>
      </c>
      <c r="H1635" s="328">
        <v>1</v>
      </c>
      <c r="I1635" s="328">
        <v>1</v>
      </c>
      <c r="J1635" s="326"/>
      <c r="K1635" s="329">
        <v>159125.208646327</v>
      </c>
      <c r="L1635" s="326">
        <v>62</v>
      </c>
      <c r="M1635" s="329">
        <f t="shared" si="51"/>
        <v>60467.579285604261</v>
      </c>
      <c r="N1635" s="328">
        <v>26.45</v>
      </c>
      <c r="O1635" s="328">
        <f t="shared" si="52"/>
        <v>60467</v>
      </c>
      <c r="P1635" s="326"/>
      <c r="Q1635" s="276">
        <f t="shared" si="49"/>
        <v>6016.08</v>
      </c>
      <c r="R1635" s="275">
        <f>(SUMIFS('Dec 31 2018 OFFS'!$AG:$AG,'Dec 31 2018 OFFS'!$AI:$AI,'T1 2019 Pipeline Data Lagasco'!$A1635,'Dec 31 2018 OFFS'!$U:$U,'T1 2019 Pipeline Data Lagasco'!$E1635,'Dec 31 2018 OFFS'!$AK:$AK,'T1 2019 Pipeline Data Lagasco'!$Q1635,'Dec 31 2018 OFFS'!$W:$W,'T1 2019 Pipeline Data Lagasco'!$G1635))/(MAX(COUNTIFS('Dec 31 2018 OFFS'!$AI:$AI,'T1 2019 Pipeline Data Lagasco'!$A1635,'Dec 31 2018 OFFS'!$U:$U,'T1 2019 Pipeline Data Lagasco'!$E1635,'Dec 31 2018 OFFS'!$AK:$AK,'T1 2019 Pipeline Data Lagasco'!$Q1635,'Dec 31 2018 OFFS'!$W:$W,'T1 2019 Pipeline Data Lagasco'!$G1635),1))</f>
        <v>60467</v>
      </c>
      <c r="S1635" s="275">
        <f t="shared" si="50"/>
        <v>0</v>
      </c>
      <c r="T1635" s="314"/>
    </row>
    <row r="1636" spans="1:20" ht="14.35">
      <c r="A1636" s="326" t="s">
        <v>1451</v>
      </c>
      <c r="B1636" s="326" t="s">
        <v>172</v>
      </c>
      <c r="C1636" s="327">
        <v>1</v>
      </c>
      <c r="D1636" s="326" t="s">
        <v>909</v>
      </c>
      <c r="E1636" s="328">
        <v>3</v>
      </c>
      <c r="F1636" s="328">
        <v>3535</v>
      </c>
      <c r="G1636" s="328">
        <v>2006</v>
      </c>
      <c r="H1636" s="328">
        <v>1</v>
      </c>
      <c r="I1636" s="328">
        <v>1</v>
      </c>
      <c r="J1636" s="326"/>
      <c r="K1636" s="329">
        <v>83390.649999999994</v>
      </c>
      <c r="L1636" s="326">
        <v>52</v>
      </c>
      <c r="M1636" s="329">
        <f t="shared" si="51"/>
        <v>40027.511999999995</v>
      </c>
      <c r="N1636" s="328">
        <v>23.59</v>
      </c>
      <c r="O1636" s="328">
        <f>ROUNDDOWN(M1636*H1636*I1636,0)</f>
        <v>40027</v>
      </c>
      <c r="P1636" s="326"/>
      <c r="Q1636" s="276">
        <f t="shared" si="49"/>
        <v>3535</v>
      </c>
      <c r="R1636" s="275">
        <f>(SUMIFS('Dec 31 2018 OFFS'!$AG:$AG,'Dec 31 2018 OFFS'!$AI:$AI,'T1 2019 Pipeline Data Lagasco'!$A1636,'Dec 31 2018 OFFS'!$U:$U,'T1 2019 Pipeline Data Lagasco'!$E1636,'Dec 31 2018 OFFS'!$AK:$AK,'T1 2019 Pipeline Data Lagasco'!$Q1636,'Dec 31 2018 OFFS'!$W:$W,'T1 2019 Pipeline Data Lagasco'!$G1636))/(MAX(COUNTIFS('Dec 31 2018 OFFS'!$AI:$AI,'T1 2019 Pipeline Data Lagasco'!$A1636,'Dec 31 2018 OFFS'!$U:$U,'T1 2019 Pipeline Data Lagasco'!$E1636,'Dec 31 2018 OFFS'!$AK:$AK,'T1 2019 Pipeline Data Lagasco'!$Q1636,'Dec 31 2018 OFFS'!$W:$W,'T1 2019 Pipeline Data Lagasco'!$G1636),1))</f>
        <v>40027</v>
      </c>
      <c r="S1636" s="275">
        <f t="shared" si="50"/>
        <v>0</v>
      </c>
      <c r="T1636" s="314"/>
    </row>
    <row r="1637" spans="1:20" ht="14.35">
      <c r="A1637" s="326" t="s">
        <v>1451</v>
      </c>
      <c r="B1637" s="326" t="s">
        <v>172</v>
      </c>
      <c r="C1637" s="327">
        <v>1</v>
      </c>
      <c r="D1637" s="326" t="s">
        <v>909</v>
      </c>
      <c r="E1637" s="328">
        <v>4</v>
      </c>
      <c r="F1637" s="328">
        <v>2604.9211844040001</v>
      </c>
      <c r="G1637" s="328">
        <v>1999</v>
      </c>
      <c r="H1637" s="328">
        <v>1</v>
      </c>
      <c r="I1637" s="328">
        <v>1</v>
      </c>
      <c r="J1637" s="326"/>
      <c r="K1637" s="329">
        <v>68900.165327485796</v>
      </c>
      <c r="L1637" s="326">
        <v>62</v>
      </c>
      <c r="M1637" s="329">
        <f t="shared" si="51"/>
        <v>26182.062824444602</v>
      </c>
      <c r="N1637" s="328">
        <v>26.45</v>
      </c>
      <c r="O1637" s="328">
        <f>ROUNDDOWN(M1637*H1637*I1637,0)</f>
        <v>26182</v>
      </c>
      <c r="P1637" s="326"/>
      <c r="Q1637" s="276">
        <f t="shared" si="49"/>
        <v>2604.92</v>
      </c>
      <c r="R1637" s="275">
        <f>(SUMIFS('Dec 31 2018 OFFS'!$AG:$AG,'Dec 31 2018 OFFS'!$AI:$AI,'T1 2019 Pipeline Data Lagasco'!$A1637,'Dec 31 2018 OFFS'!$U:$U,'T1 2019 Pipeline Data Lagasco'!$E1637,'Dec 31 2018 OFFS'!$AK:$AK,'T1 2019 Pipeline Data Lagasco'!$Q1637,'Dec 31 2018 OFFS'!$W:$W,'T1 2019 Pipeline Data Lagasco'!$G1637))/(MAX(COUNTIFS('Dec 31 2018 OFFS'!$AI:$AI,'T1 2019 Pipeline Data Lagasco'!$A1637,'Dec 31 2018 OFFS'!$U:$U,'T1 2019 Pipeline Data Lagasco'!$E1637,'Dec 31 2018 OFFS'!$AK:$AK,'T1 2019 Pipeline Data Lagasco'!$Q1637,'Dec 31 2018 OFFS'!$W:$W,'T1 2019 Pipeline Data Lagasco'!$G1637),1))</f>
        <v>26182</v>
      </c>
      <c r="S1637" s="275">
        <f t="shared" si="50"/>
        <v>0</v>
      </c>
      <c r="T1637" s="314"/>
    </row>
    <row r="1638" spans="1:20" ht="14.35">
      <c r="A1638" s="326" t="s">
        <v>1451</v>
      </c>
      <c r="B1638" s="326" t="s">
        <v>172</v>
      </c>
      <c r="C1638" s="327">
        <v>1</v>
      </c>
      <c r="D1638" s="326" t="s">
        <v>909</v>
      </c>
      <c r="E1638" s="328">
        <v>3</v>
      </c>
      <c r="F1638" s="328">
        <v>5794</v>
      </c>
      <c r="G1638" s="328">
        <v>2003</v>
      </c>
      <c r="H1638" s="328">
        <v>1</v>
      </c>
      <c r="I1638" s="328">
        <v>1</v>
      </c>
      <c r="J1638" s="326"/>
      <c r="K1638" s="329">
        <v>136680.46</v>
      </c>
      <c r="L1638" s="326">
        <v>57</v>
      </c>
      <c r="M1638" s="329">
        <f t="shared" si="51"/>
        <v>58772.597800000003</v>
      </c>
      <c r="N1638" s="328">
        <v>23.59</v>
      </c>
      <c r="O1638" s="328">
        <f>ROUNDDOWN(M1638*H1638*I1638,0)</f>
        <v>58772</v>
      </c>
      <c r="P1638" s="326"/>
      <c r="Q1638" s="276">
        <f t="shared" si="49"/>
        <v>5794</v>
      </c>
      <c r="R1638" s="275">
        <f>(SUMIFS('Dec 31 2018 OFFS'!$AG:$AG,'Dec 31 2018 OFFS'!$AI:$AI,'T1 2019 Pipeline Data Lagasco'!$A1638,'Dec 31 2018 OFFS'!$U:$U,'T1 2019 Pipeline Data Lagasco'!$E1638,'Dec 31 2018 OFFS'!$AK:$AK,'T1 2019 Pipeline Data Lagasco'!$Q1638,'Dec 31 2018 OFFS'!$W:$W,'T1 2019 Pipeline Data Lagasco'!$G1638))/(MAX(COUNTIFS('Dec 31 2018 OFFS'!$AI:$AI,'T1 2019 Pipeline Data Lagasco'!$A1638,'Dec 31 2018 OFFS'!$U:$U,'T1 2019 Pipeline Data Lagasco'!$E1638,'Dec 31 2018 OFFS'!$AK:$AK,'T1 2019 Pipeline Data Lagasco'!$Q1638,'Dec 31 2018 OFFS'!$W:$W,'T1 2019 Pipeline Data Lagasco'!$G1638),1))</f>
        <v>58772</v>
      </c>
      <c r="S1638" s="275">
        <f t="shared" si="50"/>
        <v>0</v>
      </c>
      <c r="T1638" s="314"/>
    </row>
    <row r="1639" spans="1:20" ht="14.35">
      <c r="A1639" s="326" t="s">
        <v>1458</v>
      </c>
      <c r="B1639" s="326" t="s">
        <v>336</v>
      </c>
      <c r="C1639" s="327">
        <v>1</v>
      </c>
      <c r="D1639" s="326" t="s">
        <v>909</v>
      </c>
      <c r="E1639" s="328">
        <v>4</v>
      </c>
      <c r="F1639" s="328">
        <v>12287</v>
      </c>
      <c r="G1639" s="328">
        <v>1999</v>
      </c>
      <c r="H1639" s="328">
        <v>1</v>
      </c>
      <c r="I1639" s="328">
        <v>1</v>
      </c>
      <c r="J1639" s="326"/>
      <c r="K1639" s="329">
        <v>324991.14999999997</v>
      </c>
      <c r="L1639" s="326">
        <v>62</v>
      </c>
      <c r="M1639" s="329">
        <f t="shared" si="51"/>
        <v>123496.63699999999</v>
      </c>
      <c r="N1639" s="328">
        <v>26.45</v>
      </c>
      <c r="O1639" s="328">
        <f>ROUNDDOWN(M1639*H1639*I1639,0)</f>
        <v>123496</v>
      </c>
      <c r="P1639" s="326"/>
      <c r="Q1639" s="276">
        <f t="shared" si="49"/>
        <v>12287</v>
      </c>
      <c r="R1639" s="275">
        <f>(SUMIFS('Dec 31 2018 OFFS'!$AG:$AG,'Dec 31 2018 OFFS'!$AI:$AI,'T1 2019 Pipeline Data Lagasco'!$A1639,'Dec 31 2018 OFFS'!$U:$U,'T1 2019 Pipeline Data Lagasco'!$E1639,'Dec 31 2018 OFFS'!$AK:$AK,'T1 2019 Pipeline Data Lagasco'!$Q1639,'Dec 31 2018 OFFS'!$W:$W,'T1 2019 Pipeline Data Lagasco'!$G1639))/(MAX(COUNTIFS('Dec 31 2018 OFFS'!$AI:$AI,'T1 2019 Pipeline Data Lagasco'!$A1639,'Dec 31 2018 OFFS'!$U:$U,'T1 2019 Pipeline Data Lagasco'!$E1639,'Dec 31 2018 OFFS'!$AK:$AK,'T1 2019 Pipeline Data Lagasco'!$Q1639,'Dec 31 2018 OFFS'!$W:$W,'T1 2019 Pipeline Data Lagasco'!$G1639),1))</f>
        <v>123496</v>
      </c>
      <c r="S1639" s="275">
        <f t="shared" si="50"/>
        <v>0</v>
      </c>
      <c r="T1639" s="314"/>
    </row>
    <row r="1640" spans="1:20" ht="14.35">
      <c r="A1640" s="326" t="s">
        <v>1458</v>
      </c>
      <c r="B1640" s="326" t="s">
        <v>336</v>
      </c>
      <c r="C1640" s="327">
        <v>1</v>
      </c>
      <c r="D1640" s="326" t="s">
        <v>909</v>
      </c>
      <c r="E1640" s="328">
        <v>3</v>
      </c>
      <c r="F1640" s="328">
        <v>6922.0142352339999</v>
      </c>
      <c r="G1640" s="328">
        <v>2004</v>
      </c>
      <c r="H1640" s="328">
        <v>1</v>
      </c>
      <c r="I1640" s="328">
        <v>1</v>
      </c>
      <c r="J1640" s="326"/>
      <c r="K1640" s="329">
        <v>163290.31580917005</v>
      </c>
      <c r="L1640" s="326">
        <v>56</v>
      </c>
      <c r="M1640" s="329">
        <f t="shared" si="51"/>
        <v>71847.738956034809</v>
      </c>
      <c r="N1640" s="328">
        <v>23.59</v>
      </c>
      <c r="O1640" s="328">
        <f t="shared" si="53" ref="O1640:O1647">ROUNDDOWN(M1640*H1640*I1640,0)</f>
        <v>71847</v>
      </c>
      <c r="P1640" s="326"/>
      <c r="Q1640" s="276">
        <f t="shared" si="49"/>
        <v>6922.01</v>
      </c>
      <c r="R1640" s="275">
        <f>(SUMIFS('Dec 31 2018 OFFS'!$AG:$AG,'Dec 31 2018 OFFS'!$AI:$AI,'T1 2019 Pipeline Data Lagasco'!$A1640,'Dec 31 2018 OFFS'!$U:$U,'T1 2019 Pipeline Data Lagasco'!$E1640,'Dec 31 2018 OFFS'!$AK:$AK,'T1 2019 Pipeline Data Lagasco'!$Q1640,'Dec 31 2018 OFFS'!$W:$W,'T1 2019 Pipeline Data Lagasco'!$G1640))/(MAX(COUNTIFS('Dec 31 2018 OFFS'!$AI:$AI,'T1 2019 Pipeline Data Lagasco'!$A1640,'Dec 31 2018 OFFS'!$U:$U,'T1 2019 Pipeline Data Lagasco'!$E1640,'Dec 31 2018 OFFS'!$AK:$AK,'T1 2019 Pipeline Data Lagasco'!$Q1640,'Dec 31 2018 OFFS'!$W:$W,'T1 2019 Pipeline Data Lagasco'!$G1640),1))</f>
        <v>71847</v>
      </c>
      <c r="S1640" s="275">
        <f t="shared" si="50"/>
        <v>0</v>
      </c>
      <c r="T1640" s="314"/>
    </row>
    <row r="1641" spans="1:20" ht="14.35">
      <c r="A1641" s="326" t="s">
        <v>1458</v>
      </c>
      <c r="B1641" s="326" t="s">
        <v>336</v>
      </c>
      <c r="C1641" s="327">
        <v>1</v>
      </c>
      <c r="D1641" s="326" t="s">
        <v>909</v>
      </c>
      <c r="E1641" s="328">
        <v>3</v>
      </c>
      <c r="F1641" s="328">
        <v>13850</v>
      </c>
      <c r="G1641" s="328">
        <v>2014</v>
      </c>
      <c r="H1641" s="328">
        <v>1</v>
      </c>
      <c r="I1641" s="328">
        <v>1</v>
      </c>
      <c r="J1641" s="326"/>
      <c r="K1641" s="329">
        <v>326721.50</v>
      </c>
      <c r="L1641" s="326">
        <v>15</v>
      </c>
      <c r="M1641" s="329">
        <f t="shared" si="51"/>
        <v>277713.27499999997</v>
      </c>
      <c r="N1641" s="328">
        <v>23.59</v>
      </c>
      <c r="O1641" s="328">
        <f t="shared" si="53"/>
        <v>277713</v>
      </c>
      <c r="P1641" s="326"/>
      <c r="Q1641" s="276">
        <f t="shared" si="49"/>
        <v>13850</v>
      </c>
      <c r="R1641" s="275">
        <f>(SUMIFS('Dec 31 2018 OFFS'!$AG:$AG,'Dec 31 2018 OFFS'!$AI:$AI,'T1 2019 Pipeline Data Lagasco'!$A1641,'Dec 31 2018 OFFS'!$U:$U,'T1 2019 Pipeline Data Lagasco'!$E1641,'Dec 31 2018 OFFS'!$AK:$AK,'T1 2019 Pipeline Data Lagasco'!$Q1641,'Dec 31 2018 OFFS'!$W:$W,'T1 2019 Pipeline Data Lagasco'!$G1641))/(MAX(COUNTIFS('Dec 31 2018 OFFS'!$AI:$AI,'T1 2019 Pipeline Data Lagasco'!$A1641,'Dec 31 2018 OFFS'!$U:$U,'T1 2019 Pipeline Data Lagasco'!$E1641,'Dec 31 2018 OFFS'!$AK:$AK,'T1 2019 Pipeline Data Lagasco'!$Q1641,'Dec 31 2018 OFFS'!$W:$W,'T1 2019 Pipeline Data Lagasco'!$G1641),1))</f>
        <v>277713</v>
      </c>
      <c r="S1641" s="275">
        <f t="shared" si="50"/>
        <v>0</v>
      </c>
      <c r="T1641" s="314"/>
    </row>
    <row r="1642" spans="1:20" ht="14.35">
      <c r="A1642" s="326" t="s">
        <v>1458</v>
      </c>
      <c r="B1642" s="326" t="s">
        <v>336</v>
      </c>
      <c r="C1642" s="327">
        <v>1</v>
      </c>
      <c r="D1642" s="326" t="s">
        <v>909</v>
      </c>
      <c r="E1642" s="328">
        <v>3</v>
      </c>
      <c r="F1642" s="328">
        <v>4494</v>
      </c>
      <c r="G1642" s="328">
        <v>2014</v>
      </c>
      <c r="H1642" s="328">
        <v>1</v>
      </c>
      <c r="I1642" s="328">
        <v>1</v>
      </c>
      <c r="J1642" s="326"/>
      <c r="K1642" s="329">
        <v>106013.46</v>
      </c>
      <c r="L1642" s="326">
        <v>15</v>
      </c>
      <c r="M1642" s="329">
        <f t="shared" si="51"/>
        <v>90111.441000000006</v>
      </c>
      <c r="N1642" s="328">
        <v>23.59</v>
      </c>
      <c r="O1642" s="328">
        <f t="shared" si="53"/>
        <v>90111</v>
      </c>
      <c r="P1642" s="326"/>
      <c r="Q1642" s="276">
        <f t="shared" si="49"/>
        <v>4494</v>
      </c>
      <c r="R1642" s="275">
        <f>(SUMIFS('Dec 31 2018 OFFS'!$AG:$AG,'Dec 31 2018 OFFS'!$AI:$AI,'T1 2019 Pipeline Data Lagasco'!$A1642,'Dec 31 2018 OFFS'!$U:$U,'T1 2019 Pipeline Data Lagasco'!$E1642,'Dec 31 2018 OFFS'!$AK:$AK,'T1 2019 Pipeline Data Lagasco'!$Q1642,'Dec 31 2018 OFFS'!$W:$W,'T1 2019 Pipeline Data Lagasco'!$G1642))/(MAX(COUNTIFS('Dec 31 2018 OFFS'!$AI:$AI,'T1 2019 Pipeline Data Lagasco'!$A1642,'Dec 31 2018 OFFS'!$U:$U,'T1 2019 Pipeline Data Lagasco'!$E1642,'Dec 31 2018 OFFS'!$AK:$AK,'T1 2019 Pipeline Data Lagasco'!$Q1642,'Dec 31 2018 OFFS'!$W:$W,'T1 2019 Pipeline Data Lagasco'!$G1642),1))</f>
        <v>90111</v>
      </c>
      <c r="S1642" s="275">
        <f t="shared" si="50"/>
        <v>0</v>
      </c>
      <c r="T1642" s="314"/>
    </row>
    <row r="1643" spans="1:20" ht="14.35">
      <c r="A1643" s="326" t="s">
        <v>1458</v>
      </c>
      <c r="B1643" s="326" t="s">
        <v>336</v>
      </c>
      <c r="C1643" s="327">
        <v>1</v>
      </c>
      <c r="D1643" s="326" t="s">
        <v>909</v>
      </c>
      <c r="E1643" s="328">
        <v>3</v>
      </c>
      <c r="F1643" s="328">
        <v>5082</v>
      </c>
      <c r="G1643" s="328">
        <v>1999</v>
      </c>
      <c r="H1643" s="328">
        <v>1</v>
      </c>
      <c r="I1643" s="328">
        <v>1</v>
      </c>
      <c r="J1643" s="326"/>
      <c r="K1643" s="329">
        <v>119884.38</v>
      </c>
      <c r="L1643" s="326">
        <v>62</v>
      </c>
      <c r="M1643" s="329">
        <f t="shared" si="51"/>
        <v>45556.064400000003</v>
      </c>
      <c r="N1643" s="328">
        <v>23.59</v>
      </c>
      <c r="O1643" s="328">
        <f t="shared" si="53"/>
        <v>45556</v>
      </c>
      <c r="P1643" s="326"/>
      <c r="Q1643" s="276">
        <f t="shared" si="49"/>
        <v>5082</v>
      </c>
      <c r="R1643" s="275">
        <f>(SUMIFS('Dec 31 2018 OFFS'!$AG:$AG,'Dec 31 2018 OFFS'!$AI:$AI,'T1 2019 Pipeline Data Lagasco'!$A1643,'Dec 31 2018 OFFS'!$U:$U,'T1 2019 Pipeline Data Lagasco'!$E1643,'Dec 31 2018 OFFS'!$AK:$AK,'T1 2019 Pipeline Data Lagasco'!$Q1643,'Dec 31 2018 OFFS'!$W:$W,'T1 2019 Pipeline Data Lagasco'!$G1643))/(MAX(COUNTIFS('Dec 31 2018 OFFS'!$AI:$AI,'T1 2019 Pipeline Data Lagasco'!$A1643,'Dec 31 2018 OFFS'!$U:$U,'T1 2019 Pipeline Data Lagasco'!$E1643,'Dec 31 2018 OFFS'!$AK:$AK,'T1 2019 Pipeline Data Lagasco'!$Q1643,'Dec 31 2018 OFFS'!$W:$W,'T1 2019 Pipeline Data Lagasco'!$G1643),1))</f>
        <v>45556</v>
      </c>
      <c r="S1643" s="275">
        <f t="shared" si="50"/>
        <v>0</v>
      </c>
      <c r="T1643" s="314"/>
    </row>
    <row r="1644" spans="1:20" ht="14.35">
      <c r="A1644" s="326" t="s">
        <v>1458</v>
      </c>
      <c r="B1644" s="326" t="s">
        <v>336</v>
      </c>
      <c r="C1644" s="327">
        <v>1</v>
      </c>
      <c r="D1644" s="326" t="s">
        <v>909</v>
      </c>
      <c r="E1644" s="328">
        <v>3</v>
      </c>
      <c r="F1644" s="328">
        <v>4200</v>
      </c>
      <c r="G1644" s="328">
        <v>2006</v>
      </c>
      <c r="H1644" s="328">
        <v>1</v>
      </c>
      <c r="I1644" s="328">
        <v>1</v>
      </c>
      <c r="J1644" s="326"/>
      <c r="K1644" s="329">
        <v>99078</v>
      </c>
      <c r="L1644" s="326">
        <v>52</v>
      </c>
      <c r="M1644" s="329">
        <f t="shared" si="51"/>
        <v>47557.439999999995</v>
      </c>
      <c r="N1644" s="328">
        <v>23.59</v>
      </c>
      <c r="O1644" s="328">
        <f t="shared" si="53"/>
        <v>47557</v>
      </c>
      <c r="P1644" s="326"/>
      <c r="Q1644" s="276">
        <f t="shared" si="49"/>
        <v>4200</v>
      </c>
      <c r="R1644" s="275">
        <f>(SUMIFS('Dec 31 2018 OFFS'!$AG:$AG,'Dec 31 2018 OFFS'!$AI:$AI,'T1 2019 Pipeline Data Lagasco'!$A1644,'Dec 31 2018 OFFS'!$U:$U,'T1 2019 Pipeline Data Lagasco'!$E1644,'Dec 31 2018 OFFS'!$AK:$AK,'T1 2019 Pipeline Data Lagasco'!$Q1644,'Dec 31 2018 OFFS'!$W:$W,'T1 2019 Pipeline Data Lagasco'!$G1644))/(MAX(COUNTIFS('Dec 31 2018 OFFS'!$AI:$AI,'T1 2019 Pipeline Data Lagasco'!$A1644,'Dec 31 2018 OFFS'!$U:$U,'T1 2019 Pipeline Data Lagasco'!$E1644,'Dec 31 2018 OFFS'!$AK:$AK,'T1 2019 Pipeline Data Lagasco'!$Q1644,'Dec 31 2018 OFFS'!$W:$W,'T1 2019 Pipeline Data Lagasco'!$G1644),1))</f>
        <v>47557</v>
      </c>
      <c r="S1644" s="275">
        <f t="shared" si="50"/>
        <v>0</v>
      </c>
      <c r="T1644" s="314"/>
    </row>
    <row r="1645" spans="1:20" ht="14.35">
      <c r="A1645" s="326" t="s">
        <v>1458</v>
      </c>
      <c r="B1645" s="326" t="s">
        <v>336</v>
      </c>
      <c r="C1645" s="327">
        <v>1</v>
      </c>
      <c r="D1645" s="326" t="s">
        <v>909</v>
      </c>
      <c r="E1645" s="328">
        <v>3</v>
      </c>
      <c r="F1645" s="328">
        <v>5500</v>
      </c>
      <c r="G1645" s="328">
        <v>1999</v>
      </c>
      <c r="H1645" s="328">
        <v>1</v>
      </c>
      <c r="I1645" s="328">
        <v>1</v>
      </c>
      <c r="J1645" s="326"/>
      <c r="K1645" s="329">
        <v>129745</v>
      </c>
      <c r="L1645" s="326">
        <v>62</v>
      </c>
      <c r="M1645" s="329">
        <f t="shared" si="51"/>
        <v>49303.10</v>
      </c>
      <c r="N1645" s="328">
        <v>23.59</v>
      </c>
      <c r="O1645" s="328">
        <f t="shared" si="53"/>
        <v>49303</v>
      </c>
      <c r="P1645" s="326"/>
      <c r="Q1645" s="276">
        <f t="shared" si="49"/>
        <v>5500</v>
      </c>
      <c r="R1645" s="275">
        <f>(SUMIFS('Dec 31 2018 OFFS'!$AG:$AG,'Dec 31 2018 OFFS'!$AI:$AI,'T1 2019 Pipeline Data Lagasco'!$A1645,'Dec 31 2018 OFFS'!$U:$U,'T1 2019 Pipeline Data Lagasco'!$E1645,'Dec 31 2018 OFFS'!$AK:$AK,'T1 2019 Pipeline Data Lagasco'!$Q1645,'Dec 31 2018 OFFS'!$W:$W,'T1 2019 Pipeline Data Lagasco'!$G1645))/(MAX(COUNTIFS('Dec 31 2018 OFFS'!$AI:$AI,'T1 2019 Pipeline Data Lagasco'!$A1645,'Dec 31 2018 OFFS'!$U:$U,'T1 2019 Pipeline Data Lagasco'!$E1645,'Dec 31 2018 OFFS'!$AK:$AK,'T1 2019 Pipeline Data Lagasco'!$Q1645,'Dec 31 2018 OFFS'!$W:$W,'T1 2019 Pipeline Data Lagasco'!$G1645),1))</f>
        <v>49303</v>
      </c>
      <c r="S1645" s="275">
        <f t="shared" si="50"/>
        <v>0</v>
      </c>
      <c r="T1645" s="314"/>
    </row>
    <row r="1646" spans="1:20" ht="14.35">
      <c r="A1646" s="326" t="s">
        <v>1458</v>
      </c>
      <c r="B1646" s="326" t="s">
        <v>336</v>
      </c>
      <c r="C1646" s="327">
        <v>1</v>
      </c>
      <c r="D1646" s="326" t="s">
        <v>909</v>
      </c>
      <c r="E1646" s="328">
        <v>3</v>
      </c>
      <c r="F1646" s="328">
        <v>3868</v>
      </c>
      <c r="G1646" s="328">
        <v>2002</v>
      </c>
      <c r="H1646" s="328">
        <v>1</v>
      </c>
      <c r="I1646" s="328">
        <v>1</v>
      </c>
      <c r="J1646" s="326"/>
      <c r="K1646" s="329">
        <v>91246.12</v>
      </c>
      <c r="L1646" s="326">
        <v>57</v>
      </c>
      <c r="M1646" s="329">
        <f t="shared" si="51"/>
        <v>39235.831600000005</v>
      </c>
      <c r="N1646" s="328">
        <v>23.59</v>
      </c>
      <c r="O1646" s="328">
        <f t="shared" si="53"/>
        <v>39235</v>
      </c>
      <c r="P1646" s="326"/>
      <c r="Q1646" s="276">
        <f t="shared" si="49"/>
        <v>3868</v>
      </c>
      <c r="R1646" s="275">
        <f>(SUMIFS('Dec 31 2018 OFFS'!$AG:$AG,'Dec 31 2018 OFFS'!$AI:$AI,'T1 2019 Pipeline Data Lagasco'!$A1646,'Dec 31 2018 OFFS'!$U:$U,'T1 2019 Pipeline Data Lagasco'!$E1646,'Dec 31 2018 OFFS'!$AK:$AK,'T1 2019 Pipeline Data Lagasco'!$Q1646,'Dec 31 2018 OFFS'!$W:$W,'T1 2019 Pipeline Data Lagasco'!$G1646))/(MAX(COUNTIFS('Dec 31 2018 OFFS'!$AI:$AI,'T1 2019 Pipeline Data Lagasco'!$A1646,'Dec 31 2018 OFFS'!$U:$U,'T1 2019 Pipeline Data Lagasco'!$E1646,'Dec 31 2018 OFFS'!$AK:$AK,'T1 2019 Pipeline Data Lagasco'!$Q1646,'Dec 31 2018 OFFS'!$W:$W,'T1 2019 Pipeline Data Lagasco'!$G1646),1))</f>
        <v>39235</v>
      </c>
      <c r="S1646" s="275">
        <f t="shared" si="50"/>
        <v>0</v>
      </c>
      <c r="T1646" s="314"/>
    </row>
    <row r="1647" spans="1:20" ht="14.35">
      <c r="A1647" s="326" t="s">
        <v>1463</v>
      </c>
      <c r="B1647" s="326" t="s">
        <v>653</v>
      </c>
      <c r="C1647" s="327">
        <v>1</v>
      </c>
      <c r="D1647" s="326" t="s">
        <v>909</v>
      </c>
      <c r="E1647" s="328">
        <v>3</v>
      </c>
      <c r="F1647" s="328">
        <v>2571.7518940260002</v>
      </c>
      <c r="G1647" s="328">
        <v>2004</v>
      </c>
      <c r="H1647" s="328">
        <v>1</v>
      </c>
      <c r="I1647" s="328">
        <v>1</v>
      </c>
      <c r="J1647" s="326"/>
      <c r="K1647" s="329">
        <v>60667.627180073345</v>
      </c>
      <c r="L1647" s="326">
        <v>56</v>
      </c>
      <c r="M1647" s="329">
        <f t="shared" si="51"/>
        <v>26693.755959232269</v>
      </c>
      <c r="N1647" s="328">
        <v>23.59</v>
      </c>
      <c r="O1647" s="328">
        <f t="shared" si="53"/>
        <v>26693</v>
      </c>
      <c r="P1647" s="326"/>
      <c r="Q1647" s="276">
        <f t="shared" si="49"/>
        <v>2571.75</v>
      </c>
      <c r="R1647" s="275">
        <f>(SUMIFS('Dec 31 2018 OFFS'!$AG:$AG,'Dec 31 2018 OFFS'!$AI:$AI,'T1 2019 Pipeline Data Lagasco'!$A1647,'Dec 31 2018 OFFS'!$U:$U,'T1 2019 Pipeline Data Lagasco'!$E1647,'Dec 31 2018 OFFS'!$AK:$AK,'T1 2019 Pipeline Data Lagasco'!$Q1647,'Dec 31 2018 OFFS'!$W:$W,'T1 2019 Pipeline Data Lagasco'!$G1647))/(MAX(COUNTIFS('Dec 31 2018 OFFS'!$AI:$AI,'T1 2019 Pipeline Data Lagasco'!$A1647,'Dec 31 2018 OFFS'!$U:$U,'T1 2019 Pipeline Data Lagasco'!$E1647,'Dec 31 2018 OFFS'!$AK:$AK,'T1 2019 Pipeline Data Lagasco'!$Q1647,'Dec 31 2018 OFFS'!$W:$W,'T1 2019 Pipeline Data Lagasco'!$G1647),1))</f>
        <v>26693</v>
      </c>
      <c r="S1647" s="275">
        <f t="shared" si="50"/>
        <v>0</v>
      </c>
      <c r="T1647" s="314"/>
    </row>
    <row r="1648" spans="1:20" ht="14.35">
      <c r="A1648" s="326" t="s">
        <v>1466</v>
      </c>
      <c r="B1648" s="326" t="s">
        <v>890</v>
      </c>
      <c r="C1648" s="327">
        <v>1</v>
      </c>
      <c r="D1648" s="326" t="s">
        <v>909</v>
      </c>
      <c r="E1648" s="328">
        <v>3</v>
      </c>
      <c r="F1648" s="328">
        <v>3193.4054193299999</v>
      </c>
      <c r="G1648" s="328">
        <v>2004</v>
      </c>
      <c r="H1648" s="328">
        <v>1</v>
      </c>
      <c r="I1648" s="328">
        <v>1</v>
      </c>
      <c r="J1648" s="326"/>
      <c r="K1648" s="329">
        <v>75332.433841994702</v>
      </c>
      <c r="L1648" s="326">
        <v>56</v>
      </c>
      <c r="M1648" s="329">
        <f t="shared" si="51"/>
        <v>33146.270890477666</v>
      </c>
      <c r="N1648" s="328">
        <v>23.59</v>
      </c>
      <c r="O1648" s="328">
        <f>ROUNDDOWN(M1648*H1648*I1648,0)</f>
        <v>33146</v>
      </c>
      <c r="P1648" s="326"/>
      <c r="Q1648" s="276">
        <f t="shared" si="49"/>
        <v>3193.41</v>
      </c>
      <c r="R1648" s="275">
        <f>(SUMIFS('Dec 31 2018 OFFS'!$AG:$AG,'Dec 31 2018 OFFS'!$AI:$AI,'T1 2019 Pipeline Data Lagasco'!$A1648,'Dec 31 2018 OFFS'!$U:$U,'T1 2019 Pipeline Data Lagasco'!$E1648,'Dec 31 2018 OFFS'!$AK:$AK,'T1 2019 Pipeline Data Lagasco'!$Q1648,'Dec 31 2018 OFFS'!$W:$W,'T1 2019 Pipeline Data Lagasco'!$G1648))/(MAX(COUNTIFS('Dec 31 2018 OFFS'!$AI:$AI,'T1 2019 Pipeline Data Lagasco'!$A1648,'Dec 31 2018 OFFS'!$U:$U,'T1 2019 Pipeline Data Lagasco'!$E1648,'Dec 31 2018 OFFS'!$AK:$AK,'T1 2019 Pipeline Data Lagasco'!$Q1648,'Dec 31 2018 OFFS'!$W:$W,'T1 2019 Pipeline Data Lagasco'!$G1648),1))</f>
        <v>33146</v>
      </c>
      <c r="S1648" s="275">
        <f t="shared" si="50"/>
        <v>0</v>
      </c>
      <c r="T1648" s="314"/>
    </row>
    <row r="1649" spans="1:20" ht="14.35">
      <c r="A1649" s="308"/>
      <c r="B1649" s="308"/>
      <c r="C1649" s="308"/>
      <c r="D1649" s="308"/>
      <c r="E1649" s="308"/>
      <c r="F1649" s="308"/>
      <c r="G1649" s="308"/>
      <c r="H1649" s="324"/>
      <c r="I1649" s="308"/>
      <c r="J1649" s="308"/>
      <c r="K1649" s="325"/>
      <c r="L1649" s="308"/>
      <c r="M1649" s="325"/>
      <c r="N1649" s="308"/>
      <c r="O1649" s="308"/>
      <c r="P1649" s="308"/>
      <c r="Q1649" s="308"/>
      <c r="R1649" s="308"/>
      <c r="S1649" s="308"/>
      <c r="T1649" s="314"/>
    </row>
    <row r="1650" spans="1:20" ht="14.35">
      <c r="A1650" s="308"/>
      <c r="B1650" s="308"/>
      <c r="C1650" s="308"/>
      <c r="D1650" s="308"/>
      <c r="E1650" s="308"/>
      <c r="F1650" s="308"/>
      <c r="G1650" s="308"/>
      <c r="H1650" s="324"/>
      <c r="I1650" s="308"/>
      <c r="J1650" s="308"/>
      <c r="K1650" s="325"/>
      <c r="L1650" s="308"/>
      <c r="M1650" s="325"/>
      <c r="N1650" s="308"/>
      <c r="O1650" s="308"/>
      <c r="P1650" s="308"/>
      <c r="Q1650" s="308"/>
      <c r="R1650" s="308"/>
      <c r="S1650" s="308"/>
      <c r="T1650" s="314"/>
    </row>
    <row r="1651" ht="14.35">
      <c r="P1651" s="307" t="s">
        <v>1560</v>
      </c>
    </row>
    <row r="1653" spans="11:15" ht="12.7">
      <c r="K1653" s="262">
        <f>SUM(K2:K1648)</f>
        <v>221198844.89154553</v>
      </c>
      <c r="M1653" s="262">
        <f>SUM(M2:M1648)</f>
        <v>65457666.191827781</v>
      </c>
      <c r="O1653" s="262">
        <f>SUM(O2:O1648)</f>
        <v>43804030</v>
      </c>
    </row>
    <row r="1655" spans="2:15" ht="12.7">
      <c r="B1655" s="263" t="s">
        <v>1548</v>
      </c>
      <c r="K1655" s="264">
        <f>SUBTOTAL(9,K3:K1651)</f>
        <v>221198844.89154553</v>
      </c>
      <c r="M1655" s="264">
        <f>SUBTOTAL(9,M3:M1651)</f>
        <v>65457666.191827781</v>
      </c>
      <c r="O1655" s="264">
        <f>SUBTOTAL(9,O3:O1651)</f>
        <v>43804030</v>
      </c>
    </row>
    <row r="1660" ht="14.35">
      <c r="K1660" s="265"/>
    </row>
    <row r="1661" ht="14.35">
      <c r="K1661" s="265"/>
    </row>
  </sheetData>
  <autoFilter ref="A2:S1648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workbookViewId="0" topLeftCell="A1">
      <pane xSplit="2" ySplit="3" topLeftCell="C4" activePane="bottomRight" state="frozen"/>
      <selection pane="topLeft" activeCell="E1635" sqref="E1635"/>
      <selection pane="bottomLeft" activeCell="E1635" sqref="E1635"/>
      <selection pane="topRight" activeCell="E1635" sqref="E1635"/>
      <selection pane="bottomRight" activeCell="B42" sqref="B42"/>
    </sheetView>
  </sheetViews>
  <sheetFormatPr defaultColWidth="9.1171875" defaultRowHeight="12.75"/>
  <cols>
    <col min="1" max="1" width="8" style="267" customWidth="1"/>
    <col min="2" max="2" width="19.1428571428571" style="267" customWidth="1"/>
    <col min="3" max="3" width="21.4285714285714" style="267" customWidth="1"/>
    <col min="4" max="4" width="11.2857142857143" style="267" customWidth="1"/>
    <col min="5" max="6" width="9.14285714285714" style="267"/>
    <col min="7" max="7" width="10.8571428571429" style="267" customWidth="1"/>
    <col min="8" max="16384" width="9.14285714285714" style="267"/>
  </cols>
  <sheetData>
    <row r="1" spans="4:7" ht="14.35">
      <c r="D1" s="332" t="s">
        <v>1566</v>
      </c>
      <c r="E1" s="335"/>
      <c r="F1" s="335"/>
      <c r="G1" s="332" t="s">
        <v>1567</v>
      </c>
    </row>
    <row r="2" spans="2:7" ht="15" customHeight="1">
      <c r="B2" s="268"/>
      <c r="C2" s="268"/>
      <c r="D2" s="268" t="s">
        <v>1469</v>
      </c>
      <c r="G2" s="268" t="s">
        <v>1469</v>
      </c>
    </row>
    <row r="3" spans="1:7" ht="14.1" customHeight="1">
      <c r="A3" s="334" t="s">
        <v>1549</v>
      </c>
      <c r="B3" s="334" t="s">
        <v>1470</v>
      </c>
      <c r="C3" s="334" t="s">
        <v>1550</v>
      </c>
      <c r="D3" s="334" t="s">
        <v>1551</v>
      </c>
      <c r="G3" s="334" t="s">
        <v>1551</v>
      </c>
    </row>
    <row r="4" spans="1:7" ht="14.1" customHeight="1">
      <c r="A4" s="333">
        <v>18</v>
      </c>
      <c r="B4" s="269" t="s">
        <v>1486</v>
      </c>
      <c r="C4" s="269" t="s">
        <v>1552</v>
      </c>
      <c r="D4" s="270">
        <f>SUMIFS('T1 2019 Pipeline Data Lagasco'!$O$2:$O$1650,'T1 2019 Pipeline Data Lagasco'!$A$2:$A$1650,'T2 2019 Pipeline Values Lagasco'!$B4)</f>
        <v>454971</v>
      </c>
      <c r="G4" s="271">
        <v>421000</v>
      </c>
    </row>
    <row r="5" spans="1:7" ht="14.1" customHeight="1">
      <c r="A5" s="333">
        <v>18</v>
      </c>
      <c r="B5" s="269" t="s">
        <v>1489</v>
      </c>
      <c r="C5" s="269" t="s">
        <v>1552</v>
      </c>
      <c r="D5" s="270">
        <f>SUMIFS('T1 2019 Pipeline Data Lagasco'!$O$2:$O$1650,'T1 2019 Pipeline Data Lagasco'!$A$2:$A$1650,'T2 2019 Pipeline Values Lagasco'!$B5)</f>
        <v>87902</v>
      </c>
      <c r="G5" s="271">
        <v>87000</v>
      </c>
    </row>
    <row r="6" spans="1:7" ht="14.1" customHeight="1">
      <c r="A6" s="333">
        <v>20</v>
      </c>
      <c r="B6" s="269" t="s">
        <v>1491</v>
      </c>
      <c r="C6" s="269" t="s">
        <v>1552</v>
      </c>
      <c r="D6" s="270">
        <f>SUMIFS('T1 2019 Pipeline Data Lagasco'!$O$2:$O$1650,'T1 2019 Pipeline Data Lagasco'!$A$2:$A$1650,'T2 2019 Pipeline Values Lagasco'!$B6)</f>
        <v>4904590</v>
      </c>
      <c r="G6" s="271">
        <v>5463000</v>
      </c>
    </row>
    <row r="7" spans="1:7" ht="14.1" customHeight="1">
      <c r="A7" s="333">
        <v>20</v>
      </c>
      <c r="B7" s="269" t="s">
        <v>1494</v>
      </c>
      <c r="C7" s="269" t="s">
        <v>1552</v>
      </c>
      <c r="D7" s="270">
        <f>SUMIFS('T1 2019 Pipeline Data Lagasco'!$O$2:$O$1650,'T1 2019 Pipeline Data Lagasco'!$A$2:$A$1650,'T2 2019 Pipeline Values Lagasco'!$B7)</f>
        <v>4944971</v>
      </c>
      <c r="G7" s="271">
        <v>5045000</v>
      </c>
    </row>
    <row r="8" spans="1:7" ht="14.1" customHeight="1">
      <c r="A8" s="333">
        <v>20</v>
      </c>
      <c r="B8" s="269" t="s">
        <v>1496</v>
      </c>
      <c r="C8" s="269" t="s">
        <v>1552</v>
      </c>
      <c r="D8" s="270">
        <f>SUMIFS('T1 2019 Pipeline Data Lagasco'!$O$2:$O$1650,'T1 2019 Pipeline Data Lagasco'!$A$2:$A$1650,'T2 2019 Pipeline Values Lagasco'!$B8)</f>
        <v>3997444</v>
      </c>
      <c r="G8" s="272">
        <v>4004000</v>
      </c>
    </row>
    <row r="9" spans="1:7" ht="14.1" customHeight="1">
      <c r="A9" s="333">
        <v>20</v>
      </c>
      <c r="B9" s="269" t="s">
        <v>1498</v>
      </c>
      <c r="C9" s="269" t="s">
        <v>1552</v>
      </c>
      <c r="D9" s="270">
        <f>SUMIFS('T1 2019 Pipeline Data Lagasco'!$O$2:$O$1650,'T1 2019 Pipeline Data Lagasco'!$A$2:$A$1650,'T2 2019 Pipeline Values Lagasco'!$B9)</f>
        <v>103897</v>
      </c>
      <c r="G9" s="271">
        <v>103000</v>
      </c>
    </row>
    <row r="10" spans="1:7" ht="14.1" customHeight="1">
      <c r="A10" s="333">
        <v>20</v>
      </c>
      <c r="B10" s="269" t="s">
        <v>1500</v>
      </c>
      <c r="C10" s="269" t="s">
        <v>1552</v>
      </c>
      <c r="D10" s="270">
        <f>SUMIFS('T1 2019 Pipeline Data Lagasco'!$O$2:$O$1650,'T1 2019 Pipeline Data Lagasco'!$A$2:$A$1650,'T2 2019 Pipeline Values Lagasco'!$B10)</f>
        <v>5735659</v>
      </c>
      <c r="G10" s="271">
        <v>5497000</v>
      </c>
    </row>
    <row r="11" spans="1:7" ht="14.1" customHeight="1">
      <c r="A11" s="333">
        <v>23</v>
      </c>
      <c r="B11" s="269" t="s">
        <v>1502</v>
      </c>
      <c r="C11" s="269" t="s">
        <v>1552</v>
      </c>
      <c r="D11" s="270">
        <f>SUMIFS('T1 2019 Pipeline Data Lagasco'!$O$2:$O$1650,'T1 2019 Pipeline Data Lagasco'!$A$2:$A$1650,'T2 2019 Pipeline Values Lagasco'!$B11)</f>
        <v>2781045</v>
      </c>
      <c r="G11" s="271">
        <v>2748000</v>
      </c>
    </row>
    <row r="12" spans="1:7" ht="14.1" customHeight="1">
      <c r="A12" s="333">
        <v>23</v>
      </c>
      <c r="B12" s="269" t="s">
        <v>1504</v>
      </c>
      <c r="C12" s="269" t="s">
        <v>1552</v>
      </c>
      <c r="D12" s="270">
        <f>SUMIFS('T1 2019 Pipeline Data Lagasco'!$O$2:$O$1650,'T1 2019 Pipeline Data Lagasco'!$A$2:$A$1650,'T2 2019 Pipeline Values Lagasco'!$B12)</f>
        <v>6083905</v>
      </c>
      <c r="G12" s="271">
        <v>6084000</v>
      </c>
    </row>
    <row r="13" spans="1:7" ht="14.1" customHeight="1">
      <c r="A13" s="333">
        <v>23</v>
      </c>
      <c r="B13" s="269" t="s">
        <v>1506</v>
      </c>
      <c r="C13" s="269" t="s">
        <v>1552</v>
      </c>
      <c r="D13" s="270">
        <f>SUMIFS('T1 2019 Pipeline Data Lagasco'!$O$2:$O$1650,'T1 2019 Pipeline Data Lagasco'!$A$2:$A$1650,'T2 2019 Pipeline Values Lagasco'!$B13)</f>
        <v>903421</v>
      </c>
      <c r="G13" s="271">
        <v>929000</v>
      </c>
    </row>
    <row r="14" spans="1:7" ht="14.1" customHeight="1">
      <c r="A14" s="333">
        <v>23</v>
      </c>
      <c r="B14" s="269" t="s">
        <v>1508</v>
      </c>
      <c r="C14" s="269" t="s">
        <v>1552</v>
      </c>
      <c r="D14" s="270">
        <f>SUMIFS('T1 2019 Pipeline Data Lagasco'!$O$2:$O$1650,'T1 2019 Pipeline Data Lagasco'!$A$2:$A$1650,'T2 2019 Pipeline Values Lagasco'!$B14)</f>
        <v>0</v>
      </c>
      <c r="G14" s="271">
        <v>153000</v>
      </c>
    </row>
    <row r="15" spans="1:7" ht="14.1" customHeight="1">
      <c r="A15" s="333">
        <v>23</v>
      </c>
      <c r="B15" s="269" t="s">
        <v>1510</v>
      </c>
      <c r="C15" s="269" t="s">
        <v>1552</v>
      </c>
      <c r="D15" s="270">
        <f>SUMIFS('T1 2019 Pipeline Data Lagasco'!$O$2:$O$1650,'T1 2019 Pipeline Data Lagasco'!$A$2:$A$1650,'T2 2019 Pipeline Values Lagasco'!$B15)</f>
        <v>284472</v>
      </c>
      <c r="G15" s="271">
        <v>284000</v>
      </c>
    </row>
    <row r="16" spans="1:7" ht="14.1" customHeight="1">
      <c r="A16" s="333">
        <v>23</v>
      </c>
      <c r="B16" s="269" t="s">
        <v>1512</v>
      </c>
      <c r="C16" s="269" t="s">
        <v>1552</v>
      </c>
      <c r="D16" s="270">
        <f>SUMIFS('T1 2019 Pipeline Data Lagasco'!$O$2:$O$1650,'T1 2019 Pipeline Data Lagasco'!$A$2:$A$1650,'T2 2019 Pipeline Values Lagasco'!$B16)</f>
        <v>927711</v>
      </c>
      <c r="G16" s="271">
        <v>927000</v>
      </c>
    </row>
    <row r="17" spans="1:7" ht="14.1" customHeight="1">
      <c r="A17" s="333">
        <v>26</v>
      </c>
      <c r="B17" s="269" t="s">
        <v>1514</v>
      </c>
      <c r="C17" s="269" t="s">
        <v>1552</v>
      </c>
      <c r="D17" s="270">
        <f>SUMIFS('T1 2019 Pipeline Data Lagasco'!$O$2:$O$1650,'T1 2019 Pipeline Data Lagasco'!$A$2:$A$1650,'T2 2019 Pipeline Values Lagasco'!$B17)</f>
        <v>1512599</v>
      </c>
      <c r="G17" s="271">
        <v>1798000</v>
      </c>
    </row>
    <row r="18" spans="1:7" ht="14.1" customHeight="1">
      <c r="A18" s="333">
        <v>26</v>
      </c>
      <c r="B18" s="269" t="s">
        <v>1526</v>
      </c>
      <c r="C18" s="269" t="s">
        <v>1552</v>
      </c>
      <c r="D18" s="270">
        <f>SUMIFS('T1 2019 Pipeline Data Lagasco'!$O$2:$O$1650,'T1 2019 Pipeline Data Lagasco'!$A$2:$A$1650,'T2 2019 Pipeline Values Lagasco'!$B18)</f>
        <v>1812228</v>
      </c>
      <c r="G18" s="271">
        <v>1992000</v>
      </c>
    </row>
    <row r="19" spans="1:7" ht="14.1" customHeight="1">
      <c r="A19" s="333">
        <v>26</v>
      </c>
      <c r="B19" s="269" t="s">
        <v>1527</v>
      </c>
      <c r="C19" s="269" t="s">
        <v>1552</v>
      </c>
      <c r="D19" s="270">
        <f>SUMIFS('T1 2019 Pipeline Data Lagasco'!$O$2:$O$1650,'T1 2019 Pipeline Data Lagasco'!$A$2:$A$1650,'T2 2019 Pipeline Values Lagasco'!$B19)</f>
        <v>366115</v>
      </c>
      <c r="G19" s="271">
        <v>366000</v>
      </c>
    </row>
    <row r="20" spans="1:7" ht="14.1" customHeight="1">
      <c r="A20" s="333">
        <v>26</v>
      </c>
      <c r="B20" s="269" t="s">
        <v>1529</v>
      </c>
      <c r="C20" s="269" t="s">
        <v>1552</v>
      </c>
      <c r="D20" s="270">
        <f>SUMIFS('T1 2019 Pipeline Data Lagasco'!$O$2:$O$1650,'T1 2019 Pipeline Data Lagasco'!$A$2:$A$1650,'T2 2019 Pipeline Values Lagasco'!$B20)</f>
        <v>696181</v>
      </c>
      <c r="G20" s="271">
        <v>696000</v>
      </c>
    </row>
    <row r="21" spans="1:7" ht="14.1" customHeight="1">
      <c r="A21" s="333">
        <v>26</v>
      </c>
      <c r="B21" s="269" t="s">
        <v>1531</v>
      </c>
      <c r="C21" s="269" t="s">
        <v>1552</v>
      </c>
      <c r="D21" s="270">
        <f>SUMIFS('T1 2019 Pipeline Data Lagasco'!$O$2:$O$1650,'T1 2019 Pipeline Data Lagasco'!$A$2:$A$1650,'T2 2019 Pipeline Values Lagasco'!$B21)</f>
        <v>487735</v>
      </c>
      <c r="G21" s="271">
        <v>487000</v>
      </c>
    </row>
    <row r="22" spans="1:7" ht="14.1" customHeight="1">
      <c r="A22" s="333">
        <v>26</v>
      </c>
      <c r="B22" s="269" t="s">
        <v>1533</v>
      </c>
      <c r="C22" s="269" t="s">
        <v>1552</v>
      </c>
      <c r="D22" s="270">
        <f>SUMIFS('T1 2019 Pipeline Data Lagasco'!$O$2:$O$1650,'T1 2019 Pipeline Data Lagasco'!$A$2:$A$1650,'T2 2019 Pipeline Values Lagasco'!$B22)</f>
        <v>2748100</v>
      </c>
      <c r="G22" s="271">
        <v>3171000</v>
      </c>
    </row>
    <row r="23" spans="1:7" ht="14.1" customHeight="1">
      <c r="A23" s="333">
        <v>26</v>
      </c>
      <c r="B23" s="269" t="s">
        <v>1535</v>
      </c>
      <c r="C23" s="269" t="s">
        <v>1552</v>
      </c>
      <c r="D23" s="270">
        <f>SUMIFS('T1 2019 Pipeline Data Lagasco'!$O$2:$O$1650,'T1 2019 Pipeline Data Lagasco'!$A$2:$A$1650,'T2 2019 Pipeline Values Lagasco'!$B23)</f>
        <v>370397</v>
      </c>
      <c r="G23" s="271">
        <v>370000</v>
      </c>
    </row>
    <row r="24" spans="1:7" ht="14.1" customHeight="1">
      <c r="A24" s="333">
        <v>26</v>
      </c>
      <c r="B24" s="269" t="s">
        <v>1536</v>
      </c>
      <c r="C24" s="269" t="s">
        <v>1552</v>
      </c>
      <c r="D24" s="270">
        <f>SUMIFS('T1 2019 Pipeline Data Lagasco'!$O$2:$O$1650,'T1 2019 Pipeline Data Lagasco'!$A$2:$A$1650,'T2 2019 Pipeline Values Lagasco'!$B24)</f>
        <v>969033</v>
      </c>
      <c r="G24" s="271">
        <v>976000</v>
      </c>
    </row>
    <row r="25" spans="1:7" ht="14.1" customHeight="1">
      <c r="A25" s="333">
        <v>27</v>
      </c>
      <c r="B25" s="269" t="s">
        <v>1538</v>
      </c>
      <c r="C25" s="269" t="s">
        <v>1552</v>
      </c>
      <c r="D25" s="270">
        <f>SUMIFS('T1 2019 Pipeline Data Lagasco'!$O$2:$O$1650,'T1 2019 Pipeline Data Lagasco'!$A$2:$A$1650,'T2 2019 Pipeline Values Lagasco'!$B25)</f>
        <v>2205070</v>
      </c>
      <c r="G25" s="271">
        <v>2431000</v>
      </c>
    </row>
    <row r="26" spans="1:7" ht="14.1" customHeight="1">
      <c r="A26" s="333">
        <v>27</v>
      </c>
      <c r="B26" s="269" t="s">
        <v>1544</v>
      </c>
      <c r="C26" s="269" t="s">
        <v>1552</v>
      </c>
      <c r="D26" s="270">
        <f>SUMIFS('T1 2019 Pipeline Data Lagasco'!$O$2:$O$1650,'T1 2019 Pipeline Data Lagasco'!$A$2:$A$1650,'T2 2019 Pipeline Values Lagasco'!$B26)</f>
        <v>127536</v>
      </c>
      <c r="G26" s="271">
        <v>127000</v>
      </c>
    </row>
    <row r="27" spans="1:7" ht="15" customHeight="1">
      <c r="A27" s="333">
        <v>27</v>
      </c>
      <c r="B27" s="269" t="s">
        <v>1546</v>
      </c>
      <c r="C27" s="269" t="s">
        <v>1552</v>
      </c>
      <c r="D27" s="270">
        <f>SUMIFS('T1 2019 Pipeline Data Lagasco'!$O$2:$O$1650,'T1 2019 Pipeline Data Lagasco'!$A$2:$A$1650,'T2 2019 Pipeline Values Lagasco'!$B27)</f>
        <v>1299048</v>
      </c>
      <c r="G27" s="271">
        <v>1671000</v>
      </c>
    </row>
    <row r="28" ht="12.7">
      <c r="D28" s="27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1203"/>
  <sheetViews>
    <sheetView showGridLines="0" tabSelected="1" zoomScale="90" zoomScaleNormal="90" workbookViewId="0" topLeftCell="A1">
      <pane xSplit="7" ySplit="2" topLeftCell="AI3" activePane="bottomRight" state="frozen"/>
      <selection pane="topLeft" activeCell="A1" sqref="A1"/>
      <selection pane="bottomLeft" activeCell="A3" sqref="A3"/>
      <selection pane="topRight" activeCell="H1" sqref="H1"/>
      <selection pane="bottomRight" activeCell="AI1" sqref="AI1"/>
    </sheetView>
  </sheetViews>
  <sheetFormatPr defaultColWidth="9.1171875" defaultRowHeight="12.75"/>
  <cols>
    <col min="1" max="1" width="10.7142857142857" style="25" bestFit="1" customWidth="1"/>
    <col min="2" max="2" width="13.8571428571429" style="25" bestFit="1" customWidth="1"/>
    <col min="3" max="3" width="17.8571428571429" style="25" customWidth="1"/>
    <col min="4" max="4" width="17.7142857142857" style="25" bestFit="1" customWidth="1"/>
    <col min="5" max="5" width="17.4285714285714" style="25" bestFit="1" customWidth="1"/>
    <col min="6" max="6" width="13" style="25" customWidth="1"/>
    <col min="7" max="7" width="28.5714285714286" style="25" customWidth="1"/>
    <col min="8" max="8" width="5.42857142857143" style="25" customWidth="1"/>
    <col min="9" max="9" width="4" style="25" customWidth="1"/>
    <col min="10" max="10" width="10.1428571428571" style="25" customWidth="1"/>
    <col min="11" max="11" width="5.85714285714286" style="25" customWidth="1"/>
    <col min="12" max="12" width="4.28571428571429" style="25" customWidth="1"/>
    <col min="13" max="13" width="7.71428571428571" style="25" customWidth="1"/>
    <col min="14" max="14" width="25.7142857142857" style="25" customWidth="1"/>
    <col min="15" max="16" width="7" style="25" customWidth="1"/>
    <col min="17" max="17" width="8.57142857142857" style="25" customWidth="1"/>
    <col min="18" max="19" width="7" style="25" customWidth="1"/>
    <col min="20" max="20" width="9.28571428571429" style="25" customWidth="1"/>
    <col min="21" max="21" width="5.85714285714286" style="25" customWidth="1"/>
    <col min="22" max="22" width="15.1428571428571" style="28" customWidth="1"/>
    <col min="23" max="23" width="9.42857142857143" style="27" customWidth="1"/>
    <col min="24" max="24" width="8.85714285714286" style="25" customWidth="1"/>
    <col min="25" max="25" width="33.4285714285714" style="26" hidden="1" customWidth="1"/>
    <col min="26" max="26" width="11.2857142857143" style="25" customWidth="1"/>
    <col min="27" max="27" width="18.7142857142857" style="25" customWidth="1"/>
    <col min="28" max="28" width="9.71428571428571" style="25" customWidth="1"/>
    <col min="29" max="29" width="15.2857142857143" style="25" customWidth="1"/>
    <col min="30" max="30" width="15.7142857142857" style="25" customWidth="1"/>
    <col min="31" max="31" width="15.4285714285714" style="25" customWidth="1"/>
    <col min="32" max="32" width="18.7142857142857" style="25" customWidth="1"/>
    <col min="33" max="34" width="20.2857142857143" style="25" customWidth="1"/>
    <col min="35" max="35" width="21.1428571428571" style="123" customWidth="1"/>
    <col min="36" max="36" width="32" style="123" bestFit="1" customWidth="1"/>
    <col min="37" max="37" width="13.4285714285714" style="123" customWidth="1"/>
    <col min="38" max="38" width="14.5714285714286" style="25" customWidth="1"/>
    <col min="39" max="39" width="10.5714285714286" style="25" bestFit="1" customWidth="1"/>
    <col min="40" max="16384" width="9.14285714285714" style="25"/>
  </cols>
  <sheetData>
    <row r="1" spans="3:35" ht="63.75" customHeight="1">
      <c r="C1" s="342" t="s">
        <v>1446</v>
      </c>
      <c r="D1" s="342"/>
      <c r="E1" s="342"/>
      <c r="F1" s="342"/>
      <c r="G1" s="342"/>
      <c r="AI1" s="123">
        <v>3.7116700000509998E+18</v>
      </c>
    </row>
    <row r="2" spans="1:39" s="74" customFormat="1" ht="25.35">
      <c r="A2" s="110" t="s">
        <v>1057</v>
      </c>
      <c r="B2" s="111" t="s">
        <v>911</v>
      </c>
      <c r="C2" s="111" t="s">
        <v>912</v>
      </c>
      <c r="D2" s="111" t="s">
        <v>1151</v>
      </c>
      <c r="E2" s="111" t="s">
        <v>4</v>
      </c>
      <c r="F2" s="111" t="s">
        <v>913</v>
      </c>
      <c r="G2" s="119" t="s">
        <v>927</v>
      </c>
      <c r="H2" s="336" t="s">
        <v>1339</v>
      </c>
      <c r="I2" s="337"/>
      <c r="J2" s="337"/>
      <c r="K2" s="337"/>
      <c r="L2" s="337"/>
      <c r="M2" s="338"/>
      <c r="N2" s="111" t="s">
        <v>928</v>
      </c>
      <c r="O2" s="339" t="s">
        <v>1447</v>
      </c>
      <c r="P2" s="340"/>
      <c r="Q2" s="340"/>
      <c r="R2" s="340"/>
      <c r="S2" s="340"/>
      <c r="T2" s="341"/>
      <c r="U2" s="111" t="s">
        <v>0</v>
      </c>
      <c r="V2" s="112" t="s">
        <v>1152</v>
      </c>
      <c r="W2" s="113" t="s">
        <v>1</v>
      </c>
      <c r="X2" s="111" t="s">
        <v>2</v>
      </c>
      <c r="Y2" s="114" t="s">
        <v>3</v>
      </c>
      <c r="Z2" s="111" t="s">
        <v>5</v>
      </c>
      <c r="AA2" s="115" t="s">
        <v>914</v>
      </c>
      <c r="AB2" s="116" t="s">
        <v>915</v>
      </c>
      <c r="AC2" s="115" t="s">
        <v>916</v>
      </c>
      <c r="AD2" s="111" t="s">
        <v>1146</v>
      </c>
      <c r="AE2" s="111" t="s">
        <v>1147</v>
      </c>
      <c r="AF2" s="111" t="s">
        <v>1148</v>
      </c>
      <c r="AG2" s="191" t="s">
        <v>1468</v>
      </c>
      <c r="AH2" s="191" t="s">
        <v>1442</v>
      </c>
      <c r="AI2" s="191" t="s">
        <v>1429</v>
      </c>
      <c r="AJ2" s="191" t="s">
        <v>1485</v>
      </c>
      <c r="AK2" s="191" t="s">
        <v>1553</v>
      </c>
      <c r="AL2" s="191" t="s">
        <v>1554</v>
      </c>
      <c r="AM2" s="191" t="s">
        <v>1555</v>
      </c>
    </row>
    <row r="3" spans="1:39" ht="12.7">
      <c r="A3" s="192" t="s">
        <v>909</v>
      </c>
      <c r="B3" s="29" t="s">
        <v>919</v>
      </c>
      <c r="C3" s="29" t="s">
        <v>920</v>
      </c>
      <c r="D3" s="29" t="s">
        <v>1031</v>
      </c>
      <c r="E3" s="40" t="s">
        <v>1054</v>
      </c>
      <c r="F3" s="29"/>
      <c r="G3" s="35" t="s">
        <v>1032</v>
      </c>
      <c r="H3" s="30">
        <v>42</v>
      </c>
      <c r="I3" s="31">
        <v>24</v>
      </c>
      <c r="J3" s="32">
        <v>23.22</v>
      </c>
      <c r="K3" s="33">
        <v>81</v>
      </c>
      <c r="L3" s="31">
        <v>17</v>
      </c>
      <c r="M3" s="34">
        <v>53.64</v>
      </c>
      <c r="N3" s="29" t="s">
        <v>1029</v>
      </c>
      <c r="O3" s="30">
        <v>42</v>
      </c>
      <c r="P3" s="31">
        <v>24</v>
      </c>
      <c r="Q3" s="32">
        <v>25.071999999999999</v>
      </c>
      <c r="R3" s="33">
        <v>81</v>
      </c>
      <c r="S3" s="31">
        <v>17</v>
      </c>
      <c r="T3" s="34">
        <v>46.469000000000001</v>
      </c>
      <c r="U3" s="29">
        <v>6</v>
      </c>
      <c r="V3" s="36">
        <v>569.69000000000005</v>
      </c>
      <c r="W3" s="37">
        <v>1999</v>
      </c>
      <c r="X3" s="29"/>
      <c r="Y3" s="87"/>
      <c r="Z3" s="29" t="s">
        <v>910</v>
      </c>
      <c r="AA3" s="38">
        <f t="shared" si="0" ref="AA3">IF(F3="ABAND",0,(IF(Z3="steel",VLOOKUP(U3,steelrates,2,FALSE)*V3,VLOOKUP(U3,plasticrates,2,FALSE)*V3)))</f>
        <v>19728.364700000002</v>
      </c>
      <c r="AB3" s="72">
        <f t="shared" si="1" ref="AB3">IF(W3=0,0,(VLOOKUP(W3,depreciation,2)))</f>
        <v>0.62</v>
      </c>
      <c r="AC3" s="38">
        <f t="shared" si="2" ref="AC3">ROUND(+AA3-(+AA3*AB3),2)</f>
        <v>7496.78</v>
      </c>
      <c r="AD3" s="39">
        <f t="shared" si="3" ref="AD3">(IF(X3="LOOP",AC3*0.25,0))</f>
        <v>0</v>
      </c>
      <c r="AE3" s="39">
        <f t="shared" si="4" ref="AE3">(IF(F3="SUSP",AC3*0.2,0))</f>
        <v>0</v>
      </c>
      <c r="AF3" s="39">
        <f t="shared" si="5" ref="AF3">+AC3-AD3-AE3</f>
        <v>7496.78</v>
      </c>
      <c r="AG3" s="198">
        <f>ROUNDDOWN(AF3,0)</f>
        <v>7496</v>
      </c>
      <c r="AH3" s="187"/>
      <c r="AI3" s="185" t="s">
        <v>1448</v>
      </c>
      <c r="AJ3" s="185"/>
      <c r="AK3" s="277">
        <f t="shared" si="6" ref="AK3:AK66">ROUND(V3,2)</f>
        <v>569.69000000000005</v>
      </c>
      <c r="AL3" s="25">
        <f>(SUMIFS('T1 2019 Pipeline Data Lagasco'!$O:$O,'T1 2019 Pipeline Data Lagasco'!$A:$A,'Dec 31 2018 OFFS'!$AI3,'T1 2019 Pipeline Data Lagasco'!$Q:$Q,'Dec 31 2018 OFFS'!$AK3,'T1 2019 Pipeline Data Lagasco'!$E:$E,'Dec 31 2018 OFFS'!$U3,'T1 2019 Pipeline Data Lagasco'!$G:$G,'Dec 31 2018 OFFS'!$W3))/(MAX(COUNTIFS('T1 2019 Pipeline Data Lagasco'!$A:$A,'Dec 31 2018 OFFS'!$AI3,'T1 2019 Pipeline Data Lagasco'!$Q:$Q,'Dec 31 2018 OFFS'!$AK3,'T1 2019 Pipeline Data Lagasco'!$E:$E,'Dec 31 2018 OFFS'!$U3,'T1 2019 Pipeline Data Lagasco'!$G:$G,'Dec 31 2018 OFFS'!$W3),1))</f>
        <v>7496</v>
      </c>
      <c r="AM3" s="274">
        <f>AG3-AL3</f>
        <v>0</v>
      </c>
    </row>
    <row r="4" spans="1:39" ht="12.7">
      <c r="A4" s="193" t="s">
        <v>909</v>
      </c>
      <c r="B4" s="40" t="s">
        <v>919</v>
      </c>
      <c r="C4" s="40" t="s">
        <v>920</v>
      </c>
      <c r="D4" s="40" t="s">
        <v>1031</v>
      </c>
      <c r="E4" s="40" t="s">
        <v>1054</v>
      </c>
      <c r="F4" s="40"/>
      <c r="G4" s="41" t="s">
        <v>1033</v>
      </c>
      <c r="H4" s="42">
        <v>42</v>
      </c>
      <c r="I4" s="43">
        <v>24</v>
      </c>
      <c r="J4" s="44">
        <v>7.56</v>
      </c>
      <c r="K4" s="45">
        <v>81</v>
      </c>
      <c r="L4" s="43">
        <v>20</v>
      </c>
      <c r="M4" s="46">
        <v>31.44</v>
      </c>
      <c r="N4" s="40" t="s">
        <v>1032</v>
      </c>
      <c r="O4" s="42">
        <v>42</v>
      </c>
      <c r="P4" s="43">
        <v>24</v>
      </c>
      <c r="Q4" s="44">
        <v>23.22</v>
      </c>
      <c r="R4" s="45">
        <v>81</v>
      </c>
      <c r="S4" s="43">
        <v>17</v>
      </c>
      <c r="T4" s="46">
        <v>53.64</v>
      </c>
      <c r="U4" s="40">
        <v>6</v>
      </c>
      <c r="V4" s="47">
        <v>11944.23</v>
      </c>
      <c r="W4" s="48">
        <v>1999</v>
      </c>
      <c r="X4" s="40"/>
      <c r="Y4" s="53"/>
      <c r="Z4" s="40" t="s">
        <v>910</v>
      </c>
      <c r="AA4" s="49">
        <f t="shared" si="7" ref="AA4:AA67">IF(F4="ABAND",0,(IF(Z4="steel",VLOOKUP(U4,steelrates,2,FALSE)*V4,VLOOKUP(U4,plasticrates,2,FALSE)*V4)))</f>
        <v>413628.68489999999</v>
      </c>
      <c r="AB4" s="71">
        <f t="shared" si="8" ref="AB4:AB67">IF(W4=0,0,(VLOOKUP(W4,depreciation,2)))</f>
        <v>0.62</v>
      </c>
      <c r="AC4" s="49">
        <f t="shared" si="9" ref="AC4:AC67">ROUND(+AA4-(+AA4*AB4),2)</f>
        <v>157178.90</v>
      </c>
      <c r="AD4" s="50">
        <f t="shared" si="10" ref="AD4:AD67">(IF(X4="LOOP",AC4*0.25,0))</f>
        <v>0</v>
      </c>
      <c r="AE4" s="50">
        <f t="shared" si="11" ref="AE4:AE67">(IF(F4="SUSP",AC4*0.2,0))</f>
        <v>0</v>
      </c>
      <c r="AF4" s="50">
        <f t="shared" si="12" ref="AF4:AF67">+AC4-AD4-AE4</f>
        <v>157178.90</v>
      </c>
      <c r="AG4" s="199">
        <f t="shared" si="13" ref="AG4:AG67">ROUNDDOWN(AF4,0)</f>
        <v>157178</v>
      </c>
      <c r="AH4" s="187"/>
      <c r="AI4" s="185" t="s">
        <v>1448</v>
      </c>
      <c r="AJ4" s="185"/>
      <c r="AK4" s="277">
        <f t="shared" si="6"/>
        <v>11944.23</v>
      </c>
      <c r="AL4" s="25">
        <f>(SUMIFS('T1 2019 Pipeline Data Lagasco'!$O:$O,'T1 2019 Pipeline Data Lagasco'!$A:$A,'Dec 31 2018 OFFS'!$AI4,'T1 2019 Pipeline Data Lagasco'!$Q:$Q,'Dec 31 2018 OFFS'!$AK4,'T1 2019 Pipeline Data Lagasco'!$E:$E,'Dec 31 2018 OFFS'!$U4,'T1 2019 Pipeline Data Lagasco'!$G:$G,'Dec 31 2018 OFFS'!$W4))/(MAX(COUNTIFS('T1 2019 Pipeline Data Lagasco'!$A:$A,'Dec 31 2018 OFFS'!$AI4,'T1 2019 Pipeline Data Lagasco'!$Q:$Q,'Dec 31 2018 OFFS'!$AK4,'T1 2019 Pipeline Data Lagasco'!$E:$E,'Dec 31 2018 OFFS'!$U4,'T1 2019 Pipeline Data Lagasco'!$G:$G,'Dec 31 2018 OFFS'!$W4),1))</f>
        <v>157178</v>
      </c>
      <c r="AM4" s="274">
        <f t="shared" si="14" ref="AM4:AM67">AG4-AL4</f>
        <v>0</v>
      </c>
    </row>
    <row r="5" spans="1:39" ht="12.7">
      <c r="A5" s="193" t="s">
        <v>909</v>
      </c>
      <c r="B5" s="40" t="s">
        <v>919</v>
      </c>
      <c r="C5" s="40" t="s">
        <v>920</v>
      </c>
      <c r="D5" s="40" t="s">
        <v>1031</v>
      </c>
      <c r="E5" s="40" t="s">
        <v>1054</v>
      </c>
      <c r="F5" s="40"/>
      <c r="G5" s="41" t="s">
        <v>1034</v>
      </c>
      <c r="H5" s="42">
        <v>42</v>
      </c>
      <c r="I5" s="43">
        <v>23</v>
      </c>
      <c r="J5" s="44">
        <v>52.80</v>
      </c>
      <c r="K5" s="45">
        <v>81</v>
      </c>
      <c r="L5" s="43">
        <v>23</v>
      </c>
      <c r="M5" s="46">
        <v>9.84</v>
      </c>
      <c r="N5" s="40" t="s">
        <v>1033</v>
      </c>
      <c r="O5" s="42">
        <v>42</v>
      </c>
      <c r="P5" s="43">
        <v>24</v>
      </c>
      <c r="Q5" s="44">
        <v>7.56</v>
      </c>
      <c r="R5" s="45">
        <v>81</v>
      </c>
      <c r="S5" s="43">
        <v>20</v>
      </c>
      <c r="T5" s="46">
        <v>31.44</v>
      </c>
      <c r="U5" s="40">
        <v>6</v>
      </c>
      <c r="V5" s="47">
        <v>11977.99</v>
      </c>
      <c r="W5" s="48">
        <v>1999</v>
      </c>
      <c r="X5" s="40"/>
      <c r="Y5" s="53"/>
      <c r="Z5" s="40" t="s">
        <v>910</v>
      </c>
      <c r="AA5" s="49">
        <f t="shared" si="7"/>
        <v>414797.79370000004</v>
      </c>
      <c r="AB5" s="71">
        <f t="shared" si="8"/>
        <v>0.62</v>
      </c>
      <c r="AC5" s="49">
        <f t="shared" si="9"/>
        <v>157623.16</v>
      </c>
      <c r="AD5" s="50">
        <f t="shared" si="10"/>
        <v>0</v>
      </c>
      <c r="AE5" s="50">
        <f t="shared" si="11"/>
        <v>0</v>
      </c>
      <c r="AF5" s="50">
        <f t="shared" si="12"/>
        <v>157623.16</v>
      </c>
      <c r="AG5" s="199">
        <f t="shared" si="13"/>
        <v>157623</v>
      </c>
      <c r="AH5" s="187"/>
      <c r="AI5" s="185" t="s">
        <v>1448</v>
      </c>
      <c r="AJ5" s="185"/>
      <c r="AK5" s="277">
        <f t="shared" si="6"/>
        <v>11977.99</v>
      </c>
      <c r="AL5" s="25">
        <f>(SUMIFS('T1 2019 Pipeline Data Lagasco'!$O:$O,'T1 2019 Pipeline Data Lagasco'!$A:$A,'Dec 31 2018 OFFS'!$AI5,'T1 2019 Pipeline Data Lagasco'!$Q:$Q,'Dec 31 2018 OFFS'!$AK5,'T1 2019 Pipeline Data Lagasco'!$E:$E,'Dec 31 2018 OFFS'!$U5,'T1 2019 Pipeline Data Lagasco'!$G:$G,'Dec 31 2018 OFFS'!$W5))/(MAX(COUNTIFS('T1 2019 Pipeline Data Lagasco'!$A:$A,'Dec 31 2018 OFFS'!$AI5,'T1 2019 Pipeline Data Lagasco'!$Q:$Q,'Dec 31 2018 OFFS'!$AK5,'T1 2019 Pipeline Data Lagasco'!$E:$E,'Dec 31 2018 OFFS'!$U5,'T1 2019 Pipeline Data Lagasco'!$G:$G,'Dec 31 2018 OFFS'!$W5),1))</f>
        <v>157623</v>
      </c>
      <c r="AM5" s="274">
        <f t="shared" si="14"/>
        <v>0</v>
      </c>
    </row>
    <row r="6" spans="1:39" ht="12.7">
      <c r="A6" s="193" t="s">
        <v>909</v>
      </c>
      <c r="B6" s="40" t="s">
        <v>919</v>
      </c>
      <c r="C6" s="40" t="s">
        <v>920</v>
      </c>
      <c r="D6" s="40" t="s">
        <v>1031</v>
      </c>
      <c r="E6" s="40" t="s">
        <v>1054</v>
      </c>
      <c r="F6" s="40"/>
      <c r="G6" s="41" t="s">
        <v>1035</v>
      </c>
      <c r="H6" s="42">
        <v>42</v>
      </c>
      <c r="I6" s="43">
        <v>23</v>
      </c>
      <c r="J6" s="44">
        <v>19.02</v>
      </c>
      <c r="K6" s="45">
        <v>81</v>
      </c>
      <c r="L6" s="43">
        <v>28</v>
      </c>
      <c r="M6" s="46">
        <v>24.84</v>
      </c>
      <c r="N6" s="40" t="s">
        <v>1036</v>
      </c>
      <c r="O6" s="42">
        <v>42</v>
      </c>
      <c r="P6" s="43">
        <v>23</v>
      </c>
      <c r="Q6" s="44">
        <v>36.479999999999997</v>
      </c>
      <c r="R6" s="45">
        <v>81</v>
      </c>
      <c r="S6" s="43">
        <v>25</v>
      </c>
      <c r="T6" s="46">
        <v>47.76</v>
      </c>
      <c r="U6" s="40">
        <v>6</v>
      </c>
      <c r="V6" s="47">
        <v>11918.90</v>
      </c>
      <c r="W6" s="48">
        <v>1999</v>
      </c>
      <c r="X6" s="40"/>
      <c r="Y6" s="53"/>
      <c r="Z6" s="40" t="s">
        <v>910</v>
      </c>
      <c r="AA6" s="49">
        <f t="shared" si="7"/>
        <v>412751.50700000004</v>
      </c>
      <c r="AB6" s="71">
        <f t="shared" si="8"/>
        <v>0.62</v>
      </c>
      <c r="AC6" s="49">
        <f t="shared" si="9"/>
        <v>156845.57</v>
      </c>
      <c r="AD6" s="50">
        <f t="shared" si="10"/>
        <v>0</v>
      </c>
      <c r="AE6" s="50">
        <f t="shared" si="11"/>
        <v>0</v>
      </c>
      <c r="AF6" s="50">
        <f t="shared" si="12"/>
        <v>156845.57</v>
      </c>
      <c r="AG6" s="199">
        <f t="shared" si="13"/>
        <v>156845</v>
      </c>
      <c r="AH6" s="187"/>
      <c r="AI6" s="185" t="s">
        <v>1448</v>
      </c>
      <c r="AJ6" s="185"/>
      <c r="AK6" s="277">
        <f t="shared" si="6"/>
        <v>11918.90</v>
      </c>
      <c r="AL6" s="25">
        <f>(SUMIFS('T1 2019 Pipeline Data Lagasco'!$O:$O,'T1 2019 Pipeline Data Lagasco'!$A:$A,'Dec 31 2018 OFFS'!$AI6,'T1 2019 Pipeline Data Lagasco'!$Q:$Q,'Dec 31 2018 OFFS'!$AK6,'T1 2019 Pipeline Data Lagasco'!$E:$E,'Dec 31 2018 OFFS'!$U6,'T1 2019 Pipeline Data Lagasco'!$G:$G,'Dec 31 2018 OFFS'!$W6))/(MAX(COUNTIFS('T1 2019 Pipeline Data Lagasco'!$A:$A,'Dec 31 2018 OFFS'!$AI6,'T1 2019 Pipeline Data Lagasco'!$Q:$Q,'Dec 31 2018 OFFS'!$AK6,'T1 2019 Pipeline Data Lagasco'!$E:$E,'Dec 31 2018 OFFS'!$U6,'T1 2019 Pipeline Data Lagasco'!$G:$G,'Dec 31 2018 OFFS'!$W6),1))</f>
        <v>156845</v>
      </c>
      <c r="AM6" s="274">
        <f t="shared" si="14"/>
        <v>0</v>
      </c>
    </row>
    <row r="7" spans="1:39" ht="12.7">
      <c r="A7" s="193" t="s">
        <v>909</v>
      </c>
      <c r="B7" s="40" t="s">
        <v>919</v>
      </c>
      <c r="C7" s="40" t="s">
        <v>920</v>
      </c>
      <c r="D7" s="40" t="s">
        <v>1031</v>
      </c>
      <c r="E7" s="40" t="s">
        <v>1054</v>
      </c>
      <c r="F7" s="40"/>
      <c r="G7" s="41" t="s">
        <v>1036</v>
      </c>
      <c r="H7" s="42">
        <v>42</v>
      </c>
      <c r="I7" s="43">
        <v>23</v>
      </c>
      <c r="J7" s="44">
        <v>36.479999999999997</v>
      </c>
      <c r="K7" s="45">
        <v>81</v>
      </c>
      <c r="L7" s="43">
        <v>25</v>
      </c>
      <c r="M7" s="46">
        <v>47.76</v>
      </c>
      <c r="N7" s="40" t="s">
        <v>1034</v>
      </c>
      <c r="O7" s="42">
        <v>42</v>
      </c>
      <c r="P7" s="43">
        <v>23</v>
      </c>
      <c r="Q7" s="44">
        <v>52.80</v>
      </c>
      <c r="R7" s="45">
        <v>81</v>
      </c>
      <c r="S7" s="43">
        <v>23</v>
      </c>
      <c r="T7" s="46">
        <v>9.84</v>
      </c>
      <c r="U7" s="40">
        <v>6</v>
      </c>
      <c r="V7" s="47">
        <v>11963.88</v>
      </c>
      <c r="W7" s="48">
        <v>1999</v>
      </c>
      <c r="X7" s="40"/>
      <c r="Y7" s="53"/>
      <c r="Z7" s="40" t="s">
        <v>910</v>
      </c>
      <c r="AA7" s="49">
        <f t="shared" si="7"/>
        <v>414309.16440000001</v>
      </c>
      <c r="AB7" s="71">
        <f t="shared" si="8"/>
        <v>0.62</v>
      </c>
      <c r="AC7" s="49">
        <f t="shared" si="9"/>
        <v>157437.48000000001</v>
      </c>
      <c r="AD7" s="50">
        <f t="shared" si="10"/>
        <v>0</v>
      </c>
      <c r="AE7" s="50">
        <f t="shared" si="11"/>
        <v>0</v>
      </c>
      <c r="AF7" s="50">
        <f t="shared" si="12"/>
        <v>157437.48000000001</v>
      </c>
      <c r="AG7" s="199">
        <f t="shared" si="13"/>
        <v>157437</v>
      </c>
      <c r="AH7" s="187"/>
      <c r="AI7" s="185" t="s">
        <v>1448</v>
      </c>
      <c r="AJ7" s="185"/>
      <c r="AK7" s="277">
        <f t="shared" si="6"/>
        <v>11963.88</v>
      </c>
      <c r="AL7" s="25">
        <f>(SUMIFS('T1 2019 Pipeline Data Lagasco'!$O:$O,'T1 2019 Pipeline Data Lagasco'!$A:$A,'Dec 31 2018 OFFS'!$AI7,'T1 2019 Pipeline Data Lagasco'!$Q:$Q,'Dec 31 2018 OFFS'!$AK7,'T1 2019 Pipeline Data Lagasco'!$E:$E,'Dec 31 2018 OFFS'!$U7,'T1 2019 Pipeline Data Lagasco'!$G:$G,'Dec 31 2018 OFFS'!$W7))/(MAX(COUNTIFS('T1 2019 Pipeline Data Lagasco'!$A:$A,'Dec 31 2018 OFFS'!$AI7,'T1 2019 Pipeline Data Lagasco'!$Q:$Q,'Dec 31 2018 OFFS'!$AK7,'T1 2019 Pipeline Data Lagasco'!$E:$E,'Dec 31 2018 OFFS'!$U7,'T1 2019 Pipeline Data Lagasco'!$G:$G,'Dec 31 2018 OFFS'!$W7),1))</f>
        <v>157437</v>
      </c>
      <c r="AM7" s="274">
        <f t="shared" si="14"/>
        <v>0</v>
      </c>
    </row>
    <row r="8" spans="1:39" ht="12.7">
      <c r="A8" s="193" t="s">
        <v>909</v>
      </c>
      <c r="B8" s="40" t="s">
        <v>919</v>
      </c>
      <c r="C8" s="40" t="s">
        <v>920</v>
      </c>
      <c r="D8" s="40" t="s">
        <v>1031</v>
      </c>
      <c r="E8" s="40" t="s">
        <v>1054</v>
      </c>
      <c r="F8" s="40"/>
      <c r="G8" s="41" t="s">
        <v>1037</v>
      </c>
      <c r="H8" s="42">
        <v>42</v>
      </c>
      <c r="I8" s="43">
        <v>23</v>
      </c>
      <c r="J8" s="44">
        <v>3.96</v>
      </c>
      <c r="K8" s="45">
        <v>81</v>
      </c>
      <c r="L8" s="43">
        <v>31</v>
      </c>
      <c r="M8" s="46">
        <v>1.86</v>
      </c>
      <c r="N8" s="40" t="s">
        <v>1035</v>
      </c>
      <c r="O8" s="42">
        <v>42</v>
      </c>
      <c r="P8" s="43">
        <v>23</v>
      </c>
      <c r="Q8" s="44">
        <v>19.02</v>
      </c>
      <c r="R8" s="45">
        <v>81</v>
      </c>
      <c r="S8" s="43">
        <v>28</v>
      </c>
      <c r="T8" s="46">
        <v>24.84</v>
      </c>
      <c r="U8" s="40">
        <v>6</v>
      </c>
      <c r="V8" s="47">
        <v>11881.73</v>
      </c>
      <c r="W8" s="48">
        <v>1999</v>
      </c>
      <c r="X8" s="40"/>
      <c r="Y8" s="53"/>
      <c r="Z8" s="40" t="s">
        <v>910</v>
      </c>
      <c r="AA8" s="49">
        <f t="shared" si="7"/>
        <v>411464.30989999999</v>
      </c>
      <c r="AB8" s="71">
        <f t="shared" si="8"/>
        <v>0.62</v>
      </c>
      <c r="AC8" s="49">
        <f t="shared" si="9"/>
        <v>156356.44</v>
      </c>
      <c r="AD8" s="50">
        <f t="shared" si="10"/>
        <v>0</v>
      </c>
      <c r="AE8" s="50">
        <f t="shared" si="11"/>
        <v>0</v>
      </c>
      <c r="AF8" s="50">
        <f t="shared" si="12"/>
        <v>156356.44</v>
      </c>
      <c r="AG8" s="199">
        <f t="shared" si="13"/>
        <v>156356</v>
      </c>
      <c r="AH8" s="187"/>
      <c r="AI8" s="185" t="s">
        <v>1448</v>
      </c>
      <c r="AJ8" s="185"/>
      <c r="AK8" s="277">
        <f t="shared" si="6"/>
        <v>11881.73</v>
      </c>
      <c r="AL8" s="25">
        <f>(SUMIFS('T1 2019 Pipeline Data Lagasco'!$O:$O,'T1 2019 Pipeline Data Lagasco'!$A:$A,'Dec 31 2018 OFFS'!$AI8,'T1 2019 Pipeline Data Lagasco'!$Q:$Q,'Dec 31 2018 OFFS'!$AK8,'T1 2019 Pipeline Data Lagasco'!$E:$E,'Dec 31 2018 OFFS'!$U8,'T1 2019 Pipeline Data Lagasco'!$G:$G,'Dec 31 2018 OFFS'!$W8))/(MAX(COUNTIFS('T1 2019 Pipeline Data Lagasco'!$A:$A,'Dec 31 2018 OFFS'!$AI8,'T1 2019 Pipeline Data Lagasco'!$Q:$Q,'Dec 31 2018 OFFS'!$AK8,'T1 2019 Pipeline Data Lagasco'!$E:$E,'Dec 31 2018 OFFS'!$U8,'T1 2019 Pipeline Data Lagasco'!$G:$G,'Dec 31 2018 OFFS'!$W8),1))</f>
        <v>156356</v>
      </c>
      <c r="AM8" s="274">
        <f t="shared" si="14"/>
        <v>0</v>
      </c>
    </row>
    <row r="9" spans="1:39" ht="12.7">
      <c r="A9" s="193" t="s">
        <v>909</v>
      </c>
      <c r="B9" s="40" t="s">
        <v>919</v>
      </c>
      <c r="C9" s="40" t="s">
        <v>920</v>
      </c>
      <c r="D9" s="40" t="s">
        <v>1031</v>
      </c>
      <c r="E9" s="40" t="s">
        <v>1054</v>
      </c>
      <c r="F9" s="40"/>
      <c r="G9" s="41" t="s">
        <v>1038</v>
      </c>
      <c r="H9" s="42">
        <v>42</v>
      </c>
      <c r="I9" s="43">
        <v>22</v>
      </c>
      <c r="J9" s="44">
        <v>47.82</v>
      </c>
      <c r="K9" s="45">
        <v>81</v>
      </c>
      <c r="L9" s="43">
        <v>33</v>
      </c>
      <c r="M9" s="46">
        <v>39.90</v>
      </c>
      <c r="N9" s="40" t="s">
        <v>1037</v>
      </c>
      <c r="O9" s="42">
        <v>42</v>
      </c>
      <c r="P9" s="43">
        <v>23</v>
      </c>
      <c r="Q9" s="44">
        <v>3.96</v>
      </c>
      <c r="R9" s="45">
        <v>81</v>
      </c>
      <c r="S9" s="43">
        <v>31</v>
      </c>
      <c r="T9" s="46">
        <v>1.86</v>
      </c>
      <c r="U9" s="40">
        <v>6</v>
      </c>
      <c r="V9" s="47">
        <v>10241.83</v>
      </c>
      <c r="W9" s="48">
        <v>1999</v>
      </c>
      <c r="X9" s="40"/>
      <c r="Y9" s="53"/>
      <c r="Z9" s="40" t="s">
        <v>910</v>
      </c>
      <c r="AA9" s="49">
        <f t="shared" si="7"/>
        <v>354674.57290000003</v>
      </c>
      <c r="AB9" s="71">
        <f t="shared" si="8"/>
        <v>0.62</v>
      </c>
      <c r="AC9" s="49">
        <f t="shared" si="9"/>
        <v>134776.34</v>
      </c>
      <c r="AD9" s="50">
        <f t="shared" si="10"/>
        <v>0</v>
      </c>
      <c r="AE9" s="50">
        <f t="shared" si="11"/>
        <v>0</v>
      </c>
      <c r="AF9" s="50">
        <f t="shared" si="12"/>
        <v>134776.34</v>
      </c>
      <c r="AG9" s="199">
        <f t="shared" si="13"/>
        <v>134776</v>
      </c>
      <c r="AH9" s="187">
        <f>SUM(AF3:AF9)</f>
        <v>927714.67</v>
      </c>
      <c r="AI9" s="185" t="s">
        <v>1448</v>
      </c>
      <c r="AJ9" s="185"/>
      <c r="AK9" s="277">
        <f t="shared" si="6"/>
        <v>10241.83</v>
      </c>
      <c r="AL9" s="25">
        <f>(SUMIFS('T1 2019 Pipeline Data Lagasco'!$O:$O,'T1 2019 Pipeline Data Lagasco'!$A:$A,'Dec 31 2018 OFFS'!$AI9,'T1 2019 Pipeline Data Lagasco'!$Q:$Q,'Dec 31 2018 OFFS'!$AK9,'T1 2019 Pipeline Data Lagasco'!$E:$E,'Dec 31 2018 OFFS'!$U9,'T1 2019 Pipeline Data Lagasco'!$G:$G,'Dec 31 2018 OFFS'!$W9))/(MAX(COUNTIFS('T1 2019 Pipeline Data Lagasco'!$A:$A,'Dec 31 2018 OFFS'!$AI9,'T1 2019 Pipeline Data Lagasco'!$Q:$Q,'Dec 31 2018 OFFS'!$AK9,'T1 2019 Pipeline Data Lagasco'!$E:$E,'Dec 31 2018 OFFS'!$U9,'T1 2019 Pipeline Data Lagasco'!$G:$G,'Dec 31 2018 OFFS'!$W9),1))</f>
        <v>134776</v>
      </c>
      <c r="AM9" s="274">
        <f t="shared" si="14"/>
        <v>0</v>
      </c>
    </row>
    <row r="10" spans="1:39" ht="12.7">
      <c r="A10" s="193" t="s">
        <v>909</v>
      </c>
      <c r="B10" s="40" t="s">
        <v>919</v>
      </c>
      <c r="C10" s="40" t="s">
        <v>920</v>
      </c>
      <c r="D10" s="40" t="s">
        <v>839</v>
      </c>
      <c r="E10" s="40" t="s">
        <v>1054</v>
      </c>
      <c r="F10" s="40" t="s">
        <v>1051</v>
      </c>
      <c r="G10" s="41" t="s">
        <v>848</v>
      </c>
      <c r="H10" s="42">
        <v>42</v>
      </c>
      <c r="I10" s="43">
        <v>26</v>
      </c>
      <c r="J10" s="44">
        <v>29.207000000000001</v>
      </c>
      <c r="K10" s="45">
        <v>80</v>
      </c>
      <c r="L10" s="43">
        <v>50</v>
      </c>
      <c r="M10" s="46">
        <v>9.9440000000000008</v>
      </c>
      <c r="N10" s="40" t="s">
        <v>849</v>
      </c>
      <c r="O10" s="42">
        <v>42</v>
      </c>
      <c r="P10" s="43">
        <v>28</v>
      </c>
      <c r="Q10" s="44">
        <v>19.13</v>
      </c>
      <c r="R10" s="45">
        <v>80</v>
      </c>
      <c r="S10" s="43">
        <v>51</v>
      </c>
      <c r="T10" s="46">
        <v>20.521999999999998</v>
      </c>
      <c r="U10" s="40">
        <v>2</v>
      </c>
      <c r="V10" s="47">
        <v>12321.062635307999</v>
      </c>
      <c r="W10" s="48">
        <v>1978</v>
      </c>
      <c r="X10" s="40"/>
      <c r="Y10" s="52"/>
      <c r="Z10" s="40" t="s">
        <v>910</v>
      </c>
      <c r="AA10" s="49">
        <f t="shared" si="7"/>
        <v>0</v>
      </c>
      <c r="AB10" s="71">
        <f t="shared" si="8"/>
        <v>0.80</v>
      </c>
      <c r="AC10" s="49">
        <f t="shared" si="9"/>
        <v>0</v>
      </c>
      <c r="AD10" s="50">
        <f t="shared" si="10"/>
        <v>0</v>
      </c>
      <c r="AE10" s="50">
        <f t="shared" si="11"/>
        <v>0</v>
      </c>
      <c r="AF10" s="50">
        <f t="shared" si="12"/>
        <v>0</v>
      </c>
      <c r="AG10" s="199">
        <f t="shared" si="13"/>
        <v>0</v>
      </c>
      <c r="AH10" s="187"/>
      <c r="AI10" s="185" t="s">
        <v>1449</v>
      </c>
      <c r="AJ10" s="185"/>
      <c r="AK10" s="277">
        <f t="shared" si="6"/>
        <v>12321.06</v>
      </c>
      <c r="AL10" s="25">
        <f>(SUMIFS('T1 2019 Pipeline Data Lagasco'!$O:$O,'T1 2019 Pipeline Data Lagasco'!$A:$A,'Dec 31 2018 OFFS'!$AI10,'T1 2019 Pipeline Data Lagasco'!$Q:$Q,'Dec 31 2018 OFFS'!$AK10,'T1 2019 Pipeline Data Lagasco'!$E:$E,'Dec 31 2018 OFFS'!$U10,'T1 2019 Pipeline Data Lagasco'!$G:$G,'Dec 31 2018 OFFS'!$W10))/(MAX(COUNTIFS('T1 2019 Pipeline Data Lagasco'!$A:$A,'Dec 31 2018 OFFS'!$AI10,'T1 2019 Pipeline Data Lagasco'!$Q:$Q,'Dec 31 2018 OFFS'!$AK10,'T1 2019 Pipeline Data Lagasco'!$E:$E,'Dec 31 2018 OFFS'!$U10,'T1 2019 Pipeline Data Lagasco'!$G:$G,'Dec 31 2018 OFFS'!$W10),1))</f>
        <v>0</v>
      </c>
      <c r="AM10" s="274">
        <f t="shared" si="14"/>
        <v>0</v>
      </c>
    </row>
    <row r="11" spans="1:39" ht="12.7">
      <c r="A11" s="193" t="s">
        <v>909</v>
      </c>
      <c r="B11" s="40" t="s">
        <v>919</v>
      </c>
      <c r="C11" s="40" t="s">
        <v>920</v>
      </c>
      <c r="D11" s="40" t="s">
        <v>839</v>
      </c>
      <c r="E11" s="40" t="s">
        <v>1054</v>
      </c>
      <c r="F11" s="40"/>
      <c r="G11" s="41" t="s">
        <v>857</v>
      </c>
      <c r="H11" s="42">
        <v>42</v>
      </c>
      <c r="I11" s="43">
        <v>25</v>
      </c>
      <c r="J11" s="44">
        <v>35.520000000000003</v>
      </c>
      <c r="K11" s="45">
        <v>80</v>
      </c>
      <c r="L11" s="43">
        <v>51</v>
      </c>
      <c r="M11" s="46">
        <v>0.72</v>
      </c>
      <c r="N11" s="40" t="s">
        <v>848</v>
      </c>
      <c r="O11" s="42">
        <v>42</v>
      </c>
      <c r="P11" s="43">
        <v>26</v>
      </c>
      <c r="Q11" s="44">
        <v>29.207000000000001</v>
      </c>
      <c r="R11" s="45">
        <v>80</v>
      </c>
      <c r="S11" s="43">
        <v>50</v>
      </c>
      <c r="T11" s="46">
        <v>9.9440000000000008</v>
      </c>
      <c r="U11" s="40">
        <v>2</v>
      </c>
      <c r="V11" s="47">
        <v>6635.7281542859992</v>
      </c>
      <c r="W11" s="48">
        <v>1986</v>
      </c>
      <c r="X11" s="40"/>
      <c r="Y11" s="52"/>
      <c r="Z11" s="40" t="s">
        <v>910</v>
      </c>
      <c r="AA11" s="49">
        <f t="shared" si="7"/>
        <v>107764.22522560462</v>
      </c>
      <c r="AB11" s="71">
        <f t="shared" si="8"/>
        <v>0.79</v>
      </c>
      <c r="AC11" s="49">
        <f t="shared" si="9"/>
        <v>22630.49</v>
      </c>
      <c r="AD11" s="50">
        <f t="shared" si="10"/>
        <v>0</v>
      </c>
      <c r="AE11" s="50">
        <f t="shared" si="11"/>
        <v>0</v>
      </c>
      <c r="AF11" s="50">
        <f t="shared" si="12"/>
        <v>22630.49</v>
      </c>
      <c r="AG11" s="199">
        <f t="shared" si="13"/>
        <v>22630</v>
      </c>
      <c r="AH11" s="187"/>
      <c r="AI11" s="185" t="s">
        <v>1449</v>
      </c>
      <c r="AJ11" s="185"/>
      <c r="AK11" s="277">
        <f t="shared" si="6"/>
        <v>6635.73</v>
      </c>
      <c r="AL11" s="25">
        <f>(SUMIFS('T1 2019 Pipeline Data Lagasco'!$O:$O,'T1 2019 Pipeline Data Lagasco'!$A:$A,'Dec 31 2018 OFFS'!$AI11,'T1 2019 Pipeline Data Lagasco'!$Q:$Q,'Dec 31 2018 OFFS'!$AK11,'T1 2019 Pipeline Data Lagasco'!$E:$E,'Dec 31 2018 OFFS'!$U11,'T1 2019 Pipeline Data Lagasco'!$G:$G,'Dec 31 2018 OFFS'!$W11))/(MAX(COUNTIFS('T1 2019 Pipeline Data Lagasco'!$A:$A,'Dec 31 2018 OFFS'!$AI11,'T1 2019 Pipeline Data Lagasco'!$Q:$Q,'Dec 31 2018 OFFS'!$AK11,'T1 2019 Pipeline Data Lagasco'!$E:$E,'Dec 31 2018 OFFS'!$U11,'T1 2019 Pipeline Data Lagasco'!$G:$G,'Dec 31 2018 OFFS'!$W11),1))</f>
        <v>22630</v>
      </c>
      <c r="AM11" s="274">
        <f t="shared" si="14"/>
        <v>0</v>
      </c>
    </row>
    <row r="12" spans="1:39" ht="12.7">
      <c r="A12" s="193" t="s">
        <v>909</v>
      </c>
      <c r="B12" s="40" t="s">
        <v>919</v>
      </c>
      <c r="C12" s="40" t="s">
        <v>920</v>
      </c>
      <c r="D12" s="40" t="s">
        <v>839</v>
      </c>
      <c r="E12" s="40" t="s">
        <v>1054</v>
      </c>
      <c r="F12" s="40" t="s">
        <v>1051</v>
      </c>
      <c r="G12" s="41" t="s">
        <v>857</v>
      </c>
      <c r="H12" s="42">
        <v>42</v>
      </c>
      <c r="I12" s="43">
        <v>25</v>
      </c>
      <c r="J12" s="44">
        <v>35.520000000000003</v>
      </c>
      <c r="K12" s="45">
        <v>80</v>
      </c>
      <c r="L12" s="43">
        <v>51</v>
      </c>
      <c r="M12" s="46">
        <v>0.72</v>
      </c>
      <c r="N12" s="40" t="s">
        <v>867</v>
      </c>
      <c r="O12" s="42">
        <v>42</v>
      </c>
      <c r="P12" s="43">
        <v>25</v>
      </c>
      <c r="Q12" s="44">
        <v>35.692999999999998</v>
      </c>
      <c r="R12" s="45">
        <v>80</v>
      </c>
      <c r="S12" s="43">
        <v>49</v>
      </c>
      <c r="T12" s="46">
        <v>48.539000000000001</v>
      </c>
      <c r="U12" s="40">
        <v>2</v>
      </c>
      <c r="V12" s="47">
        <v>5413.29</v>
      </c>
      <c r="W12" s="48">
        <v>1986</v>
      </c>
      <c r="X12" s="40"/>
      <c r="Y12" s="52"/>
      <c r="Z12" s="40" t="s">
        <v>910</v>
      </c>
      <c r="AA12" s="49">
        <f t="shared" si="7"/>
        <v>0</v>
      </c>
      <c r="AB12" s="71">
        <f t="shared" si="8"/>
        <v>0.79</v>
      </c>
      <c r="AC12" s="49">
        <f t="shared" si="9"/>
        <v>0</v>
      </c>
      <c r="AD12" s="50">
        <f t="shared" si="10"/>
        <v>0</v>
      </c>
      <c r="AE12" s="50">
        <f t="shared" si="11"/>
        <v>0</v>
      </c>
      <c r="AF12" s="50">
        <f t="shared" si="12"/>
        <v>0</v>
      </c>
      <c r="AG12" s="199">
        <f t="shared" si="13"/>
        <v>0</v>
      </c>
      <c r="AH12" s="187"/>
      <c r="AI12" s="185" t="s">
        <v>1449</v>
      </c>
      <c r="AJ12" s="185"/>
      <c r="AK12" s="277">
        <f t="shared" si="6"/>
        <v>5413.29</v>
      </c>
      <c r="AL12" s="25">
        <f>(SUMIFS('T1 2019 Pipeline Data Lagasco'!$O:$O,'T1 2019 Pipeline Data Lagasco'!$A:$A,'Dec 31 2018 OFFS'!$AI12,'T1 2019 Pipeline Data Lagasco'!$Q:$Q,'Dec 31 2018 OFFS'!$AK12,'T1 2019 Pipeline Data Lagasco'!$E:$E,'Dec 31 2018 OFFS'!$U12,'T1 2019 Pipeline Data Lagasco'!$G:$G,'Dec 31 2018 OFFS'!$W12))/(MAX(COUNTIFS('T1 2019 Pipeline Data Lagasco'!$A:$A,'Dec 31 2018 OFFS'!$AI12,'T1 2019 Pipeline Data Lagasco'!$Q:$Q,'Dec 31 2018 OFFS'!$AK12,'T1 2019 Pipeline Data Lagasco'!$E:$E,'Dec 31 2018 OFFS'!$U12,'T1 2019 Pipeline Data Lagasco'!$G:$G,'Dec 31 2018 OFFS'!$W12),1))</f>
        <v>0</v>
      </c>
      <c r="AM12" s="274">
        <f t="shared" si="14"/>
        <v>0</v>
      </c>
    </row>
    <row r="13" spans="1:39" ht="12.7">
      <c r="A13" s="193" t="s">
        <v>909</v>
      </c>
      <c r="B13" s="40" t="s">
        <v>919</v>
      </c>
      <c r="C13" s="40" t="s">
        <v>920</v>
      </c>
      <c r="D13" s="40" t="s">
        <v>839</v>
      </c>
      <c r="E13" s="40" t="s">
        <v>1054</v>
      </c>
      <c r="F13" s="40"/>
      <c r="G13" s="41" t="s">
        <v>856</v>
      </c>
      <c r="H13" s="42">
        <v>42</v>
      </c>
      <c r="I13" s="43">
        <v>25</v>
      </c>
      <c r="J13" s="44">
        <v>20.513999999999999</v>
      </c>
      <c r="K13" s="45">
        <v>80</v>
      </c>
      <c r="L13" s="43">
        <v>50</v>
      </c>
      <c r="M13" s="46">
        <v>21.832999999999998</v>
      </c>
      <c r="N13" s="40" t="s">
        <v>857</v>
      </c>
      <c r="O13" s="42">
        <v>42</v>
      </c>
      <c r="P13" s="43">
        <v>25</v>
      </c>
      <c r="Q13" s="44">
        <v>35.520000000000003</v>
      </c>
      <c r="R13" s="45">
        <v>80</v>
      </c>
      <c r="S13" s="43">
        <v>51</v>
      </c>
      <c r="T13" s="46">
        <v>0.72</v>
      </c>
      <c r="U13" s="40">
        <v>2</v>
      </c>
      <c r="V13" s="47">
        <v>3288.320114744</v>
      </c>
      <c r="W13" s="48">
        <v>1980</v>
      </c>
      <c r="X13" s="40"/>
      <c r="Y13" s="52"/>
      <c r="Z13" s="40" t="s">
        <v>910</v>
      </c>
      <c r="AA13" s="49">
        <f t="shared" si="7"/>
        <v>53402.318663442551</v>
      </c>
      <c r="AB13" s="71">
        <f t="shared" si="8"/>
        <v>0.80</v>
      </c>
      <c r="AC13" s="49">
        <f t="shared" si="9"/>
        <v>10680.46</v>
      </c>
      <c r="AD13" s="50">
        <f t="shared" si="10"/>
        <v>0</v>
      </c>
      <c r="AE13" s="50">
        <f t="shared" si="11"/>
        <v>0</v>
      </c>
      <c r="AF13" s="50">
        <f t="shared" si="12"/>
        <v>10680.46</v>
      </c>
      <c r="AG13" s="199">
        <f t="shared" si="13"/>
        <v>10680</v>
      </c>
      <c r="AH13" s="187"/>
      <c r="AI13" s="185" t="s">
        <v>1449</v>
      </c>
      <c r="AJ13" s="185"/>
      <c r="AK13" s="277">
        <f t="shared" si="6"/>
        <v>3288.32</v>
      </c>
      <c r="AL13" s="25">
        <f>(SUMIFS('T1 2019 Pipeline Data Lagasco'!$O:$O,'T1 2019 Pipeline Data Lagasco'!$A:$A,'Dec 31 2018 OFFS'!$AI13,'T1 2019 Pipeline Data Lagasco'!$Q:$Q,'Dec 31 2018 OFFS'!$AK13,'T1 2019 Pipeline Data Lagasco'!$E:$E,'Dec 31 2018 OFFS'!$U13,'T1 2019 Pipeline Data Lagasco'!$G:$G,'Dec 31 2018 OFFS'!$W13))/(MAX(COUNTIFS('T1 2019 Pipeline Data Lagasco'!$A:$A,'Dec 31 2018 OFFS'!$AI13,'T1 2019 Pipeline Data Lagasco'!$Q:$Q,'Dec 31 2018 OFFS'!$AK13,'T1 2019 Pipeline Data Lagasco'!$E:$E,'Dec 31 2018 OFFS'!$U13,'T1 2019 Pipeline Data Lagasco'!$G:$G,'Dec 31 2018 OFFS'!$W13),1))</f>
        <v>10680</v>
      </c>
      <c r="AM13" s="274">
        <f t="shared" si="14"/>
        <v>0</v>
      </c>
    </row>
    <row r="14" spans="1:39" ht="12.7">
      <c r="A14" s="193" t="s">
        <v>909</v>
      </c>
      <c r="B14" s="40" t="s">
        <v>919</v>
      </c>
      <c r="C14" s="40" t="s">
        <v>920</v>
      </c>
      <c r="D14" s="40" t="s">
        <v>839</v>
      </c>
      <c r="E14" s="40" t="s">
        <v>1054</v>
      </c>
      <c r="F14" s="40"/>
      <c r="G14" s="41" t="s">
        <v>856</v>
      </c>
      <c r="H14" s="42">
        <v>42</v>
      </c>
      <c r="I14" s="43">
        <v>25</v>
      </c>
      <c r="J14" s="44">
        <v>20.513999999999999</v>
      </c>
      <c r="K14" s="45">
        <v>80</v>
      </c>
      <c r="L14" s="43">
        <v>50</v>
      </c>
      <c r="M14" s="46">
        <v>21.832999999999998</v>
      </c>
      <c r="N14" s="40" t="s">
        <v>867</v>
      </c>
      <c r="O14" s="42">
        <v>42</v>
      </c>
      <c r="P14" s="43">
        <v>25</v>
      </c>
      <c r="Q14" s="44">
        <v>35.692999999999998</v>
      </c>
      <c r="R14" s="45">
        <v>80</v>
      </c>
      <c r="S14" s="43">
        <v>49</v>
      </c>
      <c r="T14" s="46">
        <v>48.539000000000001</v>
      </c>
      <c r="U14" s="40">
        <v>3</v>
      </c>
      <c r="V14" s="47">
        <v>2920</v>
      </c>
      <c r="W14" s="48">
        <v>2002</v>
      </c>
      <c r="X14" s="40"/>
      <c r="Y14" s="52"/>
      <c r="Z14" s="40" t="s">
        <v>910</v>
      </c>
      <c r="AA14" s="49">
        <f t="shared" si="7"/>
        <v>68882.80</v>
      </c>
      <c r="AB14" s="71">
        <f t="shared" si="8"/>
        <v>0.56999999999999995</v>
      </c>
      <c r="AC14" s="49">
        <f t="shared" si="9"/>
        <v>29619.60</v>
      </c>
      <c r="AD14" s="50">
        <f t="shared" si="10"/>
        <v>0</v>
      </c>
      <c r="AE14" s="50">
        <f t="shared" si="11"/>
        <v>0</v>
      </c>
      <c r="AF14" s="50">
        <f t="shared" si="12"/>
        <v>29619.60</v>
      </c>
      <c r="AG14" s="199">
        <f t="shared" si="13"/>
        <v>29619</v>
      </c>
      <c r="AH14" s="187"/>
      <c r="AI14" s="185" t="s">
        <v>1449</v>
      </c>
      <c r="AJ14" s="185"/>
      <c r="AK14" s="277">
        <f t="shared" si="6"/>
        <v>2920</v>
      </c>
      <c r="AL14" s="25">
        <f>(SUMIFS('T1 2019 Pipeline Data Lagasco'!$O:$O,'T1 2019 Pipeline Data Lagasco'!$A:$A,'Dec 31 2018 OFFS'!$AI14,'T1 2019 Pipeline Data Lagasco'!$Q:$Q,'Dec 31 2018 OFFS'!$AK14,'T1 2019 Pipeline Data Lagasco'!$E:$E,'Dec 31 2018 OFFS'!$U14,'T1 2019 Pipeline Data Lagasco'!$G:$G,'Dec 31 2018 OFFS'!$W14))/(MAX(COUNTIFS('T1 2019 Pipeline Data Lagasco'!$A:$A,'Dec 31 2018 OFFS'!$AI14,'T1 2019 Pipeline Data Lagasco'!$Q:$Q,'Dec 31 2018 OFFS'!$AK14,'T1 2019 Pipeline Data Lagasco'!$E:$E,'Dec 31 2018 OFFS'!$U14,'T1 2019 Pipeline Data Lagasco'!$G:$G,'Dec 31 2018 OFFS'!$W14),1))</f>
        <v>29619</v>
      </c>
      <c r="AM14" s="274">
        <f t="shared" si="14"/>
        <v>0</v>
      </c>
    </row>
    <row r="15" spans="1:39" ht="12.7">
      <c r="A15" s="193" t="s">
        <v>909</v>
      </c>
      <c r="B15" s="40" t="s">
        <v>919</v>
      </c>
      <c r="C15" s="40" t="s">
        <v>920</v>
      </c>
      <c r="D15" s="40" t="s">
        <v>839</v>
      </c>
      <c r="E15" s="40" t="s">
        <v>1054</v>
      </c>
      <c r="F15" s="40"/>
      <c r="G15" s="41" t="s">
        <v>883</v>
      </c>
      <c r="H15" s="42">
        <v>42</v>
      </c>
      <c r="I15" s="43">
        <v>29</v>
      </c>
      <c r="J15" s="44">
        <v>58.045</v>
      </c>
      <c r="K15" s="45">
        <v>80</v>
      </c>
      <c r="L15" s="43">
        <v>45</v>
      </c>
      <c r="M15" s="46">
        <v>4.0170000000000003</v>
      </c>
      <c r="N15" s="40" t="s">
        <v>522</v>
      </c>
      <c r="O15" s="42">
        <v>42</v>
      </c>
      <c r="P15" s="43">
        <v>29</v>
      </c>
      <c r="Q15" s="44">
        <v>42.09</v>
      </c>
      <c r="R15" s="45">
        <v>80</v>
      </c>
      <c r="S15" s="43">
        <v>43</v>
      </c>
      <c r="T15" s="46">
        <v>30.94</v>
      </c>
      <c r="U15" s="40">
        <v>6</v>
      </c>
      <c r="V15" s="47">
        <v>7157.1520236999995</v>
      </c>
      <c r="W15" s="48">
        <v>1973</v>
      </c>
      <c r="X15" s="40"/>
      <c r="Y15" s="52"/>
      <c r="Z15" s="40" t="s">
        <v>910</v>
      </c>
      <c r="AA15" s="49">
        <f t="shared" si="7"/>
        <v>247852.17458073099</v>
      </c>
      <c r="AB15" s="71">
        <f t="shared" si="8"/>
        <v>0.80</v>
      </c>
      <c r="AC15" s="49">
        <f t="shared" si="9"/>
        <v>49570.43</v>
      </c>
      <c r="AD15" s="50">
        <f t="shared" si="10"/>
        <v>0</v>
      </c>
      <c r="AE15" s="50">
        <f t="shared" si="11"/>
        <v>0</v>
      </c>
      <c r="AF15" s="50">
        <f t="shared" si="12"/>
        <v>49570.43</v>
      </c>
      <c r="AG15" s="199">
        <f t="shared" si="13"/>
        <v>49570</v>
      </c>
      <c r="AH15" s="187"/>
      <c r="AI15" s="185" t="s">
        <v>1449</v>
      </c>
      <c r="AJ15" s="185"/>
      <c r="AK15" s="277">
        <f t="shared" si="6"/>
        <v>7157.15</v>
      </c>
      <c r="AL15" s="25">
        <f>(SUMIFS('T1 2019 Pipeline Data Lagasco'!$O:$O,'T1 2019 Pipeline Data Lagasco'!$A:$A,'Dec 31 2018 OFFS'!$AI15,'T1 2019 Pipeline Data Lagasco'!$Q:$Q,'Dec 31 2018 OFFS'!$AK15,'T1 2019 Pipeline Data Lagasco'!$E:$E,'Dec 31 2018 OFFS'!$U15,'T1 2019 Pipeline Data Lagasco'!$G:$G,'Dec 31 2018 OFFS'!$W15))/(MAX(COUNTIFS('T1 2019 Pipeline Data Lagasco'!$A:$A,'Dec 31 2018 OFFS'!$AI15,'T1 2019 Pipeline Data Lagasco'!$Q:$Q,'Dec 31 2018 OFFS'!$AK15,'T1 2019 Pipeline Data Lagasco'!$E:$E,'Dec 31 2018 OFFS'!$U15,'T1 2019 Pipeline Data Lagasco'!$G:$G,'Dec 31 2018 OFFS'!$W15),1))</f>
        <v>49570</v>
      </c>
      <c r="AM15" s="274">
        <f t="shared" si="14"/>
        <v>0</v>
      </c>
    </row>
    <row r="16" spans="1:39" ht="12.7">
      <c r="A16" s="193" t="s">
        <v>909</v>
      </c>
      <c r="B16" s="40" t="s">
        <v>919</v>
      </c>
      <c r="C16" s="40" t="s">
        <v>920</v>
      </c>
      <c r="D16" s="40" t="s">
        <v>839</v>
      </c>
      <c r="E16" s="40" t="s">
        <v>1054</v>
      </c>
      <c r="F16" s="40" t="s">
        <v>1051</v>
      </c>
      <c r="G16" s="41" t="s">
        <v>883</v>
      </c>
      <c r="H16" s="42">
        <v>42</v>
      </c>
      <c r="I16" s="43">
        <v>29</v>
      </c>
      <c r="J16" s="44">
        <v>58.045</v>
      </c>
      <c r="K16" s="45">
        <v>80</v>
      </c>
      <c r="L16" s="43">
        <v>45</v>
      </c>
      <c r="M16" s="46">
        <v>4.0170000000000003</v>
      </c>
      <c r="N16" s="40" t="s">
        <v>884</v>
      </c>
      <c r="O16" s="42">
        <v>42</v>
      </c>
      <c r="P16" s="43">
        <v>26</v>
      </c>
      <c r="Q16" s="44">
        <v>18.661999999999999</v>
      </c>
      <c r="R16" s="45">
        <v>80</v>
      </c>
      <c r="S16" s="43">
        <v>45</v>
      </c>
      <c r="T16" s="46">
        <v>6.4889999999999999</v>
      </c>
      <c r="U16" s="40">
        <v>6</v>
      </c>
      <c r="V16" s="47">
        <v>22208.857624548</v>
      </c>
      <c r="W16" s="48">
        <v>1973</v>
      </c>
      <c r="X16" s="40"/>
      <c r="Y16" s="52"/>
      <c r="Z16" s="40" t="s">
        <v>910</v>
      </c>
      <c r="AA16" s="49">
        <f t="shared" si="7"/>
        <v>0</v>
      </c>
      <c r="AB16" s="71">
        <f t="shared" si="8"/>
        <v>0.80</v>
      </c>
      <c r="AC16" s="49">
        <f t="shared" si="9"/>
        <v>0</v>
      </c>
      <c r="AD16" s="50">
        <f t="shared" si="10"/>
        <v>0</v>
      </c>
      <c r="AE16" s="50">
        <f t="shared" si="11"/>
        <v>0</v>
      </c>
      <c r="AF16" s="50">
        <f t="shared" si="12"/>
        <v>0</v>
      </c>
      <c r="AG16" s="199">
        <f t="shared" si="13"/>
        <v>0</v>
      </c>
      <c r="AH16" s="187"/>
      <c r="AI16" s="185" t="s">
        <v>1449</v>
      </c>
      <c r="AJ16" s="185"/>
      <c r="AK16" s="277">
        <f t="shared" si="6"/>
        <v>22208.86</v>
      </c>
      <c r="AL16" s="25">
        <f>(SUMIFS('T1 2019 Pipeline Data Lagasco'!$O:$O,'T1 2019 Pipeline Data Lagasco'!$A:$A,'Dec 31 2018 OFFS'!$AI16,'T1 2019 Pipeline Data Lagasco'!$Q:$Q,'Dec 31 2018 OFFS'!$AK16,'T1 2019 Pipeline Data Lagasco'!$E:$E,'Dec 31 2018 OFFS'!$U16,'T1 2019 Pipeline Data Lagasco'!$G:$G,'Dec 31 2018 OFFS'!$W16))/(MAX(COUNTIFS('T1 2019 Pipeline Data Lagasco'!$A:$A,'Dec 31 2018 OFFS'!$AI16,'T1 2019 Pipeline Data Lagasco'!$Q:$Q,'Dec 31 2018 OFFS'!$AK16,'T1 2019 Pipeline Data Lagasco'!$E:$E,'Dec 31 2018 OFFS'!$U16,'T1 2019 Pipeline Data Lagasco'!$G:$G,'Dec 31 2018 OFFS'!$W16),1))</f>
        <v>0</v>
      </c>
      <c r="AM16" s="274">
        <f t="shared" si="14"/>
        <v>0</v>
      </c>
    </row>
    <row r="17" spans="1:39" ht="12.7">
      <c r="A17" s="193" t="s">
        <v>909</v>
      </c>
      <c r="B17" s="40" t="s">
        <v>919</v>
      </c>
      <c r="C17" s="40" t="s">
        <v>920</v>
      </c>
      <c r="D17" s="40" t="s">
        <v>839</v>
      </c>
      <c r="E17" s="40" t="s">
        <v>1054</v>
      </c>
      <c r="F17" s="40" t="s">
        <v>1051</v>
      </c>
      <c r="G17" s="41" t="s">
        <v>858</v>
      </c>
      <c r="H17" s="42">
        <v>42</v>
      </c>
      <c r="I17" s="43">
        <v>27</v>
      </c>
      <c r="J17" s="44">
        <v>17.582999999999998</v>
      </c>
      <c r="K17" s="45">
        <v>80</v>
      </c>
      <c r="L17" s="43">
        <v>45</v>
      </c>
      <c r="M17" s="46">
        <v>3.5920000000000001</v>
      </c>
      <c r="N17" s="40" t="s">
        <v>1356</v>
      </c>
      <c r="O17" s="42">
        <v>42</v>
      </c>
      <c r="P17" s="43">
        <v>27</v>
      </c>
      <c r="Q17" s="44">
        <v>19.920000000000002</v>
      </c>
      <c r="R17" s="45">
        <v>80</v>
      </c>
      <c r="S17" s="43">
        <v>45</v>
      </c>
      <c r="T17" s="46">
        <v>32.520000000000003</v>
      </c>
      <c r="U17" s="40">
        <v>2</v>
      </c>
      <c r="V17" s="47">
        <v>2181.36</v>
      </c>
      <c r="W17" s="48">
        <v>1980</v>
      </c>
      <c r="X17" s="40"/>
      <c r="Y17" s="52"/>
      <c r="Z17" s="40" t="s">
        <v>910</v>
      </c>
      <c r="AA17" s="49">
        <f t="shared" si="7"/>
        <v>0</v>
      </c>
      <c r="AB17" s="71">
        <f t="shared" si="8"/>
        <v>0.80</v>
      </c>
      <c r="AC17" s="49">
        <f t="shared" si="9"/>
        <v>0</v>
      </c>
      <c r="AD17" s="50">
        <f t="shared" si="10"/>
        <v>0</v>
      </c>
      <c r="AE17" s="50">
        <f t="shared" si="11"/>
        <v>0</v>
      </c>
      <c r="AF17" s="50">
        <f t="shared" si="12"/>
        <v>0</v>
      </c>
      <c r="AG17" s="199">
        <f t="shared" si="13"/>
        <v>0</v>
      </c>
      <c r="AH17" s="187"/>
      <c r="AI17" s="185" t="s">
        <v>1449</v>
      </c>
      <c r="AJ17" s="185"/>
      <c r="AK17" s="277">
        <f t="shared" si="6"/>
        <v>2181.36</v>
      </c>
      <c r="AL17" s="25">
        <f>(SUMIFS('T1 2019 Pipeline Data Lagasco'!$O:$O,'T1 2019 Pipeline Data Lagasco'!$A:$A,'Dec 31 2018 OFFS'!$AI17,'T1 2019 Pipeline Data Lagasco'!$Q:$Q,'Dec 31 2018 OFFS'!$AK17,'T1 2019 Pipeline Data Lagasco'!$E:$E,'Dec 31 2018 OFFS'!$U17,'T1 2019 Pipeline Data Lagasco'!$G:$G,'Dec 31 2018 OFFS'!$W17))/(MAX(COUNTIFS('T1 2019 Pipeline Data Lagasco'!$A:$A,'Dec 31 2018 OFFS'!$AI17,'T1 2019 Pipeline Data Lagasco'!$Q:$Q,'Dec 31 2018 OFFS'!$AK17,'T1 2019 Pipeline Data Lagasco'!$E:$E,'Dec 31 2018 OFFS'!$U17,'T1 2019 Pipeline Data Lagasco'!$G:$G,'Dec 31 2018 OFFS'!$W17),1))</f>
        <v>0</v>
      </c>
      <c r="AM17" s="274">
        <f t="shared" si="14"/>
        <v>0</v>
      </c>
    </row>
    <row r="18" spans="1:39" ht="12.7">
      <c r="A18" s="193" t="s">
        <v>909</v>
      </c>
      <c r="B18" s="40" t="s">
        <v>919</v>
      </c>
      <c r="C18" s="40" t="s">
        <v>920</v>
      </c>
      <c r="D18" s="40" t="s">
        <v>839</v>
      </c>
      <c r="E18" s="40" t="s">
        <v>1054</v>
      </c>
      <c r="F18" s="40" t="s">
        <v>1051</v>
      </c>
      <c r="G18" s="41" t="s">
        <v>884</v>
      </c>
      <c r="H18" s="42">
        <v>42</v>
      </c>
      <c r="I18" s="43">
        <v>26</v>
      </c>
      <c r="J18" s="44">
        <v>18.661999999999999</v>
      </c>
      <c r="K18" s="45">
        <v>80</v>
      </c>
      <c r="L18" s="43">
        <v>45</v>
      </c>
      <c r="M18" s="46">
        <v>6.4889999999999999</v>
      </c>
      <c r="N18" s="40" t="s">
        <v>840</v>
      </c>
      <c r="O18" s="42">
        <v>42</v>
      </c>
      <c r="P18" s="43">
        <v>26</v>
      </c>
      <c r="Q18" s="44">
        <v>16.923999999999999</v>
      </c>
      <c r="R18" s="45">
        <v>80</v>
      </c>
      <c r="S18" s="43">
        <v>43</v>
      </c>
      <c r="T18" s="46">
        <v>56.308999999999997</v>
      </c>
      <c r="U18" s="40">
        <v>2</v>
      </c>
      <c r="V18" s="47">
        <v>5265.16</v>
      </c>
      <c r="W18" s="48">
        <v>1973</v>
      </c>
      <c r="X18" s="40"/>
      <c r="Y18" s="52"/>
      <c r="Z18" s="40" t="s">
        <v>910</v>
      </c>
      <c r="AA18" s="49">
        <f t="shared" si="7"/>
        <v>0</v>
      </c>
      <c r="AB18" s="71">
        <f t="shared" si="8"/>
        <v>0.80</v>
      </c>
      <c r="AC18" s="49">
        <f t="shared" si="9"/>
        <v>0</v>
      </c>
      <c r="AD18" s="50">
        <f t="shared" si="10"/>
        <v>0</v>
      </c>
      <c r="AE18" s="50">
        <f t="shared" si="11"/>
        <v>0</v>
      </c>
      <c r="AF18" s="50">
        <f t="shared" si="12"/>
        <v>0</v>
      </c>
      <c r="AG18" s="199">
        <f t="shared" si="13"/>
        <v>0</v>
      </c>
      <c r="AH18" s="187"/>
      <c r="AI18" s="185" t="s">
        <v>1449</v>
      </c>
      <c r="AJ18" s="185"/>
      <c r="AK18" s="277">
        <f t="shared" si="6"/>
        <v>5265.16</v>
      </c>
      <c r="AL18" s="25">
        <f>(SUMIFS('T1 2019 Pipeline Data Lagasco'!$O:$O,'T1 2019 Pipeline Data Lagasco'!$A:$A,'Dec 31 2018 OFFS'!$AI18,'T1 2019 Pipeline Data Lagasco'!$Q:$Q,'Dec 31 2018 OFFS'!$AK18,'T1 2019 Pipeline Data Lagasco'!$E:$E,'Dec 31 2018 OFFS'!$U18,'T1 2019 Pipeline Data Lagasco'!$G:$G,'Dec 31 2018 OFFS'!$W18))/(MAX(COUNTIFS('T1 2019 Pipeline Data Lagasco'!$A:$A,'Dec 31 2018 OFFS'!$AI18,'T1 2019 Pipeline Data Lagasco'!$Q:$Q,'Dec 31 2018 OFFS'!$AK18,'T1 2019 Pipeline Data Lagasco'!$E:$E,'Dec 31 2018 OFFS'!$U18,'T1 2019 Pipeline Data Lagasco'!$G:$G,'Dec 31 2018 OFFS'!$W18),1))</f>
        <v>0</v>
      </c>
      <c r="AM18" s="274">
        <f t="shared" si="14"/>
        <v>0</v>
      </c>
    </row>
    <row r="19" spans="1:39" ht="12.7">
      <c r="A19" s="193" t="s">
        <v>909</v>
      </c>
      <c r="B19" s="40" t="s">
        <v>919</v>
      </c>
      <c r="C19" s="40" t="s">
        <v>920</v>
      </c>
      <c r="D19" s="40" t="s">
        <v>839</v>
      </c>
      <c r="E19" s="40" t="s">
        <v>1054</v>
      </c>
      <c r="F19" s="40" t="s">
        <v>1051</v>
      </c>
      <c r="G19" s="41" t="s">
        <v>884</v>
      </c>
      <c r="H19" s="42">
        <v>42</v>
      </c>
      <c r="I19" s="43">
        <v>26</v>
      </c>
      <c r="J19" s="44">
        <v>18.661999999999999</v>
      </c>
      <c r="K19" s="45">
        <v>80</v>
      </c>
      <c r="L19" s="43">
        <v>45</v>
      </c>
      <c r="M19" s="46">
        <v>6.4889999999999999</v>
      </c>
      <c r="N19" s="40" t="s">
        <v>885</v>
      </c>
      <c r="O19" s="42">
        <v>42</v>
      </c>
      <c r="P19" s="43">
        <v>25</v>
      </c>
      <c r="Q19" s="44">
        <v>55.454000000000001</v>
      </c>
      <c r="R19" s="45">
        <v>80</v>
      </c>
      <c r="S19" s="43">
        <v>44</v>
      </c>
      <c r="T19" s="46">
        <v>56.563000000000002</v>
      </c>
      <c r="U19" s="40">
        <v>6</v>
      </c>
      <c r="V19" s="47">
        <v>2464.40281577</v>
      </c>
      <c r="W19" s="48">
        <v>1973</v>
      </c>
      <c r="X19" s="40"/>
      <c r="Y19" s="52"/>
      <c r="Z19" s="40" t="s">
        <v>910</v>
      </c>
      <c r="AA19" s="49">
        <f t="shared" si="7"/>
        <v>0</v>
      </c>
      <c r="AB19" s="71">
        <f t="shared" si="8"/>
        <v>0.80</v>
      </c>
      <c r="AC19" s="49">
        <f t="shared" si="9"/>
        <v>0</v>
      </c>
      <c r="AD19" s="50">
        <f t="shared" si="10"/>
        <v>0</v>
      </c>
      <c r="AE19" s="50">
        <f t="shared" si="11"/>
        <v>0</v>
      </c>
      <c r="AF19" s="50">
        <f t="shared" si="12"/>
        <v>0</v>
      </c>
      <c r="AG19" s="199">
        <f t="shared" si="13"/>
        <v>0</v>
      </c>
      <c r="AH19" s="187"/>
      <c r="AI19" s="185" t="s">
        <v>1449</v>
      </c>
      <c r="AJ19" s="185"/>
      <c r="AK19" s="277">
        <f t="shared" si="6"/>
        <v>2464.40</v>
      </c>
      <c r="AL19" s="25">
        <f>(SUMIFS('T1 2019 Pipeline Data Lagasco'!$O:$O,'T1 2019 Pipeline Data Lagasco'!$A:$A,'Dec 31 2018 OFFS'!$AI19,'T1 2019 Pipeline Data Lagasco'!$Q:$Q,'Dec 31 2018 OFFS'!$AK19,'T1 2019 Pipeline Data Lagasco'!$E:$E,'Dec 31 2018 OFFS'!$U19,'T1 2019 Pipeline Data Lagasco'!$G:$G,'Dec 31 2018 OFFS'!$W19))/(MAX(COUNTIFS('T1 2019 Pipeline Data Lagasco'!$A:$A,'Dec 31 2018 OFFS'!$AI19,'T1 2019 Pipeline Data Lagasco'!$Q:$Q,'Dec 31 2018 OFFS'!$AK19,'T1 2019 Pipeline Data Lagasco'!$E:$E,'Dec 31 2018 OFFS'!$U19,'T1 2019 Pipeline Data Lagasco'!$G:$G,'Dec 31 2018 OFFS'!$W19),1))</f>
        <v>0</v>
      </c>
      <c r="AM19" s="274">
        <f t="shared" si="14"/>
        <v>0</v>
      </c>
    </row>
    <row r="20" spans="1:39" ht="12.7">
      <c r="A20" s="193" t="s">
        <v>909</v>
      </c>
      <c r="B20" s="40" t="s">
        <v>919</v>
      </c>
      <c r="C20" s="40" t="s">
        <v>920</v>
      </c>
      <c r="D20" s="40" t="s">
        <v>839</v>
      </c>
      <c r="E20" s="40" t="s">
        <v>1054</v>
      </c>
      <c r="F20" s="40" t="s">
        <v>1051</v>
      </c>
      <c r="G20" s="41" t="s">
        <v>885</v>
      </c>
      <c r="H20" s="42">
        <v>42</v>
      </c>
      <c r="I20" s="43">
        <v>25</v>
      </c>
      <c r="J20" s="44">
        <v>55.454000000000001</v>
      </c>
      <c r="K20" s="45">
        <v>80</v>
      </c>
      <c r="L20" s="43">
        <v>44</v>
      </c>
      <c r="M20" s="46">
        <v>56.563000000000002</v>
      </c>
      <c r="N20" s="40" t="s">
        <v>841</v>
      </c>
      <c r="O20" s="42">
        <v>42</v>
      </c>
      <c r="P20" s="43">
        <v>25</v>
      </c>
      <c r="Q20" s="44">
        <v>40.56</v>
      </c>
      <c r="R20" s="45">
        <v>80</v>
      </c>
      <c r="S20" s="43">
        <v>44</v>
      </c>
      <c r="T20" s="46">
        <v>59.826999999999998</v>
      </c>
      <c r="U20" s="40">
        <v>6</v>
      </c>
      <c r="V20" s="47">
        <v>1527.427777288</v>
      </c>
      <c r="W20" s="48">
        <v>1973</v>
      </c>
      <c r="X20" s="40"/>
      <c r="Y20" s="52"/>
      <c r="Z20" s="40" t="s">
        <v>910</v>
      </c>
      <c r="AA20" s="49">
        <f t="shared" si="7"/>
        <v>0</v>
      </c>
      <c r="AB20" s="71">
        <f t="shared" si="8"/>
        <v>0.80</v>
      </c>
      <c r="AC20" s="49">
        <f t="shared" si="9"/>
        <v>0</v>
      </c>
      <c r="AD20" s="50">
        <f t="shared" si="10"/>
        <v>0</v>
      </c>
      <c r="AE20" s="50">
        <f t="shared" si="11"/>
        <v>0</v>
      </c>
      <c r="AF20" s="50">
        <f t="shared" si="12"/>
        <v>0</v>
      </c>
      <c r="AG20" s="199">
        <f t="shared" si="13"/>
        <v>0</v>
      </c>
      <c r="AH20" s="187"/>
      <c r="AI20" s="185" t="s">
        <v>1449</v>
      </c>
      <c r="AJ20" s="185"/>
      <c r="AK20" s="277">
        <f t="shared" si="6"/>
        <v>1527.43</v>
      </c>
      <c r="AL20" s="25">
        <f>(SUMIFS('T1 2019 Pipeline Data Lagasco'!$O:$O,'T1 2019 Pipeline Data Lagasco'!$A:$A,'Dec 31 2018 OFFS'!$AI20,'T1 2019 Pipeline Data Lagasco'!$Q:$Q,'Dec 31 2018 OFFS'!$AK20,'T1 2019 Pipeline Data Lagasco'!$E:$E,'Dec 31 2018 OFFS'!$U20,'T1 2019 Pipeline Data Lagasco'!$G:$G,'Dec 31 2018 OFFS'!$W20))/(MAX(COUNTIFS('T1 2019 Pipeline Data Lagasco'!$A:$A,'Dec 31 2018 OFFS'!$AI20,'T1 2019 Pipeline Data Lagasco'!$Q:$Q,'Dec 31 2018 OFFS'!$AK20,'T1 2019 Pipeline Data Lagasco'!$E:$E,'Dec 31 2018 OFFS'!$U20,'T1 2019 Pipeline Data Lagasco'!$G:$G,'Dec 31 2018 OFFS'!$W20),1))</f>
        <v>0</v>
      </c>
      <c r="AM20" s="274">
        <f t="shared" si="14"/>
        <v>0</v>
      </c>
    </row>
    <row r="21" spans="1:39" ht="12.7">
      <c r="A21" s="193" t="s">
        <v>909</v>
      </c>
      <c r="B21" s="40" t="s">
        <v>919</v>
      </c>
      <c r="C21" s="40" t="s">
        <v>920</v>
      </c>
      <c r="D21" s="40" t="s">
        <v>839</v>
      </c>
      <c r="E21" s="40" t="s">
        <v>1054</v>
      </c>
      <c r="F21" s="40" t="s">
        <v>1051</v>
      </c>
      <c r="G21" s="41" t="s">
        <v>841</v>
      </c>
      <c r="H21" s="42">
        <v>42</v>
      </c>
      <c r="I21" s="43">
        <v>25</v>
      </c>
      <c r="J21" s="44">
        <v>40.56</v>
      </c>
      <c r="K21" s="45">
        <v>80</v>
      </c>
      <c r="L21" s="43">
        <v>44</v>
      </c>
      <c r="M21" s="46">
        <v>59.826999999999998</v>
      </c>
      <c r="N21" s="41" t="s">
        <v>842</v>
      </c>
      <c r="O21" s="42">
        <v>42</v>
      </c>
      <c r="P21" s="43">
        <v>25</v>
      </c>
      <c r="Q21" s="44">
        <v>37.567</v>
      </c>
      <c r="R21" s="45">
        <v>80</v>
      </c>
      <c r="S21" s="43">
        <v>44</v>
      </c>
      <c r="T21" s="46">
        <v>36.71</v>
      </c>
      <c r="U21" s="40">
        <v>2</v>
      </c>
      <c r="V21" s="47">
        <v>1759.9408939139998</v>
      </c>
      <c r="W21" s="48">
        <v>1973</v>
      </c>
      <c r="X21" s="40"/>
      <c r="Y21" s="52"/>
      <c r="Z21" s="40" t="s">
        <v>910</v>
      </c>
      <c r="AA21" s="49">
        <f t="shared" si="7"/>
        <v>0</v>
      </c>
      <c r="AB21" s="71">
        <f t="shared" si="8"/>
        <v>0.80</v>
      </c>
      <c r="AC21" s="49">
        <f t="shared" si="9"/>
        <v>0</v>
      </c>
      <c r="AD21" s="50">
        <f t="shared" si="10"/>
        <v>0</v>
      </c>
      <c r="AE21" s="50">
        <f t="shared" si="11"/>
        <v>0</v>
      </c>
      <c r="AF21" s="50">
        <f t="shared" si="12"/>
        <v>0</v>
      </c>
      <c r="AG21" s="199">
        <f t="shared" si="13"/>
        <v>0</v>
      </c>
      <c r="AH21" s="187"/>
      <c r="AI21" s="185" t="s">
        <v>1449</v>
      </c>
      <c r="AJ21" s="185"/>
      <c r="AK21" s="277">
        <f t="shared" si="6"/>
        <v>1759.94</v>
      </c>
      <c r="AL21" s="25">
        <f>(SUMIFS('T1 2019 Pipeline Data Lagasco'!$O:$O,'T1 2019 Pipeline Data Lagasco'!$A:$A,'Dec 31 2018 OFFS'!$AI21,'T1 2019 Pipeline Data Lagasco'!$Q:$Q,'Dec 31 2018 OFFS'!$AK21,'T1 2019 Pipeline Data Lagasco'!$E:$E,'Dec 31 2018 OFFS'!$U21,'T1 2019 Pipeline Data Lagasco'!$G:$G,'Dec 31 2018 OFFS'!$W21))/(MAX(COUNTIFS('T1 2019 Pipeline Data Lagasco'!$A:$A,'Dec 31 2018 OFFS'!$AI21,'T1 2019 Pipeline Data Lagasco'!$Q:$Q,'Dec 31 2018 OFFS'!$AK21,'T1 2019 Pipeline Data Lagasco'!$E:$E,'Dec 31 2018 OFFS'!$U21,'T1 2019 Pipeline Data Lagasco'!$G:$G,'Dec 31 2018 OFFS'!$W21),1))</f>
        <v>0</v>
      </c>
      <c r="AM21" s="274">
        <f t="shared" si="14"/>
        <v>0</v>
      </c>
    </row>
    <row r="22" spans="1:39" ht="12.7">
      <c r="A22" s="193" t="s">
        <v>909</v>
      </c>
      <c r="B22" s="40" t="s">
        <v>919</v>
      </c>
      <c r="C22" s="40" t="s">
        <v>920</v>
      </c>
      <c r="D22" s="40" t="s">
        <v>839</v>
      </c>
      <c r="E22" s="40" t="s">
        <v>1054</v>
      </c>
      <c r="F22" s="40" t="s">
        <v>1051</v>
      </c>
      <c r="G22" s="41" t="s">
        <v>841</v>
      </c>
      <c r="H22" s="42">
        <v>42</v>
      </c>
      <c r="I22" s="43">
        <v>25</v>
      </c>
      <c r="J22" s="44">
        <v>40.56</v>
      </c>
      <c r="K22" s="45">
        <v>80</v>
      </c>
      <c r="L22" s="43">
        <v>44</v>
      </c>
      <c r="M22" s="46">
        <v>59.826999999999998</v>
      </c>
      <c r="N22" s="41" t="s">
        <v>875</v>
      </c>
      <c r="O22" s="42">
        <v>42</v>
      </c>
      <c r="P22" s="43">
        <v>24</v>
      </c>
      <c r="Q22" s="44">
        <v>52.048000000000002</v>
      </c>
      <c r="R22" s="45">
        <v>80</v>
      </c>
      <c r="S22" s="43">
        <v>44</v>
      </c>
      <c r="T22" s="46">
        <v>51.927999999999997</v>
      </c>
      <c r="U22" s="40">
        <v>6</v>
      </c>
      <c r="V22" s="47">
        <v>4946.4237412660004</v>
      </c>
      <c r="W22" s="48">
        <v>1973</v>
      </c>
      <c r="X22" s="40"/>
      <c r="Y22" s="52"/>
      <c r="Z22" s="40" t="s">
        <v>910</v>
      </c>
      <c r="AA22" s="49">
        <f t="shared" si="7"/>
        <v>0</v>
      </c>
      <c r="AB22" s="71">
        <f t="shared" si="8"/>
        <v>0.80</v>
      </c>
      <c r="AC22" s="49">
        <f t="shared" si="9"/>
        <v>0</v>
      </c>
      <c r="AD22" s="50">
        <f t="shared" si="10"/>
        <v>0</v>
      </c>
      <c r="AE22" s="50">
        <f t="shared" si="11"/>
        <v>0</v>
      </c>
      <c r="AF22" s="50">
        <f t="shared" si="12"/>
        <v>0</v>
      </c>
      <c r="AG22" s="199">
        <f t="shared" si="13"/>
        <v>0</v>
      </c>
      <c r="AH22" s="187"/>
      <c r="AI22" s="185" t="s">
        <v>1449</v>
      </c>
      <c r="AJ22" s="185"/>
      <c r="AK22" s="277">
        <f t="shared" si="6"/>
        <v>4946.42</v>
      </c>
      <c r="AL22" s="25">
        <f>(SUMIFS('T1 2019 Pipeline Data Lagasco'!$O:$O,'T1 2019 Pipeline Data Lagasco'!$A:$A,'Dec 31 2018 OFFS'!$AI22,'T1 2019 Pipeline Data Lagasco'!$Q:$Q,'Dec 31 2018 OFFS'!$AK22,'T1 2019 Pipeline Data Lagasco'!$E:$E,'Dec 31 2018 OFFS'!$U22,'T1 2019 Pipeline Data Lagasco'!$G:$G,'Dec 31 2018 OFFS'!$W22))/(MAX(COUNTIFS('T1 2019 Pipeline Data Lagasco'!$A:$A,'Dec 31 2018 OFFS'!$AI22,'T1 2019 Pipeline Data Lagasco'!$Q:$Q,'Dec 31 2018 OFFS'!$AK22,'T1 2019 Pipeline Data Lagasco'!$E:$E,'Dec 31 2018 OFFS'!$U22,'T1 2019 Pipeline Data Lagasco'!$G:$G,'Dec 31 2018 OFFS'!$W22),1))</f>
        <v>0</v>
      </c>
      <c r="AM22" s="274">
        <f t="shared" si="14"/>
        <v>0</v>
      </c>
    </row>
    <row r="23" spans="1:39" ht="12.7">
      <c r="A23" s="193" t="s">
        <v>909</v>
      </c>
      <c r="B23" s="40" t="s">
        <v>919</v>
      </c>
      <c r="C23" s="40" t="s">
        <v>920</v>
      </c>
      <c r="D23" s="40" t="s">
        <v>839</v>
      </c>
      <c r="E23" s="40" t="s">
        <v>1054</v>
      </c>
      <c r="F23" s="40" t="s">
        <v>1051</v>
      </c>
      <c r="G23" s="41" t="s">
        <v>875</v>
      </c>
      <c r="H23" s="42">
        <v>42</v>
      </c>
      <c r="I23" s="43">
        <v>24</v>
      </c>
      <c r="J23" s="44">
        <v>52.048000000000002</v>
      </c>
      <c r="K23" s="45">
        <v>80</v>
      </c>
      <c r="L23" s="43">
        <v>44</v>
      </c>
      <c r="M23" s="46">
        <v>51.927999999999997</v>
      </c>
      <c r="N23" s="40" t="s">
        <v>518</v>
      </c>
      <c r="O23" s="42">
        <v>42</v>
      </c>
      <c r="P23" s="43">
        <v>24</v>
      </c>
      <c r="Q23" s="44">
        <v>41.84</v>
      </c>
      <c r="R23" s="45">
        <v>80</v>
      </c>
      <c r="S23" s="43">
        <v>43</v>
      </c>
      <c r="T23" s="46">
        <v>42.47</v>
      </c>
      <c r="U23" s="40">
        <v>4</v>
      </c>
      <c r="V23" s="47">
        <v>5311.6796361999995</v>
      </c>
      <c r="W23" s="48">
        <v>1973</v>
      </c>
      <c r="X23" s="40"/>
      <c r="Y23" s="52"/>
      <c r="Z23" s="40" t="s">
        <v>910</v>
      </c>
      <c r="AA23" s="49">
        <f t="shared" si="7"/>
        <v>0</v>
      </c>
      <c r="AB23" s="71">
        <f t="shared" si="8"/>
        <v>0.80</v>
      </c>
      <c r="AC23" s="49">
        <f t="shared" si="9"/>
        <v>0</v>
      </c>
      <c r="AD23" s="50">
        <f t="shared" si="10"/>
        <v>0</v>
      </c>
      <c r="AE23" s="50">
        <f t="shared" si="11"/>
        <v>0</v>
      </c>
      <c r="AF23" s="50">
        <f t="shared" si="12"/>
        <v>0</v>
      </c>
      <c r="AG23" s="199">
        <f t="shared" si="13"/>
        <v>0</v>
      </c>
      <c r="AH23" s="187"/>
      <c r="AI23" s="185" t="s">
        <v>1449</v>
      </c>
      <c r="AJ23" s="185"/>
      <c r="AK23" s="277">
        <f t="shared" si="6"/>
        <v>5311.68</v>
      </c>
      <c r="AL23" s="25">
        <f>(SUMIFS('T1 2019 Pipeline Data Lagasco'!$O:$O,'T1 2019 Pipeline Data Lagasco'!$A:$A,'Dec 31 2018 OFFS'!$AI23,'T1 2019 Pipeline Data Lagasco'!$Q:$Q,'Dec 31 2018 OFFS'!$AK23,'T1 2019 Pipeline Data Lagasco'!$E:$E,'Dec 31 2018 OFFS'!$U23,'T1 2019 Pipeline Data Lagasco'!$G:$G,'Dec 31 2018 OFFS'!$W23))/(MAX(COUNTIFS('T1 2019 Pipeline Data Lagasco'!$A:$A,'Dec 31 2018 OFFS'!$AI23,'T1 2019 Pipeline Data Lagasco'!$Q:$Q,'Dec 31 2018 OFFS'!$AK23,'T1 2019 Pipeline Data Lagasco'!$E:$E,'Dec 31 2018 OFFS'!$U23,'T1 2019 Pipeline Data Lagasco'!$G:$G,'Dec 31 2018 OFFS'!$W23),1))</f>
        <v>0</v>
      </c>
      <c r="AM23" s="274">
        <f t="shared" si="14"/>
        <v>0</v>
      </c>
    </row>
    <row r="24" spans="1:39" ht="12.7">
      <c r="A24" s="193" t="s">
        <v>909</v>
      </c>
      <c r="B24" s="40" t="s">
        <v>919</v>
      </c>
      <c r="C24" s="40" t="s">
        <v>920</v>
      </c>
      <c r="D24" s="40" t="s">
        <v>839</v>
      </c>
      <c r="E24" s="40" t="s">
        <v>1054</v>
      </c>
      <c r="F24" s="40" t="s">
        <v>1051</v>
      </c>
      <c r="G24" s="41" t="s">
        <v>875</v>
      </c>
      <c r="H24" s="42">
        <v>42</v>
      </c>
      <c r="I24" s="43">
        <v>24</v>
      </c>
      <c r="J24" s="44">
        <v>52.048000000000002</v>
      </c>
      <c r="K24" s="45">
        <v>80</v>
      </c>
      <c r="L24" s="43">
        <v>44</v>
      </c>
      <c r="M24" s="46">
        <v>51.927999999999997</v>
      </c>
      <c r="N24" s="41" t="s">
        <v>843</v>
      </c>
      <c r="O24" s="42">
        <v>42</v>
      </c>
      <c r="P24" s="43">
        <v>24</v>
      </c>
      <c r="Q24" s="44">
        <v>4.8019999999999996</v>
      </c>
      <c r="R24" s="45">
        <v>80</v>
      </c>
      <c r="S24" s="43">
        <v>44</v>
      </c>
      <c r="T24" s="46">
        <v>52.533999999999999</v>
      </c>
      <c r="U24" s="40">
        <v>4</v>
      </c>
      <c r="V24" s="47">
        <v>4782.8738772359993</v>
      </c>
      <c r="W24" s="48">
        <v>1973</v>
      </c>
      <c r="X24" s="40"/>
      <c r="Y24" s="52"/>
      <c r="Z24" s="40" t="s">
        <v>910</v>
      </c>
      <c r="AA24" s="49">
        <f t="shared" si="7"/>
        <v>0</v>
      </c>
      <c r="AB24" s="71">
        <f t="shared" si="8"/>
        <v>0.80</v>
      </c>
      <c r="AC24" s="49">
        <f t="shared" si="9"/>
        <v>0</v>
      </c>
      <c r="AD24" s="50">
        <f t="shared" si="10"/>
        <v>0</v>
      </c>
      <c r="AE24" s="50">
        <f t="shared" si="11"/>
        <v>0</v>
      </c>
      <c r="AF24" s="50">
        <f t="shared" si="12"/>
        <v>0</v>
      </c>
      <c r="AG24" s="199">
        <f t="shared" si="13"/>
        <v>0</v>
      </c>
      <c r="AH24" s="187"/>
      <c r="AI24" s="185" t="s">
        <v>1449</v>
      </c>
      <c r="AJ24" s="185"/>
      <c r="AK24" s="277">
        <f t="shared" si="6"/>
        <v>4782.87</v>
      </c>
      <c r="AL24" s="25">
        <f>(SUMIFS('T1 2019 Pipeline Data Lagasco'!$O:$O,'T1 2019 Pipeline Data Lagasco'!$A:$A,'Dec 31 2018 OFFS'!$AI24,'T1 2019 Pipeline Data Lagasco'!$Q:$Q,'Dec 31 2018 OFFS'!$AK24,'T1 2019 Pipeline Data Lagasco'!$E:$E,'Dec 31 2018 OFFS'!$U24,'T1 2019 Pipeline Data Lagasco'!$G:$G,'Dec 31 2018 OFFS'!$W24))/(MAX(COUNTIFS('T1 2019 Pipeline Data Lagasco'!$A:$A,'Dec 31 2018 OFFS'!$AI24,'T1 2019 Pipeline Data Lagasco'!$Q:$Q,'Dec 31 2018 OFFS'!$AK24,'T1 2019 Pipeline Data Lagasco'!$E:$E,'Dec 31 2018 OFFS'!$U24,'T1 2019 Pipeline Data Lagasco'!$G:$G,'Dec 31 2018 OFFS'!$W24),1))</f>
        <v>0</v>
      </c>
      <c r="AM24" s="274">
        <f t="shared" si="14"/>
        <v>0</v>
      </c>
    </row>
    <row r="25" spans="1:39" ht="12.7">
      <c r="A25" s="193" t="s">
        <v>909</v>
      </c>
      <c r="B25" s="40" t="s">
        <v>919</v>
      </c>
      <c r="C25" s="40" t="s">
        <v>920</v>
      </c>
      <c r="D25" s="40" t="s">
        <v>839</v>
      </c>
      <c r="E25" s="40" t="s">
        <v>1054</v>
      </c>
      <c r="F25" s="40" t="s">
        <v>1051</v>
      </c>
      <c r="G25" s="41" t="s">
        <v>843</v>
      </c>
      <c r="H25" s="42">
        <v>42</v>
      </c>
      <c r="I25" s="43">
        <v>24</v>
      </c>
      <c r="J25" s="44">
        <v>4.8019999999999996</v>
      </c>
      <c r="K25" s="45">
        <v>80</v>
      </c>
      <c r="L25" s="43">
        <v>44</v>
      </c>
      <c r="M25" s="46">
        <v>52.533999999999999</v>
      </c>
      <c r="N25" s="41" t="s">
        <v>844</v>
      </c>
      <c r="O25" s="42">
        <v>42</v>
      </c>
      <c r="P25" s="43">
        <v>24</v>
      </c>
      <c r="Q25" s="44">
        <v>4.734</v>
      </c>
      <c r="R25" s="45">
        <v>80</v>
      </c>
      <c r="S25" s="43">
        <v>45</v>
      </c>
      <c r="T25" s="46">
        <v>1.236</v>
      </c>
      <c r="U25" s="40">
        <v>2</v>
      </c>
      <c r="V25" s="47">
        <v>652.91999999999996</v>
      </c>
      <c r="W25" s="48">
        <v>1973</v>
      </c>
      <c r="X25" s="40"/>
      <c r="Y25" s="52"/>
      <c r="Z25" s="40" t="s">
        <v>910</v>
      </c>
      <c r="AA25" s="49">
        <f t="shared" si="7"/>
        <v>0</v>
      </c>
      <c r="AB25" s="71">
        <f t="shared" si="8"/>
        <v>0.80</v>
      </c>
      <c r="AC25" s="49">
        <f t="shared" si="9"/>
        <v>0</v>
      </c>
      <c r="AD25" s="50">
        <f t="shared" si="10"/>
        <v>0</v>
      </c>
      <c r="AE25" s="50">
        <f t="shared" si="11"/>
        <v>0</v>
      </c>
      <c r="AF25" s="50">
        <f t="shared" si="12"/>
        <v>0</v>
      </c>
      <c r="AG25" s="199">
        <f t="shared" si="13"/>
        <v>0</v>
      </c>
      <c r="AH25" s="187"/>
      <c r="AI25" s="185" t="s">
        <v>1449</v>
      </c>
      <c r="AJ25" s="185"/>
      <c r="AK25" s="277">
        <f t="shared" si="6"/>
        <v>652.91999999999996</v>
      </c>
      <c r="AL25" s="25">
        <f>(SUMIFS('T1 2019 Pipeline Data Lagasco'!$O:$O,'T1 2019 Pipeline Data Lagasco'!$A:$A,'Dec 31 2018 OFFS'!$AI25,'T1 2019 Pipeline Data Lagasco'!$Q:$Q,'Dec 31 2018 OFFS'!$AK25,'T1 2019 Pipeline Data Lagasco'!$E:$E,'Dec 31 2018 OFFS'!$U25,'T1 2019 Pipeline Data Lagasco'!$G:$G,'Dec 31 2018 OFFS'!$W25))/(MAX(COUNTIFS('T1 2019 Pipeline Data Lagasco'!$A:$A,'Dec 31 2018 OFFS'!$AI25,'T1 2019 Pipeline Data Lagasco'!$Q:$Q,'Dec 31 2018 OFFS'!$AK25,'T1 2019 Pipeline Data Lagasco'!$E:$E,'Dec 31 2018 OFFS'!$U25,'T1 2019 Pipeline Data Lagasco'!$G:$G,'Dec 31 2018 OFFS'!$W25),1))</f>
        <v>0</v>
      </c>
      <c r="AM25" s="274">
        <f t="shared" si="14"/>
        <v>0</v>
      </c>
    </row>
    <row r="26" spans="1:39" ht="12.7">
      <c r="A26" s="193" t="s">
        <v>909</v>
      </c>
      <c r="B26" s="40" t="s">
        <v>919</v>
      </c>
      <c r="C26" s="40" t="s">
        <v>920</v>
      </c>
      <c r="D26" s="40" t="s">
        <v>839</v>
      </c>
      <c r="E26" s="40" t="s">
        <v>1054</v>
      </c>
      <c r="F26" s="40" t="s">
        <v>1051</v>
      </c>
      <c r="G26" s="41" t="s">
        <v>843</v>
      </c>
      <c r="H26" s="42">
        <v>42</v>
      </c>
      <c r="I26" s="43">
        <v>24</v>
      </c>
      <c r="J26" s="44">
        <v>4.8019999999999996</v>
      </c>
      <c r="K26" s="45">
        <v>80</v>
      </c>
      <c r="L26" s="43">
        <v>44</v>
      </c>
      <c r="M26" s="46">
        <v>52.533999999999999</v>
      </c>
      <c r="N26" s="41" t="s">
        <v>845</v>
      </c>
      <c r="O26" s="42">
        <v>42</v>
      </c>
      <c r="P26" s="43">
        <v>23</v>
      </c>
      <c r="Q26" s="44">
        <v>39.648000000000003</v>
      </c>
      <c r="R26" s="45">
        <v>80</v>
      </c>
      <c r="S26" s="43">
        <v>44</v>
      </c>
      <c r="T26" s="46">
        <v>56.93</v>
      </c>
      <c r="U26" s="40">
        <v>4</v>
      </c>
      <c r="V26" s="47">
        <v>2567.5524190820001</v>
      </c>
      <c r="W26" s="48">
        <v>1973</v>
      </c>
      <c r="X26" s="40"/>
      <c r="Y26" s="52"/>
      <c r="Z26" s="40" t="s">
        <v>910</v>
      </c>
      <c r="AA26" s="49">
        <f t="shared" si="7"/>
        <v>0</v>
      </c>
      <c r="AB26" s="71">
        <f t="shared" si="8"/>
        <v>0.80</v>
      </c>
      <c r="AC26" s="49">
        <f t="shared" si="9"/>
        <v>0</v>
      </c>
      <c r="AD26" s="50">
        <f t="shared" si="10"/>
        <v>0</v>
      </c>
      <c r="AE26" s="50">
        <f t="shared" si="11"/>
        <v>0</v>
      </c>
      <c r="AF26" s="50">
        <f t="shared" si="12"/>
        <v>0</v>
      </c>
      <c r="AG26" s="199">
        <f t="shared" si="13"/>
        <v>0</v>
      </c>
      <c r="AH26" s="187"/>
      <c r="AI26" s="185" t="s">
        <v>1449</v>
      </c>
      <c r="AJ26" s="185"/>
      <c r="AK26" s="277">
        <f t="shared" si="6"/>
        <v>2567.5500000000002</v>
      </c>
      <c r="AL26" s="25">
        <f>(SUMIFS('T1 2019 Pipeline Data Lagasco'!$O:$O,'T1 2019 Pipeline Data Lagasco'!$A:$A,'Dec 31 2018 OFFS'!$AI26,'T1 2019 Pipeline Data Lagasco'!$Q:$Q,'Dec 31 2018 OFFS'!$AK26,'T1 2019 Pipeline Data Lagasco'!$E:$E,'Dec 31 2018 OFFS'!$U26,'T1 2019 Pipeline Data Lagasco'!$G:$G,'Dec 31 2018 OFFS'!$W26))/(MAX(COUNTIFS('T1 2019 Pipeline Data Lagasco'!$A:$A,'Dec 31 2018 OFFS'!$AI26,'T1 2019 Pipeline Data Lagasco'!$Q:$Q,'Dec 31 2018 OFFS'!$AK26,'T1 2019 Pipeline Data Lagasco'!$E:$E,'Dec 31 2018 OFFS'!$U26,'T1 2019 Pipeline Data Lagasco'!$G:$G,'Dec 31 2018 OFFS'!$W26),1))</f>
        <v>0</v>
      </c>
      <c r="AM26" s="274">
        <f t="shared" si="14"/>
        <v>0</v>
      </c>
    </row>
    <row r="27" spans="1:39" ht="12.7">
      <c r="A27" s="193" t="s">
        <v>909</v>
      </c>
      <c r="B27" s="40" t="s">
        <v>919</v>
      </c>
      <c r="C27" s="40" t="s">
        <v>920</v>
      </c>
      <c r="D27" s="40" t="s">
        <v>839</v>
      </c>
      <c r="E27" s="40" t="s">
        <v>1054</v>
      </c>
      <c r="F27" s="40"/>
      <c r="G27" s="41" t="s">
        <v>843</v>
      </c>
      <c r="H27" s="42">
        <v>42</v>
      </c>
      <c r="I27" s="43">
        <v>24</v>
      </c>
      <c r="J27" s="44">
        <v>5.58</v>
      </c>
      <c r="K27" s="45">
        <v>80</v>
      </c>
      <c r="L27" s="43">
        <v>44</v>
      </c>
      <c r="M27" s="46">
        <v>54.72</v>
      </c>
      <c r="N27" s="41" t="s">
        <v>1245</v>
      </c>
      <c r="O27" s="42">
        <v>42</v>
      </c>
      <c r="P27" s="43">
        <v>23</v>
      </c>
      <c r="Q27" s="44">
        <f>60*0.93</f>
        <v>55.80</v>
      </c>
      <c r="R27" s="45">
        <v>80</v>
      </c>
      <c r="S27" s="43">
        <v>47</v>
      </c>
      <c r="T27" s="46">
        <f>60*0.203</f>
        <v>12.18</v>
      </c>
      <c r="U27" s="40">
        <v>3</v>
      </c>
      <c r="V27" s="47">
        <v>10327</v>
      </c>
      <c r="W27" s="48">
        <v>2006</v>
      </c>
      <c r="X27" s="40" t="s">
        <v>2</v>
      </c>
      <c r="Y27" s="52"/>
      <c r="Z27" s="40" t="s">
        <v>910</v>
      </c>
      <c r="AA27" s="49">
        <f t="shared" si="7"/>
        <v>243613.93</v>
      </c>
      <c r="AB27" s="71">
        <f t="shared" si="8"/>
        <v>0.52</v>
      </c>
      <c r="AC27" s="49">
        <f t="shared" si="9"/>
        <v>116934.69</v>
      </c>
      <c r="AD27" s="50">
        <f t="shared" si="10"/>
        <v>29233.672500000001</v>
      </c>
      <c r="AE27" s="50">
        <f t="shared" si="11"/>
        <v>0</v>
      </c>
      <c r="AF27" s="50">
        <f t="shared" si="12"/>
        <v>87701.017500000002</v>
      </c>
      <c r="AG27" s="199">
        <f t="shared" si="13"/>
        <v>87701</v>
      </c>
      <c r="AH27" s="187"/>
      <c r="AI27" s="185" t="s">
        <v>1449</v>
      </c>
      <c r="AJ27" s="185"/>
      <c r="AK27" s="277">
        <f t="shared" si="6"/>
        <v>10327</v>
      </c>
      <c r="AL27" s="25">
        <f>(SUMIFS('T1 2019 Pipeline Data Lagasco'!$O:$O,'T1 2019 Pipeline Data Lagasco'!$A:$A,'Dec 31 2018 OFFS'!$AI27,'T1 2019 Pipeline Data Lagasco'!$Q:$Q,'Dec 31 2018 OFFS'!$AK27,'T1 2019 Pipeline Data Lagasco'!$E:$E,'Dec 31 2018 OFFS'!$U27,'T1 2019 Pipeline Data Lagasco'!$G:$G,'Dec 31 2018 OFFS'!$W27))/(MAX(COUNTIFS('T1 2019 Pipeline Data Lagasco'!$A:$A,'Dec 31 2018 OFFS'!$AI27,'T1 2019 Pipeline Data Lagasco'!$Q:$Q,'Dec 31 2018 OFFS'!$AK27,'T1 2019 Pipeline Data Lagasco'!$E:$E,'Dec 31 2018 OFFS'!$U27,'T1 2019 Pipeline Data Lagasco'!$G:$G,'Dec 31 2018 OFFS'!$W27),1))</f>
        <v>87701</v>
      </c>
      <c r="AM27" s="274">
        <f t="shared" si="14"/>
        <v>0</v>
      </c>
    </row>
    <row r="28" spans="1:39" ht="12.7">
      <c r="A28" s="193" t="s">
        <v>909</v>
      </c>
      <c r="B28" s="40" t="s">
        <v>919</v>
      </c>
      <c r="C28" s="40" t="s">
        <v>920</v>
      </c>
      <c r="D28" s="40" t="s">
        <v>839</v>
      </c>
      <c r="E28" s="40" t="s">
        <v>1054</v>
      </c>
      <c r="F28" s="40"/>
      <c r="G28" s="41" t="s">
        <v>843</v>
      </c>
      <c r="H28" s="42">
        <v>42</v>
      </c>
      <c r="I28" s="43">
        <v>24</v>
      </c>
      <c r="J28" s="44">
        <v>5.58</v>
      </c>
      <c r="K28" s="45">
        <v>80</v>
      </c>
      <c r="L28" s="43">
        <v>44</v>
      </c>
      <c r="M28" s="46">
        <v>54.72</v>
      </c>
      <c r="N28" s="41" t="s">
        <v>886</v>
      </c>
      <c r="O28" s="42">
        <v>42</v>
      </c>
      <c r="P28" s="43">
        <v>30</v>
      </c>
      <c r="Q28" s="44">
        <f>60*0.266</f>
        <v>15.96</v>
      </c>
      <c r="R28" s="45">
        <v>80</v>
      </c>
      <c r="S28" s="43">
        <v>47</v>
      </c>
      <c r="T28" s="46">
        <f>60*0.031</f>
        <v>1.86</v>
      </c>
      <c r="U28" s="40">
        <v>6</v>
      </c>
      <c r="V28" s="47">
        <v>38763</v>
      </c>
      <c r="W28" s="48">
        <v>2001</v>
      </c>
      <c r="X28" s="40"/>
      <c r="Y28" s="52"/>
      <c r="Z28" s="40" t="s">
        <v>910</v>
      </c>
      <c r="AA28" s="49">
        <f t="shared" si="7"/>
        <v>1342362.6900000002</v>
      </c>
      <c r="AB28" s="71">
        <f t="shared" si="8"/>
        <v>0.59</v>
      </c>
      <c r="AC28" s="49">
        <f t="shared" si="9"/>
        <v>550368.69999999995</v>
      </c>
      <c r="AD28" s="50">
        <f t="shared" si="10"/>
        <v>0</v>
      </c>
      <c r="AE28" s="50">
        <f t="shared" si="11"/>
        <v>0</v>
      </c>
      <c r="AF28" s="50">
        <f t="shared" si="12"/>
        <v>550368.69999999995</v>
      </c>
      <c r="AG28" s="199">
        <f t="shared" si="13"/>
        <v>550368</v>
      </c>
      <c r="AH28" s="187"/>
      <c r="AI28" s="185" t="s">
        <v>1449</v>
      </c>
      <c r="AJ28" s="185"/>
      <c r="AK28" s="277">
        <f t="shared" si="6"/>
        <v>38763</v>
      </c>
      <c r="AL28" s="25">
        <f>(SUMIFS('T1 2019 Pipeline Data Lagasco'!$O:$O,'T1 2019 Pipeline Data Lagasco'!$A:$A,'Dec 31 2018 OFFS'!$AI28,'T1 2019 Pipeline Data Lagasco'!$Q:$Q,'Dec 31 2018 OFFS'!$AK28,'T1 2019 Pipeline Data Lagasco'!$E:$E,'Dec 31 2018 OFFS'!$U28,'T1 2019 Pipeline Data Lagasco'!$G:$G,'Dec 31 2018 OFFS'!$W28))/(MAX(COUNTIFS('T1 2019 Pipeline Data Lagasco'!$A:$A,'Dec 31 2018 OFFS'!$AI28,'T1 2019 Pipeline Data Lagasco'!$Q:$Q,'Dec 31 2018 OFFS'!$AK28,'T1 2019 Pipeline Data Lagasco'!$E:$E,'Dec 31 2018 OFFS'!$U28,'T1 2019 Pipeline Data Lagasco'!$G:$G,'Dec 31 2018 OFFS'!$W28),1))</f>
        <v>550368</v>
      </c>
      <c r="AM28" s="274">
        <f t="shared" si="14"/>
        <v>0</v>
      </c>
    </row>
    <row r="29" spans="1:39" ht="12.7">
      <c r="A29" s="193" t="s">
        <v>909</v>
      </c>
      <c r="B29" s="40" t="s">
        <v>919</v>
      </c>
      <c r="C29" s="40" t="s">
        <v>920</v>
      </c>
      <c r="D29" s="40" t="s">
        <v>839</v>
      </c>
      <c r="E29" s="40" t="s">
        <v>1054</v>
      </c>
      <c r="F29" s="40" t="s">
        <v>1381</v>
      </c>
      <c r="G29" s="41" t="s">
        <v>843</v>
      </c>
      <c r="H29" s="42">
        <v>42</v>
      </c>
      <c r="I29" s="43">
        <v>24</v>
      </c>
      <c r="J29" s="44">
        <v>5.58</v>
      </c>
      <c r="K29" s="45">
        <v>80</v>
      </c>
      <c r="L29" s="43">
        <v>44</v>
      </c>
      <c r="M29" s="46">
        <v>54.72</v>
      </c>
      <c r="N29" s="41" t="s">
        <v>846</v>
      </c>
      <c r="O29" s="42">
        <v>42</v>
      </c>
      <c r="P29" s="43">
        <v>23</v>
      </c>
      <c r="Q29" s="44">
        <v>13.98</v>
      </c>
      <c r="R29" s="45">
        <v>80</v>
      </c>
      <c r="S29" s="43">
        <v>44</v>
      </c>
      <c r="T29" s="46">
        <v>35.520000000000003</v>
      </c>
      <c r="U29" s="40">
        <v>6</v>
      </c>
      <c r="V29" s="47">
        <v>5295</v>
      </c>
      <c r="W29" s="48">
        <v>2002</v>
      </c>
      <c r="X29" s="40"/>
      <c r="Y29" s="52"/>
      <c r="Z29" s="139" t="s">
        <v>910</v>
      </c>
      <c r="AA29" s="49">
        <f t="shared" si="7"/>
        <v>183365.85</v>
      </c>
      <c r="AB29" s="71">
        <f t="shared" si="8"/>
        <v>0.56999999999999995</v>
      </c>
      <c r="AC29" s="49">
        <f t="shared" si="9"/>
        <v>78847.320000000007</v>
      </c>
      <c r="AD29" s="50">
        <f t="shared" si="10"/>
        <v>0</v>
      </c>
      <c r="AE29" s="50">
        <f t="shared" si="11"/>
        <v>0</v>
      </c>
      <c r="AF29" s="50">
        <f t="shared" si="12"/>
        <v>78847.320000000007</v>
      </c>
      <c r="AG29" s="199">
        <f t="shared" si="13"/>
        <v>78847</v>
      </c>
      <c r="AH29" s="187"/>
      <c r="AI29" s="185" t="s">
        <v>1449</v>
      </c>
      <c r="AJ29" s="185"/>
      <c r="AK29" s="277">
        <f t="shared" si="6"/>
        <v>5295</v>
      </c>
      <c r="AL29" s="25">
        <f>(SUMIFS('T1 2019 Pipeline Data Lagasco'!$O:$O,'T1 2019 Pipeline Data Lagasco'!$A:$A,'Dec 31 2018 OFFS'!$AI29,'T1 2019 Pipeline Data Lagasco'!$Q:$Q,'Dec 31 2018 OFFS'!$AK29,'T1 2019 Pipeline Data Lagasco'!$E:$E,'Dec 31 2018 OFFS'!$U29,'T1 2019 Pipeline Data Lagasco'!$G:$G,'Dec 31 2018 OFFS'!$W29))/(MAX(COUNTIFS('T1 2019 Pipeline Data Lagasco'!$A:$A,'Dec 31 2018 OFFS'!$AI29,'T1 2019 Pipeline Data Lagasco'!$Q:$Q,'Dec 31 2018 OFFS'!$AK29,'T1 2019 Pipeline Data Lagasco'!$E:$E,'Dec 31 2018 OFFS'!$U29,'T1 2019 Pipeline Data Lagasco'!$G:$G,'Dec 31 2018 OFFS'!$W29),1))</f>
        <v>78847</v>
      </c>
      <c r="AM29" s="274">
        <f t="shared" si="14"/>
        <v>0</v>
      </c>
    </row>
    <row r="30" spans="1:39" ht="12.7">
      <c r="A30" s="193" t="s">
        <v>909</v>
      </c>
      <c r="B30" s="40" t="s">
        <v>919</v>
      </c>
      <c r="C30" s="40" t="s">
        <v>920</v>
      </c>
      <c r="D30" s="40" t="s">
        <v>839</v>
      </c>
      <c r="E30" s="40" t="s">
        <v>1054</v>
      </c>
      <c r="F30" s="40" t="s">
        <v>1051</v>
      </c>
      <c r="G30" s="41" t="s">
        <v>845</v>
      </c>
      <c r="H30" s="42">
        <v>42</v>
      </c>
      <c r="I30" s="43">
        <v>23</v>
      </c>
      <c r="J30" s="44">
        <v>39.648000000000003</v>
      </c>
      <c r="K30" s="45">
        <v>80</v>
      </c>
      <c r="L30" s="43">
        <v>44</v>
      </c>
      <c r="M30" s="46">
        <v>56.93</v>
      </c>
      <c r="N30" s="41" t="s">
        <v>846</v>
      </c>
      <c r="O30" s="42">
        <v>42</v>
      </c>
      <c r="P30" s="43">
        <v>23</v>
      </c>
      <c r="Q30" s="44">
        <v>13.98</v>
      </c>
      <c r="R30" s="45">
        <v>80</v>
      </c>
      <c r="S30" s="43">
        <v>44</v>
      </c>
      <c r="T30" s="46">
        <v>35.520000000000003</v>
      </c>
      <c r="U30" s="40">
        <v>2</v>
      </c>
      <c r="V30" s="47">
        <v>3054.9211713719997</v>
      </c>
      <c r="W30" s="48">
        <v>1973</v>
      </c>
      <c r="X30" s="40"/>
      <c r="Y30" s="52"/>
      <c r="Z30" s="40" t="s">
        <v>910</v>
      </c>
      <c r="AA30" s="49">
        <f t="shared" si="7"/>
        <v>0</v>
      </c>
      <c r="AB30" s="71">
        <f t="shared" si="8"/>
        <v>0.80</v>
      </c>
      <c r="AC30" s="49">
        <f t="shared" si="9"/>
        <v>0</v>
      </c>
      <c r="AD30" s="50">
        <f t="shared" si="10"/>
        <v>0</v>
      </c>
      <c r="AE30" s="50">
        <f t="shared" si="11"/>
        <v>0</v>
      </c>
      <c r="AF30" s="50">
        <f t="shared" si="12"/>
        <v>0</v>
      </c>
      <c r="AG30" s="199">
        <f t="shared" si="13"/>
        <v>0</v>
      </c>
      <c r="AH30" s="187"/>
      <c r="AI30" s="185" t="s">
        <v>1449</v>
      </c>
      <c r="AJ30" s="185"/>
      <c r="AK30" s="277">
        <f t="shared" si="6"/>
        <v>3054.92</v>
      </c>
      <c r="AL30" s="25">
        <f>(SUMIFS('T1 2019 Pipeline Data Lagasco'!$O:$O,'T1 2019 Pipeline Data Lagasco'!$A:$A,'Dec 31 2018 OFFS'!$AI30,'T1 2019 Pipeline Data Lagasco'!$Q:$Q,'Dec 31 2018 OFFS'!$AK30,'T1 2019 Pipeline Data Lagasco'!$E:$E,'Dec 31 2018 OFFS'!$U30,'T1 2019 Pipeline Data Lagasco'!$G:$G,'Dec 31 2018 OFFS'!$W30))/(MAX(COUNTIFS('T1 2019 Pipeline Data Lagasco'!$A:$A,'Dec 31 2018 OFFS'!$AI30,'T1 2019 Pipeline Data Lagasco'!$Q:$Q,'Dec 31 2018 OFFS'!$AK30,'T1 2019 Pipeline Data Lagasco'!$E:$E,'Dec 31 2018 OFFS'!$U30,'T1 2019 Pipeline Data Lagasco'!$G:$G,'Dec 31 2018 OFFS'!$W30),1))</f>
        <v>0</v>
      </c>
      <c r="AM30" s="274">
        <f t="shared" si="14"/>
        <v>0</v>
      </c>
    </row>
    <row r="31" spans="1:39" ht="12.7">
      <c r="A31" s="193" t="s">
        <v>909</v>
      </c>
      <c r="B31" s="40" t="s">
        <v>919</v>
      </c>
      <c r="C31" s="40" t="s">
        <v>920</v>
      </c>
      <c r="D31" s="40" t="s">
        <v>839</v>
      </c>
      <c r="E31" s="40" t="s">
        <v>1054</v>
      </c>
      <c r="F31" s="40" t="s">
        <v>1051</v>
      </c>
      <c r="G31" s="41" t="s">
        <v>845</v>
      </c>
      <c r="H31" s="42">
        <v>42</v>
      </c>
      <c r="I31" s="43">
        <v>23</v>
      </c>
      <c r="J31" s="44">
        <v>39.648000000000003</v>
      </c>
      <c r="K31" s="45">
        <v>80</v>
      </c>
      <c r="L31" s="43">
        <v>44</v>
      </c>
      <c r="M31" s="46">
        <v>56.93</v>
      </c>
      <c r="N31" s="41" t="s">
        <v>846</v>
      </c>
      <c r="O31" s="42">
        <v>42</v>
      </c>
      <c r="P31" s="43">
        <v>23</v>
      </c>
      <c r="Q31" s="44">
        <v>13.98</v>
      </c>
      <c r="R31" s="45">
        <v>80</v>
      </c>
      <c r="S31" s="43">
        <v>44</v>
      </c>
      <c r="T31" s="46">
        <v>35.520000000000003</v>
      </c>
      <c r="U31" s="40">
        <v>3</v>
      </c>
      <c r="V31" s="47">
        <v>3091</v>
      </c>
      <c r="W31" s="48">
        <v>2008</v>
      </c>
      <c r="X31" s="40"/>
      <c r="Y31" s="52"/>
      <c r="Z31" s="40" t="s">
        <v>910</v>
      </c>
      <c r="AA31" s="49">
        <f t="shared" si="7"/>
        <v>0</v>
      </c>
      <c r="AB31" s="71">
        <f t="shared" si="8"/>
        <v>0.49</v>
      </c>
      <c r="AC31" s="49">
        <f t="shared" si="9"/>
        <v>0</v>
      </c>
      <c r="AD31" s="50">
        <f t="shared" si="10"/>
        <v>0</v>
      </c>
      <c r="AE31" s="50">
        <f t="shared" si="11"/>
        <v>0</v>
      </c>
      <c r="AF31" s="50">
        <f t="shared" si="12"/>
        <v>0</v>
      </c>
      <c r="AG31" s="199">
        <f t="shared" si="13"/>
        <v>0</v>
      </c>
      <c r="AH31" s="187"/>
      <c r="AI31" s="185" t="s">
        <v>1449</v>
      </c>
      <c r="AJ31" s="185"/>
      <c r="AK31" s="277">
        <f t="shared" si="6"/>
        <v>3091</v>
      </c>
      <c r="AL31" s="25">
        <f>(SUMIFS('T1 2019 Pipeline Data Lagasco'!$O:$O,'T1 2019 Pipeline Data Lagasco'!$A:$A,'Dec 31 2018 OFFS'!$AI31,'T1 2019 Pipeline Data Lagasco'!$Q:$Q,'Dec 31 2018 OFFS'!$AK31,'T1 2019 Pipeline Data Lagasco'!$E:$E,'Dec 31 2018 OFFS'!$U31,'T1 2019 Pipeline Data Lagasco'!$G:$G,'Dec 31 2018 OFFS'!$W31))/(MAX(COUNTIFS('T1 2019 Pipeline Data Lagasco'!$A:$A,'Dec 31 2018 OFFS'!$AI31,'T1 2019 Pipeline Data Lagasco'!$Q:$Q,'Dec 31 2018 OFFS'!$AK31,'T1 2019 Pipeline Data Lagasco'!$E:$E,'Dec 31 2018 OFFS'!$U31,'T1 2019 Pipeline Data Lagasco'!$G:$G,'Dec 31 2018 OFFS'!$W31),1))</f>
        <v>0</v>
      </c>
      <c r="AM31" s="274">
        <f t="shared" si="14"/>
        <v>0</v>
      </c>
    </row>
    <row r="32" spans="1:39" ht="12.7">
      <c r="A32" s="193" t="s">
        <v>909</v>
      </c>
      <c r="B32" s="40" t="s">
        <v>919</v>
      </c>
      <c r="C32" s="40" t="s">
        <v>920</v>
      </c>
      <c r="D32" s="40" t="s">
        <v>839</v>
      </c>
      <c r="E32" s="40" t="s">
        <v>1054</v>
      </c>
      <c r="F32" s="40" t="s">
        <v>1051</v>
      </c>
      <c r="G32" s="41" t="s">
        <v>845</v>
      </c>
      <c r="H32" s="42">
        <v>42</v>
      </c>
      <c r="I32" s="43">
        <v>23</v>
      </c>
      <c r="J32" s="44">
        <v>39.648000000000003</v>
      </c>
      <c r="K32" s="45">
        <v>80</v>
      </c>
      <c r="L32" s="43">
        <v>44</v>
      </c>
      <c r="M32" s="46">
        <v>56.93</v>
      </c>
      <c r="N32" s="41" t="s">
        <v>872</v>
      </c>
      <c r="O32" s="42">
        <v>42</v>
      </c>
      <c r="P32" s="43">
        <v>23</v>
      </c>
      <c r="Q32" s="44">
        <v>20.645</v>
      </c>
      <c r="R32" s="45">
        <v>80</v>
      </c>
      <c r="S32" s="43">
        <v>45</v>
      </c>
      <c r="T32" s="46">
        <v>49.844000000000001</v>
      </c>
      <c r="U32" s="40">
        <v>2</v>
      </c>
      <c r="V32" s="47">
        <v>4411.97</v>
      </c>
      <c r="W32" s="48">
        <v>1993</v>
      </c>
      <c r="X32" s="40"/>
      <c r="Y32" s="52"/>
      <c r="Z32" s="40" t="s">
        <v>910</v>
      </c>
      <c r="AA32" s="49">
        <f t="shared" si="7"/>
        <v>0</v>
      </c>
      <c r="AB32" s="71">
        <f t="shared" si="8"/>
        <v>0.70</v>
      </c>
      <c r="AC32" s="49">
        <f t="shared" si="9"/>
        <v>0</v>
      </c>
      <c r="AD32" s="50">
        <f t="shared" si="10"/>
        <v>0</v>
      </c>
      <c r="AE32" s="50">
        <f t="shared" si="11"/>
        <v>0</v>
      </c>
      <c r="AF32" s="50">
        <f t="shared" si="12"/>
        <v>0</v>
      </c>
      <c r="AG32" s="199">
        <f t="shared" si="13"/>
        <v>0</v>
      </c>
      <c r="AH32" s="187"/>
      <c r="AI32" s="185" t="s">
        <v>1449</v>
      </c>
      <c r="AJ32" s="185"/>
      <c r="AK32" s="277">
        <f t="shared" si="6"/>
        <v>4411.97</v>
      </c>
      <c r="AL32" s="25">
        <f>(SUMIFS('T1 2019 Pipeline Data Lagasco'!$O:$O,'T1 2019 Pipeline Data Lagasco'!$A:$A,'Dec 31 2018 OFFS'!$AI32,'T1 2019 Pipeline Data Lagasco'!$Q:$Q,'Dec 31 2018 OFFS'!$AK32,'T1 2019 Pipeline Data Lagasco'!$E:$E,'Dec 31 2018 OFFS'!$U32,'T1 2019 Pipeline Data Lagasco'!$G:$G,'Dec 31 2018 OFFS'!$W32))/(MAX(COUNTIFS('T1 2019 Pipeline Data Lagasco'!$A:$A,'Dec 31 2018 OFFS'!$AI32,'T1 2019 Pipeline Data Lagasco'!$Q:$Q,'Dec 31 2018 OFFS'!$AK32,'T1 2019 Pipeline Data Lagasco'!$E:$E,'Dec 31 2018 OFFS'!$U32,'T1 2019 Pipeline Data Lagasco'!$G:$G,'Dec 31 2018 OFFS'!$W32),1))</f>
        <v>0</v>
      </c>
      <c r="AM32" s="274">
        <f t="shared" si="14"/>
        <v>0</v>
      </c>
    </row>
    <row r="33" spans="1:39" ht="12.7">
      <c r="A33" s="193" t="s">
        <v>909</v>
      </c>
      <c r="B33" s="40" t="s">
        <v>919</v>
      </c>
      <c r="C33" s="40" t="s">
        <v>920</v>
      </c>
      <c r="D33" s="40" t="s">
        <v>839</v>
      </c>
      <c r="E33" s="40" t="s">
        <v>1054</v>
      </c>
      <c r="F33" s="40" t="s">
        <v>1051</v>
      </c>
      <c r="G33" s="41" t="s">
        <v>845</v>
      </c>
      <c r="H33" s="42">
        <v>42</v>
      </c>
      <c r="I33" s="43">
        <v>23</v>
      </c>
      <c r="J33" s="44">
        <v>39.648000000000003</v>
      </c>
      <c r="K33" s="45">
        <v>80</v>
      </c>
      <c r="L33" s="43">
        <v>44</v>
      </c>
      <c r="M33" s="46">
        <v>56.93</v>
      </c>
      <c r="N33" s="41" t="s">
        <v>876</v>
      </c>
      <c r="O33" s="42">
        <v>42</v>
      </c>
      <c r="P33" s="43">
        <v>22</v>
      </c>
      <c r="Q33" s="44">
        <v>26.821999999999999</v>
      </c>
      <c r="R33" s="45">
        <v>80</v>
      </c>
      <c r="S33" s="43">
        <v>44</v>
      </c>
      <c r="T33" s="46">
        <v>52.024000000000001</v>
      </c>
      <c r="U33" s="40">
        <v>4</v>
      </c>
      <c r="V33" s="47">
        <v>7381.2333820399999</v>
      </c>
      <c r="W33" s="48">
        <v>1973</v>
      </c>
      <c r="X33" s="40"/>
      <c r="Y33" s="52"/>
      <c r="Z33" s="40" t="s">
        <v>910</v>
      </c>
      <c r="AA33" s="49">
        <f t="shared" si="7"/>
        <v>0</v>
      </c>
      <c r="AB33" s="71">
        <f t="shared" si="8"/>
        <v>0.80</v>
      </c>
      <c r="AC33" s="49">
        <f t="shared" si="9"/>
        <v>0</v>
      </c>
      <c r="AD33" s="50">
        <f t="shared" si="10"/>
        <v>0</v>
      </c>
      <c r="AE33" s="50">
        <f t="shared" si="11"/>
        <v>0</v>
      </c>
      <c r="AF33" s="50">
        <f t="shared" si="12"/>
        <v>0</v>
      </c>
      <c r="AG33" s="199">
        <f t="shared" si="13"/>
        <v>0</v>
      </c>
      <c r="AH33" s="187"/>
      <c r="AI33" s="185" t="s">
        <v>1449</v>
      </c>
      <c r="AJ33" s="185"/>
      <c r="AK33" s="277">
        <f t="shared" si="6"/>
        <v>7381.23</v>
      </c>
      <c r="AL33" s="25">
        <f>(SUMIFS('T1 2019 Pipeline Data Lagasco'!$O:$O,'T1 2019 Pipeline Data Lagasco'!$A:$A,'Dec 31 2018 OFFS'!$AI33,'T1 2019 Pipeline Data Lagasco'!$Q:$Q,'Dec 31 2018 OFFS'!$AK33,'T1 2019 Pipeline Data Lagasco'!$E:$E,'Dec 31 2018 OFFS'!$U33,'T1 2019 Pipeline Data Lagasco'!$G:$G,'Dec 31 2018 OFFS'!$W33))/(MAX(COUNTIFS('T1 2019 Pipeline Data Lagasco'!$A:$A,'Dec 31 2018 OFFS'!$AI33,'T1 2019 Pipeline Data Lagasco'!$Q:$Q,'Dec 31 2018 OFFS'!$AK33,'T1 2019 Pipeline Data Lagasco'!$E:$E,'Dec 31 2018 OFFS'!$U33,'T1 2019 Pipeline Data Lagasco'!$G:$G,'Dec 31 2018 OFFS'!$W33),1))</f>
        <v>0</v>
      </c>
      <c r="AM33" s="274">
        <f t="shared" si="14"/>
        <v>0</v>
      </c>
    </row>
    <row r="34" spans="1:39" ht="12.7">
      <c r="A34" s="193" t="s">
        <v>909</v>
      </c>
      <c r="B34" s="40" t="s">
        <v>919</v>
      </c>
      <c r="C34" s="40" t="s">
        <v>920</v>
      </c>
      <c r="D34" s="40" t="s">
        <v>839</v>
      </c>
      <c r="E34" s="40" t="s">
        <v>1054</v>
      </c>
      <c r="F34" s="40"/>
      <c r="G34" s="41" t="s">
        <v>846</v>
      </c>
      <c r="H34" s="42">
        <v>42</v>
      </c>
      <c r="I34" s="43">
        <v>23</v>
      </c>
      <c r="J34" s="44">
        <v>13.98</v>
      </c>
      <c r="K34" s="45">
        <v>80</v>
      </c>
      <c r="L34" s="43">
        <v>44</v>
      </c>
      <c r="M34" s="46">
        <v>35.520000000000003</v>
      </c>
      <c r="N34" s="41" t="s">
        <v>1316</v>
      </c>
      <c r="O34" s="42" t="s">
        <v>78</v>
      </c>
      <c r="P34" s="43">
        <v>23</v>
      </c>
      <c r="Q34" s="44">
        <v>12</v>
      </c>
      <c r="R34" s="45" t="s">
        <v>1010</v>
      </c>
      <c r="S34" s="43">
        <v>42</v>
      </c>
      <c r="T34" s="46">
        <v>48</v>
      </c>
      <c r="U34" s="40">
        <v>3</v>
      </c>
      <c r="V34" s="47">
        <v>3831</v>
      </c>
      <c r="W34" s="48">
        <v>2008</v>
      </c>
      <c r="X34" s="40"/>
      <c r="Y34" s="52"/>
      <c r="Z34" s="40" t="s">
        <v>910</v>
      </c>
      <c r="AA34" s="49">
        <f t="shared" si="7"/>
        <v>90373.29</v>
      </c>
      <c r="AB34" s="71">
        <f t="shared" si="8"/>
        <v>0.49</v>
      </c>
      <c r="AC34" s="49">
        <f t="shared" si="9"/>
        <v>46090.38</v>
      </c>
      <c r="AD34" s="50">
        <f t="shared" si="10"/>
        <v>0</v>
      </c>
      <c r="AE34" s="50">
        <f t="shared" si="11"/>
        <v>0</v>
      </c>
      <c r="AF34" s="50">
        <f t="shared" si="12"/>
        <v>46090.38</v>
      </c>
      <c r="AG34" s="199">
        <f t="shared" si="13"/>
        <v>46090</v>
      </c>
      <c r="AH34" s="187"/>
      <c r="AI34" s="185" t="s">
        <v>1449</v>
      </c>
      <c r="AJ34" s="185"/>
      <c r="AK34" s="277">
        <f t="shared" si="6"/>
        <v>3831</v>
      </c>
      <c r="AL34" s="25">
        <f>(SUMIFS('T1 2019 Pipeline Data Lagasco'!$O:$O,'T1 2019 Pipeline Data Lagasco'!$A:$A,'Dec 31 2018 OFFS'!$AI34,'T1 2019 Pipeline Data Lagasco'!$Q:$Q,'Dec 31 2018 OFFS'!$AK34,'T1 2019 Pipeline Data Lagasco'!$E:$E,'Dec 31 2018 OFFS'!$U34,'T1 2019 Pipeline Data Lagasco'!$G:$G,'Dec 31 2018 OFFS'!$W34))/(MAX(COUNTIFS('T1 2019 Pipeline Data Lagasco'!$A:$A,'Dec 31 2018 OFFS'!$AI34,'T1 2019 Pipeline Data Lagasco'!$Q:$Q,'Dec 31 2018 OFFS'!$AK34,'T1 2019 Pipeline Data Lagasco'!$E:$E,'Dec 31 2018 OFFS'!$U34,'T1 2019 Pipeline Data Lagasco'!$G:$G,'Dec 31 2018 OFFS'!$W34),1))</f>
        <v>46090</v>
      </c>
      <c r="AM34" s="274">
        <f t="shared" si="14"/>
        <v>0</v>
      </c>
    </row>
    <row r="35" spans="1:39" ht="12.7">
      <c r="A35" s="193" t="s">
        <v>909</v>
      </c>
      <c r="B35" s="40" t="s">
        <v>919</v>
      </c>
      <c r="C35" s="40" t="s">
        <v>920</v>
      </c>
      <c r="D35" s="40" t="s">
        <v>839</v>
      </c>
      <c r="E35" s="40" t="s">
        <v>1054</v>
      </c>
      <c r="F35" s="40" t="s">
        <v>1381</v>
      </c>
      <c r="G35" s="41" t="s">
        <v>846</v>
      </c>
      <c r="H35" s="42">
        <v>42</v>
      </c>
      <c r="I35" s="43">
        <v>23</v>
      </c>
      <c r="J35" s="44">
        <v>13.98</v>
      </c>
      <c r="K35" s="45">
        <v>80</v>
      </c>
      <c r="L35" s="43">
        <v>44</v>
      </c>
      <c r="M35" s="46">
        <v>35.520000000000003</v>
      </c>
      <c r="N35" s="41" t="s">
        <v>1382</v>
      </c>
      <c r="O35" s="42" t="s">
        <v>78</v>
      </c>
      <c r="P35" s="43">
        <v>22</v>
      </c>
      <c r="Q35" s="44">
        <v>16.32</v>
      </c>
      <c r="R35" s="45" t="s">
        <v>1010</v>
      </c>
      <c r="S35" s="43">
        <v>44</v>
      </c>
      <c r="T35" s="46">
        <v>23.34</v>
      </c>
      <c r="U35" s="40">
        <v>6</v>
      </c>
      <c r="V35" s="47">
        <v>5941</v>
      </c>
      <c r="W35" s="48">
        <v>2002</v>
      </c>
      <c r="X35" s="40"/>
      <c r="Y35" s="52"/>
      <c r="Z35" s="139" t="s">
        <v>910</v>
      </c>
      <c r="AA35" s="49">
        <f t="shared" si="7"/>
        <v>205736.83000000002</v>
      </c>
      <c r="AB35" s="71">
        <f t="shared" si="8"/>
        <v>0.56999999999999995</v>
      </c>
      <c r="AC35" s="49">
        <f t="shared" si="9"/>
        <v>88466.84</v>
      </c>
      <c r="AD35" s="50">
        <f t="shared" si="10"/>
        <v>0</v>
      </c>
      <c r="AE35" s="50">
        <f t="shared" si="11"/>
        <v>0</v>
      </c>
      <c r="AF35" s="50">
        <f t="shared" si="12"/>
        <v>88466.84</v>
      </c>
      <c r="AG35" s="199">
        <f t="shared" si="13"/>
        <v>88466</v>
      </c>
      <c r="AH35" s="187"/>
      <c r="AI35" s="185" t="s">
        <v>1449</v>
      </c>
      <c r="AJ35" s="185"/>
      <c r="AK35" s="277">
        <f t="shared" si="6"/>
        <v>5941</v>
      </c>
      <c r="AL35" s="25">
        <f>(SUMIFS('T1 2019 Pipeline Data Lagasco'!$O:$O,'T1 2019 Pipeline Data Lagasco'!$A:$A,'Dec 31 2018 OFFS'!$AI35,'T1 2019 Pipeline Data Lagasco'!$Q:$Q,'Dec 31 2018 OFFS'!$AK35,'T1 2019 Pipeline Data Lagasco'!$E:$E,'Dec 31 2018 OFFS'!$U35,'T1 2019 Pipeline Data Lagasco'!$G:$G,'Dec 31 2018 OFFS'!$W35))/(MAX(COUNTIFS('T1 2019 Pipeline Data Lagasco'!$A:$A,'Dec 31 2018 OFFS'!$AI35,'T1 2019 Pipeline Data Lagasco'!$Q:$Q,'Dec 31 2018 OFFS'!$AK35,'T1 2019 Pipeline Data Lagasco'!$E:$E,'Dec 31 2018 OFFS'!$U35,'T1 2019 Pipeline Data Lagasco'!$G:$G,'Dec 31 2018 OFFS'!$W35),1))</f>
        <v>88466</v>
      </c>
      <c r="AM35" s="274">
        <f t="shared" si="14"/>
        <v>0</v>
      </c>
    </row>
    <row r="36" spans="1:39" ht="12.7">
      <c r="A36" s="193" t="s">
        <v>909</v>
      </c>
      <c r="B36" s="40" t="s">
        <v>919</v>
      </c>
      <c r="C36" s="40" t="s">
        <v>920</v>
      </c>
      <c r="D36" s="40" t="s">
        <v>839</v>
      </c>
      <c r="E36" s="40" t="s">
        <v>1054</v>
      </c>
      <c r="F36" s="40" t="s">
        <v>1381</v>
      </c>
      <c r="G36" s="41" t="s">
        <v>1382</v>
      </c>
      <c r="H36" s="42" t="s">
        <v>78</v>
      </c>
      <c r="I36" s="43">
        <v>22</v>
      </c>
      <c r="J36" s="44">
        <v>16.32</v>
      </c>
      <c r="K36" s="45" t="s">
        <v>1010</v>
      </c>
      <c r="L36" s="43">
        <v>44</v>
      </c>
      <c r="M36" s="46">
        <v>23.34</v>
      </c>
      <c r="N36" s="41" t="s">
        <v>850</v>
      </c>
      <c r="O36" s="42">
        <v>42</v>
      </c>
      <c r="P36" s="43">
        <v>21</v>
      </c>
      <c r="Q36" s="44">
        <v>56.753999999999998</v>
      </c>
      <c r="R36" s="45">
        <v>80</v>
      </c>
      <c r="S36" s="43">
        <v>44</v>
      </c>
      <c r="T36" s="46">
        <v>15.698</v>
      </c>
      <c r="U36" s="40">
        <v>6</v>
      </c>
      <c r="V36" s="47">
        <v>2008</v>
      </c>
      <c r="W36" s="48">
        <v>2010</v>
      </c>
      <c r="Z36" s="139" t="s">
        <v>910</v>
      </c>
      <c r="AA36" s="49">
        <f t="shared" si="7"/>
        <v>69537.040000000008</v>
      </c>
      <c r="AB36" s="71">
        <f t="shared" si="8"/>
        <v>0.39</v>
      </c>
      <c r="AC36" s="49">
        <f t="shared" si="9"/>
        <v>42417.59</v>
      </c>
      <c r="AD36" s="50">
        <f t="shared" si="10"/>
        <v>0</v>
      </c>
      <c r="AE36" s="50">
        <f t="shared" si="11"/>
        <v>0</v>
      </c>
      <c r="AF36" s="50">
        <f t="shared" si="12"/>
        <v>42417.59</v>
      </c>
      <c r="AG36" s="199">
        <f t="shared" si="13"/>
        <v>42417</v>
      </c>
      <c r="AH36" s="187"/>
      <c r="AI36" s="185" t="s">
        <v>1449</v>
      </c>
      <c r="AJ36" s="185"/>
      <c r="AK36" s="277">
        <f t="shared" si="6"/>
        <v>2008</v>
      </c>
      <c r="AL36" s="25">
        <f>(SUMIFS('T1 2019 Pipeline Data Lagasco'!$O:$O,'T1 2019 Pipeline Data Lagasco'!$A:$A,'Dec 31 2018 OFFS'!$AI36,'T1 2019 Pipeline Data Lagasco'!$Q:$Q,'Dec 31 2018 OFFS'!$AK36,'T1 2019 Pipeline Data Lagasco'!$E:$E,'Dec 31 2018 OFFS'!$U36,'T1 2019 Pipeline Data Lagasco'!$G:$G,'Dec 31 2018 OFFS'!$W36))/(MAX(COUNTIFS('T1 2019 Pipeline Data Lagasco'!$A:$A,'Dec 31 2018 OFFS'!$AI36,'T1 2019 Pipeline Data Lagasco'!$Q:$Q,'Dec 31 2018 OFFS'!$AK36,'T1 2019 Pipeline Data Lagasco'!$E:$E,'Dec 31 2018 OFFS'!$U36,'T1 2019 Pipeline Data Lagasco'!$G:$G,'Dec 31 2018 OFFS'!$W36),1))</f>
        <v>42417</v>
      </c>
      <c r="AM36" s="274">
        <f t="shared" si="14"/>
        <v>0</v>
      </c>
    </row>
    <row r="37" spans="1:39" ht="12.7">
      <c r="A37" s="193" t="s">
        <v>909</v>
      </c>
      <c r="B37" s="40" t="s">
        <v>919</v>
      </c>
      <c r="C37" s="40" t="s">
        <v>920</v>
      </c>
      <c r="D37" s="40" t="s">
        <v>839</v>
      </c>
      <c r="E37" s="40" t="s">
        <v>1054</v>
      </c>
      <c r="F37" s="40" t="s">
        <v>1051</v>
      </c>
      <c r="G37" s="41" t="s">
        <v>876</v>
      </c>
      <c r="H37" s="42">
        <v>42</v>
      </c>
      <c r="I37" s="43">
        <v>22</v>
      </c>
      <c r="J37" s="44">
        <v>26.821999999999999</v>
      </c>
      <c r="K37" s="45">
        <v>80</v>
      </c>
      <c r="L37" s="43">
        <v>44</v>
      </c>
      <c r="M37" s="46">
        <v>52.024000000000001</v>
      </c>
      <c r="N37" s="40" t="s">
        <v>851</v>
      </c>
      <c r="O37" s="42">
        <v>42</v>
      </c>
      <c r="P37" s="43">
        <v>21</v>
      </c>
      <c r="Q37" s="44">
        <v>58.601999999999997</v>
      </c>
      <c r="R37" s="45">
        <v>80</v>
      </c>
      <c r="S37" s="43">
        <v>44</v>
      </c>
      <c r="T37" s="46">
        <v>38.634</v>
      </c>
      <c r="U37" s="40">
        <v>4</v>
      </c>
      <c r="V37" s="47">
        <v>3028.3135605939997</v>
      </c>
      <c r="W37" s="48">
        <v>1975</v>
      </c>
      <c r="X37" s="40"/>
      <c r="Y37" s="52"/>
      <c r="Z37" s="40" t="s">
        <v>910</v>
      </c>
      <c r="AA37" s="49">
        <f t="shared" si="7"/>
        <v>0</v>
      </c>
      <c r="AB37" s="71">
        <f t="shared" si="8"/>
        <v>0.80</v>
      </c>
      <c r="AC37" s="49">
        <f t="shared" si="9"/>
        <v>0</v>
      </c>
      <c r="AD37" s="50">
        <f t="shared" si="10"/>
        <v>0</v>
      </c>
      <c r="AE37" s="50">
        <f t="shared" si="11"/>
        <v>0</v>
      </c>
      <c r="AF37" s="50">
        <f t="shared" si="12"/>
        <v>0</v>
      </c>
      <c r="AG37" s="199">
        <f t="shared" si="13"/>
        <v>0</v>
      </c>
      <c r="AH37" s="187"/>
      <c r="AI37" s="185" t="s">
        <v>1449</v>
      </c>
      <c r="AJ37" s="185"/>
      <c r="AK37" s="277">
        <f t="shared" si="6"/>
        <v>3028.31</v>
      </c>
      <c r="AL37" s="25">
        <f>(SUMIFS('T1 2019 Pipeline Data Lagasco'!$O:$O,'T1 2019 Pipeline Data Lagasco'!$A:$A,'Dec 31 2018 OFFS'!$AI37,'T1 2019 Pipeline Data Lagasco'!$Q:$Q,'Dec 31 2018 OFFS'!$AK37,'T1 2019 Pipeline Data Lagasco'!$E:$E,'Dec 31 2018 OFFS'!$U37,'T1 2019 Pipeline Data Lagasco'!$G:$G,'Dec 31 2018 OFFS'!$W37))/(MAX(COUNTIFS('T1 2019 Pipeline Data Lagasco'!$A:$A,'Dec 31 2018 OFFS'!$AI37,'T1 2019 Pipeline Data Lagasco'!$Q:$Q,'Dec 31 2018 OFFS'!$AK37,'T1 2019 Pipeline Data Lagasco'!$E:$E,'Dec 31 2018 OFFS'!$U37,'T1 2019 Pipeline Data Lagasco'!$G:$G,'Dec 31 2018 OFFS'!$W37),1))</f>
        <v>0</v>
      </c>
      <c r="AM37" s="274">
        <f t="shared" si="14"/>
        <v>0</v>
      </c>
    </row>
    <row r="38" spans="1:39" ht="12.7">
      <c r="A38" s="193" t="s">
        <v>909</v>
      </c>
      <c r="B38" s="40" t="s">
        <v>919</v>
      </c>
      <c r="C38" s="40" t="s">
        <v>920</v>
      </c>
      <c r="D38" s="40" t="s">
        <v>839</v>
      </c>
      <c r="E38" s="40" t="s">
        <v>1054</v>
      </c>
      <c r="F38" s="40" t="s">
        <v>1051</v>
      </c>
      <c r="G38" s="41" t="s">
        <v>847</v>
      </c>
      <c r="H38" s="42">
        <v>42</v>
      </c>
      <c r="I38" s="43">
        <v>22</v>
      </c>
      <c r="J38" s="44">
        <v>25.741</v>
      </c>
      <c r="K38" s="45">
        <v>80</v>
      </c>
      <c r="L38" s="43">
        <v>44</v>
      </c>
      <c r="M38" s="46">
        <v>13.304</v>
      </c>
      <c r="N38" s="40" t="s">
        <v>388</v>
      </c>
      <c r="O38" s="42">
        <v>42</v>
      </c>
      <c r="P38" s="43">
        <v>22</v>
      </c>
      <c r="Q38" s="44">
        <v>39.340000000000003</v>
      </c>
      <c r="R38" s="45">
        <v>80</v>
      </c>
      <c r="S38" s="43">
        <v>43</v>
      </c>
      <c r="T38" s="46">
        <v>50.04</v>
      </c>
      <c r="U38" s="40">
        <v>2</v>
      </c>
      <c r="V38" s="47">
        <v>2223.5235576539999</v>
      </c>
      <c r="W38" s="48">
        <v>1974</v>
      </c>
      <c r="X38" s="40"/>
      <c r="Y38" s="52"/>
      <c r="Z38" s="40" t="s">
        <v>910</v>
      </c>
      <c r="AA38" s="49">
        <f t="shared" si="7"/>
        <v>0</v>
      </c>
      <c r="AB38" s="71">
        <f t="shared" si="8"/>
        <v>0.80</v>
      </c>
      <c r="AC38" s="49">
        <f t="shared" si="9"/>
        <v>0</v>
      </c>
      <c r="AD38" s="50">
        <f t="shared" si="10"/>
        <v>0</v>
      </c>
      <c r="AE38" s="50">
        <f t="shared" si="11"/>
        <v>0</v>
      </c>
      <c r="AF38" s="50">
        <f t="shared" si="12"/>
        <v>0</v>
      </c>
      <c r="AG38" s="199">
        <f t="shared" si="13"/>
        <v>0</v>
      </c>
      <c r="AH38" s="187"/>
      <c r="AI38" s="185" t="s">
        <v>1449</v>
      </c>
      <c r="AJ38" s="185"/>
      <c r="AK38" s="277">
        <f t="shared" si="6"/>
        <v>2223.52</v>
      </c>
      <c r="AL38" s="25">
        <f>(SUMIFS('T1 2019 Pipeline Data Lagasco'!$O:$O,'T1 2019 Pipeline Data Lagasco'!$A:$A,'Dec 31 2018 OFFS'!$AI38,'T1 2019 Pipeline Data Lagasco'!$Q:$Q,'Dec 31 2018 OFFS'!$AK38,'T1 2019 Pipeline Data Lagasco'!$E:$E,'Dec 31 2018 OFFS'!$U38,'T1 2019 Pipeline Data Lagasco'!$G:$G,'Dec 31 2018 OFFS'!$W38))/(MAX(COUNTIFS('T1 2019 Pipeline Data Lagasco'!$A:$A,'Dec 31 2018 OFFS'!$AI38,'T1 2019 Pipeline Data Lagasco'!$Q:$Q,'Dec 31 2018 OFFS'!$AK38,'T1 2019 Pipeline Data Lagasco'!$E:$E,'Dec 31 2018 OFFS'!$U38,'T1 2019 Pipeline Data Lagasco'!$G:$G,'Dec 31 2018 OFFS'!$W38),1))</f>
        <v>0</v>
      </c>
      <c r="AM38" s="274">
        <f t="shared" si="14"/>
        <v>0</v>
      </c>
    </row>
    <row r="39" spans="1:39" ht="12.7">
      <c r="A39" s="193" t="s">
        <v>909</v>
      </c>
      <c r="B39" s="40" t="s">
        <v>919</v>
      </c>
      <c r="C39" s="40" t="s">
        <v>920</v>
      </c>
      <c r="D39" s="40" t="s">
        <v>839</v>
      </c>
      <c r="E39" s="40" t="s">
        <v>1054</v>
      </c>
      <c r="F39" s="40" t="s">
        <v>1051</v>
      </c>
      <c r="G39" s="41" t="s">
        <v>850</v>
      </c>
      <c r="H39" s="42">
        <v>42</v>
      </c>
      <c r="I39" s="43">
        <v>21</v>
      </c>
      <c r="J39" s="44">
        <v>56.753999999999998</v>
      </c>
      <c r="K39" s="45">
        <v>80</v>
      </c>
      <c r="L39" s="43">
        <v>44</v>
      </c>
      <c r="M39" s="46">
        <v>15.698</v>
      </c>
      <c r="N39" s="40" t="s">
        <v>391</v>
      </c>
      <c r="O39" s="42">
        <v>42</v>
      </c>
      <c r="P39" s="43">
        <v>21</v>
      </c>
      <c r="Q39" s="44">
        <v>41.988999999999997</v>
      </c>
      <c r="R39" s="45">
        <v>80</v>
      </c>
      <c r="S39" s="43">
        <v>43</v>
      </c>
      <c r="T39" s="46">
        <v>46.88</v>
      </c>
      <c r="U39" s="40">
        <v>2</v>
      </c>
      <c r="V39" s="47">
        <v>2629.4946745060001</v>
      </c>
      <c r="W39" s="48">
        <v>1978</v>
      </c>
      <c r="X39" s="40"/>
      <c r="Y39" s="52"/>
      <c r="Z39" s="40" t="s">
        <v>910</v>
      </c>
      <c r="AA39" s="49">
        <f t="shared" si="7"/>
        <v>0</v>
      </c>
      <c r="AB39" s="71">
        <f t="shared" si="8"/>
        <v>0.80</v>
      </c>
      <c r="AC39" s="49">
        <f t="shared" si="9"/>
        <v>0</v>
      </c>
      <c r="AD39" s="50">
        <f t="shared" si="10"/>
        <v>0</v>
      </c>
      <c r="AE39" s="50">
        <f t="shared" si="11"/>
        <v>0</v>
      </c>
      <c r="AF39" s="50">
        <f t="shared" si="12"/>
        <v>0</v>
      </c>
      <c r="AG39" s="199">
        <f t="shared" si="13"/>
        <v>0</v>
      </c>
      <c r="AH39" s="187"/>
      <c r="AI39" s="185" t="s">
        <v>1449</v>
      </c>
      <c r="AJ39" s="185"/>
      <c r="AK39" s="277">
        <f t="shared" si="6"/>
        <v>2629.49</v>
      </c>
      <c r="AL39" s="25">
        <f>(SUMIFS('T1 2019 Pipeline Data Lagasco'!$O:$O,'T1 2019 Pipeline Data Lagasco'!$A:$A,'Dec 31 2018 OFFS'!$AI39,'T1 2019 Pipeline Data Lagasco'!$Q:$Q,'Dec 31 2018 OFFS'!$AK39,'T1 2019 Pipeline Data Lagasco'!$E:$E,'Dec 31 2018 OFFS'!$U39,'T1 2019 Pipeline Data Lagasco'!$G:$G,'Dec 31 2018 OFFS'!$W39))/(MAX(COUNTIFS('T1 2019 Pipeline Data Lagasco'!$A:$A,'Dec 31 2018 OFFS'!$AI39,'T1 2019 Pipeline Data Lagasco'!$Q:$Q,'Dec 31 2018 OFFS'!$AK39,'T1 2019 Pipeline Data Lagasco'!$E:$E,'Dec 31 2018 OFFS'!$U39,'T1 2019 Pipeline Data Lagasco'!$G:$G,'Dec 31 2018 OFFS'!$W39),1))</f>
        <v>0</v>
      </c>
      <c r="AM39" s="274">
        <f t="shared" si="14"/>
        <v>0</v>
      </c>
    </row>
    <row r="40" spans="1:39" ht="12.7">
      <c r="A40" s="193" t="s">
        <v>909</v>
      </c>
      <c r="B40" s="139" t="s">
        <v>919</v>
      </c>
      <c r="C40" s="139" t="s">
        <v>920</v>
      </c>
      <c r="D40" s="139" t="s">
        <v>839</v>
      </c>
      <c r="E40" s="40" t="s">
        <v>1054</v>
      </c>
      <c r="F40" s="40"/>
      <c r="G40" s="41" t="s">
        <v>392</v>
      </c>
      <c r="H40" s="42">
        <v>42</v>
      </c>
      <c r="I40" s="43">
        <v>21</v>
      </c>
      <c r="J40" s="44">
        <f>0.665*60</f>
        <v>39.900000000000006</v>
      </c>
      <c r="K40" s="45">
        <v>80</v>
      </c>
      <c r="L40" s="43">
        <v>43</v>
      </c>
      <c r="M40" s="46">
        <f>0.672*60</f>
        <v>40.32</v>
      </c>
      <c r="N40" s="40" t="s">
        <v>391</v>
      </c>
      <c r="O40" s="42">
        <v>42</v>
      </c>
      <c r="P40" s="43">
        <v>21</v>
      </c>
      <c r="Q40" s="44">
        <v>41.988999999999997</v>
      </c>
      <c r="R40" s="45">
        <v>80</v>
      </c>
      <c r="S40" s="43">
        <v>43</v>
      </c>
      <c r="T40" s="46">
        <v>46.88</v>
      </c>
      <c r="U40" s="40">
        <v>3</v>
      </c>
      <c r="V40" s="47">
        <v>535</v>
      </c>
      <c r="W40" s="48">
        <v>2010</v>
      </c>
      <c r="X40" s="40"/>
      <c r="Y40" s="52"/>
      <c r="Z40" s="40" t="s">
        <v>910</v>
      </c>
      <c r="AA40" s="49">
        <f t="shared" si="7"/>
        <v>12620.65</v>
      </c>
      <c r="AB40" s="71">
        <f t="shared" si="8"/>
        <v>0.39</v>
      </c>
      <c r="AC40" s="49">
        <f t="shared" si="9"/>
        <v>7698.60</v>
      </c>
      <c r="AD40" s="50">
        <f t="shared" si="10"/>
        <v>0</v>
      </c>
      <c r="AE40" s="50">
        <f t="shared" si="11"/>
        <v>0</v>
      </c>
      <c r="AF40" s="50">
        <f t="shared" si="12"/>
        <v>7698.60</v>
      </c>
      <c r="AG40" s="199">
        <f t="shared" si="13"/>
        <v>7698</v>
      </c>
      <c r="AH40" s="187"/>
      <c r="AI40" s="185" t="s">
        <v>1449</v>
      </c>
      <c r="AJ40" s="185"/>
      <c r="AK40" s="277">
        <f t="shared" si="6"/>
        <v>535</v>
      </c>
      <c r="AL40" s="25">
        <f>(SUMIFS('T1 2019 Pipeline Data Lagasco'!$O:$O,'T1 2019 Pipeline Data Lagasco'!$A:$A,'Dec 31 2018 OFFS'!$AI40,'T1 2019 Pipeline Data Lagasco'!$Q:$Q,'Dec 31 2018 OFFS'!$AK40,'T1 2019 Pipeline Data Lagasco'!$E:$E,'Dec 31 2018 OFFS'!$U40,'T1 2019 Pipeline Data Lagasco'!$G:$G,'Dec 31 2018 OFFS'!$W40))/(MAX(COUNTIFS('T1 2019 Pipeline Data Lagasco'!$A:$A,'Dec 31 2018 OFFS'!$AI40,'T1 2019 Pipeline Data Lagasco'!$Q:$Q,'Dec 31 2018 OFFS'!$AK40,'T1 2019 Pipeline Data Lagasco'!$E:$E,'Dec 31 2018 OFFS'!$U40,'T1 2019 Pipeline Data Lagasco'!$G:$G,'Dec 31 2018 OFFS'!$W40),1))</f>
        <v>7698</v>
      </c>
      <c r="AM40" s="274">
        <f t="shared" si="14"/>
        <v>0</v>
      </c>
    </row>
    <row r="41" spans="1:39" ht="12.7">
      <c r="A41" s="193" t="s">
        <v>909</v>
      </c>
      <c r="B41" s="40" t="s">
        <v>919</v>
      </c>
      <c r="C41" s="40" t="s">
        <v>920</v>
      </c>
      <c r="D41" s="40" t="s">
        <v>839</v>
      </c>
      <c r="E41" s="40" t="s">
        <v>1054</v>
      </c>
      <c r="F41" s="40"/>
      <c r="G41" s="40" t="s">
        <v>391</v>
      </c>
      <c r="H41" s="42">
        <v>42</v>
      </c>
      <c r="I41" s="43">
        <v>21</v>
      </c>
      <c r="J41" s="44">
        <v>41.988999999999997</v>
      </c>
      <c r="K41" s="45">
        <v>80</v>
      </c>
      <c r="L41" s="43">
        <v>43</v>
      </c>
      <c r="M41" s="46">
        <v>46.88</v>
      </c>
      <c r="N41" s="41" t="s">
        <v>850</v>
      </c>
      <c r="O41" s="42">
        <v>42</v>
      </c>
      <c r="P41" s="43">
        <v>21</v>
      </c>
      <c r="Q41" s="44">
        <f>0.944*60</f>
        <v>56.64</v>
      </c>
      <c r="R41" s="45">
        <v>80</v>
      </c>
      <c r="S41" s="43">
        <v>44</v>
      </c>
      <c r="T41" s="46">
        <f>0.269*60</f>
        <v>16.14</v>
      </c>
      <c r="U41" s="40">
        <v>3</v>
      </c>
      <c r="V41" s="47">
        <v>2596</v>
      </c>
      <c r="W41" s="48">
        <v>2010</v>
      </c>
      <c r="X41" s="40"/>
      <c r="Y41" s="52"/>
      <c r="Z41" s="40" t="s">
        <v>910</v>
      </c>
      <c r="AA41" s="49">
        <f t="shared" si="7"/>
        <v>61239.64</v>
      </c>
      <c r="AB41" s="71">
        <f t="shared" si="8"/>
        <v>0.39</v>
      </c>
      <c r="AC41" s="49">
        <f t="shared" si="9"/>
        <v>37356.18</v>
      </c>
      <c r="AD41" s="50">
        <f t="shared" si="10"/>
        <v>0</v>
      </c>
      <c r="AE41" s="50">
        <f t="shared" si="11"/>
        <v>0</v>
      </c>
      <c r="AF41" s="50">
        <f t="shared" si="12"/>
        <v>37356.18</v>
      </c>
      <c r="AG41" s="199">
        <f t="shared" si="13"/>
        <v>37356</v>
      </c>
      <c r="AH41" s="187"/>
      <c r="AI41" s="185" t="s">
        <v>1449</v>
      </c>
      <c r="AJ41" s="185"/>
      <c r="AK41" s="277">
        <f t="shared" si="6"/>
        <v>2596</v>
      </c>
      <c r="AL41" s="25">
        <f>(SUMIFS('T1 2019 Pipeline Data Lagasco'!$O:$O,'T1 2019 Pipeline Data Lagasco'!$A:$A,'Dec 31 2018 OFFS'!$AI41,'T1 2019 Pipeline Data Lagasco'!$Q:$Q,'Dec 31 2018 OFFS'!$AK41,'T1 2019 Pipeline Data Lagasco'!$E:$E,'Dec 31 2018 OFFS'!$U41,'T1 2019 Pipeline Data Lagasco'!$G:$G,'Dec 31 2018 OFFS'!$W41))/(MAX(COUNTIFS('T1 2019 Pipeline Data Lagasco'!$A:$A,'Dec 31 2018 OFFS'!$AI41,'T1 2019 Pipeline Data Lagasco'!$Q:$Q,'Dec 31 2018 OFFS'!$AK41,'T1 2019 Pipeline Data Lagasco'!$E:$E,'Dec 31 2018 OFFS'!$U41,'T1 2019 Pipeline Data Lagasco'!$G:$G,'Dec 31 2018 OFFS'!$W41),1))</f>
        <v>37356</v>
      </c>
      <c r="AM41" s="274">
        <f t="shared" si="14"/>
        <v>0</v>
      </c>
    </row>
    <row r="42" spans="1:39" ht="12.7">
      <c r="A42" s="193" t="s">
        <v>909</v>
      </c>
      <c r="B42" s="40" t="s">
        <v>919</v>
      </c>
      <c r="C42" s="40" t="s">
        <v>920</v>
      </c>
      <c r="D42" s="40" t="s">
        <v>839</v>
      </c>
      <c r="E42" s="40" t="s">
        <v>1054</v>
      </c>
      <c r="F42" s="40" t="s">
        <v>1051</v>
      </c>
      <c r="G42" s="41" t="s">
        <v>851</v>
      </c>
      <c r="H42" s="42">
        <v>42</v>
      </c>
      <c r="I42" s="43">
        <v>21</v>
      </c>
      <c r="J42" s="44">
        <v>58.601999999999997</v>
      </c>
      <c r="K42" s="45">
        <v>80</v>
      </c>
      <c r="L42" s="43">
        <v>44</v>
      </c>
      <c r="M42" s="46">
        <v>38.634</v>
      </c>
      <c r="N42" s="40" t="s">
        <v>852</v>
      </c>
      <c r="O42" s="42">
        <v>42</v>
      </c>
      <c r="P42" s="43">
        <v>20</v>
      </c>
      <c r="Q42" s="44">
        <v>45.841000000000001</v>
      </c>
      <c r="R42" s="45">
        <v>80</v>
      </c>
      <c r="S42" s="43">
        <v>45</v>
      </c>
      <c r="T42" s="46">
        <v>3.515</v>
      </c>
      <c r="U42" s="40">
        <v>2</v>
      </c>
      <c r="V42" s="47">
        <v>7590</v>
      </c>
      <c r="W42" s="48">
        <v>1978</v>
      </c>
      <c r="X42" s="40"/>
      <c r="Y42" s="52"/>
      <c r="Z42" s="40" t="s">
        <v>910</v>
      </c>
      <c r="AA42" s="49">
        <f t="shared" si="7"/>
        <v>0</v>
      </c>
      <c r="AB42" s="71">
        <f t="shared" si="8"/>
        <v>0.80</v>
      </c>
      <c r="AC42" s="49">
        <f t="shared" si="9"/>
        <v>0</v>
      </c>
      <c r="AD42" s="50">
        <f t="shared" si="10"/>
        <v>0</v>
      </c>
      <c r="AE42" s="50">
        <f t="shared" si="11"/>
        <v>0</v>
      </c>
      <c r="AF42" s="50">
        <f t="shared" si="12"/>
        <v>0</v>
      </c>
      <c r="AG42" s="199">
        <f t="shared" si="13"/>
        <v>0</v>
      </c>
      <c r="AH42" s="187"/>
      <c r="AI42" s="185" t="s">
        <v>1449</v>
      </c>
      <c r="AJ42" s="185"/>
      <c r="AK42" s="277">
        <f t="shared" si="6"/>
        <v>7590</v>
      </c>
      <c r="AL42" s="25">
        <f>(SUMIFS('T1 2019 Pipeline Data Lagasco'!$O:$O,'T1 2019 Pipeline Data Lagasco'!$A:$A,'Dec 31 2018 OFFS'!$AI42,'T1 2019 Pipeline Data Lagasco'!$Q:$Q,'Dec 31 2018 OFFS'!$AK42,'T1 2019 Pipeline Data Lagasco'!$E:$E,'Dec 31 2018 OFFS'!$U42,'T1 2019 Pipeline Data Lagasco'!$G:$G,'Dec 31 2018 OFFS'!$W42))/(MAX(COUNTIFS('T1 2019 Pipeline Data Lagasco'!$A:$A,'Dec 31 2018 OFFS'!$AI42,'T1 2019 Pipeline Data Lagasco'!$Q:$Q,'Dec 31 2018 OFFS'!$AK42,'T1 2019 Pipeline Data Lagasco'!$E:$E,'Dec 31 2018 OFFS'!$U42,'T1 2019 Pipeline Data Lagasco'!$G:$G,'Dec 31 2018 OFFS'!$W42),1))</f>
        <v>0</v>
      </c>
      <c r="AM42" s="274">
        <f t="shared" si="14"/>
        <v>0</v>
      </c>
    </row>
    <row r="43" spans="1:39" ht="12.7">
      <c r="A43" s="200" t="s">
        <v>909</v>
      </c>
      <c r="B43" s="201" t="s">
        <v>919</v>
      </c>
      <c r="C43" s="201" t="s">
        <v>920</v>
      </c>
      <c r="D43" s="201" t="s">
        <v>839</v>
      </c>
      <c r="E43" s="201" t="s">
        <v>1054</v>
      </c>
      <c r="F43" s="202" t="s">
        <v>1051</v>
      </c>
      <c r="G43" s="208" t="s">
        <v>851</v>
      </c>
      <c r="H43" s="203">
        <v>42</v>
      </c>
      <c r="I43" s="204">
        <v>21</v>
      </c>
      <c r="J43" s="205">
        <v>58.601999999999997</v>
      </c>
      <c r="K43" s="206">
        <v>80</v>
      </c>
      <c r="L43" s="204">
        <v>44</v>
      </c>
      <c r="M43" s="207">
        <v>38.634</v>
      </c>
      <c r="N43" s="201" t="s">
        <v>519</v>
      </c>
      <c r="O43" s="203">
        <v>42</v>
      </c>
      <c r="P43" s="204">
        <v>21</v>
      </c>
      <c r="Q43" s="205">
        <v>30.57</v>
      </c>
      <c r="R43" s="206">
        <v>80</v>
      </c>
      <c r="S43" s="204">
        <v>43</v>
      </c>
      <c r="T43" s="207">
        <v>55.94</v>
      </c>
      <c r="U43" s="201">
        <v>4</v>
      </c>
      <c r="V43" s="209">
        <v>4280.7741542439999</v>
      </c>
      <c r="W43" s="210">
        <v>1975</v>
      </c>
      <c r="X43" s="201"/>
      <c r="Y43" s="52"/>
      <c r="Z43" s="201" t="s">
        <v>910</v>
      </c>
      <c r="AA43" s="211">
        <f t="shared" si="7"/>
        <v>0</v>
      </c>
      <c r="AB43" s="212">
        <f t="shared" si="8"/>
        <v>0.80</v>
      </c>
      <c r="AC43" s="211">
        <f t="shared" si="9"/>
        <v>0</v>
      </c>
      <c r="AD43" s="213">
        <f t="shared" si="10"/>
        <v>0</v>
      </c>
      <c r="AE43" s="213">
        <f t="shared" si="11"/>
        <v>0</v>
      </c>
      <c r="AF43" s="213">
        <f t="shared" si="12"/>
        <v>0</v>
      </c>
      <c r="AG43" s="214">
        <f t="shared" si="13"/>
        <v>0</v>
      </c>
      <c r="AH43" s="215"/>
      <c r="AI43" s="216" t="s">
        <v>1449</v>
      </c>
      <c r="AJ43" s="216" t="s">
        <v>1560</v>
      </c>
      <c r="AK43" s="283">
        <f t="shared" si="6"/>
        <v>4280.7700000000004</v>
      </c>
      <c r="AL43" s="25">
        <f>(SUMIFS('T1 2019 Pipeline Data Lagasco'!$O:$O,'T1 2019 Pipeline Data Lagasco'!$A:$A,'Dec 31 2018 OFFS'!$AI43,'T1 2019 Pipeline Data Lagasco'!$Q:$Q,'Dec 31 2018 OFFS'!$AK43,'T1 2019 Pipeline Data Lagasco'!$E:$E,'Dec 31 2018 OFFS'!$U43,'T1 2019 Pipeline Data Lagasco'!$G:$G,'Dec 31 2018 OFFS'!$W43))/(MAX(COUNTIFS('T1 2019 Pipeline Data Lagasco'!$A:$A,'Dec 31 2018 OFFS'!$AI43,'T1 2019 Pipeline Data Lagasco'!$Q:$Q,'Dec 31 2018 OFFS'!$AK43,'T1 2019 Pipeline Data Lagasco'!$E:$E,'Dec 31 2018 OFFS'!$U43,'T1 2019 Pipeline Data Lagasco'!$G:$G,'Dec 31 2018 OFFS'!$W43),1))</f>
        <v>0</v>
      </c>
      <c r="AM43" s="285">
        <f t="shared" si="14"/>
        <v>0</v>
      </c>
    </row>
    <row r="44" spans="1:39" ht="12.7">
      <c r="A44" s="193" t="s">
        <v>909</v>
      </c>
      <c r="B44" s="40" t="s">
        <v>919</v>
      </c>
      <c r="C44" s="40" t="s">
        <v>920</v>
      </c>
      <c r="D44" s="40" t="s">
        <v>839</v>
      </c>
      <c r="E44" s="40" t="s">
        <v>1054</v>
      </c>
      <c r="F44" s="40" t="s">
        <v>1051</v>
      </c>
      <c r="G44" s="41" t="s">
        <v>851</v>
      </c>
      <c r="H44" s="42">
        <v>42</v>
      </c>
      <c r="I44" s="43">
        <v>21</v>
      </c>
      <c r="J44" s="44">
        <v>58.601999999999997</v>
      </c>
      <c r="K44" s="45">
        <v>80</v>
      </c>
      <c r="L44" s="43">
        <v>44</v>
      </c>
      <c r="M44" s="46">
        <v>38.634</v>
      </c>
      <c r="N44" s="40" t="s">
        <v>850</v>
      </c>
      <c r="O44" s="42">
        <v>42</v>
      </c>
      <c r="P44" s="43">
        <v>21</v>
      </c>
      <c r="Q44" s="44">
        <v>56.753999999999998</v>
      </c>
      <c r="R44" s="45">
        <v>80</v>
      </c>
      <c r="S44" s="43">
        <v>44</v>
      </c>
      <c r="T44" s="46">
        <v>15.698</v>
      </c>
      <c r="U44" s="40">
        <v>4</v>
      </c>
      <c r="V44" s="47">
        <v>1731.889713624</v>
      </c>
      <c r="W44" s="48">
        <v>1975</v>
      </c>
      <c r="X44" s="40"/>
      <c r="Y44" s="52"/>
      <c r="Z44" s="40" t="s">
        <v>910</v>
      </c>
      <c r="AA44" s="49">
        <f t="shared" si="7"/>
        <v>0</v>
      </c>
      <c r="AB44" s="71">
        <f t="shared" si="8"/>
        <v>0.80</v>
      </c>
      <c r="AC44" s="49">
        <f t="shared" si="9"/>
        <v>0</v>
      </c>
      <c r="AD44" s="50">
        <f t="shared" si="10"/>
        <v>0</v>
      </c>
      <c r="AE44" s="50">
        <f t="shared" si="11"/>
        <v>0</v>
      </c>
      <c r="AF44" s="50">
        <f t="shared" si="12"/>
        <v>0</v>
      </c>
      <c r="AG44" s="199">
        <f t="shared" si="13"/>
        <v>0</v>
      </c>
      <c r="AH44" s="187"/>
      <c r="AI44" s="185" t="s">
        <v>1449</v>
      </c>
      <c r="AJ44" s="185"/>
      <c r="AK44" s="277">
        <f t="shared" si="6"/>
        <v>1731.89</v>
      </c>
      <c r="AL44" s="25">
        <f>(SUMIFS('T1 2019 Pipeline Data Lagasco'!$O:$O,'T1 2019 Pipeline Data Lagasco'!$A:$A,'Dec 31 2018 OFFS'!$AI44,'T1 2019 Pipeline Data Lagasco'!$Q:$Q,'Dec 31 2018 OFFS'!$AK44,'T1 2019 Pipeline Data Lagasco'!$E:$E,'Dec 31 2018 OFFS'!$U44,'T1 2019 Pipeline Data Lagasco'!$G:$G,'Dec 31 2018 OFFS'!$W44))/(MAX(COUNTIFS('T1 2019 Pipeline Data Lagasco'!$A:$A,'Dec 31 2018 OFFS'!$AI44,'T1 2019 Pipeline Data Lagasco'!$Q:$Q,'Dec 31 2018 OFFS'!$AK44,'T1 2019 Pipeline Data Lagasco'!$E:$E,'Dec 31 2018 OFFS'!$U44,'T1 2019 Pipeline Data Lagasco'!$G:$G,'Dec 31 2018 OFFS'!$W44),1))</f>
        <v>0</v>
      </c>
      <c r="AM44" s="274">
        <f t="shared" si="14"/>
        <v>0</v>
      </c>
    </row>
    <row r="45" spans="1:39" ht="12.7">
      <c r="A45" s="193" t="s">
        <v>909</v>
      </c>
      <c r="B45" s="40" t="s">
        <v>919</v>
      </c>
      <c r="C45" s="40" t="s">
        <v>920</v>
      </c>
      <c r="D45" s="40" t="s">
        <v>839</v>
      </c>
      <c r="E45" s="40" t="s">
        <v>1054</v>
      </c>
      <c r="F45" s="40"/>
      <c r="G45" s="41" t="s">
        <v>868</v>
      </c>
      <c r="H45" s="42">
        <v>42</v>
      </c>
      <c r="I45" s="43">
        <v>24</v>
      </c>
      <c r="J45" s="44">
        <v>43.435</v>
      </c>
      <c r="K45" s="45">
        <v>80</v>
      </c>
      <c r="L45" s="43">
        <v>49</v>
      </c>
      <c r="M45" s="46">
        <v>19.919</v>
      </c>
      <c r="N45" s="41" t="s">
        <v>869</v>
      </c>
      <c r="O45" s="42">
        <v>42</v>
      </c>
      <c r="P45" s="43">
        <v>24</v>
      </c>
      <c r="Q45" s="44">
        <v>45.906999999999996</v>
      </c>
      <c r="R45" s="45">
        <v>80</v>
      </c>
      <c r="S45" s="43">
        <v>49</v>
      </c>
      <c r="T45" s="46">
        <v>15.478</v>
      </c>
      <c r="U45" s="40">
        <v>2</v>
      </c>
      <c r="V45" s="47">
        <v>416.63384620199997</v>
      </c>
      <c r="W45" s="48">
        <v>1986</v>
      </c>
      <c r="X45" s="40"/>
      <c r="Y45" s="52"/>
      <c r="Z45" s="40" t="s">
        <v>910</v>
      </c>
      <c r="AA45" s="49">
        <f t="shared" si="7"/>
        <v>6766.1336623204788</v>
      </c>
      <c r="AB45" s="71">
        <f t="shared" si="8"/>
        <v>0.79</v>
      </c>
      <c r="AC45" s="49">
        <f t="shared" si="9"/>
        <v>1420.89</v>
      </c>
      <c r="AD45" s="50">
        <f t="shared" si="10"/>
        <v>0</v>
      </c>
      <c r="AE45" s="50">
        <f t="shared" si="11"/>
        <v>0</v>
      </c>
      <c r="AF45" s="50">
        <f t="shared" si="12"/>
        <v>1420.89</v>
      </c>
      <c r="AG45" s="199">
        <f t="shared" si="13"/>
        <v>1420</v>
      </c>
      <c r="AH45" s="187"/>
      <c r="AI45" s="185" t="s">
        <v>1449</v>
      </c>
      <c r="AJ45" s="185"/>
      <c r="AK45" s="277">
        <f t="shared" si="6"/>
        <v>416.63</v>
      </c>
      <c r="AL45" s="25">
        <f>(SUMIFS('T1 2019 Pipeline Data Lagasco'!$O:$O,'T1 2019 Pipeline Data Lagasco'!$A:$A,'Dec 31 2018 OFFS'!$AI45,'T1 2019 Pipeline Data Lagasco'!$Q:$Q,'Dec 31 2018 OFFS'!$AK45,'T1 2019 Pipeline Data Lagasco'!$E:$E,'Dec 31 2018 OFFS'!$U45,'T1 2019 Pipeline Data Lagasco'!$G:$G,'Dec 31 2018 OFFS'!$W45))/(MAX(COUNTIFS('T1 2019 Pipeline Data Lagasco'!$A:$A,'Dec 31 2018 OFFS'!$AI45,'T1 2019 Pipeline Data Lagasco'!$Q:$Q,'Dec 31 2018 OFFS'!$AK45,'T1 2019 Pipeline Data Lagasco'!$E:$E,'Dec 31 2018 OFFS'!$U45,'T1 2019 Pipeline Data Lagasco'!$G:$G,'Dec 31 2018 OFFS'!$W45),1))</f>
        <v>1420</v>
      </c>
      <c r="AM45" s="274">
        <f t="shared" si="14"/>
        <v>0</v>
      </c>
    </row>
    <row r="46" spans="1:39" ht="12.7">
      <c r="A46" s="193" t="s">
        <v>909</v>
      </c>
      <c r="B46" s="40" t="s">
        <v>919</v>
      </c>
      <c r="C46" s="40" t="s">
        <v>920</v>
      </c>
      <c r="D46" s="40" t="s">
        <v>839</v>
      </c>
      <c r="E46" s="40" t="s">
        <v>1054</v>
      </c>
      <c r="F46" s="40" t="s">
        <v>1051</v>
      </c>
      <c r="G46" s="41" t="s">
        <v>868</v>
      </c>
      <c r="H46" s="42">
        <v>42</v>
      </c>
      <c r="I46" s="43">
        <v>24</v>
      </c>
      <c r="J46" s="44">
        <v>43.435</v>
      </c>
      <c r="K46" s="45">
        <v>80</v>
      </c>
      <c r="L46" s="43">
        <v>49</v>
      </c>
      <c r="M46" s="46">
        <v>19.919</v>
      </c>
      <c r="N46" s="41" t="s">
        <v>864</v>
      </c>
      <c r="O46" s="42">
        <v>42</v>
      </c>
      <c r="P46" s="43">
        <v>22</v>
      </c>
      <c r="Q46" s="44">
        <v>3.48</v>
      </c>
      <c r="R46" s="45">
        <v>80</v>
      </c>
      <c r="S46" s="43">
        <v>48</v>
      </c>
      <c r="T46" s="46">
        <v>58.32</v>
      </c>
      <c r="U46" s="40">
        <v>4</v>
      </c>
      <c r="V46" s="47">
        <v>16272.87</v>
      </c>
      <c r="W46" s="48">
        <v>1992</v>
      </c>
      <c r="X46" s="40"/>
      <c r="Y46" s="52"/>
      <c r="Z46" s="40" t="s">
        <v>910</v>
      </c>
      <c r="AA46" s="49">
        <f t="shared" si="7"/>
        <v>0</v>
      </c>
      <c r="AB46" s="71">
        <f t="shared" si="8"/>
        <v>0.71</v>
      </c>
      <c r="AC46" s="49">
        <f t="shared" si="9"/>
        <v>0</v>
      </c>
      <c r="AD46" s="50">
        <f t="shared" si="10"/>
        <v>0</v>
      </c>
      <c r="AE46" s="50">
        <f t="shared" si="11"/>
        <v>0</v>
      </c>
      <c r="AF46" s="50">
        <f t="shared" si="12"/>
        <v>0</v>
      </c>
      <c r="AG46" s="199">
        <f t="shared" si="13"/>
        <v>0</v>
      </c>
      <c r="AH46" s="187"/>
      <c r="AI46" s="185" t="s">
        <v>1449</v>
      </c>
      <c r="AJ46" s="185"/>
      <c r="AK46" s="277">
        <f t="shared" si="6"/>
        <v>16272.87</v>
      </c>
      <c r="AL46" s="25">
        <f>(SUMIFS('T1 2019 Pipeline Data Lagasco'!$O:$O,'T1 2019 Pipeline Data Lagasco'!$A:$A,'Dec 31 2018 OFFS'!$AI46,'T1 2019 Pipeline Data Lagasco'!$Q:$Q,'Dec 31 2018 OFFS'!$AK46,'T1 2019 Pipeline Data Lagasco'!$E:$E,'Dec 31 2018 OFFS'!$U46,'T1 2019 Pipeline Data Lagasco'!$G:$G,'Dec 31 2018 OFFS'!$W46))/(MAX(COUNTIFS('T1 2019 Pipeline Data Lagasco'!$A:$A,'Dec 31 2018 OFFS'!$AI46,'T1 2019 Pipeline Data Lagasco'!$Q:$Q,'Dec 31 2018 OFFS'!$AK46,'T1 2019 Pipeline Data Lagasco'!$E:$E,'Dec 31 2018 OFFS'!$U46,'T1 2019 Pipeline Data Lagasco'!$G:$G,'Dec 31 2018 OFFS'!$W46),1))</f>
        <v>0</v>
      </c>
      <c r="AM46" s="274">
        <f t="shared" si="14"/>
        <v>0</v>
      </c>
    </row>
    <row r="47" spans="1:39" ht="12.7">
      <c r="A47" s="193" t="s">
        <v>909</v>
      </c>
      <c r="B47" s="40" t="s">
        <v>919</v>
      </c>
      <c r="C47" s="40" t="s">
        <v>920</v>
      </c>
      <c r="D47" s="40" t="s">
        <v>839</v>
      </c>
      <c r="E47" s="40" t="s">
        <v>1054</v>
      </c>
      <c r="F47" s="139" t="s">
        <v>1051</v>
      </c>
      <c r="G47" s="41" t="s">
        <v>868</v>
      </c>
      <c r="H47" s="42">
        <v>42</v>
      </c>
      <c r="I47" s="43">
        <v>24</v>
      </c>
      <c r="J47" s="44">
        <v>43.435</v>
      </c>
      <c r="K47" s="45">
        <v>80</v>
      </c>
      <c r="L47" s="43">
        <v>49</v>
      </c>
      <c r="M47" s="46">
        <v>19.919</v>
      </c>
      <c r="N47" s="41" t="s">
        <v>1327</v>
      </c>
      <c r="O47" s="42">
        <v>42</v>
      </c>
      <c r="P47" s="43">
        <v>22</v>
      </c>
      <c r="Q47" s="44">
        <v>3.48</v>
      </c>
      <c r="R47" s="45">
        <v>80</v>
      </c>
      <c r="S47" s="43">
        <v>48</v>
      </c>
      <c r="T47" s="46">
        <v>58.32</v>
      </c>
      <c r="U47" s="40">
        <v>4</v>
      </c>
      <c r="V47" s="47">
        <v>5725.87</v>
      </c>
      <c r="W47" s="48">
        <v>1992</v>
      </c>
      <c r="X47" s="40"/>
      <c r="Y47" s="52"/>
      <c r="Z47" s="40" t="s">
        <v>910</v>
      </c>
      <c r="AA47" s="49">
        <f t="shared" si="7"/>
        <v>0</v>
      </c>
      <c r="AB47" s="71">
        <f t="shared" si="8"/>
        <v>0.71</v>
      </c>
      <c r="AC47" s="49">
        <f t="shared" si="9"/>
        <v>0</v>
      </c>
      <c r="AD47" s="50">
        <f t="shared" si="10"/>
        <v>0</v>
      </c>
      <c r="AE47" s="50">
        <f t="shared" si="11"/>
        <v>0</v>
      </c>
      <c r="AF47" s="50">
        <f t="shared" si="12"/>
        <v>0</v>
      </c>
      <c r="AG47" s="199">
        <f t="shared" si="13"/>
        <v>0</v>
      </c>
      <c r="AH47" s="187"/>
      <c r="AI47" s="185" t="s">
        <v>1449</v>
      </c>
      <c r="AJ47" s="185"/>
      <c r="AK47" s="277">
        <f t="shared" si="6"/>
        <v>5725.87</v>
      </c>
      <c r="AL47" s="25">
        <f>(SUMIFS('T1 2019 Pipeline Data Lagasco'!$O:$O,'T1 2019 Pipeline Data Lagasco'!$A:$A,'Dec 31 2018 OFFS'!$AI47,'T1 2019 Pipeline Data Lagasco'!$Q:$Q,'Dec 31 2018 OFFS'!$AK47,'T1 2019 Pipeline Data Lagasco'!$E:$E,'Dec 31 2018 OFFS'!$U47,'T1 2019 Pipeline Data Lagasco'!$G:$G,'Dec 31 2018 OFFS'!$W47))/(MAX(COUNTIFS('T1 2019 Pipeline Data Lagasco'!$A:$A,'Dec 31 2018 OFFS'!$AI47,'T1 2019 Pipeline Data Lagasco'!$Q:$Q,'Dec 31 2018 OFFS'!$AK47,'T1 2019 Pipeline Data Lagasco'!$E:$E,'Dec 31 2018 OFFS'!$U47,'T1 2019 Pipeline Data Lagasco'!$G:$G,'Dec 31 2018 OFFS'!$W47),1))</f>
        <v>0</v>
      </c>
      <c r="AM47" s="274">
        <f t="shared" si="14"/>
        <v>0</v>
      </c>
    </row>
    <row r="48" spans="1:39" ht="12.7">
      <c r="A48" s="193" t="s">
        <v>909</v>
      </c>
      <c r="B48" s="40" t="s">
        <v>919</v>
      </c>
      <c r="C48" s="40" t="s">
        <v>920</v>
      </c>
      <c r="D48" s="40" t="s">
        <v>839</v>
      </c>
      <c r="E48" s="40" t="s">
        <v>1054</v>
      </c>
      <c r="F48" s="40"/>
      <c r="G48" s="41" t="s">
        <v>1244</v>
      </c>
      <c r="H48" s="42">
        <v>42</v>
      </c>
      <c r="I48" s="43">
        <v>23</v>
      </c>
      <c r="J48" s="44">
        <f>60*0.923</f>
        <v>55.38</v>
      </c>
      <c r="K48" s="45">
        <v>80</v>
      </c>
      <c r="L48" s="43">
        <v>48</v>
      </c>
      <c r="M48" s="46">
        <f>60*0.324</f>
        <v>19.44</v>
      </c>
      <c r="N48" s="41" t="s">
        <v>868</v>
      </c>
      <c r="O48" s="42">
        <v>42</v>
      </c>
      <c r="P48" s="43">
        <v>24</v>
      </c>
      <c r="Q48" s="44">
        <f>60*0.718</f>
        <v>43.08</v>
      </c>
      <c r="R48" s="45">
        <v>80</v>
      </c>
      <c r="S48" s="43">
        <v>49</v>
      </c>
      <c r="T48" s="46">
        <f>60*0.333</f>
        <v>19.98</v>
      </c>
      <c r="U48" s="40">
        <v>3</v>
      </c>
      <c r="V48" s="47">
        <v>6568</v>
      </c>
      <c r="W48" s="48">
        <v>2005</v>
      </c>
      <c r="X48" s="40"/>
      <c r="Y48" s="52"/>
      <c r="Z48" s="40" t="s">
        <v>910</v>
      </c>
      <c r="AA48" s="49">
        <f t="shared" si="7"/>
        <v>154939.12</v>
      </c>
      <c r="AB48" s="71">
        <f t="shared" si="8"/>
        <v>0.54</v>
      </c>
      <c r="AC48" s="49">
        <f t="shared" si="9"/>
        <v>71272</v>
      </c>
      <c r="AD48" s="50">
        <f t="shared" si="10"/>
        <v>0</v>
      </c>
      <c r="AE48" s="50">
        <f t="shared" si="11"/>
        <v>0</v>
      </c>
      <c r="AF48" s="50">
        <f t="shared" si="12"/>
        <v>71272</v>
      </c>
      <c r="AG48" s="199">
        <f t="shared" si="13"/>
        <v>71272</v>
      </c>
      <c r="AH48" s="187"/>
      <c r="AI48" s="185" t="s">
        <v>1449</v>
      </c>
      <c r="AJ48" s="185"/>
      <c r="AK48" s="277">
        <f t="shared" si="6"/>
        <v>6568</v>
      </c>
      <c r="AL48" s="25">
        <f>(SUMIFS('T1 2019 Pipeline Data Lagasco'!$O:$O,'T1 2019 Pipeline Data Lagasco'!$A:$A,'Dec 31 2018 OFFS'!$AI48,'T1 2019 Pipeline Data Lagasco'!$Q:$Q,'Dec 31 2018 OFFS'!$AK48,'T1 2019 Pipeline Data Lagasco'!$E:$E,'Dec 31 2018 OFFS'!$U48,'T1 2019 Pipeline Data Lagasco'!$G:$G,'Dec 31 2018 OFFS'!$W48))/(MAX(COUNTIFS('T1 2019 Pipeline Data Lagasco'!$A:$A,'Dec 31 2018 OFFS'!$AI48,'T1 2019 Pipeline Data Lagasco'!$Q:$Q,'Dec 31 2018 OFFS'!$AK48,'T1 2019 Pipeline Data Lagasco'!$E:$E,'Dec 31 2018 OFFS'!$U48,'T1 2019 Pipeline Data Lagasco'!$G:$G,'Dec 31 2018 OFFS'!$W48),1))</f>
        <v>71271</v>
      </c>
      <c r="AM48" s="274">
        <f t="shared" si="14"/>
        <v>1</v>
      </c>
    </row>
    <row r="49" spans="1:39" ht="12.7">
      <c r="A49" s="193" t="s">
        <v>909</v>
      </c>
      <c r="B49" s="40" t="s">
        <v>919</v>
      </c>
      <c r="C49" s="40" t="s">
        <v>920</v>
      </c>
      <c r="D49" s="40" t="s">
        <v>839</v>
      </c>
      <c r="E49" s="40" t="s">
        <v>1054</v>
      </c>
      <c r="F49" s="40"/>
      <c r="G49" s="41" t="s">
        <v>1245</v>
      </c>
      <c r="H49" s="42">
        <v>42</v>
      </c>
      <c r="I49" s="43">
        <v>23</v>
      </c>
      <c r="J49" s="44">
        <f>60*0.93</f>
        <v>55.80</v>
      </c>
      <c r="K49" s="45">
        <v>80</v>
      </c>
      <c r="L49" s="43">
        <v>47</v>
      </c>
      <c r="M49" s="46">
        <f>60*0.203</f>
        <v>12.18</v>
      </c>
      <c r="N49" s="41" t="s">
        <v>1246</v>
      </c>
      <c r="O49" s="42">
        <v>42</v>
      </c>
      <c r="P49" s="43">
        <v>23</v>
      </c>
      <c r="Q49" s="44">
        <f>60*0.923</f>
        <v>55.38</v>
      </c>
      <c r="R49" s="45">
        <v>80</v>
      </c>
      <c r="S49" s="43">
        <v>48</v>
      </c>
      <c r="T49" s="46">
        <f>60*0.324</f>
        <v>19.44</v>
      </c>
      <c r="U49" s="40">
        <v>3</v>
      </c>
      <c r="V49" s="47">
        <v>4978</v>
      </c>
      <c r="W49" s="48">
        <v>2005</v>
      </c>
      <c r="X49" s="40"/>
      <c r="Y49" s="52"/>
      <c r="Z49" s="40" t="s">
        <v>910</v>
      </c>
      <c r="AA49" s="49">
        <f t="shared" si="7"/>
        <v>117431.02</v>
      </c>
      <c r="AB49" s="71">
        <f t="shared" si="8"/>
        <v>0.54</v>
      </c>
      <c r="AC49" s="49">
        <f t="shared" si="9"/>
        <v>54018.27</v>
      </c>
      <c r="AD49" s="50">
        <f t="shared" si="10"/>
        <v>0</v>
      </c>
      <c r="AE49" s="50">
        <f t="shared" si="11"/>
        <v>0</v>
      </c>
      <c r="AF49" s="50">
        <f t="shared" si="12"/>
        <v>54018.27</v>
      </c>
      <c r="AG49" s="199">
        <f t="shared" si="13"/>
        <v>54018</v>
      </c>
      <c r="AH49" s="187"/>
      <c r="AI49" s="185" t="s">
        <v>1449</v>
      </c>
      <c r="AJ49" s="185"/>
      <c r="AK49" s="277">
        <f t="shared" si="6"/>
        <v>4978</v>
      </c>
      <c r="AL49" s="25">
        <f>(SUMIFS('T1 2019 Pipeline Data Lagasco'!$O:$O,'T1 2019 Pipeline Data Lagasco'!$A:$A,'Dec 31 2018 OFFS'!$AI49,'T1 2019 Pipeline Data Lagasco'!$Q:$Q,'Dec 31 2018 OFFS'!$AK49,'T1 2019 Pipeline Data Lagasco'!$E:$E,'Dec 31 2018 OFFS'!$U49,'T1 2019 Pipeline Data Lagasco'!$G:$G,'Dec 31 2018 OFFS'!$W49))/(MAX(COUNTIFS('T1 2019 Pipeline Data Lagasco'!$A:$A,'Dec 31 2018 OFFS'!$AI49,'T1 2019 Pipeline Data Lagasco'!$Q:$Q,'Dec 31 2018 OFFS'!$AK49,'T1 2019 Pipeline Data Lagasco'!$E:$E,'Dec 31 2018 OFFS'!$U49,'T1 2019 Pipeline Data Lagasco'!$G:$G,'Dec 31 2018 OFFS'!$W49),1))</f>
        <v>54018</v>
      </c>
      <c r="AM49" s="274">
        <f t="shared" si="14"/>
        <v>0</v>
      </c>
    </row>
    <row r="50" spans="1:39" ht="12.7">
      <c r="A50" s="193" t="s">
        <v>909</v>
      </c>
      <c r="B50" s="40" t="s">
        <v>919</v>
      </c>
      <c r="C50" s="40" t="s">
        <v>920</v>
      </c>
      <c r="D50" s="40" t="s">
        <v>839</v>
      </c>
      <c r="E50" s="40" t="s">
        <v>1054</v>
      </c>
      <c r="F50" s="40" t="s">
        <v>1051</v>
      </c>
      <c r="G50" s="41" t="s">
        <v>871</v>
      </c>
      <c r="H50" s="42">
        <v>42</v>
      </c>
      <c r="I50" s="43">
        <v>22</v>
      </c>
      <c r="J50" s="44">
        <v>27.391999999999999</v>
      </c>
      <c r="K50" s="45">
        <v>80</v>
      </c>
      <c r="L50" s="43">
        <v>45</v>
      </c>
      <c r="M50" s="46">
        <v>21.576000000000001</v>
      </c>
      <c r="N50" s="40" t="s">
        <v>847</v>
      </c>
      <c r="O50" s="42">
        <v>42</v>
      </c>
      <c r="P50" s="43">
        <v>22</v>
      </c>
      <c r="Q50" s="44">
        <v>25.741</v>
      </c>
      <c r="R50" s="45">
        <v>80</v>
      </c>
      <c r="S50" s="43">
        <v>44</v>
      </c>
      <c r="T50" s="46">
        <v>13.304</v>
      </c>
      <c r="U50" s="40">
        <v>2</v>
      </c>
      <c r="V50" s="47">
        <v>5127.13</v>
      </c>
      <c r="W50" s="48">
        <v>1992</v>
      </c>
      <c r="X50" s="40"/>
      <c r="Y50" s="52"/>
      <c r="Z50" s="40" t="s">
        <v>910</v>
      </c>
      <c r="AA50" s="49">
        <f t="shared" si="7"/>
        <v>0</v>
      </c>
      <c r="AB50" s="71">
        <f t="shared" si="8"/>
        <v>0.71</v>
      </c>
      <c r="AC50" s="49">
        <f t="shared" si="9"/>
        <v>0</v>
      </c>
      <c r="AD50" s="50">
        <f t="shared" si="10"/>
        <v>0</v>
      </c>
      <c r="AE50" s="50">
        <f t="shared" si="11"/>
        <v>0</v>
      </c>
      <c r="AF50" s="50">
        <f t="shared" si="12"/>
        <v>0</v>
      </c>
      <c r="AG50" s="199">
        <f t="shared" si="13"/>
        <v>0</v>
      </c>
      <c r="AH50" s="187"/>
      <c r="AI50" s="185" t="s">
        <v>1449</v>
      </c>
      <c r="AJ50" s="185"/>
      <c r="AK50" s="277">
        <f t="shared" si="6"/>
        <v>5127.13</v>
      </c>
      <c r="AL50" s="25">
        <f>(SUMIFS('T1 2019 Pipeline Data Lagasco'!$O:$O,'T1 2019 Pipeline Data Lagasco'!$A:$A,'Dec 31 2018 OFFS'!$AI50,'T1 2019 Pipeline Data Lagasco'!$Q:$Q,'Dec 31 2018 OFFS'!$AK50,'T1 2019 Pipeline Data Lagasco'!$E:$E,'Dec 31 2018 OFFS'!$U50,'T1 2019 Pipeline Data Lagasco'!$G:$G,'Dec 31 2018 OFFS'!$W50))/(MAX(COUNTIFS('T1 2019 Pipeline Data Lagasco'!$A:$A,'Dec 31 2018 OFFS'!$AI50,'T1 2019 Pipeline Data Lagasco'!$Q:$Q,'Dec 31 2018 OFFS'!$AK50,'T1 2019 Pipeline Data Lagasco'!$E:$E,'Dec 31 2018 OFFS'!$U50,'T1 2019 Pipeline Data Lagasco'!$G:$G,'Dec 31 2018 OFFS'!$W50),1))</f>
        <v>0</v>
      </c>
      <c r="AM50" s="274">
        <f t="shared" si="14"/>
        <v>0</v>
      </c>
    </row>
    <row r="51" spans="1:39" ht="12.7">
      <c r="A51" s="193" t="s">
        <v>909</v>
      </c>
      <c r="B51" s="40" t="s">
        <v>919</v>
      </c>
      <c r="C51" s="40" t="s">
        <v>920</v>
      </c>
      <c r="D51" s="40" t="s">
        <v>839</v>
      </c>
      <c r="E51" s="40" t="s">
        <v>1054</v>
      </c>
      <c r="F51" s="40" t="s">
        <v>1051</v>
      </c>
      <c r="G51" s="41" t="s">
        <v>864</v>
      </c>
      <c r="H51" s="42">
        <v>42</v>
      </c>
      <c r="I51" s="43">
        <v>22</v>
      </c>
      <c r="J51" s="44">
        <v>3.48</v>
      </c>
      <c r="K51" s="45">
        <v>80</v>
      </c>
      <c r="L51" s="43">
        <v>48</v>
      </c>
      <c r="M51" s="46">
        <v>58.32</v>
      </c>
      <c r="N51" s="40" t="s">
        <v>865</v>
      </c>
      <c r="O51" s="42">
        <v>42</v>
      </c>
      <c r="P51" s="43">
        <v>21</v>
      </c>
      <c r="Q51" s="44">
        <v>28.98</v>
      </c>
      <c r="R51" s="45">
        <v>80</v>
      </c>
      <c r="S51" s="43">
        <v>49</v>
      </c>
      <c r="T51" s="46">
        <v>30.78</v>
      </c>
      <c r="U51" s="40">
        <v>2</v>
      </c>
      <c r="V51" s="47">
        <v>4252</v>
      </c>
      <c r="W51" s="48">
        <v>1984</v>
      </c>
      <c r="X51" s="40"/>
      <c r="Y51" s="52"/>
      <c r="Z51" s="40" t="s">
        <v>910</v>
      </c>
      <c r="AA51" s="49">
        <f t="shared" si="7"/>
        <v>0</v>
      </c>
      <c r="AB51" s="71">
        <f t="shared" si="8"/>
        <v>0.80</v>
      </c>
      <c r="AC51" s="49">
        <f t="shared" si="9"/>
        <v>0</v>
      </c>
      <c r="AD51" s="50">
        <f t="shared" si="10"/>
        <v>0</v>
      </c>
      <c r="AE51" s="50">
        <f t="shared" si="11"/>
        <v>0</v>
      </c>
      <c r="AF51" s="50">
        <f t="shared" si="12"/>
        <v>0</v>
      </c>
      <c r="AG51" s="199">
        <f t="shared" si="13"/>
        <v>0</v>
      </c>
      <c r="AH51" s="187"/>
      <c r="AI51" s="185" t="s">
        <v>1449</v>
      </c>
      <c r="AJ51" s="185"/>
      <c r="AK51" s="277">
        <f t="shared" si="6"/>
        <v>4252</v>
      </c>
      <c r="AL51" s="25">
        <f>(SUMIFS('T1 2019 Pipeline Data Lagasco'!$O:$O,'T1 2019 Pipeline Data Lagasco'!$A:$A,'Dec 31 2018 OFFS'!$AI51,'T1 2019 Pipeline Data Lagasco'!$Q:$Q,'Dec 31 2018 OFFS'!$AK51,'T1 2019 Pipeline Data Lagasco'!$E:$E,'Dec 31 2018 OFFS'!$U51,'T1 2019 Pipeline Data Lagasco'!$G:$G,'Dec 31 2018 OFFS'!$W51))/(MAX(COUNTIFS('T1 2019 Pipeline Data Lagasco'!$A:$A,'Dec 31 2018 OFFS'!$AI51,'T1 2019 Pipeline Data Lagasco'!$Q:$Q,'Dec 31 2018 OFFS'!$AK51,'T1 2019 Pipeline Data Lagasco'!$E:$E,'Dec 31 2018 OFFS'!$U51,'T1 2019 Pipeline Data Lagasco'!$G:$G,'Dec 31 2018 OFFS'!$W51),1))</f>
        <v>0</v>
      </c>
      <c r="AM51" s="274">
        <f t="shared" si="14"/>
        <v>0</v>
      </c>
    </row>
    <row r="52" spans="1:39" ht="12.7">
      <c r="A52" s="193" t="s">
        <v>909</v>
      </c>
      <c r="B52" s="40" t="s">
        <v>919</v>
      </c>
      <c r="C52" s="40" t="s">
        <v>920</v>
      </c>
      <c r="D52" s="40" t="s">
        <v>839</v>
      </c>
      <c r="E52" s="40" t="s">
        <v>1054</v>
      </c>
      <c r="F52" s="40"/>
      <c r="G52" s="41" t="s">
        <v>870</v>
      </c>
      <c r="H52" s="42">
        <v>42</v>
      </c>
      <c r="I52" s="43">
        <v>24</v>
      </c>
      <c r="J52" s="44">
        <v>50.406999999999996</v>
      </c>
      <c r="K52" s="45">
        <v>80</v>
      </c>
      <c r="L52" s="43">
        <v>50</v>
      </c>
      <c r="M52" s="46">
        <v>31.373000000000001</v>
      </c>
      <c r="N52" s="40" t="s">
        <v>856</v>
      </c>
      <c r="O52" s="42">
        <v>42</v>
      </c>
      <c r="P52" s="43">
        <v>25</v>
      </c>
      <c r="Q52" s="44">
        <v>20.513999999999999</v>
      </c>
      <c r="R52" s="45">
        <v>80</v>
      </c>
      <c r="S52" s="43">
        <v>50</v>
      </c>
      <c r="T52" s="46">
        <v>21.832999999999998</v>
      </c>
      <c r="U52" s="40">
        <v>3</v>
      </c>
      <c r="V52" s="47">
        <v>2922</v>
      </c>
      <c r="W52" s="48">
        <v>2002</v>
      </c>
      <c r="X52" s="40"/>
      <c r="Y52" s="52"/>
      <c r="Z52" s="40" t="s">
        <v>910</v>
      </c>
      <c r="AA52" s="49">
        <f t="shared" si="7"/>
        <v>68929.98</v>
      </c>
      <c r="AB52" s="71">
        <f t="shared" si="8"/>
        <v>0.56999999999999995</v>
      </c>
      <c r="AC52" s="49">
        <f t="shared" si="9"/>
        <v>29639.89</v>
      </c>
      <c r="AD52" s="50">
        <f t="shared" si="10"/>
        <v>0</v>
      </c>
      <c r="AE52" s="50">
        <f t="shared" si="11"/>
        <v>0</v>
      </c>
      <c r="AF52" s="50">
        <f t="shared" si="12"/>
        <v>29639.89</v>
      </c>
      <c r="AG52" s="199">
        <f t="shared" si="13"/>
        <v>29639</v>
      </c>
      <c r="AH52" s="187"/>
      <c r="AI52" s="185" t="s">
        <v>1449</v>
      </c>
      <c r="AJ52" s="185"/>
      <c r="AK52" s="277">
        <f t="shared" si="6"/>
        <v>2922</v>
      </c>
      <c r="AL52" s="25">
        <f>(SUMIFS('T1 2019 Pipeline Data Lagasco'!$O:$O,'T1 2019 Pipeline Data Lagasco'!$A:$A,'Dec 31 2018 OFFS'!$AI52,'T1 2019 Pipeline Data Lagasco'!$Q:$Q,'Dec 31 2018 OFFS'!$AK52,'T1 2019 Pipeline Data Lagasco'!$E:$E,'Dec 31 2018 OFFS'!$U52,'T1 2019 Pipeline Data Lagasco'!$G:$G,'Dec 31 2018 OFFS'!$W52))/(MAX(COUNTIFS('T1 2019 Pipeline Data Lagasco'!$A:$A,'Dec 31 2018 OFFS'!$AI52,'T1 2019 Pipeline Data Lagasco'!$Q:$Q,'Dec 31 2018 OFFS'!$AK52,'T1 2019 Pipeline Data Lagasco'!$E:$E,'Dec 31 2018 OFFS'!$U52,'T1 2019 Pipeline Data Lagasco'!$G:$G,'Dec 31 2018 OFFS'!$W52),1))</f>
        <v>29639</v>
      </c>
      <c r="AM52" s="274">
        <f t="shared" si="14"/>
        <v>0</v>
      </c>
    </row>
    <row r="53" spans="1:39" ht="12.7">
      <c r="A53" s="193" t="s">
        <v>909</v>
      </c>
      <c r="B53" s="40" t="s">
        <v>919</v>
      </c>
      <c r="C53" s="40" t="s">
        <v>920</v>
      </c>
      <c r="D53" s="40" t="s">
        <v>839</v>
      </c>
      <c r="E53" s="40" t="s">
        <v>1054</v>
      </c>
      <c r="F53" s="40" t="s">
        <v>1051</v>
      </c>
      <c r="G53" s="41" t="s">
        <v>870</v>
      </c>
      <c r="H53" s="42">
        <v>42</v>
      </c>
      <c r="I53" s="43">
        <v>24</v>
      </c>
      <c r="J53" s="44">
        <v>50.406999999999996</v>
      </c>
      <c r="K53" s="45">
        <v>80</v>
      </c>
      <c r="L53" s="43">
        <v>50</v>
      </c>
      <c r="M53" s="46">
        <v>31.373000000000001</v>
      </c>
      <c r="N53" s="40" t="s">
        <v>868</v>
      </c>
      <c r="O53" s="42">
        <v>42</v>
      </c>
      <c r="P53" s="43">
        <v>24</v>
      </c>
      <c r="Q53" s="44">
        <v>43.435</v>
      </c>
      <c r="R53" s="45">
        <v>80</v>
      </c>
      <c r="S53" s="43">
        <v>49</v>
      </c>
      <c r="T53" s="46">
        <v>19.919</v>
      </c>
      <c r="U53" s="40">
        <v>4</v>
      </c>
      <c r="V53" s="47">
        <v>5406.1678224399993</v>
      </c>
      <c r="W53" s="48">
        <v>1970</v>
      </c>
      <c r="X53" s="40"/>
      <c r="Y53" s="52"/>
      <c r="Z53" s="40" t="s">
        <v>910</v>
      </c>
      <c r="AA53" s="49">
        <f t="shared" si="7"/>
        <v>0</v>
      </c>
      <c r="AB53" s="71">
        <f t="shared" si="8"/>
        <v>0.80</v>
      </c>
      <c r="AC53" s="49">
        <f t="shared" si="9"/>
        <v>0</v>
      </c>
      <c r="AD53" s="50">
        <f t="shared" si="10"/>
        <v>0</v>
      </c>
      <c r="AE53" s="50">
        <f t="shared" si="11"/>
        <v>0</v>
      </c>
      <c r="AF53" s="50">
        <f t="shared" si="12"/>
        <v>0</v>
      </c>
      <c r="AG53" s="199">
        <f t="shared" si="13"/>
        <v>0</v>
      </c>
      <c r="AH53" s="187"/>
      <c r="AI53" s="185" t="s">
        <v>1449</v>
      </c>
      <c r="AJ53" s="185"/>
      <c r="AK53" s="277">
        <f t="shared" si="6"/>
        <v>5406.17</v>
      </c>
      <c r="AL53" s="25">
        <f>(SUMIFS('T1 2019 Pipeline Data Lagasco'!$O:$O,'T1 2019 Pipeline Data Lagasco'!$A:$A,'Dec 31 2018 OFFS'!$AI53,'T1 2019 Pipeline Data Lagasco'!$Q:$Q,'Dec 31 2018 OFFS'!$AK53,'T1 2019 Pipeline Data Lagasco'!$E:$E,'Dec 31 2018 OFFS'!$U53,'T1 2019 Pipeline Data Lagasco'!$G:$G,'Dec 31 2018 OFFS'!$W53))/(MAX(COUNTIFS('T1 2019 Pipeline Data Lagasco'!$A:$A,'Dec 31 2018 OFFS'!$AI53,'T1 2019 Pipeline Data Lagasco'!$Q:$Q,'Dec 31 2018 OFFS'!$AK53,'T1 2019 Pipeline Data Lagasco'!$E:$E,'Dec 31 2018 OFFS'!$U53,'T1 2019 Pipeline Data Lagasco'!$G:$G,'Dec 31 2018 OFFS'!$W53),1))</f>
        <v>0</v>
      </c>
      <c r="AM53" s="274">
        <f t="shared" si="14"/>
        <v>0</v>
      </c>
    </row>
    <row r="54" spans="1:39" ht="12.7">
      <c r="A54" s="193" t="s">
        <v>909</v>
      </c>
      <c r="B54" s="40" t="s">
        <v>919</v>
      </c>
      <c r="C54" s="40" t="s">
        <v>920</v>
      </c>
      <c r="D54" s="40" t="s">
        <v>839</v>
      </c>
      <c r="E54" s="40" t="s">
        <v>1054</v>
      </c>
      <c r="F54" s="40"/>
      <c r="G54" s="41" t="s">
        <v>870</v>
      </c>
      <c r="H54" s="42">
        <v>42</v>
      </c>
      <c r="I54" s="43">
        <v>24</v>
      </c>
      <c r="J54" s="44">
        <f>60*0.835</f>
        <v>50.099999999999994</v>
      </c>
      <c r="K54" s="45">
        <v>80</v>
      </c>
      <c r="L54" s="43">
        <v>50</v>
      </c>
      <c r="M54" s="46">
        <f>60*0.515</f>
        <v>30.90</v>
      </c>
      <c r="N54" s="40" t="s">
        <v>868</v>
      </c>
      <c r="O54" s="42">
        <v>42</v>
      </c>
      <c r="P54" s="43">
        <v>24</v>
      </c>
      <c r="Q54" s="44">
        <f>60*0.718</f>
        <v>43.08</v>
      </c>
      <c r="R54" s="45">
        <v>80</v>
      </c>
      <c r="S54" s="43">
        <v>49</v>
      </c>
      <c r="T54" s="46">
        <f>60*0.333</f>
        <v>19.98</v>
      </c>
      <c r="U54" s="40">
        <v>3</v>
      </c>
      <c r="V54" s="47">
        <v>5294</v>
      </c>
      <c r="W54" s="48">
        <v>2005</v>
      </c>
      <c r="X54" s="40"/>
      <c r="Y54" s="52"/>
      <c r="Z54" s="40" t="s">
        <v>910</v>
      </c>
      <c r="AA54" s="49">
        <f t="shared" si="7"/>
        <v>124885.46</v>
      </c>
      <c r="AB54" s="71">
        <f t="shared" si="8"/>
        <v>0.54</v>
      </c>
      <c r="AC54" s="49">
        <f t="shared" si="9"/>
        <v>57447.31</v>
      </c>
      <c r="AD54" s="50">
        <f t="shared" si="10"/>
        <v>0</v>
      </c>
      <c r="AE54" s="50">
        <f t="shared" si="11"/>
        <v>0</v>
      </c>
      <c r="AF54" s="50">
        <f t="shared" si="12"/>
        <v>57447.31</v>
      </c>
      <c r="AG54" s="199">
        <f t="shared" si="13"/>
        <v>57447</v>
      </c>
      <c r="AH54" s="187"/>
      <c r="AI54" s="185" t="s">
        <v>1449</v>
      </c>
      <c r="AJ54" s="185"/>
      <c r="AK54" s="277">
        <f t="shared" si="6"/>
        <v>5294</v>
      </c>
      <c r="AL54" s="25">
        <f>(SUMIFS('T1 2019 Pipeline Data Lagasco'!$O:$O,'T1 2019 Pipeline Data Lagasco'!$A:$A,'Dec 31 2018 OFFS'!$AI54,'T1 2019 Pipeline Data Lagasco'!$Q:$Q,'Dec 31 2018 OFFS'!$AK54,'T1 2019 Pipeline Data Lagasco'!$E:$E,'Dec 31 2018 OFFS'!$U54,'T1 2019 Pipeline Data Lagasco'!$G:$G,'Dec 31 2018 OFFS'!$W54))/(MAX(COUNTIFS('T1 2019 Pipeline Data Lagasco'!$A:$A,'Dec 31 2018 OFFS'!$AI54,'T1 2019 Pipeline Data Lagasco'!$Q:$Q,'Dec 31 2018 OFFS'!$AK54,'T1 2019 Pipeline Data Lagasco'!$E:$E,'Dec 31 2018 OFFS'!$U54,'T1 2019 Pipeline Data Lagasco'!$G:$G,'Dec 31 2018 OFFS'!$W54),1))</f>
        <v>57447</v>
      </c>
      <c r="AM54" s="274">
        <f t="shared" si="14"/>
        <v>0</v>
      </c>
    </row>
    <row r="55" spans="1:39" ht="12.7">
      <c r="A55" s="193" t="s">
        <v>909</v>
      </c>
      <c r="B55" s="40" t="s">
        <v>919</v>
      </c>
      <c r="C55" s="40" t="s">
        <v>920</v>
      </c>
      <c r="D55" s="40" t="s">
        <v>839</v>
      </c>
      <c r="E55" s="40" t="s">
        <v>1054</v>
      </c>
      <c r="F55" s="40" t="s">
        <v>1051</v>
      </c>
      <c r="G55" s="41" t="s">
        <v>877</v>
      </c>
      <c r="H55" s="42">
        <v>42</v>
      </c>
      <c r="I55" s="43">
        <v>24</v>
      </c>
      <c r="J55" s="44">
        <v>54.906999999999996</v>
      </c>
      <c r="K55" s="45">
        <v>80</v>
      </c>
      <c r="L55" s="43">
        <v>51</v>
      </c>
      <c r="M55" s="46">
        <v>48.235</v>
      </c>
      <c r="N55" s="40" t="s">
        <v>838</v>
      </c>
      <c r="O55" s="42">
        <v>42</v>
      </c>
      <c r="P55" s="43">
        <v>25</v>
      </c>
      <c r="Q55" s="44">
        <v>9</v>
      </c>
      <c r="R55" s="45">
        <v>80</v>
      </c>
      <c r="S55" s="43">
        <v>51</v>
      </c>
      <c r="T55" s="46">
        <v>12</v>
      </c>
      <c r="U55" s="40">
        <v>2</v>
      </c>
      <c r="V55" s="47">
        <v>3069.55</v>
      </c>
      <c r="W55" s="48">
        <v>1970</v>
      </c>
      <c r="X55" s="40"/>
      <c r="Y55" s="52"/>
      <c r="Z55" s="40" t="s">
        <v>910</v>
      </c>
      <c r="AA55" s="49">
        <f t="shared" si="7"/>
        <v>0</v>
      </c>
      <c r="AB55" s="71">
        <f t="shared" si="8"/>
        <v>0.80</v>
      </c>
      <c r="AC55" s="49">
        <f t="shared" si="9"/>
        <v>0</v>
      </c>
      <c r="AD55" s="50">
        <f t="shared" si="10"/>
        <v>0</v>
      </c>
      <c r="AE55" s="50">
        <f t="shared" si="11"/>
        <v>0</v>
      </c>
      <c r="AF55" s="50">
        <f t="shared" si="12"/>
        <v>0</v>
      </c>
      <c r="AG55" s="199">
        <f t="shared" si="13"/>
        <v>0</v>
      </c>
      <c r="AH55" s="187"/>
      <c r="AI55" s="185" t="s">
        <v>1449</v>
      </c>
      <c r="AJ55" s="185"/>
      <c r="AK55" s="277">
        <f t="shared" si="6"/>
        <v>3069.55</v>
      </c>
      <c r="AL55" s="25">
        <f>(SUMIFS('T1 2019 Pipeline Data Lagasco'!$O:$O,'T1 2019 Pipeline Data Lagasco'!$A:$A,'Dec 31 2018 OFFS'!$AI55,'T1 2019 Pipeline Data Lagasco'!$Q:$Q,'Dec 31 2018 OFFS'!$AK55,'T1 2019 Pipeline Data Lagasco'!$E:$E,'Dec 31 2018 OFFS'!$U55,'T1 2019 Pipeline Data Lagasco'!$G:$G,'Dec 31 2018 OFFS'!$W55))/(MAX(COUNTIFS('T1 2019 Pipeline Data Lagasco'!$A:$A,'Dec 31 2018 OFFS'!$AI55,'T1 2019 Pipeline Data Lagasco'!$Q:$Q,'Dec 31 2018 OFFS'!$AK55,'T1 2019 Pipeline Data Lagasco'!$E:$E,'Dec 31 2018 OFFS'!$U55,'T1 2019 Pipeline Data Lagasco'!$G:$G,'Dec 31 2018 OFFS'!$W55),1))</f>
        <v>0</v>
      </c>
      <c r="AM55" s="274">
        <f t="shared" si="14"/>
        <v>0</v>
      </c>
    </row>
    <row r="56" spans="1:39" ht="12.7">
      <c r="A56" s="193" t="s">
        <v>909</v>
      </c>
      <c r="B56" s="40" t="s">
        <v>919</v>
      </c>
      <c r="C56" s="40" t="s">
        <v>920</v>
      </c>
      <c r="D56" s="40" t="s">
        <v>839</v>
      </c>
      <c r="E56" s="40" t="s">
        <v>1054</v>
      </c>
      <c r="F56" s="40"/>
      <c r="G56" s="41" t="s">
        <v>877</v>
      </c>
      <c r="H56" s="42">
        <v>42</v>
      </c>
      <c r="I56" s="43">
        <v>24</v>
      </c>
      <c r="J56" s="44">
        <f>60*0.916</f>
        <v>54.96</v>
      </c>
      <c r="K56" s="45">
        <v>80</v>
      </c>
      <c r="L56" s="43">
        <v>51</v>
      </c>
      <c r="M56" s="46">
        <f>60*0.797</f>
        <v>47.82</v>
      </c>
      <c r="N56" s="40" t="s">
        <v>838</v>
      </c>
      <c r="O56" s="42">
        <v>42</v>
      </c>
      <c r="P56" s="43">
        <v>25</v>
      </c>
      <c r="Q56" s="44">
        <f>60*0.15</f>
        <v>9</v>
      </c>
      <c r="R56" s="45">
        <v>80</v>
      </c>
      <c r="S56" s="43">
        <v>51</v>
      </c>
      <c r="T56" s="46">
        <f>60*0.2</f>
        <v>12</v>
      </c>
      <c r="U56" s="40">
        <v>3</v>
      </c>
      <c r="V56" s="47">
        <v>3024</v>
      </c>
      <c r="W56" s="48">
        <v>2005</v>
      </c>
      <c r="X56" s="40"/>
      <c r="Y56" s="52"/>
      <c r="Z56" s="40" t="s">
        <v>910</v>
      </c>
      <c r="AA56" s="49">
        <f t="shared" si="7"/>
        <v>71336.16</v>
      </c>
      <c r="AB56" s="71">
        <f t="shared" si="8"/>
        <v>0.54</v>
      </c>
      <c r="AC56" s="49">
        <f t="shared" si="9"/>
        <v>32814.629999999997</v>
      </c>
      <c r="AD56" s="50">
        <f t="shared" si="10"/>
        <v>0</v>
      </c>
      <c r="AE56" s="50">
        <f t="shared" si="11"/>
        <v>0</v>
      </c>
      <c r="AF56" s="50">
        <f t="shared" si="12"/>
        <v>32814.629999999997</v>
      </c>
      <c r="AG56" s="199">
        <f t="shared" si="13"/>
        <v>32814</v>
      </c>
      <c r="AH56" s="187"/>
      <c r="AI56" s="185" t="s">
        <v>1449</v>
      </c>
      <c r="AJ56" s="185"/>
      <c r="AK56" s="277">
        <f t="shared" si="6"/>
        <v>3024</v>
      </c>
      <c r="AL56" s="25">
        <f>(SUMIFS('T1 2019 Pipeline Data Lagasco'!$O:$O,'T1 2019 Pipeline Data Lagasco'!$A:$A,'Dec 31 2018 OFFS'!$AI56,'T1 2019 Pipeline Data Lagasco'!$Q:$Q,'Dec 31 2018 OFFS'!$AK56,'T1 2019 Pipeline Data Lagasco'!$E:$E,'Dec 31 2018 OFFS'!$U56,'T1 2019 Pipeline Data Lagasco'!$G:$G,'Dec 31 2018 OFFS'!$W56))/(MAX(COUNTIFS('T1 2019 Pipeline Data Lagasco'!$A:$A,'Dec 31 2018 OFFS'!$AI56,'T1 2019 Pipeline Data Lagasco'!$Q:$Q,'Dec 31 2018 OFFS'!$AK56,'T1 2019 Pipeline Data Lagasco'!$E:$E,'Dec 31 2018 OFFS'!$U56,'T1 2019 Pipeline Data Lagasco'!$G:$G,'Dec 31 2018 OFFS'!$W56),1))</f>
        <v>32814</v>
      </c>
      <c r="AM56" s="274">
        <f t="shared" si="14"/>
        <v>0</v>
      </c>
    </row>
    <row r="57" spans="1:39" ht="12.7">
      <c r="A57" s="193" t="s">
        <v>909</v>
      </c>
      <c r="B57" s="40" t="s">
        <v>919</v>
      </c>
      <c r="C57" s="40" t="s">
        <v>920</v>
      </c>
      <c r="D57" s="40" t="s">
        <v>839</v>
      </c>
      <c r="E57" s="40" t="s">
        <v>1054</v>
      </c>
      <c r="F57" s="40" t="s">
        <v>1051</v>
      </c>
      <c r="G57" s="41" t="s">
        <v>877</v>
      </c>
      <c r="H57" s="42">
        <v>42</v>
      </c>
      <c r="I57" s="43">
        <v>24</v>
      </c>
      <c r="J57" s="44">
        <v>54.906999999999996</v>
      </c>
      <c r="K57" s="45">
        <v>80</v>
      </c>
      <c r="L57" s="43">
        <v>51</v>
      </c>
      <c r="M57" s="46">
        <v>48.235</v>
      </c>
      <c r="N57" s="40" t="s">
        <v>870</v>
      </c>
      <c r="O57" s="42">
        <v>42</v>
      </c>
      <c r="P57" s="43">
        <v>24</v>
      </c>
      <c r="Q57" s="44">
        <v>50.406999999999996</v>
      </c>
      <c r="R57" s="45">
        <v>80</v>
      </c>
      <c r="S57" s="43">
        <v>50</v>
      </c>
      <c r="T57" s="46">
        <v>31.373000000000001</v>
      </c>
      <c r="U57" s="40">
        <v>4</v>
      </c>
      <c r="V57" s="47">
        <v>5783.3659742459995</v>
      </c>
      <c r="W57" s="48">
        <v>1970</v>
      </c>
      <c r="X57" s="40"/>
      <c r="Y57" s="52"/>
      <c r="Z57" s="40" t="s">
        <v>910</v>
      </c>
      <c r="AA57" s="49">
        <f t="shared" si="7"/>
        <v>0</v>
      </c>
      <c r="AB57" s="71">
        <f t="shared" si="8"/>
        <v>0.80</v>
      </c>
      <c r="AC57" s="49">
        <f t="shared" si="9"/>
        <v>0</v>
      </c>
      <c r="AD57" s="50">
        <f t="shared" si="10"/>
        <v>0</v>
      </c>
      <c r="AE57" s="50">
        <f t="shared" si="11"/>
        <v>0</v>
      </c>
      <c r="AF57" s="50">
        <f t="shared" si="12"/>
        <v>0</v>
      </c>
      <c r="AG57" s="199">
        <f t="shared" si="13"/>
        <v>0</v>
      </c>
      <c r="AH57" s="187"/>
      <c r="AI57" s="185" t="s">
        <v>1449</v>
      </c>
      <c r="AJ57" s="185"/>
      <c r="AK57" s="277">
        <f t="shared" si="6"/>
        <v>5783.37</v>
      </c>
      <c r="AL57" s="25">
        <f>(SUMIFS('T1 2019 Pipeline Data Lagasco'!$O:$O,'T1 2019 Pipeline Data Lagasco'!$A:$A,'Dec 31 2018 OFFS'!$AI57,'T1 2019 Pipeline Data Lagasco'!$Q:$Q,'Dec 31 2018 OFFS'!$AK57,'T1 2019 Pipeline Data Lagasco'!$E:$E,'Dec 31 2018 OFFS'!$U57,'T1 2019 Pipeline Data Lagasco'!$G:$G,'Dec 31 2018 OFFS'!$W57))/(MAX(COUNTIFS('T1 2019 Pipeline Data Lagasco'!$A:$A,'Dec 31 2018 OFFS'!$AI57,'T1 2019 Pipeline Data Lagasco'!$Q:$Q,'Dec 31 2018 OFFS'!$AK57,'T1 2019 Pipeline Data Lagasco'!$E:$E,'Dec 31 2018 OFFS'!$U57,'T1 2019 Pipeline Data Lagasco'!$G:$G,'Dec 31 2018 OFFS'!$W57),1))</f>
        <v>0</v>
      </c>
      <c r="AM57" s="274">
        <f t="shared" si="14"/>
        <v>0</v>
      </c>
    </row>
    <row r="58" spans="1:39" ht="12.7">
      <c r="A58" s="193" t="s">
        <v>909</v>
      </c>
      <c r="B58" s="40" t="s">
        <v>919</v>
      </c>
      <c r="C58" s="40" t="s">
        <v>920</v>
      </c>
      <c r="D58" s="40" t="s">
        <v>839</v>
      </c>
      <c r="E58" s="40" t="s">
        <v>1054</v>
      </c>
      <c r="F58" s="40"/>
      <c r="G58" s="41" t="s">
        <v>877</v>
      </c>
      <c r="H58" s="42">
        <v>42</v>
      </c>
      <c r="I58" s="43">
        <v>24</v>
      </c>
      <c r="J58" s="44">
        <f>60*0.916</f>
        <v>54.96</v>
      </c>
      <c r="K58" s="45">
        <v>80</v>
      </c>
      <c r="L58" s="43">
        <v>51</v>
      </c>
      <c r="M58" s="46">
        <f>60*0.797</f>
        <v>47.82</v>
      </c>
      <c r="N58" s="40" t="s">
        <v>870</v>
      </c>
      <c r="O58" s="42">
        <v>42</v>
      </c>
      <c r="P58" s="43">
        <v>24</v>
      </c>
      <c r="Q58" s="44">
        <f>60*0.835</f>
        <v>50.099999999999994</v>
      </c>
      <c r="R58" s="45">
        <v>80</v>
      </c>
      <c r="S58" s="43">
        <v>50</v>
      </c>
      <c r="T58" s="46">
        <f>60*0.515</f>
        <v>30.90</v>
      </c>
      <c r="U58" s="40">
        <v>3</v>
      </c>
      <c r="V58" s="47">
        <v>5722</v>
      </c>
      <c r="W58" s="48">
        <v>2005</v>
      </c>
      <c r="X58" s="40"/>
      <c r="Y58" s="52"/>
      <c r="Z58" s="40" t="s">
        <v>910</v>
      </c>
      <c r="AA58" s="49">
        <f t="shared" si="7"/>
        <v>134981.98000000001</v>
      </c>
      <c r="AB58" s="71">
        <f t="shared" si="8"/>
        <v>0.54</v>
      </c>
      <c r="AC58" s="49">
        <f t="shared" si="9"/>
        <v>62091.71</v>
      </c>
      <c r="AD58" s="50">
        <f t="shared" si="10"/>
        <v>0</v>
      </c>
      <c r="AE58" s="50">
        <f t="shared" si="11"/>
        <v>0</v>
      </c>
      <c r="AF58" s="50">
        <f t="shared" si="12"/>
        <v>62091.71</v>
      </c>
      <c r="AG58" s="199">
        <f t="shared" si="13"/>
        <v>62091</v>
      </c>
      <c r="AH58" s="187"/>
      <c r="AI58" s="185" t="s">
        <v>1449</v>
      </c>
      <c r="AJ58" s="185"/>
      <c r="AK58" s="277">
        <f t="shared" si="6"/>
        <v>5722</v>
      </c>
      <c r="AL58" s="25">
        <f>(SUMIFS('T1 2019 Pipeline Data Lagasco'!$O:$O,'T1 2019 Pipeline Data Lagasco'!$A:$A,'Dec 31 2018 OFFS'!$AI58,'T1 2019 Pipeline Data Lagasco'!$Q:$Q,'Dec 31 2018 OFFS'!$AK58,'T1 2019 Pipeline Data Lagasco'!$E:$E,'Dec 31 2018 OFFS'!$U58,'T1 2019 Pipeline Data Lagasco'!$G:$G,'Dec 31 2018 OFFS'!$W58))/(MAX(COUNTIFS('T1 2019 Pipeline Data Lagasco'!$A:$A,'Dec 31 2018 OFFS'!$AI58,'T1 2019 Pipeline Data Lagasco'!$Q:$Q,'Dec 31 2018 OFFS'!$AK58,'T1 2019 Pipeline Data Lagasco'!$E:$E,'Dec 31 2018 OFFS'!$U58,'T1 2019 Pipeline Data Lagasco'!$G:$G,'Dec 31 2018 OFFS'!$W58),1))</f>
        <v>62091</v>
      </c>
      <c r="AM58" s="274">
        <f t="shared" si="14"/>
        <v>0</v>
      </c>
    </row>
    <row r="59" spans="1:39" ht="12.7">
      <c r="A59" s="193" t="s">
        <v>909</v>
      </c>
      <c r="B59" s="40" t="s">
        <v>919</v>
      </c>
      <c r="C59" s="40" t="s">
        <v>920</v>
      </c>
      <c r="D59" s="40" t="s">
        <v>839</v>
      </c>
      <c r="E59" s="40" t="s">
        <v>1054</v>
      </c>
      <c r="F59" s="40" t="s">
        <v>1380</v>
      </c>
      <c r="G59" s="40" t="s">
        <v>209</v>
      </c>
      <c r="H59" s="42">
        <v>42</v>
      </c>
      <c r="I59" s="43">
        <v>24</v>
      </c>
      <c r="J59" s="44">
        <v>53.25</v>
      </c>
      <c r="K59" s="45">
        <v>80</v>
      </c>
      <c r="L59" s="43">
        <v>51</v>
      </c>
      <c r="M59" s="46">
        <v>57.56</v>
      </c>
      <c r="N59" s="41" t="s">
        <v>877</v>
      </c>
      <c r="O59" s="42">
        <v>42</v>
      </c>
      <c r="P59" s="43">
        <v>24</v>
      </c>
      <c r="Q59" s="44">
        <v>54.906999999999996</v>
      </c>
      <c r="R59" s="45">
        <v>80</v>
      </c>
      <c r="S59" s="43">
        <v>51</v>
      </c>
      <c r="T59" s="46">
        <v>48.235</v>
      </c>
      <c r="U59" s="40">
        <v>4</v>
      </c>
      <c r="V59" s="281">
        <v>719.29131775200005</v>
      </c>
      <c r="W59" s="48">
        <v>1999</v>
      </c>
      <c r="X59" s="40"/>
      <c r="Y59" s="52"/>
      <c r="Z59" s="139" t="s">
        <v>910</v>
      </c>
      <c r="AA59" s="49">
        <f t="shared" si="7"/>
        <v>19025.255354540401</v>
      </c>
      <c r="AB59" s="71">
        <f t="shared" si="8"/>
        <v>0.62</v>
      </c>
      <c r="AC59" s="49">
        <f t="shared" si="9"/>
        <v>7229.60</v>
      </c>
      <c r="AD59" s="50">
        <f t="shared" si="10"/>
        <v>0</v>
      </c>
      <c r="AE59" s="50">
        <f t="shared" si="11"/>
        <v>0</v>
      </c>
      <c r="AF59" s="50">
        <f t="shared" si="12"/>
        <v>7229.60</v>
      </c>
      <c r="AG59" s="199">
        <f t="shared" si="13"/>
        <v>7229</v>
      </c>
      <c r="AH59" s="187"/>
      <c r="AI59" s="185" t="s">
        <v>1449</v>
      </c>
      <c r="AJ59" s="185"/>
      <c r="AK59" s="277">
        <f t="shared" si="6"/>
        <v>719.29</v>
      </c>
      <c r="AL59" s="25">
        <f>(SUMIFS('T1 2019 Pipeline Data Lagasco'!$O:$O,'T1 2019 Pipeline Data Lagasco'!$A:$A,'Dec 31 2018 OFFS'!$AI59,'T1 2019 Pipeline Data Lagasco'!$Q:$Q,'Dec 31 2018 OFFS'!$AK59,'T1 2019 Pipeline Data Lagasco'!$E:$E,'Dec 31 2018 OFFS'!$U59,'T1 2019 Pipeline Data Lagasco'!$G:$G,'Dec 31 2018 OFFS'!$W59))/(MAX(COUNTIFS('T1 2019 Pipeline Data Lagasco'!$A:$A,'Dec 31 2018 OFFS'!$AI59,'T1 2019 Pipeline Data Lagasco'!$Q:$Q,'Dec 31 2018 OFFS'!$AK59,'T1 2019 Pipeline Data Lagasco'!$E:$E,'Dec 31 2018 OFFS'!$U59,'T1 2019 Pipeline Data Lagasco'!$G:$G,'Dec 31 2018 OFFS'!$W59),1))</f>
        <v>7229</v>
      </c>
      <c r="AM59" s="274">
        <f t="shared" si="14"/>
        <v>0</v>
      </c>
    </row>
    <row r="60" spans="1:39" ht="12.7">
      <c r="A60" s="193" t="s">
        <v>909</v>
      </c>
      <c r="B60" s="40" t="s">
        <v>919</v>
      </c>
      <c r="C60" s="40" t="s">
        <v>920</v>
      </c>
      <c r="D60" s="40" t="s">
        <v>839</v>
      </c>
      <c r="E60" s="40" t="s">
        <v>1054</v>
      </c>
      <c r="F60" s="40" t="s">
        <v>1051</v>
      </c>
      <c r="G60" s="40" t="s">
        <v>209</v>
      </c>
      <c r="H60" s="42">
        <v>42</v>
      </c>
      <c r="I60" s="43">
        <v>24</v>
      </c>
      <c r="J60" s="44">
        <v>53.25</v>
      </c>
      <c r="K60" s="45">
        <v>80</v>
      </c>
      <c r="L60" s="43">
        <v>51</v>
      </c>
      <c r="M60" s="46">
        <v>57.56</v>
      </c>
      <c r="N60" s="41" t="s">
        <v>877</v>
      </c>
      <c r="O60" s="42">
        <v>42</v>
      </c>
      <c r="P60" s="43">
        <v>24</v>
      </c>
      <c r="Q60" s="44">
        <v>54.906999999999996</v>
      </c>
      <c r="R60" s="45">
        <v>80</v>
      </c>
      <c r="S60" s="43">
        <v>51</v>
      </c>
      <c r="T60" s="46">
        <v>48.235</v>
      </c>
      <c r="U60" s="40">
        <v>4</v>
      </c>
      <c r="V60" s="281">
        <v>719.29131775200005</v>
      </c>
      <c r="W60" s="48">
        <v>1970</v>
      </c>
      <c r="X60" s="40"/>
      <c r="Y60" s="52"/>
      <c r="Z60" s="40" t="s">
        <v>910</v>
      </c>
      <c r="AA60" s="49">
        <f t="shared" si="7"/>
        <v>0</v>
      </c>
      <c r="AB60" s="71">
        <f t="shared" si="8"/>
        <v>0.80</v>
      </c>
      <c r="AC60" s="49">
        <f t="shared" si="9"/>
        <v>0</v>
      </c>
      <c r="AD60" s="50">
        <f t="shared" si="10"/>
        <v>0</v>
      </c>
      <c r="AE60" s="50">
        <f t="shared" si="11"/>
        <v>0</v>
      </c>
      <c r="AF60" s="50">
        <f t="shared" si="12"/>
        <v>0</v>
      </c>
      <c r="AG60" s="199">
        <f t="shared" si="13"/>
        <v>0</v>
      </c>
      <c r="AH60" s="187"/>
      <c r="AI60" s="185" t="s">
        <v>1449</v>
      </c>
      <c r="AJ60" s="185"/>
      <c r="AK60" s="277">
        <f t="shared" si="6"/>
        <v>719.29</v>
      </c>
      <c r="AL60" s="25">
        <f>(SUMIFS('T1 2019 Pipeline Data Lagasco'!$O:$O,'T1 2019 Pipeline Data Lagasco'!$A:$A,'Dec 31 2018 OFFS'!$AI60,'T1 2019 Pipeline Data Lagasco'!$Q:$Q,'Dec 31 2018 OFFS'!$AK60,'T1 2019 Pipeline Data Lagasco'!$E:$E,'Dec 31 2018 OFFS'!$U60,'T1 2019 Pipeline Data Lagasco'!$G:$G,'Dec 31 2018 OFFS'!$W60))/(MAX(COUNTIFS('T1 2019 Pipeline Data Lagasco'!$A:$A,'Dec 31 2018 OFFS'!$AI60,'T1 2019 Pipeline Data Lagasco'!$Q:$Q,'Dec 31 2018 OFFS'!$AK60,'T1 2019 Pipeline Data Lagasco'!$E:$E,'Dec 31 2018 OFFS'!$U60,'T1 2019 Pipeline Data Lagasco'!$G:$G,'Dec 31 2018 OFFS'!$W60),1))</f>
        <v>0</v>
      </c>
      <c r="AM60" s="274">
        <f t="shared" si="14"/>
        <v>0</v>
      </c>
    </row>
    <row r="61" spans="1:39" ht="12.7">
      <c r="A61" s="193" t="s">
        <v>909</v>
      </c>
      <c r="B61" s="40" t="s">
        <v>919</v>
      </c>
      <c r="C61" s="40" t="s">
        <v>920</v>
      </c>
      <c r="D61" s="40" t="s">
        <v>839</v>
      </c>
      <c r="E61" s="40" t="s">
        <v>1054</v>
      </c>
      <c r="F61" s="40"/>
      <c r="G61" s="40" t="s">
        <v>186</v>
      </c>
      <c r="H61" s="42">
        <v>42</v>
      </c>
      <c r="I61" s="43">
        <v>21</v>
      </c>
      <c r="J61" s="44">
        <v>57.92</v>
      </c>
      <c r="K61" s="45">
        <v>80</v>
      </c>
      <c r="L61" s="43">
        <v>52</v>
      </c>
      <c r="M61" s="46">
        <v>2.0499999999999998</v>
      </c>
      <c r="N61" s="41" t="s">
        <v>866</v>
      </c>
      <c r="O61" s="42">
        <v>42</v>
      </c>
      <c r="P61" s="43">
        <v>22</v>
      </c>
      <c r="Q61" s="44">
        <v>4.50</v>
      </c>
      <c r="R61" s="45">
        <v>80</v>
      </c>
      <c r="S61" s="43">
        <v>51</v>
      </c>
      <c r="T61" s="46">
        <v>29.10</v>
      </c>
      <c r="U61" s="40">
        <v>2</v>
      </c>
      <c r="V61" s="47">
        <v>2561.5484822479998</v>
      </c>
      <c r="W61" s="48">
        <v>1985</v>
      </c>
      <c r="X61" s="40"/>
      <c r="Y61" s="52"/>
      <c r="Z61" s="40" t="s">
        <v>910</v>
      </c>
      <c r="AA61" s="49">
        <f t="shared" si="7"/>
        <v>41599.547351707515</v>
      </c>
      <c r="AB61" s="71">
        <f t="shared" si="8"/>
        <v>0.80</v>
      </c>
      <c r="AC61" s="49">
        <f t="shared" si="9"/>
        <v>8319.91</v>
      </c>
      <c r="AD61" s="50">
        <f t="shared" si="10"/>
        <v>0</v>
      </c>
      <c r="AE61" s="50">
        <f t="shared" si="11"/>
        <v>0</v>
      </c>
      <c r="AF61" s="50">
        <f t="shared" si="12"/>
        <v>8319.91</v>
      </c>
      <c r="AG61" s="199">
        <f t="shared" si="13"/>
        <v>8319</v>
      </c>
      <c r="AH61" s="187"/>
      <c r="AI61" s="185" t="s">
        <v>1449</v>
      </c>
      <c r="AJ61" s="185"/>
      <c r="AK61" s="277">
        <f t="shared" si="6"/>
        <v>2561.5500000000002</v>
      </c>
      <c r="AL61" s="25">
        <f>(SUMIFS('T1 2019 Pipeline Data Lagasco'!$O:$O,'T1 2019 Pipeline Data Lagasco'!$A:$A,'Dec 31 2018 OFFS'!$AI61,'T1 2019 Pipeline Data Lagasco'!$Q:$Q,'Dec 31 2018 OFFS'!$AK61,'T1 2019 Pipeline Data Lagasco'!$E:$E,'Dec 31 2018 OFFS'!$U61,'T1 2019 Pipeline Data Lagasco'!$G:$G,'Dec 31 2018 OFFS'!$W61))/(MAX(COUNTIFS('T1 2019 Pipeline Data Lagasco'!$A:$A,'Dec 31 2018 OFFS'!$AI61,'T1 2019 Pipeline Data Lagasco'!$Q:$Q,'Dec 31 2018 OFFS'!$AK61,'T1 2019 Pipeline Data Lagasco'!$E:$E,'Dec 31 2018 OFFS'!$U61,'T1 2019 Pipeline Data Lagasco'!$G:$G,'Dec 31 2018 OFFS'!$W61),1))</f>
        <v>8319</v>
      </c>
      <c r="AM61" s="274">
        <f t="shared" si="14"/>
        <v>0</v>
      </c>
    </row>
    <row r="62" spans="1:39" ht="12.7">
      <c r="A62" s="193" t="s">
        <v>909</v>
      </c>
      <c r="B62" s="40" t="s">
        <v>919</v>
      </c>
      <c r="C62" s="40" t="s">
        <v>920</v>
      </c>
      <c r="D62" s="40" t="s">
        <v>839</v>
      </c>
      <c r="E62" s="40" t="s">
        <v>1054</v>
      </c>
      <c r="F62" s="40"/>
      <c r="G62" s="41" t="s">
        <v>1290</v>
      </c>
      <c r="H62" s="42">
        <v>42</v>
      </c>
      <c r="I62" s="43">
        <v>20</v>
      </c>
      <c r="J62" s="44">
        <v>10.26</v>
      </c>
      <c r="K62" s="45">
        <v>80</v>
      </c>
      <c r="L62" s="43">
        <v>51</v>
      </c>
      <c r="M62" s="46">
        <v>10.08</v>
      </c>
      <c r="N62" s="41" t="s">
        <v>1289</v>
      </c>
      <c r="O62" s="42">
        <v>42</v>
      </c>
      <c r="P62" s="43">
        <v>20</v>
      </c>
      <c r="Q62" s="44">
        <v>7.08</v>
      </c>
      <c r="R62" s="45">
        <v>80</v>
      </c>
      <c r="S62" s="43">
        <v>52</v>
      </c>
      <c r="T62" s="46">
        <v>0</v>
      </c>
      <c r="U62" s="40">
        <v>3</v>
      </c>
      <c r="V62" s="47">
        <v>3753</v>
      </c>
      <c r="W62" s="48">
        <v>2006</v>
      </c>
      <c r="X62" s="40"/>
      <c r="Y62" s="52"/>
      <c r="Z62" s="40" t="s">
        <v>910</v>
      </c>
      <c r="AA62" s="49">
        <f t="shared" si="7"/>
        <v>88533.27</v>
      </c>
      <c r="AB62" s="71">
        <f t="shared" si="8"/>
        <v>0.52</v>
      </c>
      <c r="AC62" s="49">
        <f t="shared" si="9"/>
        <v>42495.97</v>
      </c>
      <c r="AD62" s="50">
        <f t="shared" si="10"/>
        <v>0</v>
      </c>
      <c r="AE62" s="50">
        <f t="shared" si="11"/>
        <v>0</v>
      </c>
      <c r="AF62" s="50">
        <f t="shared" si="12"/>
        <v>42495.97</v>
      </c>
      <c r="AG62" s="199">
        <f t="shared" si="13"/>
        <v>42495</v>
      </c>
      <c r="AH62" s="187"/>
      <c r="AI62" s="185" t="s">
        <v>1449</v>
      </c>
      <c r="AJ62" s="185"/>
      <c r="AK62" s="277">
        <f t="shared" si="6"/>
        <v>3753</v>
      </c>
      <c r="AL62" s="25">
        <f>(SUMIFS('T1 2019 Pipeline Data Lagasco'!$O:$O,'T1 2019 Pipeline Data Lagasco'!$A:$A,'Dec 31 2018 OFFS'!$AI62,'T1 2019 Pipeline Data Lagasco'!$Q:$Q,'Dec 31 2018 OFFS'!$AK62,'T1 2019 Pipeline Data Lagasco'!$E:$E,'Dec 31 2018 OFFS'!$U62,'T1 2019 Pipeline Data Lagasco'!$G:$G,'Dec 31 2018 OFFS'!$W62))/(MAX(COUNTIFS('T1 2019 Pipeline Data Lagasco'!$A:$A,'Dec 31 2018 OFFS'!$AI62,'T1 2019 Pipeline Data Lagasco'!$Q:$Q,'Dec 31 2018 OFFS'!$AK62,'T1 2019 Pipeline Data Lagasco'!$E:$E,'Dec 31 2018 OFFS'!$U62,'T1 2019 Pipeline Data Lagasco'!$G:$G,'Dec 31 2018 OFFS'!$W62),1))</f>
        <v>42495</v>
      </c>
      <c r="AM62" s="274">
        <f t="shared" si="14"/>
        <v>0</v>
      </c>
    </row>
    <row r="63" spans="1:39" ht="12.7">
      <c r="A63" s="193" t="s">
        <v>909</v>
      </c>
      <c r="B63" s="40" t="s">
        <v>919</v>
      </c>
      <c r="C63" s="40" t="s">
        <v>920</v>
      </c>
      <c r="D63" s="40" t="s">
        <v>839</v>
      </c>
      <c r="E63" s="40" t="s">
        <v>1054</v>
      </c>
      <c r="F63" s="40" t="s">
        <v>1051</v>
      </c>
      <c r="G63" s="41" t="s">
        <v>859</v>
      </c>
      <c r="H63" s="42">
        <v>42</v>
      </c>
      <c r="I63" s="43">
        <v>19</v>
      </c>
      <c r="J63" s="44">
        <v>12.352</v>
      </c>
      <c r="K63" s="45">
        <v>80</v>
      </c>
      <c r="L63" s="43">
        <v>50</v>
      </c>
      <c r="M63" s="46">
        <v>26.931999999999999</v>
      </c>
      <c r="N63" s="40" t="s">
        <v>860</v>
      </c>
      <c r="O63" s="42">
        <v>42</v>
      </c>
      <c r="P63" s="43">
        <v>19</v>
      </c>
      <c r="Q63" s="44">
        <v>56.344000000000001</v>
      </c>
      <c r="R63" s="45">
        <v>80</v>
      </c>
      <c r="S63" s="43">
        <v>50</v>
      </c>
      <c r="T63" s="46">
        <v>3.4870000000000001</v>
      </c>
      <c r="U63" s="40">
        <v>2</v>
      </c>
      <c r="V63" s="47">
        <v>4783</v>
      </c>
      <c r="W63" s="48">
        <v>1982</v>
      </c>
      <c r="X63" s="40"/>
      <c r="Y63" s="52"/>
      <c r="Z63" s="40" t="s">
        <v>910</v>
      </c>
      <c r="AA63" s="49">
        <f t="shared" si="7"/>
        <v>0</v>
      </c>
      <c r="AB63" s="71">
        <f t="shared" si="8"/>
        <v>0.80</v>
      </c>
      <c r="AC63" s="49">
        <f t="shared" si="9"/>
        <v>0</v>
      </c>
      <c r="AD63" s="50">
        <f t="shared" si="10"/>
        <v>0</v>
      </c>
      <c r="AE63" s="50">
        <f t="shared" si="11"/>
        <v>0</v>
      </c>
      <c r="AF63" s="50">
        <f t="shared" si="12"/>
        <v>0</v>
      </c>
      <c r="AG63" s="199">
        <f t="shared" si="13"/>
        <v>0</v>
      </c>
      <c r="AH63" s="187"/>
      <c r="AI63" s="185" t="s">
        <v>1449</v>
      </c>
      <c r="AJ63" s="185"/>
      <c r="AK63" s="277">
        <f t="shared" si="6"/>
        <v>4783</v>
      </c>
      <c r="AL63" s="25">
        <f>(SUMIFS('T1 2019 Pipeline Data Lagasco'!$O:$O,'T1 2019 Pipeline Data Lagasco'!$A:$A,'Dec 31 2018 OFFS'!$AI63,'T1 2019 Pipeline Data Lagasco'!$Q:$Q,'Dec 31 2018 OFFS'!$AK63,'T1 2019 Pipeline Data Lagasco'!$E:$E,'Dec 31 2018 OFFS'!$U63,'T1 2019 Pipeline Data Lagasco'!$G:$G,'Dec 31 2018 OFFS'!$W63))/(MAX(COUNTIFS('T1 2019 Pipeline Data Lagasco'!$A:$A,'Dec 31 2018 OFFS'!$AI63,'T1 2019 Pipeline Data Lagasco'!$Q:$Q,'Dec 31 2018 OFFS'!$AK63,'T1 2019 Pipeline Data Lagasco'!$E:$E,'Dec 31 2018 OFFS'!$U63,'T1 2019 Pipeline Data Lagasco'!$G:$G,'Dec 31 2018 OFFS'!$W63),1))</f>
        <v>0</v>
      </c>
      <c r="AM63" s="274">
        <f t="shared" si="14"/>
        <v>0</v>
      </c>
    </row>
    <row r="64" spans="1:39" ht="12.7">
      <c r="A64" s="193" t="s">
        <v>909</v>
      </c>
      <c r="B64" s="40" t="s">
        <v>919</v>
      </c>
      <c r="C64" s="40" t="s">
        <v>920</v>
      </c>
      <c r="D64" s="40" t="s">
        <v>839</v>
      </c>
      <c r="E64" s="40" t="s">
        <v>1054</v>
      </c>
      <c r="F64" s="40" t="s">
        <v>1051</v>
      </c>
      <c r="G64" s="41" t="s">
        <v>859</v>
      </c>
      <c r="H64" s="42">
        <v>42</v>
      </c>
      <c r="I64" s="43">
        <v>19</v>
      </c>
      <c r="J64" s="44">
        <v>12.352</v>
      </c>
      <c r="K64" s="45">
        <v>80</v>
      </c>
      <c r="L64" s="43">
        <v>50</v>
      </c>
      <c r="M64" s="46">
        <v>26.931999999999999</v>
      </c>
      <c r="N64" s="40" t="s">
        <v>873</v>
      </c>
      <c r="O64" s="42">
        <v>42</v>
      </c>
      <c r="P64" s="43">
        <v>17</v>
      </c>
      <c r="Q64" s="44">
        <v>21.965</v>
      </c>
      <c r="R64" s="45">
        <v>80</v>
      </c>
      <c r="S64" s="43">
        <v>51</v>
      </c>
      <c r="T64" s="46">
        <v>50.223999999999997</v>
      </c>
      <c r="U64" s="40">
        <v>2</v>
      </c>
      <c r="V64" s="47">
        <v>12807.447135658</v>
      </c>
      <c r="W64" s="48">
        <v>1993</v>
      </c>
      <c r="X64" s="40"/>
      <c r="Y64" s="52"/>
      <c r="Z64" s="40" t="s">
        <v>910</v>
      </c>
      <c r="AA64" s="49">
        <f t="shared" si="7"/>
        <v>0</v>
      </c>
      <c r="AB64" s="71">
        <f t="shared" si="8"/>
        <v>0.70</v>
      </c>
      <c r="AC64" s="49">
        <f t="shared" si="9"/>
        <v>0</v>
      </c>
      <c r="AD64" s="50">
        <f t="shared" si="10"/>
        <v>0</v>
      </c>
      <c r="AE64" s="50">
        <f t="shared" si="11"/>
        <v>0</v>
      </c>
      <c r="AF64" s="50">
        <f t="shared" si="12"/>
        <v>0</v>
      </c>
      <c r="AG64" s="199">
        <f t="shared" si="13"/>
        <v>0</v>
      </c>
      <c r="AH64" s="187"/>
      <c r="AI64" s="185" t="s">
        <v>1449</v>
      </c>
      <c r="AJ64" s="185"/>
      <c r="AK64" s="277">
        <f t="shared" si="6"/>
        <v>12807.45</v>
      </c>
      <c r="AL64" s="25">
        <f>(SUMIFS('T1 2019 Pipeline Data Lagasco'!$O:$O,'T1 2019 Pipeline Data Lagasco'!$A:$A,'Dec 31 2018 OFFS'!$AI64,'T1 2019 Pipeline Data Lagasco'!$Q:$Q,'Dec 31 2018 OFFS'!$AK64,'T1 2019 Pipeline Data Lagasco'!$E:$E,'Dec 31 2018 OFFS'!$U64,'T1 2019 Pipeline Data Lagasco'!$G:$G,'Dec 31 2018 OFFS'!$W64))/(MAX(COUNTIFS('T1 2019 Pipeline Data Lagasco'!$A:$A,'Dec 31 2018 OFFS'!$AI64,'T1 2019 Pipeline Data Lagasco'!$Q:$Q,'Dec 31 2018 OFFS'!$AK64,'T1 2019 Pipeline Data Lagasco'!$E:$E,'Dec 31 2018 OFFS'!$U64,'T1 2019 Pipeline Data Lagasco'!$G:$G,'Dec 31 2018 OFFS'!$W64),1))</f>
        <v>0</v>
      </c>
      <c r="AM64" s="274">
        <f t="shared" si="14"/>
        <v>0</v>
      </c>
    </row>
    <row r="65" spans="1:39" ht="12.7">
      <c r="A65" s="193" t="s">
        <v>909</v>
      </c>
      <c r="B65" s="40" t="s">
        <v>919</v>
      </c>
      <c r="C65" s="40" t="s">
        <v>920</v>
      </c>
      <c r="D65" s="40" t="s">
        <v>839</v>
      </c>
      <c r="E65" s="40" t="s">
        <v>1054</v>
      </c>
      <c r="F65" s="40"/>
      <c r="G65" s="41" t="s">
        <v>873</v>
      </c>
      <c r="H65" s="42">
        <v>42</v>
      </c>
      <c r="I65" s="43">
        <v>17</v>
      </c>
      <c r="J65" s="44">
        <f>60*0.36</f>
        <v>21.60</v>
      </c>
      <c r="K65" s="45">
        <v>80</v>
      </c>
      <c r="L65" s="43">
        <v>51</v>
      </c>
      <c r="M65" s="46">
        <f>60*0.833</f>
        <v>49.98</v>
      </c>
      <c r="N65" s="41" t="s">
        <v>1351</v>
      </c>
      <c r="O65" s="42">
        <v>42</v>
      </c>
      <c r="P65" s="43">
        <v>19</v>
      </c>
      <c r="Q65" s="44">
        <f>60*0.122</f>
        <v>7.32</v>
      </c>
      <c r="R65" s="45">
        <v>80</v>
      </c>
      <c r="S65" s="43">
        <v>50</v>
      </c>
      <c r="T65" s="46">
        <f>60*0.482</f>
        <v>28.92</v>
      </c>
      <c r="U65" s="40">
        <v>3</v>
      </c>
      <c r="V65" s="47">
        <v>12240</v>
      </c>
      <c r="W65" s="48">
        <v>2010</v>
      </c>
      <c r="X65" s="40"/>
      <c r="Y65" s="52"/>
      <c r="Z65" s="40" t="s">
        <v>910</v>
      </c>
      <c r="AA65" s="49">
        <f t="shared" si="7"/>
        <v>288741.59999999998</v>
      </c>
      <c r="AB65" s="71">
        <f t="shared" si="8"/>
        <v>0.39</v>
      </c>
      <c r="AC65" s="49">
        <f t="shared" si="9"/>
        <v>176132.38</v>
      </c>
      <c r="AD65" s="50">
        <f t="shared" si="10"/>
        <v>0</v>
      </c>
      <c r="AE65" s="50">
        <f t="shared" si="11"/>
        <v>0</v>
      </c>
      <c r="AF65" s="50">
        <f t="shared" si="12"/>
        <v>176132.38</v>
      </c>
      <c r="AG65" s="199">
        <f t="shared" si="13"/>
        <v>176132</v>
      </c>
      <c r="AH65" s="187"/>
      <c r="AI65" s="185" t="s">
        <v>1449</v>
      </c>
      <c r="AJ65" s="185"/>
      <c r="AK65" s="277">
        <f t="shared" si="6"/>
        <v>12240</v>
      </c>
      <c r="AL65" s="25">
        <f>(SUMIFS('T1 2019 Pipeline Data Lagasco'!$O:$O,'T1 2019 Pipeline Data Lagasco'!$A:$A,'Dec 31 2018 OFFS'!$AI65,'T1 2019 Pipeline Data Lagasco'!$Q:$Q,'Dec 31 2018 OFFS'!$AK65,'T1 2019 Pipeline Data Lagasco'!$E:$E,'Dec 31 2018 OFFS'!$U65,'T1 2019 Pipeline Data Lagasco'!$G:$G,'Dec 31 2018 OFFS'!$W65))/(MAX(COUNTIFS('T1 2019 Pipeline Data Lagasco'!$A:$A,'Dec 31 2018 OFFS'!$AI65,'T1 2019 Pipeline Data Lagasco'!$Q:$Q,'Dec 31 2018 OFFS'!$AK65,'T1 2019 Pipeline Data Lagasco'!$E:$E,'Dec 31 2018 OFFS'!$U65,'T1 2019 Pipeline Data Lagasco'!$G:$G,'Dec 31 2018 OFFS'!$W65),1))</f>
        <v>176132</v>
      </c>
      <c r="AM65" s="274">
        <f t="shared" si="14"/>
        <v>0</v>
      </c>
    </row>
    <row r="66" spans="1:39" ht="12.7">
      <c r="A66" s="200" t="s">
        <v>909</v>
      </c>
      <c r="B66" s="201" t="s">
        <v>919</v>
      </c>
      <c r="C66" s="201" t="s">
        <v>920</v>
      </c>
      <c r="D66" s="201" t="s">
        <v>839</v>
      </c>
      <c r="E66" s="201" t="s">
        <v>1054</v>
      </c>
      <c r="F66" s="202" t="s">
        <v>1051</v>
      </c>
      <c r="G66" s="208" t="s">
        <v>1351</v>
      </c>
      <c r="H66" s="203">
        <v>42</v>
      </c>
      <c r="I66" s="204">
        <v>19</v>
      </c>
      <c r="J66" s="205">
        <f>60*0.122</f>
        <v>7.32</v>
      </c>
      <c r="K66" s="206">
        <v>80</v>
      </c>
      <c r="L66" s="204">
        <v>50</v>
      </c>
      <c r="M66" s="207">
        <f>60*0.482</f>
        <v>28.92</v>
      </c>
      <c r="N66" s="208" t="s">
        <v>859</v>
      </c>
      <c r="O66" s="203">
        <v>42</v>
      </c>
      <c r="P66" s="204">
        <v>19</v>
      </c>
      <c r="Q66" s="205">
        <f>60*0.202</f>
        <v>12.12</v>
      </c>
      <c r="R66" s="206">
        <v>80</v>
      </c>
      <c r="S66" s="204">
        <v>50</v>
      </c>
      <c r="T66" s="207">
        <f>60*0.446</f>
        <v>26.76</v>
      </c>
      <c r="U66" s="201">
        <v>3</v>
      </c>
      <c r="V66" s="209">
        <v>512</v>
      </c>
      <c r="W66" s="210">
        <v>2001</v>
      </c>
      <c r="X66" s="201"/>
      <c r="Y66" s="52"/>
      <c r="Z66" s="201" t="s">
        <v>910</v>
      </c>
      <c r="AA66" s="211">
        <f t="shared" si="7"/>
        <v>0</v>
      </c>
      <c r="AB66" s="212">
        <f t="shared" si="8"/>
        <v>0.59</v>
      </c>
      <c r="AC66" s="211">
        <f t="shared" si="9"/>
        <v>0</v>
      </c>
      <c r="AD66" s="213">
        <f t="shared" si="10"/>
        <v>0</v>
      </c>
      <c r="AE66" s="213">
        <f t="shared" si="11"/>
        <v>0</v>
      </c>
      <c r="AF66" s="213">
        <f t="shared" si="12"/>
        <v>0</v>
      </c>
      <c r="AG66" s="214">
        <f t="shared" si="13"/>
        <v>0</v>
      </c>
      <c r="AH66" s="215"/>
      <c r="AI66" s="216" t="s">
        <v>1449</v>
      </c>
      <c r="AJ66" s="216" t="s">
        <v>1560</v>
      </c>
      <c r="AK66" s="283">
        <f t="shared" si="6"/>
        <v>512</v>
      </c>
      <c r="AL66" s="25">
        <f>(SUMIFS('T1 2019 Pipeline Data Lagasco'!$O:$O,'T1 2019 Pipeline Data Lagasco'!$A:$A,'Dec 31 2018 OFFS'!$AI66,'T1 2019 Pipeline Data Lagasco'!$Q:$Q,'Dec 31 2018 OFFS'!$AK66,'T1 2019 Pipeline Data Lagasco'!$E:$E,'Dec 31 2018 OFFS'!$U66,'T1 2019 Pipeline Data Lagasco'!$G:$G,'Dec 31 2018 OFFS'!$W66))/(MAX(COUNTIFS('T1 2019 Pipeline Data Lagasco'!$A:$A,'Dec 31 2018 OFFS'!$AI66,'T1 2019 Pipeline Data Lagasco'!$Q:$Q,'Dec 31 2018 OFFS'!$AK66,'T1 2019 Pipeline Data Lagasco'!$E:$E,'Dec 31 2018 OFFS'!$U66,'T1 2019 Pipeline Data Lagasco'!$G:$G,'Dec 31 2018 OFFS'!$W66),1))</f>
        <v>0</v>
      </c>
      <c r="AM66" s="285">
        <f t="shared" si="14"/>
        <v>0</v>
      </c>
    </row>
    <row r="67" spans="1:39" ht="12.7">
      <c r="A67" s="200" t="s">
        <v>909</v>
      </c>
      <c r="B67" s="201" t="s">
        <v>919</v>
      </c>
      <c r="C67" s="201" t="s">
        <v>920</v>
      </c>
      <c r="D67" s="201" t="s">
        <v>839</v>
      </c>
      <c r="E67" s="201" t="s">
        <v>1054</v>
      </c>
      <c r="F67" s="202" t="s">
        <v>1051</v>
      </c>
      <c r="G67" s="208" t="s">
        <v>859</v>
      </c>
      <c r="H67" s="203">
        <v>42</v>
      </c>
      <c r="I67" s="204">
        <v>19</v>
      </c>
      <c r="J67" s="205">
        <v>12.352</v>
      </c>
      <c r="K67" s="206">
        <v>80</v>
      </c>
      <c r="L67" s="204">
        <v>50</v>
      </c>
      <c r="M67" s="207">
        <v>26.931999999999999</v>
      </c>
      <c r="N67" s="201" t="s">
        <v>854</v>
      </c>
      <c r="O67" s="203">
        <v>42</v>
      </c>
      <c r="P67" s="204">
        <v>19</v>
      </c>
      <c r="Q67" s="205">
        <v>0.05</v>
      </c>
      <c r="R67" s="206">
        <v>80</v>
      </c>
      <c r="S67" s="204">
        <v>49</v>
      </c>
      <c r="T67" s="207">
        <v>44.136000000000003</v>
      </c>
      <c r="U67" s="201">
        <v>4</v>
      </c>
      <c r="V67" s="209">
        <v>3447.768929024</v>
      </c>
      <c r="W67" s="210">
        <v>1978</v>
      </c>
      <c r="X67" s="201"/>
      <c r="Y67" s="52"/>
      <c r="Z67" s="201" t="s">
        <v>910</v>
      </c>
      <c r="AA67" s="211">
        <f t="shared" si="7"/>
        <v>0</v>
      </c>
      <c r="AB67" s="212">
        <f t="shared" si="8"/>
        <v>0.80</v>
      </c>
      <c r="AC67" s="211">
        <f t="shared" si="9"/>
        <v>0</v>
      </c>
      <c r="AD67" s="213">
        <f t="shared" si="10"/>
        <v>0</v>
      </c>
      <c r="AE67" s="213">
        <f t="shared" si="11"/>
        <v>0</v>
      </c>
      <c r="AF67" s="213">
        <f t="shared" si="12"/>
        <v>0</v>
      </c>
      <c r="AG67" s="214">
        <f t="shared" si="13"/>
        <v>0</v>
      </c>
      <c r="AH67" s="215"/>
      <c r="AI67" s="216" t="s">
        <v>1449</v>
      </c>
      <c r="AJ67" s="216" t="s">
        <v>1560</v>
      </c>
      <c r="AK67" s="283">
        <f t="shared" si="15" ref="AK67:AK130">ROUND(V67,2)</f>
        <v>3447.77</v>
      </c>
      <c r="AL67" s="25">
        <f>(SUMIFS('T1 2019 Pipeline Data Lagasco'!$O:$O,'T1 2019 Pipeline Data Lagasco'!$A:$A,'Dec 31 2018 OFFS'!$AI67,'T1 2019 Pipeline Data Lagasco'!$Q:$Q,'Dec 31 2018 OFFS'!$AK67,'T1 2019 Pipeline Data Lagasco'!$E:$E,'Dec 31 2018 OFFS'!$U67,'T1 2019 Pipeline Data Lagasco'!$G:$G,'Dec 31 2018 OFFS'!$W67))/(MAX(COUNTIFS('T1 2019 Pipeline Data Lagasco'!$A:$A,'Dec 31 2018 OFFS'!$AI67,'T1 2019 Pipeline Data Lagasco'!$Q:$Q,'Dec 31 2018 OFFS'!$AK67,'T1 2019 Pipeline Data Lagasco'!$E:$E,'Dec 31 2018 OFFS'!$U67,'T1 2019 Pipeline Data Lagasco'!$G:$G,'Dec 31 2018 OFFS'!$W67),1))</f>
        <v>0</v>
      </c>
      <c r="AM67" s="285">
        <f t="shared" si="14"/>
        <v>0</v>
      </c>
    </row>
    <row r="68" spans="1:39" ht="12.7">
      <c r="A68" s="193" t="s">
        <v>909</v>
      </c>
      <c r="B68" s="40" t="s">
        <v>919</v>
      </c>
      <c r="C68" s="40" t="s">
        <v>920</v>
      </c>
      <c r="D68" s="40" t="s">
        <v>839</v>
      </c>
      <c r="E68" s="40" t="s">
        <v>1054</v>
      </c>
      <c r="F68" s="139" t="s">
        <v>1380</v>
      </c>
      <c r="G68" s="155" t="s">
        <v>1427</v>
      </c>
      <c r="H68" s="40">
        <v>42</v>
      </c>
      <c r="I68" s="40">
        <v>19</v>
      </c>
      <c r="J68" s="47">
        <v>7.32</v>
      </c>
      <c r="K68" s="48">
        <v>80</v>
      </c>
      <c r="L68" s="43">
        <v>50</v>
      </c>
      <c r="M68" s="46">
        <v>28.92</v>
      </c>
      <c r="N68" s="139" t="s">
        <v>854</v>
      </c>
      <c r="O68" s="42">
        <v>42</v>
      </c>
      <c r="P68" s="43">
        <v>19</v>
      </c>
      <c r="Q68" s="44">
        <v>0.05</v>
      </c>
      <c r="R68" s="45">
        <v>80</v>
      </c>
      <c r="S68" s="43">
        <v>49</v>
      </c>
      <c r="T68" s="46">
        <v>44.136000000000003</v>
      </c>
      <c r="U68" s="40">
        <v>4</v>
      </c>
      <c r="V68" s="280">
        <v>3434</v>
      </c>
      <c r="W68" s="48">
        <v>1999</v>
      </c>
      <c r="X68" s="40"/>
      <c r="Y68" s="52"/>
      <c r="Z68" s="139" t="s">
        <v>910</v>
      </c>
      <c r="AA68" s="49">
        <f t="shared" si="16" ref="AA68:AA131">IF(F68="ABAND",0,(IF(Z68="steel",VLOOKUP(U68,steelrates,2,FALSE)*V68,VLOOKUP(U68,plasticrates,2,FALSE)*V68)))</f>
        <v>90829.30</v>
      </c>
      <c r="AB68" s="71">
        <f t="shared" si="17" ref="AB68:AB131">IF(W68=0,0,(VLOOKUP(W68,depreciation,2)))</f>
        <v>0.62</v>
      </c>
      <c r="AC68" s="49">
        <f t="shared" si="18" ref="AC68:AC131">ROUND(+AA68-(+AA68*AB68),2)</f>
        <v>34515.129999999997</v>
      </c>
      <c r="AD68" s="50">
        <f t="shared" si="19" ref="AD68:AD131">(IF(X68="LOOP",AC68*0.25,0))</f>
        <v>0</v>
      </c>
      <c r="AE68" s="50">
        <f t="shared" si="20" ref="AE68:AE131">(IF(F68="SUSP",AC68*0.2,0))</f>
        <v>0</v>
      </c>
      <c r="AF68" s="50">
        <f t="shared" si="21" ref="AF68:AF131">+AC68-AD68-AE68</f>
        <v>34515.129999999997</v>
      </c>
      <c r="AG68" s="199">
        <f t="shared" si="22" ref="AG68:AG131">ROUNDDOWN(AF68,0)</f>
        <v>34515</v>
      </c>
      <c r="AH68" s="187"/>
      <c r="AI68" s="185" t="s">
        <v>1449</v>
      </c>
      <c r="AJ68" s="185"/>
      <c r="AK68" s="277">
        <f t="shared" si="15"/>
        <v>3434</v>
      </c>
      <c r="AL68" s="25">
        <f>(SUMIFS('T1 2019 Pipeline Data Lagasco'!$O:$O,'T1 2019 Pipeline Data Lagasco'!$A:$A,'Dec 31 2018 OFFS'!$AI68,'T1 2019 Pipeline Data Lagasco'!$Q:$Q,'Dec 31 2018 OFFS'!$AK68,'T1 2019 Pipeline Data Lagasco'!$E:$E,'Dec 31 2018 OFFS'!$U68,'T1 2019 Pipeline Data Lagasco'!$G:$G,'Dec 31 2018 OFFS'!$W68))/(MAX(COUNTIFS('T1 2019 Pipeline Data Lagasco'!$A:$A,'Dec 31 2018 OFFS'!$AI68,'T1 2019 Pipeline Data Lagasco'!$Q:$Q,'Dec 31 2018 OFFS'!$AK68,'T1 2019 Pipeline Data Lagasco'!$E:$E,'Dec 31 2018 OFFS'!$U68,'T1 2019 Pipeline Data Lagasco'!$G:$G,'Dec 31 2018 OFFS'!$W68),1))</f>
        <v>34515</v>
      </c>
      <c r="AM68" s="274">
        <f t="shared" si="23" ref="AM68:AM131">AG68-AL68</f>
        <v>0</v>
      </c>
    </row>
    <row r="69" spans="1:39" ht="12.7">
      <c r="A69" s="200" t="s">
        <v>909</v>
      </c>
      <c r="B69" s="201" t="s">
        <v>919</v>
      </c>
      <c r="C69" s="201" t="s">
        <v>920</v>
      </c>
      <c r="D69" s="201" t="s">
        <v>839</v>
      </c>
      <c r="E69" s="201" t="s">
        <v>1054</v>
      </c>
      <c r="F69" s="202" t="s">
        <v>1051</v>
      </c>
      <c r="G69" s="201" t="s">
        <v>211</v>
      </c>
      <c r="H69" s="203">
        <v>42</v>
      </c>
      <c r="I69" s="204">
        <v>19</v>
      </c>
      <c r="J69" s="205">
        <v>52.31</v>
      </c>
      <c r="K69" s="206">
        <v>80</v>
      </c>
      <c r="L69" s="204">
        <v>52</v>
      </c>
      <c r="M69" s="207">
        <v>5.47</v>
      </c>
      <c r="N69" s="208" t="s">
        <v>859</v>
      </c>
      <c r="O69" s="203">
        <v>42</v>
      </c>
      <c r="P69" s="204">
        <v>19</v>
      </c>
      <c r="Q69" s="205">
        <v>12.352</v>
      </c>
      <c r="R69" s="206">
        <v>80</v>
      </c>
      <c r="S69" s="204">
        <v>50</v>
      </c>
      <c r="T69" s="207">
        <v>26.931999999999999</v>
      </c>
      <c r="U69" s="201">
        <v>4</v>
      </c>
      <c r="V69" s="209">
        <v>8434.8422754120002</v>
      </c>
      <c r="W69" s="210">
        <v>1982</v>
      </c>
      <c r="X69" s="201"/>
      <c r="Y69" s="52"/>
      <c r="Z69" s="201" t="s">
        <v>910</v>
      </c>
      <c r="AA69" s="211">
        <f t="shared" si="16"/>
        <v>0</v>
      </c>
      <c r="AB69" s="212">
        <f t="shared" si="17"/>
        <v>0.80</v>
      </c>
      <c r="AC69" s="211">
        <f t="shared" si="18"/>
        <v>0</v>
      </c>
      <c r="AD69" s="213">
        <f t="shared" si="19"/>
        <v>0</v>
      </c>
      <c r="AE69" s="213">
        <f t="shared" si="20"/>
        <v>0</v>
      </c>
      <c r="AF69" s="213">
        <f t="shared" si="21"/>
        <v>0</v>
      </c>
      <c r="AG69" s="214">
        <f t="shared" si="22"/>
        <v>0</v>
      </c>
      <c r="AH69" s="215"/>
      <c r="AI69" s="216" t="s">
        <v>1449</v>
      </c>
      <c r="AJ69" s="216" t="s">
        <v>1560</v>
      </c>
      <c r="AK69" s="283">
        <f t="shared" si="15"/>
        <v>8434.84</v>
      </c>
      <c r="AL69" s="25">
        <f>(SUMIFS('T1 2019 Pipeline Data Lagasco'!$O:$O,'T1 2019 Pipeline Data Lagasco'!$A:$A,'Dec 31 2018 OFFS'!$AI69,'T1 2019 Pipeline Data Lagasco'!$Q:$Q,'Dec 31 2018 OFFS'!$AK69,'T1 2019 Pipeline Data Lagasco'!$E:$E,'Dec 31 2018 OFFS'!$U69,'T1 2019 Pipeline Data Lagasco'!$G:$G,'Dec 31 2018 OFFS'!$W69))/(MAX(COUNTIFS('T1 2019 Pipeline Data Lagasco'!$A:$A,'Dec 31 2018 OFFS'!$AI69,'T1 2019 Pipeline Data Lagasco'!$Q:$Q,'Dec 31 2018 OFFS'!$AK69,'T1 2019 Pipeline Data Lagasco'!$E:$E,'Dec 31 2018 OFFS'!$U69,'T1 2019 Pipeline Data Lagasco'!$G:$G,'Dec 31 2018 OFFS'!$W69),1))</f>
        <v>0</v>
      </c>
      <c r="AM69" s="285">
        <f t="shared" si="23"/>
        <v>0</v>
      </c>
    </row>
    <row r="70" spans="1:39" ht="12.7">
      <c r="A70" s="193" t="s">
        <v>909</v>
      </c>
      <c r="B70" s="40" t="s">
        <v>919</v>
      </c>
      <c r="C70" s="40" t="s">
        <v>920</v>
      </c>
      <c r="D70" s="40" t="s">
        <v>839</v>
      </c>
      <c r="E70" s="40" t="s">
        <v>1054</v>
      </c>
      <c r="F70" s="40" t="s">
        <v>1051</v>
      </c>
      <c r="G70" s="41" t="s">
        <v>873</v>
      </c>
      <c r="H70" s="42">
        <v>42</v>
      </c>
      <c r="I70" s="43">
        <v>17</v>
      </c>
      <c r="J70" s="44">
        <v>21.965</v>
      </c>
      <c r="K70" s="45">
        <v>80</v>
      </c>
      <c r="L70" s="43">
        <v>51</v>
      </c>
      <c r="M70" s="46">
        <v>50.223999999999997</v>
      </c>
      <c r="N70" s="40" t="s">
        <v>874</v>
      </c>
      <c r="O70" s="42">
        <v>42</v>
      </c>
      <c r="P70" s="43">
        <v>16</v>
      </c>
      <c r="Q70" s="44">
        <v>56.70</v>
      </c>
      <c r="R70" s="45">
        <v>80</v>
      </c>
      <c r="S70" s="43">
        <v>50</v>
      </c>
      <c r="T70" s="46">
        <v>56.10</v>
      </c>
      <c r="U70" s="40">
        <v>2</v>
      </c>
      <c r="V70" s="47">
        <v>4805.2163962740005</v>
      </c>
      <c r="W70" s="48">
        <v>1993</v>
      </c>
      <c r="X70" s="40"/>
      <c r="Y70" s="52"/>
      <c r="Z70" s="40" t="s">
        <v>910</v>
      </c>
      <c r="AA70" s="49">
        <f t="shared" si="16"/>
        <v>0</v>
      </c>
      <c r="AB70" s="71">
        <f t="shared" si="17"/>
        <v>0.70</v>
      </c>
      <c r="AC70" s="49">
        <f t="shared" si="18"/>
        <v>0</v>
      </c>
      <c r="AD70" s="50">
        <f t="shared" si="19"/>
        <v>0</v>
      </c>
      <c r="AE70" s="50">
        <f t="shared" si="20"/>
        <v>0</v>
      </c>
      <c r="AF70" s="50">
        <f t="shared" si="21"/>
        <v>0</v>
      </c>
      <c r="AG70" s="199">
        <f t="shared" si="22"/>
        <v>0</v>
      </c>
      <c r="AH70" s="187"/>
      <c r="AI70" s="185" t="s">
        <v>1449</v>
      </c>
      <c r="AJ70" s="185"/>
      <c r="AK70" s="277">
        <f t="shared" si="15"/>
        <v>4805.22</v>
      </c>
      <c r="AL70" s="25">
        <f>(SUMIFS('T1 2019 Pipeline Data Lagasco'!$O:$O,'T1 2019 Pipeline Data Lagasco'!$A:$A,'Dec 31 2018 OFFS'!$AI70,'T1 2019 Pipeline Data Lagasco'!$Q:$Q,'Dec 31 2018 OFFS'!$AK70,'T1 2019 Pipeline Data Lagasco'!$E:$E,'Dec 31 2018 OFFS'!$U70,'T1 2019 Pipeline Data Lagasco'!$G:$G,'Dec 31 2018 OFFS'!$W70))/(MAX(COUNTIFS('T1 2019 Pipeline Data Lagasco'!$A:$A,'Dec 31 2018 OFFS'!$AI70,'T1 2019 Pipeline Data Lagasco'!$Q:$Q,'Dec 31 2018 OFFS'!$AK70,'T1 2019 Pipeline Data Lagasco'!$E:$E,'Dec 31 2018 OFFS'!$U70,'T1 2019 Pipeline Data Lagasco'!$G:$G,'Dec 31 2018 OFFS'!$W70),1))</f>
        <v>0</v>
      </c>
      <c r="AM70" s="274">
        <f t="shared" si="23"/>
        <v>0</v>
      </c>
    </row>
    <row r="71" spans="1:39" ht="12.7">
      <c r="A71" s="193" t="s">
        <v>909</v>
      </c>
      <c r="B71" s="40" t="s">
        <v>919</v>
      </c>
      <c r="C71" s="40" t="s">
        <v>920</v>
      </c>
      <c r="D71" s="40" t="s">
        <v>839</v>
      </c>
      <c r="E71" s="40" t="s">
        <v>1054</v>
      </c>
      <c r="F71" s="40"/>
      <c r="G71" s="40" t="s">
        <v>874</v>
      </c>
      <c r="H71" s="42">
        <v>42</v>
      </c>
      <c r="I71" s="43">
        <v>16</v>
      </c>
      <c r="J71" s="44">
        <f>60*0.932</f>
        <v>55.92</v>
      </c>
      <c r="K71" s="45">
        <v>80</v>
      </c>
      <c r="L71" s="43">
        <v>50</v>
      </c>
      <c r="M71" s="46">
        <f>60*0.927</f>
        <v>55.620000000000005</v>
      </c>
      <c r="N71" s="41" t="s">
        <v>873</v>
      </c>
      <c r="O71" s="42">
        <v>42</v>
      </c>
      <c r="P71" s="43">
        <v>17</v>
      </c>
      <c r="Q71" s="44">
        <f>60*0.36</f>
        <v>21.60</v>
      </c>
      <c r="R71" s="45">
        <v>80</v>
      </c>
      <c r="S71" s="43">
        <v>51</v>
      </c>
      <c r="T71" s="46">
        <f>60*0.833</f>
        <v>49.98</v>
      </c>
      <c r="U71" s="40">
        <v>3</v>
      </c>
      <c r="V71" s="47">
        <v>4831</v>
      </c>
      <c r="W71" s="48">
        <v>2010</v>
      </c>
      <c r="X71" s="40"/>
      <c r="Y71" s="52"/>
      <c r="Z71" s="40" t="s">
        <v>910</v>
      </c>
      <c r="AA71" s="49">
        <f t="shared" si="16"/>
        <v>113963.29</v>
      </c>
      <c r="AB71" s="71">
        <f t="shared" si="17"/>
        <v>0.39</v>
      </c>
      <c r="AC71" s="49">
        <f t="shared" si="18"/>
        <v>69517.61</v>
      </c>
      <c r="AD71" s="50">
        <f t="shared" si="19"/>
        <v>0</v>
      </c>
      <c r="AE71" s="50">
        <f t="shared" si="20"/>
        <v>0</v>
      </c>
      <c r="AF71" s="50">
        <f t="shared" si="21"/>
        <v>69517.61</v>
      </c>
      <c r="AG71" s="199">
        <f t="shared" si="22"/>
        <v>69517</v>
      </c>
      <c r="AH71" s="187"/>
      <c r="AI71" s="185" t="s">
        <v>1449</v>
      </c>
      <c r="AJ71" s="185"/>
      <c r="AK71" s="277">
        <f t="shared" si="15"/>
        <v>4831</v>
      </c>
      <c r="AL71" s="25">
        <f>(SUMIFS('T1 2019 Pipeline Data Lagasco'!$O:$O,'T1 2019 Pipeline Data Lagasco'!$A:$A,'Dec 31 2018 OFFS'!$AI71,'T1 2019 Pipeline Data Lagasco'!$Q:$Q,'Dec 31 2018 OFFS'!$AK71,'T1 2019 Pipeline Data Lagasco'!$E:$E,'Dec 31 2018 OFFS'!$U71,'T1 2019 Pipeline Data Lagasco'!$G:$G,'Dec 31 2018 OFFS'!$W71))/(MAX(COUNTIFS('T1 2019 Pipeline Data Lagasco'!$A:$A,'Dec 31 2018 OFFS'!$AI71,'T1 2019 Pipeline Data Lagasco'!$Q:$Q,'Dec 31 2018 OFFS'!$AK71,'T1 2019 Pipeline Data Lagasco'!$E:$E,'Dec 31 2018 OFFS'!$U71,'T1 2019 Pipeline Data Lagasco'!$G:$G,'Dec 31 2018 OFFS'!$W71),1))</f>
        <v>69517</v>
      </c>
      <c r="AM71" s="274">
        <f t="shared" si="23"/>
        <v>0</v>
      </c>
    </row>
    <row r="72" spans="1:39" ht="12.7">
      <c r="A72" s="193" t="s">
        <v>909</v>
      </c>
      <c r="B72" s="40" t="s">
        <v>919</v>
      </c>
      <c r="C72" s="40" t="s">
        <v>920</v>
      </c>
      <c r="D72" s="40" t="s">
        <v>839</v>
      </c>
      <c r="E72" s="40" t="s">
        <v>1054</v>
      </c>
      <c r="F72" s="40" t="s">
        <v>1051</v>
      </c>
      <c r="G72" s="41" t="s">
        <v>854</v>
      </c>
      <c r="H72" s="42">
        <v>42</v>
      </c>
      <c r="I72" s="43">
        <v>19</v>
      </c>
      <c r="J72" s="44">
        <v>0.05</v>
      </c>
      <c r="K72" s="45">
        <v>80</v>
      </c>
      <c r="L72" s="43">
        <v>49</v>
      </c>
      <c r="M72" s="46">
        <v>44.136000000000003</v>
      </c>
      <c r="N72" s="41" t="s">
        <v>853</v>
      </c>
      <c r="O72" s="42">
        <v>42</v>
      </c>
      <c r="P72" s="43">
        <v>18</v>
      </c>
      <c r="Q72" s="44">
        <v>55.08</v>
      </c>
      <c r="R72" s="45">
        <v>80</v>
      </c>
      <c r="S72" s="43">
        <v>49</v>
      </c>
      <c r="T72" s="46">
        <v>36.90</v>
      </c>
      <c r="U72" s="40">
        <v>2</v>
      </c>
      <c r="V72" s="47">
        <v>740.72</v>
      </c>
      <c r="W72" s="48">
        <v>1978</v>
      </c>
      <c r="X72" s="40"/>
      <c r="Y72" s="52"/>
      <c r="Z72" s="40" t="s">
        <v>910</v>
      </c>
      <c r="AA72" s="49">
        <f t="shared" si="16"/>
        <v>0</v>
      </c>
      <c r="AB72" s="71">
        <f t="shared" si="17"/>
        <v>0.80</v>
      </c>
      <c r="AC72" s="49">
        <f t="shared" si="18"/>
        <v>0</v>
      </c>
      <c r="AD72" s="50">
        <f t="shared" si="19"/>
        <v>0</v>
      </c>
      <c r="AE72" s="50">
        <f t="shared" si="20"/>
        <v>0</v>
      </c>
      <c r="AF72" s="50">
        <f t="shared" si="21"/>
        <v>0</v>
      </c>
      <c r="AG72" s="199">
        <f t="shared" si="22"/>
        <v>0</v>
      </c>
      <c r="AH72" s="187"/>
      <c r="AI72" s="185" t="s">
        <v>1449</v>
      </c>
      <c r="AJ72" s="185"/>
      <c r="AK72" s="277">
        <f t="shared" si="15"/>
        <v>740.72</v>
      </c>
      <c r="AL72" s="25">
        <f>(SUMIFS('T1 2019 Pipeline Data Lagasco'!$O:$O,'T1 2019 Pipeline Data Lagasco'!$A:$A,'Dec 31 2018 OFFS'!$AI72,'T1 2019 Pipeline Data Lagasco'!$Q:$Q,'Dec 31 2018 OFFS'!$AK72,'T1 2019 Pipeline Data Lagasco'!$E:$E,'Dec 31 2018 OFFS'!$U72,'T1 2019 Pipeline Data Lagasco'!$G:$G,'Dec 31 2018 OFFS'!$W72))/(MAX(COUNTIFS('T1 2019 Pipeline Data Lagasco'!$A:$A,'Dec 31 2018 OFFS'!$AI72,'T1 2019 Pipeline Data Lagasco'!$Q:$Q,'Dec 31 2018 OFFS'!$AK72,'T1 2019 Pipeline Data Lagasco'!$E:$E,'Dec 31 2018 OFFS'!$U72,'T1 2019 Pipeline Data Lagasco'!$G:$G,'Dec 31 2018 OFFS'!$W72),1))</f>
        <v>0</v>
      </c>
      <c r="AM72" s="274">
        <f t="shared" si="23"/>
        <v>0</v>
      </c>
    </row>
    <row r="73" spans="1:39" ht="12.7">
      <c r="A73" s="193" t="s">
        <v>909</v>
      </c>
      <c r="B73" s="40" t="s">
        <v>919</v>
      </c>
      <c r="C73" s="40" t="s">
        <v>920</v>
      </c>
      <c r="D73" s="40" t="s">
        <v>839</v>
      </c>
      <c r="E73" s="40" t="s">
        <v>1054</v>
      </c>
      <c r="F73" s="40" t="s">
        <v>1051</v>
      </c>
      <c r="G73" s="41" t="s">
        <v>854</v>
      </c>
      <c r="H73" s="42">
        <v>42</v>
      </c>
      <c r="I73" s="43">
        <v>19</v>
      </c>
      <c r="J73" s="44">
        <v>0.05</v>
      </c>
      <c r="K73" s="45">
        <v>80</v>
      </c>
      <c r="L73" s="43">
        <v>49</v>
      </c>
      <c r="M73" s="46">
        <v>44.136000000000003</v>
      </c>
      <c r="N73" s="41" t="s">
        <v>855</v>
      </c>
      <c r="O73" s="42">
        <v>42</v>
      </c>
      <c r="P73" s="43">
        <v>18</v>
      </c>
      <c r="Q73" s="44">
        <v>7.62</v>
      </c>
      <c r="R73" s="45">
        <v>80</v>
      </c>
      <c r="S73" s="43">
        <v>49</v>
      </c>
      <c r="T73" s="46">
        <v>12.66</v>
      </c>
      <c r="U73" s="40">
        <v>2</v>
      </c>
      <c r="V73" s="47">
        <v>5810.40</v>
      </c>
      <c r="W73" s="48">
        <v>1978</v>
      </c>
      <c r="X73" s="40"/>
      <c r="Y73" s="52"/>
      <c r="Z73" s="40" t="s">
        <v>910</v>
      </c>
      <c r="AA73" s="49">
        <f t="shared" si="16"/>
        <v>0</v>
      </c>
      <c r="AB73" s="71">
        <f t="shared" si="17"/>
        <v>0.80</v>
      </c>
      <c r="AC73" s="49">
        <f t="shared" si="18"/>
        <v>0</v>
      </c>
      <c r="AD73" s="50">
        <f t="shared" si="19"/>
        <v>0</v>
      </c>
      <c r="AE73" s="50">
        <f t="shared" si="20"/>
        <v>0</v>
      </c>
      <c r="AF73" s="50">
        <f t="shared" si="21"/>
        <v>0</v>
      </c>
      <c r="AG73" s="199">
        <f t="shared" si="22"/>
        <v>0</v>
      </c>
      <c r="AH73" s="187"/>
      <c r="AI73" s="185" t="s">
        <v>1449</v>
      </c>
      <c r="AJ73" s="185"/>
      <c r="AK73" s="277">
        <f t="shared" si="15"/>
        <v>5810.40</v>
      </c>
      <c r="AL73" s="25">
        <f>(SUMIFS('T1 2019 Pipeline Data Lagasco'!$O:$O,'T1 2019 Pipeline Data Lagasco'!$A:$A,'Dec 31 2018 OFFS'!$AI73,'T1 2019 Pipeline Data Lagasco'!$Q:$Q,'Dec 31 2018 OFFS'!$AK73,'T1 2019 Pipeline Data Lagasco'!$E:$E,'Dec 31 2018 OFFS'!$U73,'T1 2019 Pipeline Data Lagasco'!$G:$G,'Dec 31 2018 OFFS'!$W73))/(MAX(COUNTIFS('T1 2019 Pipeline Data Lagasco'!$A:$A,'Dec 31 2018 OFFS'!$AI73,'T1 2019 Pipeline Data Lagasco'!$Q:$Q,'Dec 31 2018 OFFS'!$AK73,'T1 2019 Pipeline Data Lagasco'!$E:$E,'Dec 31 2018 OFFS'!$U73,'T1 2019 Pipeline Data Lagasco'!$G:$G,'Dec 31 2018 OFFS'!$W73),1))</f>
        <v>0</v>
      </c>
      <c r="AM73" s="274">
        <f t="shared" si="23"/>
        <v>0</v>
      </c>
    </row>
    <row r="74" spans="1:39" ht="12.7">
      <c r="A74" s="193" t="s">
        <v>909</v>
      </c>
      <c r="B74" s="40" t="s">
        <v>919</v>
      </c>
      <c r="C74" s="40" t="s">
        <v>920</v>
      </c>
      <c r="D74" s="40" t="s">
        <v>839</v>
      </c>
      <c r="E74" s="40" t="s">
        <v>1054</v>
      </c>
      <c r="F74" s="139" t="s">
        <v>1380</v>
      </c>
      <c r="G74" s="40" t="s">
        <v>211</v>
      </c>
      <c r="H74" s="42">
        <v>42</v>
      </c>
      <c r="I74" s="43">
        <v>19</v>
      </c>
      <c r="J74" s="44">
        <v>52.31</v>
      </c>
      <c r="K74" s="45">
        <v>80</v>
      </c>
      <c r="L74" s="43">
        <v>52</v>
      </c>
      <c r="M74" s="46">
        <v>5.47</v>
      </c>
      <c r="N74" s="155" t="s">
        <v>1427</v>
      </c>
      <c r="O74" s="42">
        <v>42</v>
      </c>
      <c r="P74" s="43">
        <v>19</v>
      </c>
      <c r="Q74" s="44">
        <v>7.32</v>
      </c>
      <c r="R74" s="45">
        <v>80</v>
      </c>
      <c r="S74" s="43">
        <v>50</v>
      </c>
      <c r="T74" s="46">
        <v>28.92</v>
      </c>
      <c r="U74" s="40">
        <v>4</v>
      </c>
      <c r="V74" s="280">
        <v>8513</v>
      </c>
      <c r="W74" s="48">
        <v>1999</v>
      </c>
      <c r="X74" s="40"/>
      <c r="Y74" s="52"/>
      <c r="Z74" s="139" t="s">
        <v>910</v>
      </c>
      <c r="AA74" s="49">
        <f t="shared" si="16"/>
        <v>225168.85</v>
      </c>
      <c r="AB74" s="71">
        <f t="shared" si="17"/>
        <v>0.62</v>
      </c>
      <c r="AC74" s="49">
        <f t="shared" si="18"/>
        <v>85564.16</v>
      </c>
      <c r="AD74" s="50">
        <f t="shared" si="19"/>
        <v>0</v>
      </c>
      <c r="AE74" s="50">
        <f t="shared" si="20"/>
        <v>0</v>
      </c>
      <c r="AF74" s="50">
        <f t="shared" si="21"/>
        <v>85564.16</v>
      </c>
      <c r="AG74" s="199">
        <f t="shared" si="22"/>
        <v>85564</v>
      </c>
      <c r="AH74" s="187"/>
      <c r="AI74" s="185" t="s">
        <v>1449</v>
      </c>
      <c r="AJ74" s="185"/>
      <c r="AK74" s="277">
        <f t="shared" si="15"/>
        <v>8513</v>
      </c>
      <c r="AL74" s="25">
        <f>(SUMIFS('T1 2019 Pipeline Data Lagasco'!$O:$O,'T1 2019 Pipeline Data Lagasco'!$A:$A,'Dec 31 2018 OFFS'!$AI74,'T1 2019 Pipeline Data Lagasco'!$Q:$Q,'Dec 31 2018 OFFS'!$AK74,'T1 2019 Pipeline Data Lagasco'!$E:$E,'Dec 31 2018 OFFS'!$U74,'T1 2019 Pipeline Data Lagasco'!$G:$G,'Dec 31 2018 OFFS'!$W74))/(MAX(COUNTIFS('T1 2019 Pipeline Data Lagasco'!$A:$A,'Dec 31 2018 OFFS'!$AI74,'T1 2019 Pipeline Data Lagasco'!$Q:$Q,'Dec 31 2018 OFFS'!$AK74,'T1 2019 Pipeline Data Lagasco'!$E:$E,'Dec 31 2018 OFFS'!$U74,'T1 2019 Pipeline Data Lagasco'!$G:$G,'Dec 31 2018 OFFS'!$W74),1))</f>
        <v>85564</v>
      </c>
      <c r="AM74" s="274">
        <f t="shared" si="23"/>
        <v>0</v>
      </c>
    </row>
    <row r="75" spans="1:39" ht="12.7">
      <c r="A75" s="200" t="s">
        <v>909</v>
      </c>
      <c r="B75" s="201" t="s">
        <v>919</v>
      </c>
      <c r="C75" s="201" t="s">
        <v>920</v>
      </c>
      <c r="D75" s="201" t="s">
        <v>839</v>
      </c>
      <c r="E75" s="201" t="s">
        <v>1054</v>
      </c>
      <c r="F75" s="202" t="s">
        <v>1051</v>
      </c>
      <c r="G75" s="208" t="s">
        <v>854</v>
      </c>
      <c r="H75" s="203">
        <v>42</v>
      </c>
      <c r="I75" s="204">
        <v>19</v>
      </c>
      <c r="J75" s="205">
        <v>0.05</v>
      </c>
      <c r="K75" s="206">
        <v>80</v>
      </c>
      <c r="L75" s="204">
        <v>49</v>
      </c>
      <c r="M75" s="207">
        <v>44.136000000000003</v>
      </c>
      <c r="N75" s="208" t="s">
        <v>878</v>
      </c>
      <c r="O75" s="203">
        <v>42</v>
      </c>
      <c r="P75" s="204">
        <v>18</v>
      </c>
      <c r="Q75" s="205">
        <v>44.58</v>
      </c>
      <c r="R75" s="206">
        <v>80</v>
      </c>
      <c r="S75" s="204">
        <v>48</v>
      </c>
      <c r="T75" s="207">
        <v>26.82</v>
      </c>
      <c r="U75" s="201">
        <v>4</v>
      </c>
      <c r="V75" s="281">
        <v>6016.07594126</v>
      </c>
      <c r="W75" s="210">
        <v>1981</v>
      </c>
      <c r="X75" s="201"/>
      <c r="Y75" s="52"/>
      <c r="Z75" s="201" t="s">
        <v>910</v>
      </c>
      <c r="AA75" s="211">
        <f t="shared" si="16"/>
        <v>0</v>
      </c>
      <c r="AB75" s="212">
        <f t="shared" si="17"/>
        <v>0.80</v>
      </c>
      <c r="AC75" s="211">
        <f t="shared" si="18"/>
        <v>0</v>
      </c>
      <c r="AD75" s="213">
        <f t="shared" si="19"/>
        <v>0</v>
      </c>
      <c r="AE75" s="213">
        <f t="shared" si="20"/>
        <v>0</v>
      </c>
      <c r="AF75" s="213">
        <f t="shared" si="21"/>
        <v>0</v>
      </c>
      <c r="AG75" s="214">
        <f t="shared" si="22"/>
        <v>0</v>
      </c>
      <c r="AH75" s="215"/>
      <c r="AI75" s="216" t="s">
        <v>1449</v>
      </c>
      <c r="AJ75" s="216" t="s">
        <v>1560</v>
      </c>
      <c r="AK75" s="283">
        <f t="shared" si="15"/>
        <v>6016.08</v>
      </c>
      <c r="AL75" s="25">
        <f>(SUMIFS('T1 2019 Pipeline Data Lagasco'!$O:$O,'T1 2019 Pipeline Data Lagasco'!$A:$A,'Dec 31 2018 OFFS'!$AI75,'T1 2019 Pipeline Data Lagasco'!$Q:$Q,'Dec 31 2018 OFFS'!$AK75,'T1 2019 Pipeline Data Lagasco'!$E:$E,'Dec 31 2018 OFFS'!$U75,'T1 2019 Pipeline Data Lagasco'!$G:$G,'Dec 31 2018 OFFS'!$W75))/(MAX(COUNTIFS('T1 2019 Pipeline Data Lagasco'!$A:$A,'Dec 31 2018 OFFS'!$AI75,'T1 2019 Pipeline Data Lagasco'!$Q:$Q,'Dec 31 2018 OFFS'!$AK75,'T1 2019 Pipeline Data Lagasco'!$E:$E,'Dec 31 2018 OFFS'!$U75,'T1 2019 Pipeline Data Lagasco'!$G:$G,'Dec 31 2018 OFFS'!$W75),1))</f>
        <v>0</v>
      </c>
      <c r="AM75" s="285">
        <f t="shared" si="23"/>
        <v>0</v>
      </c>
    </row>
    <row r="76" spans="1:39" ht="12.7">
      <c r="A76" s="193" t="s">
        <v>909</v>
      </c>
      <c r="B76" s="40" t="s">
        <v>919</v>
      </c>
      <c r="C76" s="40" t="s">
        <v>920</v>
      </c>
      <c r="D76" s="40" t="s">
        <v>839</v>
      </c>
      <c r="E76" s="40" t="s">
        <v>1054</v>
      </c>
      <c r="F76" s="139" t="s">
        <v>1380</v>
      </c>
      <c r="G76" s="41" t="s">
        <v>854</v>
      </c>
      <c r="H76" s="42">
        <v>42</v>
      </c>
      <c r="I76" s="43">
        <v>19</v>
      </c>
      <c r="J76" s="44">
        <v>0.05</v>
      </c>
      <c r="K76" s="45">
        <v>80</v>
      </c>
      <c r="L76" s="43">
        <v>49</v>
      </c>
      <c r="M76" s="46">
        <v>44.136000000000003</v>
      </c>
      <c r="N76" s="155" t="s">
        <v>878</v>
      </c>
      <c r="O76" s="42">
        <v>42</v>
      </c>
      <c r="P76" s="43">
        <v>18</v>
      </c>
      <c r="Q76" s="44">
        <v>44.58</v>
      </c>
      <c r="R76" s="45">
        <v>80</v>
      </c>
      <c r="S76" s="43">
        <v>48</v>
      </c>
      <c r="T76" s="46">
        <v>26.82</v>
      </c>
      <c r="U76" s="40">
        <v>4</v>
      </c>
      <c r="V76" s="281">
        <v>6016.07594126</v>
      </c>
      <c r="W76" s="48">
        <v>1999</v>
      </c>
      <c r="X76" s="40"/>
      <c r="Y76" s="52"/>
      <c r="Z76" s="139" t="s">
        <v>910</v>
      </c>
      <c r="AA76" s="49">
        <f t="shared" si="16"/>
        <v>159125.208646327</v>
      </c>
      <c r="AB76" s="71">
        <f t="shared" si="17"/>
        <v>0.62</v>
      </c>
      <c r="AC76" s="49">
        <f t="shared" si="18"/>
        <v>60467.58</v>
      </c>
      <c r="AD76" s="50">
        <f t="shared" si="19"/>
        <v>0</v>
      </c>
      <c r="AE76" s="50">
        <f t="shared" si="20"/>
        <v>0</v>
      </c>
      <c r="AF76" s="50">
        <f t="shared" si="21"/>
        <v>60467.58</v>
      </c>
      <c r="AG76" s="199">
        <f t="shared" si="22"/>
        <v>60467</v>
      </c>
      <c r="AH76" s="187"/>
      <c r="AI76" s="185" t="s">
        <v>1449</v>
      </c>
      <c r="AJ76" s="185"/>
      <c r="AK76" s="277">
        <f t="shared" si="15"/>
        <v>6016.08</v>
      </c>
      <c r="AL76" s="25">
        <f>(SUMIFS('T1 2019 Pipeline Data Lagasco'!$O:$O,'T1 2019 Pipeline Data Lagasco'!$A:$A,'Dec 31 2018 OFFS'!$AI76,'T1 2019 Pipeline Data Lagasco'!$Q:$Q,'Dec 31 2018 OFFS'!$AK76,'T1 2019 Pipeline Data Lagasco'!$E:$E,'Dec 31 2018 OFFS'!$U76,'T1 2019 Pipeline Data Lagasco'!$G:$G,'Dec 31 2018 OFFS'!$W76))/(MAX(COUNTIFS('T1 2019 Pipeline Data Lagasco'!$A:$A,'Dec 31 2018 OFFS'!$AI76,'T1 2019 Pipeline Data Lagasco'!$Q:$Q,'Dec 31 2018 OFFS'!$AK76,'T1 2019 Pipeline Data Lagasco'!$E:$E,'Dec 31 2018 OFFS'!$U76,'T1 2019 Pipeline Data Lagasco'!$G:$G,'Dec 31 2018 OFFS'!$W76),1))</f>
        <v>60467</v>
      </c>
      <c r="AM76" s="274">
        <f t="shared" si="23"/>
        <v>0</v>
      </c>
    </row>
    <row r="77" spans="1:39" ht="12.7">
      <c r="A77" s="193" t="s">
        <v>909</v>
      </c>
      <c r="B77" s="40" t="s">
        <v>919</v>
      </c>
      <c r="C77" s="40" t="s">
        <v>920</v>
      </c>
      <c r="D77" s="40" t="s">
        <v>839</v>
      </c>
      <c r="E77" s="40" t="s">
        <v>1054</v>
      </c>
      <c r="F77" s="40"/>
      <c r="G77" s="41" t="s">
        <v>878</v>
      </c>
      <c r="H77" s="42">
        <v>42</v>
      </c>
      <c r="I77" s="43">
        <v>18</v>
      </c>
      <c r="J77" s="44">
        <v>44.58</v>
      </c>
      <c r="K77" s="45">
        <v>80</v>
      </c>
      <c r="L77" s="43">
        <v>48</v>
      </c>
      <c r="M77" s="46">
        <v>26.82</v>
      </c>
      <c r="N77" s="41" t="s">
        <v>879</v>
      </c>
      <c r="O77" s="42">
        <v>42</v>
      </c>
      <c r="P77" s="43">
        <v>18</v>
      </c>
      <c r="Q77" s="44">
        <v>14.88</v>
      </c>
      <c r="R77" s="45">
        <v>80</v>
      </c>
      <c r="S77" s="43">
        <v>47</v>
      </c>
      <c r="T77" s="46">
        <v>36.24</v>
      </c>
      <c r="U77" s="40">
        <v>4</v>
      </c>
      <c r="V77" s="47">
        <v>4845.8003846000001</v>
      </c>
      <c r="W77" s="48">
        <v>1983</v>
      </c>
      <c r="X77" s="40"/>
      <c r="Y77" s="52"/>
      <c r="Z77" s="40" t="s">
        <v>910</v>
      </c>
      <c r="AA77" s="49">
        <f t="shared" si="16"/>
        <v>128171.42017267</v>
      </c>
      <c r="AB77" s="71">
        <f t="shared" si="17"/>
        <v>0.80</v>
      </c>
      <c r="AC77" s="49">
        <f t="shared" si="18"/>
        <v>25634.28</v>
      </c>
      <c r="AD77" s="50">
        <f t="shared" si="19"/>
        <v>0</v>
      </c>
      <c r="AE77" s="50">
        <f t="shared" si="20"/>
        <v>0</v>
      </c>
      <c r="AF77" s="50">
        <f t="shared" si="21"/>
        <v>25634.28</v>
      </c>
      <c r="AG77" s="199">
        <f t="shared" si="22"/>
        <v>25634</v>
      </c>
      <c r="AH77" s="187"/>
      <c r="AI77" s="185" t="s">
        <v>1449</v>
      </c>
      <c r="AJ77" s="185"/>
      <c r="AK77" s="277">
        <f t="shared" si="15"/>
        <v>4845.80</v>
      </c>
      <c r="AL77" s="25">
        <f>(SUMIFS('T1 2019 Pipeline Data Lagasco'!$O:$O,'T1 2019 Pipeline Data Lagasco'!$A:$A,'Dec 31 2018 OFFS'!$AI77,'T1 2019 Pipeline Data Lagasco'!$Q:$Q,'Dec 31 2018 OFFS'!$AK77,'T1 2019 Pipeline Data Lagasco'!$E:$E,'Dec 31 2018 OFFS'!$U77,'T1 2019 Pipeline Data Lagasco'!$G:$G,'Dec 31 2018 OFFS'!$W77))/(MAX(COUNTIFS('T1 2019 Pipeline Data Lagasco'!$A:$A,'Dec 31 2018 OFFS'!$AI77,'T1 2019 Pipeline Data Lagasco'!$Q:$Q,'Dec 31 2018 OFFS'!$AK77,'T1 2019 Pipeline Data Lagasco'!$E:$E,'Dec 31 2018 OFFS'!$U77,'T1 2019 Pipeline Data Lagasco'!$G:$G,'Dec 31 2018 OFFS'!$W77),1))</f>
        <v>25634</v>
      </c>
      <c r="AM77" s="274">
        <f t="shared" si="23"/>
        <v>0</v>
      </c>
    </row>
    <row r="78" spans="1:39" ht="12.7">
      <c r="A78" s="193" t="s">
        <v>909</v>
      </c>
      <c r="B78" s="40" t="s">
        <v>919</v>
      </c>
      <c r="C78" s="40" t="s">
        <v>920</v>
      </c>
      <c r="D78" s="40" t="s">
        <v>839</v>
      </c>
      <c r="E78" s="40" t="s">
        <v>1054</v>
      </c>
      <c r="F78" s="40"/>
      <c r="G78" s="41" t="s">
        <v>879</v>
      </c>
      <c r="H78" s="42">
        <v>42</v>
      </c>
      <c r="I78" s="43">
        <v>18</v>
      </c>
      <c r="J78" s="44">
        <v>14.88</v>
      </c>
      <c r="K78" s="45">
        <v>80</v>
      </c>
      <c r="L78" s="43">
        <v>47</v>
      </c>
      <c r="M78" s="46">
        <v>36.24</v>
      </c>
      <c r="N78" s="41" t="s">
        <v>880</v>
      </c>
      <c r="O78" s="42">
        <v>42</v>
      </c>
      <c r="P78" s="43">
        <v>18</v>
      </c>
      <c r="Q78" s="44">
        <v>5.9379999999999997</v>
      </c>
      <c r="R78" s="45">
        <v>80</v>
      </c>
      <c r="S78" s="43">
        <v>45</v>
      </c>
      <c r="T78" s="46">
        <v>59.826000000000001</v>
      </c>
      <c r="U78" s="40">
        <v>4</v>
      </c>
      <c r="V78" s="47">
        <v>7301.1808909199999</v>
      </c>
      <c r="W78" s="48">
        <v>1983</v>
      </c>
      <c r="X78" s="40"/>
      <c r="Y78" s="52"/>
      <c r="Z78" s="40" t="s">
        <v>910</v>
      </c>
      <c r="AA78" s="49">
        <f t="shared" si="16"/>
        <v>193116.23456483398</v>
      </c>
      <c r="AB78" s="71">
        <f t="shared" si="17"/>
        <v>0.80</v>
      </c>
      <c r="AC78" s="49">
        <f t="shared" si="18"/>
        <v>38623.25</v>
      </c>
      <c r="AD78" s="50">
        <f t="shared" si="19"/>
        <v>0</v>
      </c>
      <c r="AE78" s="50">
        <f t="shared" si="20"/>
        <v>0</v>
      </c>
      <c r="AF78" s="50">
        <f t="shared" si="21"/>
        <v>38623.25</v>
      </c>
      <c r="AG78" s="199">
        <f t="shared" si="22"/>
        <v>38623</v>
      </c>
      <c r="AH78" s="187"/>
      <c r="AI78" s="185" t="s">
        <v>1449</v>
      </c>
      <c r="AJ78" s="185"/>
      <c r="AK78" s="277">
        <f t="shared" si="15"/>
        <v>7301.18</v>
      </c>
      <c r="AL78" s="25">
        <f>(SUMIFS('T1 2019 Pipeline Data Lagasco'!$O:$O,'T1 2019 Pipeline Data Lagasco'!$A:$A,'Dec 31 2018 OFFS'!$AI78,'T1 2019 Pipeline Data Lagasco'!$Q:$Q,'Dec 31 2018 OFFS'!$AK78,'T1 2019 Pipeline Data Lagasco'!$E:$E,'Dec 31 2018 OFFS'!$U78,'T1 2019 Pipeline Data Lagasco'!$G:$G,'Dec 31 2018 OFFS'!$W78))/(MAX(COUNTIFS('T1 2019 Pipeline Data Lagasco'!$A:$A,'Dec 31 2018 OFFS'!$AI78,'T1 2019 Pipeline Data Lagasco'!$Q:$Q,'Dec 31 2018 OFFS'!$AK78,'T1 2019 Pipeline Data Lagasco'!$E:$E,'Dec 31 2018 OFFS'!$U78,'T1 2019 Pipeline Data Lagasco'!$G:$G,'Dec 31 2018 OFFS'!$W78),1))</f>
        <v>38623</v>
      </c>
      <c r="AM78" s="274">
        <f t="shared" si="23"/>
        <v>0</v>
      </c>
    </row>
    <row r="79" spans="1:39" ht="12.7">
      <c r="A79" s="193" t="s">
        <v>909</v>
      </c>
      <c r="B79" s="40" t="s">
        <v>919</v>
      </c>
      <c r="C79" s="40" t="s">
        <v>920</v>
      </c>
      <c r="D79" s="40" t="s">
        <v>839</v>
      </c>
      <c r="E79" s="40" t="s">
        <v>1054</v>
      </c>
      <c r="F79" s="40" t="s">
        <v>1051</v>
      </c>
      <c r="G79" s="41" t="s">
        <v>880</v>
      </c>
      <c r="H79" s="42">
        <v>42</v>
      </c>
      <c r="I79" s="43">
        <v>18</v>
      </c>
      <c r="J79" s="44">
        <v>5.9379999999999997</v>
      </c>
      <c r="K79" s="45">
        <v>80</v>
      </c>
      <c r="L79" s="43">
        <v>45</v>
      </c>
      <c r="M79" s="46">
        <v>59.826000000000001</v>
      </c>
      <c r="N79" s="40" t="s">
        <v>861</v>
      </c>
      <c r="O79" s="42">
        <v>42</v>
      </c>
      <c r="P79" s="43">
        <v>18</v>
      </c>
      <c r="Q79" s="44">
        <v>37.50</v>
      </c>
      <c r="R79" s="45">
        <v>80</v>
      </c>
      <c r="S79" s="43">
        <v>45</v>
      </c>
      <c r="T79" s="46">
        <v>46.68</v>
      </c>
      <c r="U79" s="40">
        <v>2</v>
      </c>
      <c r="V79" s="47">
        <v>3344.16</v>
      </c>
      <c r="W79" s="48">
        <v>1982</v>
      </c>
      <c r="X79" s="40"/>
      <c r="Y79" s="52"/>
      <c r="Z79" s="40" t="s">
        <v>910</v>
      </c>
      <c r="AA79" s="49">
        <f t="shared" si="16"/>
        <v>0</v>
      </c>
      <c r="AB79" s="71">
        <f t="shared" si="17"/>
        <v>0.80</v>
      </c>
      <c r="AC79" s="49">
        <f t="shared" si="18"/>
        <v>0</v>
      </c>
      <c r="AD79" s="50">
        <f t="shared" si="19"/>
        <v>0</v>
      </c>
      <c r="AE79" s="50">
        <f t="shared" si="20"/>
        <v>0</v>
      </c>
      <c r="AF79" s="50">
        <f t="shared" si="21"/>
        <v>0</v>
      </c>
      <c r="AG79" s="199">
        <f t="shared" si="22"/>
        <v>0</v>
      </c>
      <c r="AH79" s="187"/>
      <c r="AI79" s="185" t="s">
        <v>1449</v>
      </c>
      <c r="AJ79" s="185"/>
      <c r="AK79" s="277">
        <f t="shared" si="15"/>
        <v>3344.16</v>
      </c>
      <c r="AL79" s="25">
        <f>(SUMIFS('T1 2019 Pipeline Data Lagasco'!$O:$O,'T1 2019 Pipeline Data Lagasco'!$A:$A,'Dec 31 2018 OFFS'!$AI79,'T1 2019 Pipeline Data Lagasco'!$Q:$Q,'Dec 31 2018 OFFS'!$AK79,'T1 2019 Pipeline Data Lagasco'!$E:$E,'Dec 31 2018 OFFS'!$U79,'T1 2019 Pipeline Data Lagasco'!$G:$G,'Dec 31 2018 OFFS'!$W79))/(MAX(COUNTIFS('T1 2019 Pipeline Data Lagasco'!$A:$A,'Dec 31 2018 OFFS'!$AI79,'T1 2019 Pipeline Data Lagasco'!$Q:$Q,'Dec 31 2018 OFFS'!$AK79,'T1 2019 Pipeline Data Lagasco'!$E:$E,'Dec 31 2018 OFFS'!$U79,'T1 2019 Pipeline Data Lagasco'!$G:$G,'Dec 31 2018 OFFS'!$W79),1))</f>
        <v>0</v>
      </c>
      <c r="AM79" s="274">
        <f t="shared" si="23"/>
        <v>0</v>
      </c>
    </row>
    <row r="80" spans="1:39" ht="12.7">
      <c r="A80" s="193" t="s">
        <v>909</v>
      </c>
      <c r="B80" s="40" t="s">
        <v>919</v>
      </c>
      <c r="C80" s="40" t="s">
        <v>920</v>
      </c>
      <c r="D80" s="40" t="s">
        <v>839</v>
      </c>
      <c r="E80" s="40" t="s">
        <v>1054</v>
      </c>
      <c r="F80" s="40"/>
      <c r="G80" s="41" t="s">
        <v>880</v>
      </c>
      <c r="H80" s="42">
        <v>42</v>
      </c>
      <c r="I80" s="43">
        <v>18</v>
      </c>
      <c r="J80" s="44">
        <v>5.88</v>
      </c>
      <c r="K80" s="45">
        <v>80</v>
      </c>
      <c r="L80" s="43">
        <v>45</v>
      </c>
      <c r="M80" s="46">
        <v>59.82</v>
      </c>
      <c r="N80" s="41" t="s">
        <v>863</v>
      </c>
      <c r="O80" s="42">
        <v>42</v>
      </c>
      <c r="P80" s="43">
        <v>17</v>
      </c>
      <c r="Q80" s="44">
        <v>38.340000000000003</v>
      </c>
      <c r="R80" s="45">
        <v>80</v>
      </c>
      <c r="S80" s="43">
        <v>45</v>
      </c>
      <c r="T80" s="46">
        <v>43.74</v>
      </c>
      <c r="U80" s="40">
        <v>3</v>
      </c>
      <c r="V80" s="47">
        <v>3046</v>
      </c>
      <c r="W80" s="48">
        <v>1995</v>
      </c>
      <c r="X80" s="40"/>
      <c r="Y80" s="52"/>
      <c r="Z80" s="40" t="s">
        <v>910</v>
      </c>
      <c r="AA80" s="49">
        <f t="shared" si="16"/>
        <v>71855.14</v>
      </c>
      <c r="AB80" s="71">
        <f t="shared" si="17"/>
        <v>0.67</v>
      </c>
      <c r="AC80" s="49">
        <f t="shared" si="18"/>
        <v>23712.20</v>
      </c>
      <c r="AD80" s="50">
        <f t="shared" si="19"/>
        <v>0</v>
      </c>
      <c r="AE80" s="50">
        <f t="shared" si="20"/>
        <v>0</v>
      </c>
      <c r="AF80" s="50">
        <f t="shared" si="21"/>
        <v>23712.20</v>
      </c>
      <c r="AG80" s="199">
        <f t="shared" si="22"/>
        <v>23712</v>
      </c>
      <c r="AH80" s="187"/>
      <c r="AI80" s="185" t="s">
        <v>1449</v>
      </c>
      <c r="AJ80" s="185"/>
      <c r="AK80" s="277">
        <f t="shared" si="15"/>
        <v>3046</v>
      </c>
      <c r="AL80" s="25">
        <f>(SUMIFS('T1 2019 Pipeline Data Lagasco'!$O:$O,'T1 2019 Pipeline Data Lagasco'!$A:$A,'Dec 31 2018 OFFS'!$AI80,'T1 2019 Pipeline Data Lagasco'!$Q:$Q,'Dec 31 2018 OFFS'!$AK80,'T1 2019 Pipeline Data Lagasco'!$E:$E,'Dec 31 2018 OFFS'!$U80,'T1 2019 Pipeline Data Lagasco'!$G:$G,'Dec 31 2018 OFFS'!$W80))/(MAX(COUNTIFS('T1 2019 Pipeline Data Lagasco'!$A:$A,'Dec 31 2018 OFFS'!$AI80,'T1 2019 Pipeline Data Lagasco'!$Q:$Q,'Dec 31 2018 OFFS'!$AK80,'T1 2019 Pipeline Data Lagasco'!$E:$E,'Dec 31 2018 OFFS'!$U80,'T1 2019 Pipeline Data Lagasco'!$G:$G,'Dec 31 2018 OFFS'!$W80),1))</f>
        <v>23712</v>
      </c>
      <c r="AM80" s="274">
        <f t="shared" si="23"/>
        <v>0</v>
      </c>
    </row>
    <row r="81" spans="1:39" ht="12.7">
      <c r="A81" s="193" t="s">
        <v>909</v>
      </c>
      <c r="B81" s="40" t="s">
        <v>919</v>
      </c>
      <c r="C81" s="40" t="s">
        <v>920</v>
      </c>
      <c r="D81" s="40" t="s">
        <v>839</v>
      </c>
      <c r="E81" s="40" t="s">
        <v>1054</v>
      </c>
      <c r="F81" s="40"/>
      <c r="G81" s="41" t="s">
        <v>880</v>
      </c>
      <c r="H81" s="42">
        <v>42</v>
      </c>
      <c r="I81" s="43">
        <v>18</v>
      </c>
      <c r="J81" s="44">
        <v>5.9379999999999997</v>
      </c>
      <c r="K81" s="45">
        <v>80</v>
      </c>
      <c r="L81" s="43">
        <v>45</v>
      </c>
      <c r="M81" s="46">
        <v>59.826000000000001</v>
      </c>
      <c r="N81" s="40" t="s">
        <v>862</v>
      </c>
      <c r="O81" s="42">
        <v>42</v>
      </c>
      <c r="P81" s="43">
        <v>18</v>
      </c>
      <c r="Q81" s="44">
        <v>0.42</v>
      </c>
      <c r="R81" s="45">
        <v>80</v>
      </c>
      <c r="S81" s="43">
        <v>45</v>
      </c>
      <c r="T81" s="46">
        <v>9.18</v>
      </c>
      <c r="U81" s="40">
        <v>4</v>
      </c>
      <c r="V81" s="47">
        <v>3846.587815112</v>
      </c>
      <c r="W81" s="48">
        <v>1983</v>
      </c>
      <c r="X81" s="40"/>
      <c r="Y81" s="52"/>
      <c r="Z81" s="40" t="s">
        <v>910</v>
      </c>
      <c r="AA81" s="49">
        <f t="shared" si="16"/>
        <v>101742.24770971239</v>
      </c>
      <c r="AB81" s="71">
        <f t="shared" si="17"/>
        <v>0.80</v>
      </c>
      <c r="AC81" s="49">
        <f t="shared" si="18"/>
        <v>20348.45</v>
      </c>
      <c r="AD81" s="50">
        <f t="shared" si="19"/>
        <v>0</v>
      </c>
      <c r="AE81" s="50">
        <f t="shared" si="20"/>
        <v>0</v>
      </c>
      <c r="AF81" s="50">
        <f t="shared" si="21"/>
        <v>20348.45</v>
      </c>
      <c r="AG81" s="199">
        <f t="shared" si="22"/>
        <v>20348</v>
      </c>
      <c r="AH81" s="187"/>
      <c r="AI81" s="185" t="s">
        <v>1449</v>
      </c>
      <c r="AJ81" s="185"/>
      <c r="AK81" s="277">
        <f t="shared" si="15"/>
        <v>3846.59</v>
      </c>
      <c r="AL81" s="25">
        <f>(SUMIFS('T1 2019 Pipeline Data Lagasco'!$O:$O,'T1 2019 Pipeline Data Lagasco'!$A:$A,'Dec 31 2018 OFFS'!$AI81,'T1 2019 Pipeline Data Lagasco'!$Q:$Q,'Dec 31 2018 OFFS'!$AK81,'T1 2019 Pipeline Data Lagasco'!$E:$E,'Dec 31 2018 OFFS'!$U81,'T1 2019 Pipeline Data Lagasco'!$G:$G,'Dec 31 2018 OFFS'!$W81))/(MAX(COUNTIFS('T1 2019 Pipeline Data Lagasco'!$A:$A,'Dec 31 2018 OFFS'!$AI81,'T1 2019 Pipeline Data Lagasco'!$Q:$Q,'Dec 31 2018 OFFS'!$AK81,'T1 2019 Pipeline Data Lagasco'!$E:$E,'Dec 31 2018 OFFS'!$U81,'T1 2019 Pipeline Data Lagasco'!$G:$G,'Dec 31 2018 OFFS'!$W81),1))</f>
        <v>20348</v>
      </c>
      <c r="AM81" s="274">
        <f t="shared" si="23"/>
        <v>0</v>
      </c>
    </row>
    <row r="82" spans="1:39" ht="12.7">
      <c r="A82" s="193" t="s">
        <v>909</v>
      </c>
      <c r="B82" s="40" t="s">
        <v>919</v>
      </c>
      <c r="C82" s="40" t="s">
        <v>920</v>
      </c>
      <c r="D82" s="40" t="s">
        <v>839</v>
      </c>
      <c r="E82" s="40" t="s">
        <v>1054</v>
      </c>
      <c r="F82" s="40" t="s">
        <v>1051</v>
      </c>
      <c r="G82" s="41" t="s">
        <v>862</v>
      </c>
      <c r="H82" s="42">
        <v>42</v>
      </c>
      <c r="I82" s="43">
        <v>18</v>
      </c>
      <c r="J82" s="44">
        <v>0.42</v>
      </c>
      <c r="K82" s="45">
        <v>80</v>
      </c>
      <c r="L82" s="43">
        <v>45</v>
      </c>
      <c r="M82" s="46">
        <v>9.18</v>
      </c>
      <c r="N82" s="41" t="s">
        <v>863</v>
      </c>
      <c r="O82" s="42">
        <v>42</v>
      </c>
      <c r="P82" s="43">
        <v>17</v>
      </c>
      <c r="Q82" s="44">
        <v>38.340000000000003</v>
      </c>
      <c r="R82" s="45">
        <v>80</v>
      </c>
      <c r="S82" s="43">
        <v>45</v>
      </c>
      <c r="T82" s="46">
        <v>43.74</v>
      </c>
      <c r="U82" s="40">
        <v>2</v>
      </c>
      <c r="V82" s="47">
        <v>3426.5418955180003</v>
      </c>
      <c r="W82" s="48">
        <v>1983</v>
      </c>
      <c r="X82" s="40"/>
      <c r="Y82" s="52"/>
      <c r="Z82" s="40" t="s">
        <v>910</v>
      </c>
      <c r="AA82" s="49">
        <f t="shared" si="16"/>
        <v>0</v>
      </c>
      <c r="AB82" s="71">
        <f t="shared" si="17"/>
        <v>0.80</v>
      </c>
      <c r="AC82" s="49">
        <f t="shared" si="18"/>
        <v>0</v>
      </c>
      <c r="AD82" s="50">
        <f t="shared" si="19"/>
        <v>0</v>
      </c>
      <c r="AE82" s="50">
        <f t="shared" si="20"/>
        <v>0</v>
      </c>
      <c r="AF82" s="50">
        <f t="shared" si="21"/>
        <v>0</v>
      </c>
      <c r="AG82" s="199">
        <f t="shared" si="22"/>
        <v>0</v>
      </c>
      <c r="AH82" s="187"/>
      <c r="AI82" s="185" t="s">
        <v>1449</v>
      </c>
      <c r="AJ82" s="185"/>
      <c r="AK82" s="277">
        <f t="shared" si="15"/>
        <v>3426.54</v>
      </c>
      <c r="AL82" s="25">
        <f>(SUMIFS('T1 2019 Pipeline Data Lagasco'!$O:$O,'T1 2019 Pipeline Data Lagasco'!$A:$A,'Dec 31 2018 OFFS'!$AI82,'T1 2019 Pipeline Data Lagasco'!$Q:$Q,'Dec 31 2018 OFFS'!$AK82,'T1 2019 Pipeline Data Lagasco'!$E:$E,'Dec 31 2018 OFFS'!$U82,'T1 2019 Pipeline Data Lagasco'!$G:$G,'Dec 31 2018 OFFS'!$W82))/(MAX(COUNTIFS('T1 2019 Pipeline Data Lagasco'!$A:$A,'Dec 31 2018 OFFS'!$AI82,'T1 2019 Pipeline Data Lagasco'!$Q:$Q,'Dec 31 2018 OFFS'!$AK82,'T1 2019 Pipeline Data Lagasco'!$E:$E,'Dec 31 2018 OFFS'!$U82,'T1 2019 Pipeline Data Lagasco'!$G:$G,'Dec 31 2018 OFFS'!$W82),1))</f>
        <v>0</v>
      </c>
      <c r="AM82" s="274">
        <f t="shared" si="23"/>
        <v>0</v>
      </c>
    </row>
    <row r="83" spans="1:39" ht="12.7">
      <c r="A83" s="193" t="s">
        <v>909</v>
      </c>
      <c r="B83" s="40" t="s">
        <v>919</v>
      </c>
      <c r="C83" s="40" t="s">
        <v>920</v>
      </c>
      <c r="D83" s="40" t="s">
        <v>839</v>
      </c>
      <c r="E83" s="40" t="s">
        <v>1054</v>
      </c>
      <c r="F83" s="40"/>
      <c r="G83" s="41" t="s">
        <v>862</v>
      </c>
      <c r="H83" s="42">
        <v>42</v>
      </c>
      <c r="I83" s="43">
        <v>18</v>
      </c>
      <c r="J83" s="44">
        <v>0.42</v>
      </c>
      <c r="K83" s="45">
        <v>80</v>
      </c>
      <c r="L83" s="43">
        <v>45</v>
      </c>
      <c r="M83" s="46">
        <v>9.18</v>
      </c>
      <c r="N83" s="41" t="s">
        <v>881</v>
      </c>
      <c r="O83" s="42">
        <v>42</v>
      </c>
      <c r="P83" s="43">
        <v>18</v>
      </c>
      <c r="Q83" s="44">
        <v>55.98</v>
      </c>
      <c r="R83" s="45">
        <v>80</v>
      </c>
      <c r="S83" s="43">
        <v>45</v>
      </c>
      <c r="T83" s="46">
        <v>6.36</v>
      </c>
      <c r="U83" s="40">
        <v>4</v>
      </c>
      <c r="V83" s="47">
        <v>5628.1494433079997</v>
      </c>
      <c r="W83" s="48">
        <v>1983</v>
      </c>
      <c r="X83" s="40"/>
      <c r="Y83" s="52"/>
      <c r="Z83" s="40" t="s">
        <v>910</v>
      </c>
      <c r="AA83" s="49">
        <f t="shared" si="16"/>
        <v>148864.55277549659</v>
      </c>
      <c r="AB83" s="71">
        <f t="shared" si="17"/>
        <v>0.80</v>
      </c>
      <c r="AC83" s="49">
        <f t="shared" si="18"/>
        <v>29772.91</v>
      </c>
      <c r="AD83" s="50">
        <f t="shared" si="19"/>
        <v>0</v>
      </c>
      <c r="AE83" s="50">
        <f t="shared" si="20"/>
        <v>0</v>
      </c>
      <c r="AF83" s="50">
        <f t="shared" si="21"/>
        <v>29772.91</v>
      </c>
      <c r="AG83" s="199">
        <f t="shared" si="22"/>
        <v>29772</v>
      </c>
      <c r="AH83" s="187"/>
      <c r="AI83" s="185" t="s">
        <v>1449</v>
      </c>
      <c r="AJ83" s="185"/>
      <c r="AK83" s="277">
        <f t="shared" si="15"/>
        <v>5628.15</v>
      </c>
      <c r="AL83" s="25">
        <f>(SUMIFS('T1 2019 Pipeline Data Lagasco'!$O:$O,'T1 2019 Pipeline Data Lagasco'!$A:$A,'Dec 31 2018 OFFS'!$AI83,'T1 2019 Pipeline Data Lagasco'!$Q:$Q,'Dec 31 2018 OFFS'!$AK83,'T1 2019 Pipeline Data Lagasco'!$E:$E,'Dec 31 2018 OFFS'!$U83,'T1 2019 Pipeline Data Lagasco'!$G:$G,'Dec 31 2018 OFFS'!$W83))/(MAX(COUNTIFS('T1 2019 Pipeline Data Lagasco'!$A:$A,'Dec 31 2018 OFFS'!$AI83,'T1 2019 Pipeline Data Lagasco'!$Q:$Q,'Dec 31 2018 OFFS'!$AK83,'T1 2019 Pipeline Data Lagasco'!$E:$E,'Dec 31 2018 OFFS'!$U83,'T1 2019 Pipeline Data Lagasco'!$G:$G,'Dec 31 2018 OFFS'!$W83),1))</f>
        <v>29772</v>
      </c>
      <c r="AM83" s="274">
        <f t="shared" si="23"/>
        <v>0</v>
      </c>
    </row>
    <row r="84" spans="1:39" ht="12.7">
      <c r="A84" s="288" t="s">
        <v>909</v>
      </c>
      <c r="B84" s="289" t="s">
        <v>919</v>
      </c>
      <c r="C84" s="289" t="s">
        <v>920</v>
      </c>
      <c r="D84" s="289" t="s">
        <v>839</v>
      </c>
      <c r="E84" s="289" t="s">
        <v>1054</v>
      </c>
      <c r="F84" s="290" t="s">
        <v>1051</v>
      </c>
      <c r="G84" s="291" t="s">
        <v>1426</v>
      </c>
      <c r="H84" s="292">
        <v>42</v>
      </c>
      <c r="I84" s="293">
        <v>18</v>
      </c>
      <c r="J84" s="294">
        <v>0.42</v>
      </c>
      <c r="K84" s="295">
        <v>80</v>
      </c>
      <c r="L84" s="293">
        <v>45</v>
      </c>
      <c r="M84" s="296">
        <v>9.18</v>
      </c>
      <c r="N84" s="297" t="s">
        <v>882</v>
      </c>
      <c r="O84" s="292">
        <v>42</v>
      </c>
      <c r="P84" s="293">
        <v>17</v>
      </c>
      <c r="Q84" s="294">
        <v>53.46</v>
      </c>
      <c r="R84" s="295">
        <v>80</v>
      </c>
      <c r="S84" s="293">
        <v>44</v>
      </c>
      <c r="T84" s="296">
        <v>4.5599999999999996</v>
      </c>
      <c r="U84" s="289">
        <v>4</v>
      </c>
      <c r="V84" s="184">
        <v>4906.8568132779992</v>
      </c>
      <c r="W84" s="298">
        <v>1983</v>
      </c>
      <c r="X84" s="289"/>
      <c r="Y84" s="52"/>
      <c r="Z84" s="289" t="s">
        <v>910</v>
      </c>
      <c r="AA84" s="299">
        <f t="shared" si="16"/>
        <v>0</v>
      </c>
      <c r="AB84" s="300">
        <f t="shared" si="17"/>
        <v>0.80</v>
      </c>
      <c r="AC84" s="299">
        <f t="shared" si="18"/>
        <v>0</v>
      </c>
      <c r="AD84" s="301">
        <f t="shared" si="19"/>
        <v>0</v>
      </c>
      <c r="AE84" s="301">
        <f t="shared" si="20"/>
        <v>0</v>
      </c>
      <c r="AF84" s="301">
        <f t="shared" si="21"/>
        <v>0</v>
      </c>
      <c r="AG84" s="302">
        <f t="shared" si="22"/>
        <v>0</v>
      </c>
      <c r="AH84" s="303"/>
      <c r="AI84" s="186" t="s">
        <v>1449</v>
      </c>
      <c r="AJ84" s="186" t="s">
        <v>1558</v>
      </c>
      <c r="AK84" s="277">
        <f t="shared" si="15"/>
        <v>4906.8599999999997</v>
      </c>
      <c r="AL84" s="25">
        <f>(SUMIFS('T1 2019 Pipeline Data Lagasco'!$O:$O,'T1 2019 Pipeline Data Lagasco'!$A:$A,'Dec 31 2018 OFFS'!$AI84,'T1 2019 Pipeline Data Lagasco'!$Q:$Q,'Dec 31 2018 OFFS'!$AK84,'T1 2019 Pipeline Data Lagasco'!$E:$E,'Dec 31 2018 OFFS'!$U84,'T1 2019 Pipeline Data Lagasco'!$G:$G,'Dec 31 2018 OFFS'!$W84))/(MAX(COUNTIFS('T1 2019 Pipeline Data Lagasco'!$A:$A,'Dec 31 2018 OFFS'!$AI84,'T1 2019 Pipeline Data Lagasco'!$Q:$Q,'Dec 31 2018 OFFS'!$AK84,'T1 2019 Pipeline Data Lagasco'!$E:$E,'Dec 31 2018 OFFS'!$U84,'T1 2019 Pipeline Data Lagasco'!$G:$G,'Dec 31 2018 OFFS'!$W84),1))</f>
        <v>0</v>
      </c>
      <c r="AM84" s="274">
        <f t="shared" si="23"/>
        <v>0</v>
      </c>
    </row>
    <row r="85" spans="1:39" ht="12.7">
      <c r="A85" s="193" t="s">
        <v>909</v>
      </c>
      <c r="B85" s="40" t="s">
        <v>919</v>
      </c>
      <c r="C85" s="40" t="s">
        <v>920</v>
      </c>
      <c r="D85" s="40" t="s">
        <v>839</v>
      </c>
      <c r="E85" s="40" t="s">
        <v>1054</v>
      </c>
      <c r="F85" s="40"/>
      <c r="G85" s="40" t="s">
        <v>1253</v>
      </c>
      <c r="H85" s="42">
        <v>42</v>
      </c>
      <c r="I85" s="43">
        <v>30</v>
      </c>
      <c r="J85" s="44">
        <f>60*0.729</f>
        <v>43.74</v>
      </c>
      <c r="K85" s="45">
        <v>80</v>
      </c>
      <c r="L85" s="43">
        <v>43</v>
      </c>
      <c r="M85" s="46">
        <f>60*0.707</f>
        <v>42.419999999999995</v>
      </c>
      <c r="N85" s="40" t="s">
        <v>1254</v>
      </c>
      <c r="O85" s="42">
        <v>42</v>
      </c>
      <c r="P85" s="43">
        <v>31</v>
      </c>
      <c r="Q85" s="44">
        <f>60*0.174</f>
        <v>10.44</v>
      </c>
      <c r="R85" s="45">
        <v>80</v>
      </c>
      <c r="S85" s="43">
        <v>45</v>
      </c>
      <c r="T85" s="46">
        <f>60*0.625</f>
        <v>37.50</v>
      </c>
      <c r="U85" s="40">
        <v>4</v>
      </c>
      <c r="V85" s="47">
        <v>8976</v>
      </c>
      <c r="W85" s="48">
        <v>2005</v>
      </c>
      <c r="X85" s="139"/>
      <c r="Y85" s="52"/>
      <c r="Z85" s="40" t="s">
        <v>910</v>
      </c>
      <c r="AA85" s="49">
        <f t="shared" si="16"/>
        <v>237415.19999999998</v>
      </c>
      <c r="AB85" s="71">
        <f t="shared" si="17"/>
        <v>0.54</v>
      </c>
      <c r="AC85" s="49">
        <f t="shared" si="18"/>
        <v>109210.99</v>
      </c>
      <c r="AD85" s="50">
        <f t="shared" si="19"/>
        <v>0</v>
      </c>
      <c r="AE85" s="50">
        <f t="shared" si="20"/>
        <v>0</v>
      </c>
      <c r="AF85" s="50">
        <f t="shared" si="21"/>
        <v>109210.99</v>
      </c>
      <c r="AG85" s="199">
        <f t="shared" si="22"/>
        <v>109210</v>
      </c>
      <c r="AH85" s="187"/>
      <c r="AI85" s="185" t="s">
        <v>1449</v>
      </c>
      <c r="AJ85" s="185"/>
      <c r="AK85" s="282">
        <f t="shared" si="15"/>
        <v>8976</v>
      </c>
      <c r="AL85" s="25">
        <f>(SUMIFS('T1 2019 Pipeline Data Lagasco'!$O:$O,'T1 2019 Pipeline Data Lagasco'!$A:$A,'Dec 31 2018 OFFS'!$AI85,'T1 2019 Pipeline Data Lagasco'!$Q:$Q,'Dec 31 2018 OFFS'!$AK85,'T1 2019 Pipeline Data Lagasco'!$E:$E,'Dec 31 2018 OFFS'!$U85,'T1 2019 Pipeline Data Lagasco'!$G:$G,'Dec 31 2018 OFFS'!$W85))/(MAX(COUNTIFS('T1 2019 Pipeline Data Lagasco'!$A:$A,'Dec 31 2018 OFFS'!$AI85,'T1 2019 Pipeline Data Lagasco'!$Q:$Q,'Dec 31 2018 OFFS'!$AK85,'T1 2019 Pipeline Data Lagasco'!$E:$E,'Dec 31 2018 OFFS'!$U85,'T1 2019 Pipeline Data Lagasco'!$G:$G,'Dec 31 2018 OFFS'!$W85),1))</f>
        <v>109210</v>
      </c>
      <c r="AM85" s="274">
        <f t="shared" si="23"/>
        <v>0</v>
      </c>
    </row>
    <row r="86" spans="1:39" ht="12.7">
      <c r="A86" s="193" t="s">
        <v>909</v>
      </c>
      <c r="B86" s="40" t="s">
        <v>919</v>
      </c>
      <c r="C86" s="40" t="s">
        <v>920</v>
      </c>
      <c r="D86" s="40" t="s">
        <v>839</v>
      </c>
      <c r="E86" s="40" t="s">
        <v>1054</v>
      </c>
      <c r="F86" s="40"/>
      <c r="G86" s="40" t="s">
        <v>1256</v>
      </c>
      <c r="H86" s="42">
        <v>42</v>
      </c>
      <c r="I86" s="43">
        <v>31</v>
      </c>
      <c r="J86" s="44">
        <f>60*0.998</f>
        <v>59.88</v>
      </c>
      <c r="K86" s="45">
        <v>80</v>
      </c>
      <c r="L86" s="43">
        <v>49</v>
      </c>
      <c r="M86" s="46">
        <f>60*0.139</f>
        <v>8.34</v>
      </c>
      <c r="N86" s="40" t="s">
        <v>1257</v>
      </c>
      <c r="O86" s="42">
        <v>42</v>
      </c>
      <c r="P86" s="43">
        <v>32</v>
      </c>
      <c r="Q86" s="44">
        <f>60*0.447</f>
        <v>26.82</v>
      </c>
      <c r="R86" s="45">
        <v>80</v>
      </c>
      <c r="S86" s="43">
        <v>51</v>
      </c>
      <c r="T86" s="46">
        <f>60*0.044</f>
        <v>2.6399999999999997</v>
      </c>
      <c r="U86" s="40">
        <v>4</v>
      </c>
      <c r="V86" s="47">
        <v>8976</v>
      </c>
      <c r="W86" s="48">
        <v>2005</v>
      </c>
      <c r="X86" s="139"/>
      <c r="Y86" s="52"/>
      <c r="Z86" s="40" t="s">
        <v>910</v>
      </c>
      <c r="AA86" s="49">
        <f t="shared" si="16"/>
        <v>237415.19999999998</v>
      </c>
      <c r="AB86" s="71">
        <f t="shared" si="17"/>
        <v>0.54</v>
      </c>
      <c r="AC86" s="49">
        <f t="shared" si="18"/>
        <v>109210.99</v>
      </c>
      <c r="AD86" s="50">
        <f t="shared" si="19"/>
        <v>0</v>
      </c>
      <c r="AE86" s="50">
        <f t="shared" si="20"/>
        <v>0</v>
      </c>
      <c r="AF86" s="50">
        <f t="shared" si="21"/>
        <v>109210.99</v>
      </c>
      <c r="AG86" s="199">
        <f t="shared" si="22"/>
        <v>109210</v>
      </c>
      <c r="AH86" s="187"/>
      <c r="AI86" s="185" t="s">
        <v>1449</v>
      </c>
      <c r="AJ86" s="185"/>
      <c r="AK86" s="282">
        <f t="shared" si="15"/>
        <v>8976</v>
      </c>
      <c r="AL86" s="25">
        <f>(SUMIFS('T1 2019 Pipeline Data Lagasco'!$O:$O,'T1 2019 Pipeline Data Lagasco'!$A:$A,'Dec 31 2018 OFFS'!$AI86,'T1 2019 Pipeline Data Lagasco'!$Q:$Q,'Dec 31 2018 OFFS'!$AK86,'T1 2019 Pipeline Data Lagasco'!$E:$E,'Dec 31 2018 OFFS'!$U86,'T1 2019 Pipeline Data Lagasco'!$G:$G,'Dec 31 2018 OFFS'!$W86))/(MAX(COUNTIFS('T1 2019 Pipeline Data Lagasco'!$A:$A,'Dec 31 2018 OFFS'!$AI86,'T1 2019 Pipeline Data Lagasco'!$Q:$Q,'Dec 31 2018 OFFS'!$AK86,'T1 2019 Pipeline Data Lagasco'!$E:$E,'Dec 31 2018 OFFS'!$U86,'T1 2019 Pipeline Data Lagasco'!$G:$G,'Dec 31 2018 OFFS'!$W86),1))</f>
        <v>109210</v>
      </c>
      <c r="AM86" s="274">
        <f t="shared" si="23"/>
        <v>0</v>
      </c>
    </row>
    <row r="87" spans="1:39" ht="12.7">
      <c r="A87" s="193" t="s">
        <v>909</v>
      </c>
      <c r="B87" s="40" t="s">
        <v>919</v>
      </c>
      <c r="C87" s="40" t="s">
        <v>920</v>
      </c>
      <c r="D87" s="40" t="s">
        <v>839</v>
      </c>
      <c r="E87" s="40" t="s">
        <v>1054</v>
      </c>
      <c r="F87" s="40"/>
      <c r="G87" s="181" t="s">
        <v>1255</v>
      </c>
      <c r="H87" s="42">
        <v>42</v>
      </c>
      <c r="I87" s="43">
        <v>31</v>
      </c>
      <c r="J87" s="44">
        <f>60*0.627</f>
        <v>37.619999999999997</v>
      </c>
      <c r="K87" s="45">
        <v>80</v>
      </c>
      <c r="L87" s="43">
        <v>47</v>
      </c>
      <c r="M87" s="46">
        <f>60*0.541</f>
        <v>32.46</v>
      </c>
      <c r="N87" s="40" t="s">
        <v>1256</v>
      </c>
      <c r="O87" s="42">
        <v>42</v>
      </c>
      <c r="P87" s="43">
        <v>31</v>
      </c>
      <c r="Q87" s="44">
        <f>60*0.998</f>
        <v>59.88</v>
      </c>
      <c r="R87" s="45">
        <v>80</v>
      </c>
      <c r="S87" s="43">
        <v>49</v>
      </c>
      <c r="T87" s="46">
        <f>60*0.139</f>
        <v>8.34</v>
      </c>
      <c r="U87" s="40">
        <v>4</v>
      </c>
      <c r="V87" s="47">
        <v>7480</v>
      </c>
      <c r="W87" s="48">
        <v>2005</v>
      </c>
      <c r="X87" s="182"/>
      <c r="Y87" s="52"/>
      <c r="Z87" s="40" t="s">
        <v>910</v>
      </c>
      <c r="AA87" s="49">
        <f t="shared" si="16"/>
        <v>197846</v>
      </c>
      <c r="AB87" s="71">
        <f t="shared" si="17"/>
        <v>0.54</v>
      </c>
      <c r="AC87" s="49">
        <f t="shared" si="18"/>
        <v>91009.16</v>
      </c>
      <c r="AD87" s="50">
        <f t="shared" si="19"/>
        <v>0</v>
      </c>
      <c r="AE87" s="50">
        <f t="shared" si="20"/>
        <v>0</v>
      </c>
      <c r="AF87" s="50">
        <f t="shared" si="21"/>
        <v>91009.16</v>
      </c>
      <c r="AG87" s="199">
        <f t="shared" si="22"/>
        <v>91009</v>
      </c>
      <c r="AH87" s="187"/>
      <c r="AI87" s="185" t="s">
        <v>1449</v>
      </c>
      <c r="AJ87" s="185"/>
      <c r="AK87" s="282">
        <f t="shared" si="15"/>
        <v>7480</v>
      </c>
      <c r="AL87" s="25">
        <f>(SUMIFS('T1 2019 Pipeline Data Lagasco'!$O:$O,'T1 2019 Pipeline Data Lagasco'!$A:$A,'Dec 31 2018 OFFS'!$AI87,'T1 2019 Pipeline Data Lagasco'!$Q:$Q,'Dec 31 2018 OFFS'!$AK87,'T1 2019 Pipeline Data Lagasco'!$E:$E,'Dec 31 2018 OFFS'!$U87,'T1 2019 Pipeline Data Lagasco'!$G:$G,'Dec 31 2018 OFFS'!$W87))/(MAX(COUNTIFS('T1 2019 Pipeline Data Lagasco'!$A:$A,'Dec 31 2018 OFFS'!$AI87,'T1 2019 Pipeline Data Lagasco'!$Q:$Q,'Dec 31 2018 OFFS'!$AK87,'T1 2019 Pipeline Data Lagasco'!$E:$E,'Dec 31 2018 OFFS'!$U87,'T1 2019 Pipeline Data Lagasco'!$G:$G,'Dec 31 2018 OFFS'!$W87),1))</f>
        <v>91009</v>
      </c>
      <c r="AM87" s="274">
        <f t="shared" si="23"/>
        <v>0</v>
      </c>
    </row>
    <row r="88" spans="1:39" ht="12.7">
      <c r="A88" s="193" t="s">
        <v>909</v>
      </c>
      <c r="B88" s="40" t="s">
        <v>919</v>
      </c>
      <c r="C88" s="40" t="s">
        <v>920</v>
      </c>
      <c r="D88" s="40" t="s">
        <v>839</v>
      </c>
      <c r="E88" s="40" t="s">
        <v>1054</v>
      </c>
      <c r="F88" s="40"/>
      <c r="G88" s="40" t="s">
        <v>1254</v>
      </c>
      <c r="H88" s="42">
        <v>42</v>
      </c>
      <c r="I88" s="43">
        <v>31</v>
      </c>
      <c r="J88" s="44">
        <f>60*0.174</f>
        <v>10.44</v>
      </c>
      <c r="K88" s="45">
        <v>80</v>
      </c>
      <c r="L88" s="43">
        <v>45</v>
      </c>
      <c r="M88" s="46">
        <f>60*0.625</f>
        <v>37.50</v>
      </c>
      <c r="N88" s="181" t="s">
        <v>1255</v>
      </c>
      <c r="O88" s="42">
        <v>42</v>
      </c>
      <c r="P88" s="43">
        <v>31</v>
      </c>
      <c r="Q88" s="44">
        <f>60*0.627</f>
        <v>37.619999999999997</v>
      </c>
      <c r="R88" s="45">
        <v>80</v>
      </c>
      <c r="S88" s="43">
        <v>47</v>
      </c>
      <c r="T88" s="46">
        <f>60*0.541</f>
        <v>32.46</v>
      </c>
      <c r="U88" s="40">
        <v>4</v>
      </c>
      <c r="V88" s="47">
        <v>8976</v>
      </c>
      <c r="W88" s="48">
        <v>2005</v>
      </c>
      <c r="X88" s="139"/>
      <c r="Y88" s="52"/>
      <c r="Z88" s="40" t="s">
        <v>910</v>
      </c>
      <c r="AA88" s="49">
        <f t="shared" si="16"/>
        <v>237415.19999999998</v>
      </c>
      <c r="AB88" s="71">
        <f t="shared" si="17"/>
        <v>0.54</v>
      </c>
      <c r="AC88" s="49">
        <f t="shared" si="18"/>
        <v>109210.99</v>
      </c>
      <c r="AD88" s="50">
        <f t="shared" si="19"/>
        <v>0</v>
      </c>
      <c r="AE88" s="50">
        <f t="shared" si="20"/>
        <v>0</v>
      </c>
      <c r="AF88" s="50">
        <f t="shared" si="21"/>
        <v>109210.99</v>
      </c>
      <c r="AG88" s="199">
        <f t="shared" si="22"/>
        <v>109210</v>
      </c>
      <c r="AH88" s="187"/>
      <c r="AI88" s="185" t="s">
        <v>1449</v>
      </c>
      <c r="AJ88" s="185"/>
      <c r="AK88" s="282">
        <f t="shared" si="15"/>
        <v>8976</v>
      </c>
      <c r="AL88" s="25">
        <f>(SUMIFS('T1 2019 Pipeline Data Lagasco'!$O:$O,'T1 2019 Pipeline Data Lagasco'!$A:$A,'Dec 31 2018 OFFS'!$AI88,'T1 2019 Pipeline Data Lagasco'!$Q:$Q,'Dec 31 2018 OFFS'!$AK88,'T1 2019 Pipeline Data Lagasco'!$E:$E,'Dec 31 2018 OFFS'!$U88,'T1 2019 Pipeline Data Lagasco'!$G:$G,'Dec 31 2018 OFFS'!$W88))/(MAX(COUNTIFS('T1 2019 Pipeline Data Lagasco'!$A:$A,'Dec 31 2018 OFFS'!$AI88,'T1 2019 Pipeline Data Lagasco'!$Q:$Q,'Dec 31 2018 OFFS'!$AK88,'T1 2019 Pipeline Data Lagasco'!$E:$E,'Dec 31 2018 OFFS'!$U88,'T1 2019 Pipeline Data Lagasco'!$G:$G,'Dec 31 2018 OFFS'!$W88),1))</f>
        <v>109210</v>
      </c>
      <c r="AM88" s="274">
        <f t="shared" si="23"/>
        <v>0</v>
      </c>
    </row>
    <row r="89" spans="1:39" ht="12.7">
      <c r="A89" s="193" t="s">
        <v>909</v>
      </c>
      <c r="B89" s="40" t="s">
        <v>919</v>
      </c>
      <c r="C89" s="40" t="s">
        <v>920</v>
      </c>
      <c r="D89" s="40" t="s">
        <v>839</v>
      </c>
      <c r="E89" s="40" t="s">
        <v>1054</v>
      </c>
      <c r="F89" s="40"/>
      <c r="G89" s="41" t="s">
        <v>886</v>
      </c>
      <c r="H89" s="42">
        <v>42</v>
      </c>
      <c r="I89" s="43">
        <v>30</v>
      </c>
      <c r="J89" s="44">
        <v>16.565</v>
      </c>
      <c r="K89" s="45">
        <v>80</v>
      </c>
      <c r="L89" s="43">
        <v>47</v>
      </c>
      <c r="M89" s="46">
        <v>1.8009999999999999</v>
      </c>
      <c r="N89" s="41" t="s">
        <v>883</v>
      </c>
      <c r="O89" s="42">
        <v>42</v>
      </c>
      <c r="P89" s="43">
        <v>29</v>
      </c>
      <c r="Q89" s="44">
        <v>58.045</v>
      </c>
      <c r="R89" s="45">
        <v>80</v>
      </c>
      <c r="S89" s="43">
        <v>45</v>
      </c>
      <c r="T89" s="46">
        <v>4.0170000000000003</v>
      </c>
      <c r="U89" s="40">
        <v>6</v>
      </c>
      <c r="V89" s="47">
        <v>9019.684778159999</v>
      </c>
      <c r="W89" s="48">
        <v>1964</v>
      </c>
      <c r="X89" s="40"/>
      <c r="Y89" s="52"/>
      <c r="Z89" s="40" t="s">
        <v>910</v>
      </c>
      <c r="AA89" s="49">
        <f t="shared" si="16"/>
        <v>312351.68386768078</v>
      </c>
      <c r="AB89" s="71">
        <f t="shared" si="17"/>
        <v>0.80</v>
      </c>
      <c r="AC89" s="49">
        <f t="shared" si="18"/>
        <v>62470.34</v>
      </c>
      <c r="AD89" s="50">
        <f t="shared" si="19"/>
        <v>0</v>
      </c>
      <c r="AE89" s="50">
        <f t="shared" si="20"/>
        <v>0</v>
      </c>
      <c r="AF89" s="50">
        <f t="shared" si="21"/>
        <v>62470.34</v>
      </c>
      <c r="AG89" s="199">
        <f t="shared" si="22"/>
        <v>62470</v>
      </c>
      <c r="AH89" s="187"/>
      <c r="AI89" s="185" t="s">
        <v>1449</v>
      </c>
      <c r="AJ89" s="185"/>
      <c r="AK89" s="277">
        <f t="shared" si="15"/>
        <v>9019.68</v>
      </c>
      <c r="AL89" s="25">
        <f>(SUMIFS('T1 2019 Pipeline Data Lagasco'!$O:$O,'T1 2019 Pipeline Data Lagasco'!$A:$A,'Dec 31 2018 OFFS'!$AI89,'T1 2019 Pipeline Data Lagasco'!$Q:$Q,'Dec 31 2018 OFFS'!$AK89,'T1 2019 Pipeline Data Lagasco'!$E:$E,'Dec 31 2018 OFFS'!$U89,'T1 2019 Pipeline Data Lagasco'!$G:$G,'Dec 31 2018 OFFS'!$W89))/(MAX(COUNTIFS('T1 2019 Pipeline Data Lagasco'!$A:$A,'Dec 31 2018 OFFS'!$AI89,'T1 2019 Pipeline Data Lagasco'!$Q:$Q,'Dec 31 2018 OFFS'!$AK89,'T1 2019 Pipeline Data Lagasco'!$E:$E,'Dec 31 2018 OFFS'!$U89,'T1 2019 Pipeline Data Lagasco'!$G:$G,'Dec 31 2018 OFFS'!$W89),1))</f>
        <v>62470</v>
      </c>
      <c r="AM89" s="274">
        <f t="shared" si="23"/>
        <v>0</v>
      </c>
    </row>
    <row r="90" spans="1:39" ht="12.7">
      <c r="A90" s="193" t="s">
        <v>909</v>
      </c>
      <c r="B90" s="40" t="s">
        <v>919</v>
      </c>
      <c r="C90" s="40" t="s">
        <v>920</v>
      </c>
      <c r="D90" s="40" t="s">
        <v>839</v>
      </c>
      <c r="E90" s="40" t="s">
        <v>1054</v>
      </c>
      <c r="F90" s="40"/>
      <c r="G90" s="40" t="s">
        <v>1257</v>
      </c>
      <c r="H90" s="42">
        <v>42</v>
      </c>
      <c r="I90" s="43">
        <v>32</v>
      </c>
      <c r="J90" s="44">
        <f>60*0.447</f>
        <v>26.82</v>
      </c>
      <c r="K90" s="45">
        <v>80</v>
      </c>
      <c r="L90" s="43">
        <v>51</v>
      </c>
      <c r="M90" s="46">
        <f>60*0.044</f>
        <v>2.6399999999999997</v>
      </c>
      <c r="N90" s="40" t="s">
        <v>1258</v>
      </c>
      <c r="O90" s="42">
        <v>42</v>
      </c>
      <c r="P90" s="43">
        <v>32</v>
      </c>
      <c r="Q90" s="44">
        <f>60*0.515</f>
        <v>30.90</v>
      </c>
      <c r="R90" s="45">
        <v>80</v>
      </c>
      <c r="S90" s="43">
        <v>51</v>
      </c>
      <c r="T90" s="46">
        <f>60*0.825</f>
        <v>49.50</v>
      </c>
      <c r="U90" s="40">
        <v>4</v>
      </c>
      <c r="V90" s="47">
        <v>7480</v>
      </c>
      <c r="W90" s="48">
        <v>2005</v>
      </c>
      <c r="X90" s="139"/>
      <c r="Y90" s="52"/>
      <c r="Z90" s="40" t="s">
        <v>910</v>
      </c>
      <c r="AA90" s="49">
        <f t="shared" si="16"/>
        <v>197846</v>
      </c>
      <c r="AB90" s="71">
        <f t="shared" si="17"/>
        <v>0.54</v>
      </c>
      <c r="AC90" s="49">
        <f t="shared" si="18"/>
        <v>91009.16</v>
      </c>
      <c r="AD90" s="50">
        <f t="shared" si="19"/>
        <v>0</v>
      </c>
      <c r="AE90" s="50">
        <f t="shared" si="20"/>
        <v>0</v>
      </c>
      <c r="AF90" s="50">
        <f t="shared" si="21"/>
        <v>91009.16</v>
      </c>
      <c r="AG90" s="199">
        <f t="shared" si="22"/>
        <v>91009</v>
      </c>
      <c r="AH90" s="187"/>
      <c r="AI90" s="185" t="s">
        <v>1449</v>
      </c>
      <c r="AJ90" s="185"/>
      <c r="AK90" s="282">
        <f t="shared" si="15"/>
        <v>7480</v>
      </c>
      <c r="AL90" s="25">
        <f>(SUMIFS('T1 2019 Pipeline Data Lagasco'!$O:$O,'T1 2019 Pipeline Data Lagasco'!$A:$A,'Dec 31 2018 OFFS'!$AI90,'T1 2019 Pipeline Data Lagasco'!$Q:$Q,'Dec 31 2018 OFFS'!$AK90,'T1 2019 Pipeline Data Lagasco'!$E:$E,'Dec 31 2018 OFFS'!$U90,'T1 2019 Pipeline Data Lagasco'!$G:$G,'Dec 31 2018 OFFS'!$W90))/(MAX(COUNTIFS('T1 2019 Pipeline Data Lagasco'!$A:$A,'Dec 31 2018 OFFS'!$AI90,'T1 2019 Pipeline Data Lagasco'!$Q:$Q,'Dec 31 2018 OFFS'!$AK90,'T1 2019 Pipeline Data Lagasco'!$E:$E,'Dec 31 2018 OFFS'!$U90,'T1 2019 Pipeline Data Lagasco'!$G:$G,'Dec 31 2018 OFFS'!$W90),1))</f>
        <v>91009</v>
      </c>
      <c r="AM90" s="274">
        <f t="shared" si="23"/>
        <v>0</v>
      </c>
    </row>
    <row r="91" spans="1:39" ht="12.7">
      <c r="A91" s="193" t="s">
        <v>909</v>
      </c>
      <c r="B91" s="40" t="s">
        <v>919</v>
      </c>
      <c r="C91" s="40" t="s">
        <v>920</v>
      </c>
      <c r="D91" s="40" t="s">
        <v>839</v>
      </c>
      <c r="E91" s="40" t="s">
        <v>1054</v>
      </c>
      <c r="F91" s="40"/>
      <c r="G91" s="40" t="s">
        <v>226</v>
      </c>
      <c r="H91" s="42">
        <v>42</v>
      </c>
      <c r="I91" s="43">
        <v>31</v>
      </c>
      <c r="J91" s="44">
        <v>11.42</v>
      </c>
      <c r="K91" s="45">
        <v>80</v>
      </c>
      <c r="L91" s="43">
        <v>51</v>
      </c>
      <c r="M91" s="46">
        <v>59.37</v>
      </c>
      <c r="N91" s="41" t="s">
        <v>886</v>
      </c>
      <c r="O91" s="42">
        <v>42</v>
      </c>
      <c r="P91" s="43">
        <v>30</v>
      </c>
      <c r="Q91" s="44">
        <v>16.565</v>
      </c>
      <c r="R91" s="45">
        <v>80</v>
      </c>
      <c r="S91" s="43">
        <v>47</v>
      </c>
      <c r="T91" s="46">
        <v>1.8009999999999999</v>
      </c>
      <c r="U91" s="40">
        <v>8</v>
      </c>
      <c r="V91" s="47">
        <v>22967.354977909999</v>
      </c>
      <c r="W91" s="48">
        <v>1964</v>
      </c>
      <c r="X91" s="40"/>
      <c r="Y91" s="52"/>
      <c r="Z91" s="40" t="s">
        <v>910</v>
      </c>
      <c r="AA91" s="49">
        <f t="shared" si="16"/>
        <v>1132290.6004109629</v>
      </c>
      <c r="AB91" s="71">
        <f t="shared" si="17"/>
        <v>0.80</v>
      </c>
      <c r="AC91" s="49">
        <f t="shared" si="18"/>
        <v>226458.12</v>
      </c>
      <c r="AD91" s="50">
        <f t="shared" si="19"/>
        <v>0</v>
      </c>
      <c r="AE91" s="50">
        <f t="shared" si="20"/>
        <v>0</v>
      </c>
      <c r="AF91" s="50">
        <f t="shared" si="21"/>
        <v>226458.12</v>
      </c>
      <c r="AG91" s="199">
        <f t="shared" si="22"/>
        <v>226458</v>
      </c>
      <c r="AH91" s="187">
        <f>SUM(AF10:AF91)</f>
        <v>2781065.4874999998</v>
      </c>
      <c r="AI91" s="185" t="s">
        <v>1449</v>
      </c>
      <c r="AJ91" s="185"/>
      <c r="AK91" s="277">
        <f t="shared" si="15"/>
        <v>22967.35</v>
      </c>
      <c r="AL91" s="25">
        <f>(SUMIFS('T1 2019 Pipeline Data Lagasco'!$O:$O,'T1 2019 Pipeline Data Lagasco'!$A:$A,'Dec 31 2018 OFFS'!$AI91,'T1 2019 Pipeline Data Lagasco'!$Q:$Q,'Dec 31 2018 OFFS'!$AK91,'T1 2019 Pipeline Data Lagasco'!$E:$E,'Dec 31 2018 OFFS'!$U91,'T1 2019 Pipeline Data Lagasco'!$G:$G,'Dec 31 2018 OFFS'!$W91))/(MAX(COUNTIFS('T1 2019 Pipeline Data Lagasco'!$A:$A,'Dec 31 2018 OFFS'!$AI91,'T1 2019 Pipeline Data Lagasco'!$Q:$Q,'Dec 31 2018 OFFS'!$AK91,'T1 2019 Pipeline Data Lagasco'!$E:$E,'Dec 31 2018 OFFS'!$U91,'T1 2019 Pipeline Data Lagasco'!$G:$G,'Dec 31 2018 OFFS'!$W91),1))</f>
        <v>226458</v>
      </c>
      <c r="AM91" s="274">
        <f t="shared" si="23"/>
        <v>0</v>
      </c>
    </row>
    <row r="92" spans="1:39" ht="12.7">
      <c r="A92" s="193" t="s">
        <v>909</v>
      </c>
      <c r="B92" s="40" t="s">
        <v>919</v>
      </c>
      <c r="C92" s="40" t="s">
        <v>920</v>
      </c>
      <c r="D92" s="40" t="s">
        <v>1028</v>
      </c>
      <c r="E92" s="40" t="s">
        <v>1054</v>
      </c>
      <c r="F92" s="40"/>
      <c r="G92" s="41" t="s">
        <v>1023</v>
      </c>
      <c r="H92" s="42">
        <v>42</v>
      </c>
      <c r="I92" s="43">
        <v>24</v>
      </c>
      <c r="J92" s="44" t="s">
        <v>1024</v>
      </c>
      <c r="K92" s="45">
        <v>81</v>
      </c>
      <c r="L92" s="43" t="s">
        <v>1025</v>
      </c>
      <c r="M92" s="46" t="s">
        <v>1026</v>
      </c>
      <c r="N92" s="40" t="s">
        <v>1027</v>
      </c>
      <c r="O92" s="42">
        <v>42</v>
      </c>
      <c r="P92" s="43" t="s">
        <v>998</v>
      </c>
      <c r="Q92" s="44" t="s">
        <v>1003</v>
      </c>
      <c r="R92" s="45">
        <v>81</v>
      </c>
      <c r="S92" s="43" t="s">
        <v>1004</v>
      </c>
      <c r="T92" s="46" t="s">
        <v>1005</v>
      </c>
      <c r="U92" s="40">
        <v>6</v>
      </c>
      <c r="V92" s="47">
        <v>10210.629999999999</v>
      </c>
      <c r="W92" s="48">
        <v>1999</v>
      </c>
      <c r="X92" s="40"/>
      <c r="Y92" s="52"/>
      <c r="Z92" s="40" t="s">
        <v>910</v>
      </c>
      <c r="AA92" s="49">
        <f t="shared" si="16"/>
        <v>353594.11690000002</v>
      </c>
      <c r="AB92" s="71">
        <f t="shared" si="17"/>
        <v>0.62</v>
      </c>
      <c r="AC92" s="49">
        <f t="shared" si="18"/>
        <v>134365.76000000001</v>
      </c>
      <c r="AD92" s="50">
        <f t="shared" si="19"/>
        <v>0</v>
      </c>
      <c r="AE92" s="50">
        <f t="shared" si="20"/>
        <v>0</v>
      </c>
      <c r="AF92" s="50">
        <f t="shared" si="21"/>
        <v>134365.76000000001</v>
      </c>
      <c r="AG92" s="199">
        <f t="shared" si="22"/>
        <v>134365</v>
      </c>
      <c r="AH92" s="187"/>
      <c r="AI92" s="185" t="s">
        <v>1450</v>
      </c>
      <c r="AJ92" s="185"/>
      <c r="AK92" s="277">
        <f t="shared" si="15"/>
        <v>10210.629999999999</v>
      </c>
      <c r="AL92" s="25">
        <f>(SUMIFS('T1 2019 Pipeline Data Lagasco'!$O:$O,'T1 2019 Pipeline Data Lagasco'!$A:$A,'Dec 31 2018 OFFS'!$AI92,'T1 2019 Pipeline Data Lagasco'!$Q:$Q,'Dec 31 2018 OFFS'!$AK92,'T1 2019 Pipeline Data Lagasco'!$E:$E,'Dec 31 2018 OFFS'!$U92,'T1 2019 Pipeline Data Lagasco'!$G:$G,'Dec 31 2018 OFFS'!$W92))/(MAX(COUNTIFS('T1 2019 Pipeline Data Lagasco'!$A:$A,'Dec 31 2018 OFFS'!$AI92,'T1 2019 Pipeline Data Lagasco'!$Q:$Q,'Dec 31 2018 OFFS'!$AK92,'T1 2019 Pipeline Data Lagasco'!$E:$E,'Dec 31 2018 OFFS'!$U92,'T1 2019 Pipeline Data Lagasco'!$G:$G,'Dec 31 2018 OFFS'!$W92),1))</f>
        <v>134365</v>
      </c>
      <c r="AM92" s="274">
        <f t="shared" si="23"/>
        <v>0</v>
      </c>
    </row>
    <row r="93" spans="1:39" ht="12.7">
      <c r="A93" s="193" t="s">
        <v>909</v>
      </c>
      <c r="B93" s="40" t="s">
        <v>919</v>
      </c>
      <c r="C93" s="40" t="s">
        <v>920</v>
      </c>
      <c r="D93" s="40" t="s">
        <v>1028</v>
      </c>
      <c r="E93" s="40" t="s">
        <v>1054</v>
      </c>
      <c r="F93" s="40"/>
      <c r="G93" s="41" t="s">
        <v>1029</v>
      </c>
      <c r="H93" s="42">
        <v>42</v>
      </c>
      <c r="I93" s="43">
        <v>24</v>
      </c>
      <c r="J93" s="44">
        <v>25.071999999999999</v>
      </c>
      <c r="K93" s="45">
        <v>81</v>
      </c>
      <c r="L93" s="43">
        <v>17</v>
      </c>
      <c r="M93" s="46">
        <v>46.469000000000001</v>
      </c>
      <c r="N93" s="40" t="s">
        <v>1030</v>
      </c>
      <c r="O93" s="42">
        <v>42</v>
      </c>
      <c r="P93" s="43">
        <v>24</v>
      </c>
      <c r="Q93" s="44">
        <v>39.479999999999997</v>
      </c>
      <c r="R93" s="45">
        <v>81</v>
      </c>
      <c r="S93" s="43">
        <v>15</v>
      </c>
      <c r="T93" s="46">
        <v>15.66</v>
      </c>
      <c r="U93" s="40">
        <v>6</v>
      </c>
      <c r="V93" s="47">
        <v>11406.86</v>
      </c>
      <c r="W93" s="48">
        <v>1999</v>
      </c>
      <c r="X93" s="40"/>
      <c r="Y93" s="52"/>
      <c r="Z93" s="40" t="s">
        <v>910</v>
      </c>
      <c r="AA93" s="49">
        <f t="shared" si="16"/>
        <v>395019.56180000002</v>
      </c>
      <c r="AB93" s="71">
        <f t="shared" si="17"/>
        <v>0.62</v>
      </c>
      <c r="AC93" s="49">
        <f t="shared" si="18"/>
        <v>150107.43</v>
      </c>
      <c r="AD93" s="50">
        <f t="shared" si="19"/>
        <v>0</v>
      </c>
      <c r="AE93" s="50">
        <f t="shared" si="20"/>
        <v>0</v>
      </c>
      <c r="AF93" s="50">
        <f t="shared" si="21"/>
        <v>150107.43</v>
      </c>
      <c r="AG93" s="199">
        <f t="shared" si="22"/>
        <v>150107</v>
      </c>
      <c r="AH93" s="187">
        <f>SUM(AF92:AF93)</f>
        <v>284473.19</v>
      </c>
      <c r="AI93" s="185" t="s">
        <v>1450</v>
      </c>
      <c r="AJ93" s="185"/>
      <c r="AK93" s="277">
        <f t="shared" si="15"/>
        <v>11406.86</v>
      </c>
      <c r="AL93" s="25">
        <f>(SUMIFS('T1 2019 Pipeline Data Lagasco'!$O:$O,'T1 2019 Pipeline Data Lagasco'!$A:$A,'Dec 31 2018 OFFS'!$AI93,'T1 2019 Pipeline Data Lagasco'!$Q:$Q,'Dec 31 2018 OFFS'!$AK93,'T1 2019 Pipeline Data Lagasco'!$E:$E,'Dec 31 2018 OFFS'!$U93,'T1 2019 Pipeline Data Lagasco'!$G:$G,'Dec 31 2018 OFFS'!$W93))/(MAX(COUNTIFS('T1 2019 Pipeline Data Lagasco'!$A:$A,'Dec 31 2018 OFFS'!$AI93,'T1 2019 Pipeline Data Lagasco'!$Q:$Q,'Dec 31 2018 OFFS'!$AK93,'T1 2019 Pipeline Data Lagasco'!$E:$E,'Dec 31 2018 OFFS'!$U93,'T1 2019 Pipeline Data Lagasco'!$G:$G,'Dec 31 2018 OFFS'!$W93),1))</f>
        <v>150107</v>
      </c>
      <c r="AM93" s="274">
        <f t="shared" si="23"/>
        <v>0</v>
      </c>
    </row>
    <row r="94" spans="1:39" ht="12.7">
      <c r="A94" s="193" t="s">
        <v>909</v>
      </c>
      <c r="B94" s="40" t="s">
        <v>919</v>
      </c>
      <c r="C94" s="40" t="s">
        <v>920</v>
      </c>
      <c r="D94" s="40" t="s">
        <v>172</v>
      </c>
      <c r="E94" s="40" t="s">
        <v>1054</v>
      </c>
      <c r="F94" s="40"/>
      <c r="G94" s="41" t="s">
        <v>210</v>
      </c>
      <c r="H94" s="42">
        <v>42</v>
      </c>
      <c r="I94" s="43">
        <v>19</v>
      </c>
      <c r="J94" s="44">
        <v>16.32</v>
      </c>
      <c r="K94" s="45">
        <v>80</v>
      </c>
      <c r="L94" s="43">
        <v>54</v>
      </c>
      <c r="M94" s="46">
        <v>49.98</v>
      </c>
      <c r="N94" s="40" t="s">
        <v>218</v>
      </c>
      <c r="O94" s="42">
        <v>42</v>
      </c>
      <c r="P94" s="43">
        <v>18</v>
      </c>
      <c r="Q94" s="44">
        <v>54.204974</v>
      </c>
      <c r="R94" s="45">
        <v>80</v>
      </c>
      <c r="S94" s="43">
        <v>55</v>
      </c>
      <c r="T94" s="46">
        <v>32.25891</v>
      </c>
      <c r="U94" s="40">
        <v>4</v>
      </c>
      <c r="V94" s="47">
        <v>3885.8266591199999</v>
      </c>
      <c r="W94" s="48">
        <v>1981</v>
      </c>
      <c r="X94" s="40"/>
      <c r="Y94" s="52"/>
      <c r="Z94" s="40" t="s">
        <v>910</v>
      </c>
      <c r="AA94" s="49">
        <f t="shared" si="16"/>
        <v>102780.115133724</v>
      </c>
      <c r="AB94" s="71">
        <f t="shared" si="17"/>
        <v>0.80</v>
      </c>
      <c r="AC94" s="49">
        <f t="shared" si="18"/>
        <v>20556.02</v>
      </c>
      <c r="AD94" s="50">
        <f t="shared" si="19"/>
        <v>0</v>
      </c>
      <c r="AE94" s="50">
        <f t="shared" si="20"/>
        <v>0</v>
      </c>
      <c r="AF94" s="50">
        <f t="shared" si="21"/>
        <v>20556.02</v>
      </c>
      <c r="AG94" s="199">
        <f t="shared" si="22"/>
        <v>20556</v>
      </c>
      <c r="AH94" s="187"/>
      <c r="AI94" s="185" t="s">
        <v>1451</v>
      </c>
      <c r="AJ94" s="185"/>
      <c r="AK94" s="277">
        <f t="shared" si="15"/>
        <v>3885.83</v>
      </c>
      <c r="AL94" s="25">
        <f>(SUMIFS('T1 2019 Pipeline Data Lagasco'!$O:$O,'T1 2019 Pipeline Data Lagasco'!$A:$A,'Dec 31 2018 OFFS'!$AI94,'T1 2019 Pipeline Data Lagasco'!$Q:$Q,'Dec 31 2018 OFFS'!$AK94,'T1 2019 Pipeline Data Lagasco'!$E:$E,'Dec 31 2018 OFFS'!$U94,'T1 2019 Pipeline Data Lagasco'!$G:$G,'Dec 31 2018 OFFS'!$W94))/(MAX(COUNTIFS('T1 2019 Pipeline Data Lagasco'!$A:$A,'Dec 31 2018 OFFS'!$AI94,'T1 2019 Pipeline Data Lagasco'!$Q:$Q,'Dec 31 2018 OFFS'!$AK94,'T1 2019 Pipeline Data Lagasco'!$E:$E,'Dec 31 2018 OFFS'!$U94,'T1 2019 Pipeline Data Lagasco'!$G:$G,'Dec 31 2018 OFFS'!$W94),1))</f>
        <v>20556</v>
      </c>
      <c r="AM94" s="274">
        <f t="shared" si="23"/>
        <v>0</v>
      </c>
    </row>
    <row r="95" spans="1:39" ht="12.7">
      <c r="A95" s="193" t="s">
        <v>909</v>
      </c>
      <c r="B95" s="40" t="s">
        <v>919</v>
      </c>
      <c r="C95" s="40" t="s">
        <v>920</v>
      </c>
      <c r="D95" s="40" t="s">
        <v>172</v>
      </c>
      <c r="E95" s="40" t="s">
        <v>1054</v>
      </c>
      <c r="F95" s="40"/>
      <c r="G95" s="41" t="s">
        <v>210</v>
      </c>
      <c r="H95" s="42">
        <v>42</v>
      </c>
      <c r="I95" s="43">
        <v>19</v>
      </c>
      <c r="J95" s="44">
        <v>16.32</v>
      </c>
      <c r="K95" s="45">
        <v>80</v>
      </c>
      <c r="L95" s="43">
        <v>54</v>
      </c>
      <c r="M95" s="46">
        <v>49.98</v>
      </c>
      <c r="N95" s="40" t="s">
        <v>1185</v>
      </c>
      <c r="O95" s="42">
        <v>42</v>
      </c>
      <c r="P95" s="43">
        <v>18</v>
      </c>
      <c r="Q95" s="44">
        <v>26.04</v>
      </c>
      <c r="R95" s="45">
        <v>80</v>
      </c>
      <c r="S95" s="43">
        <v>54</v>
      </c>
      <c r="T95" s="46">
        <v>29.76</v>
      </c>
      <c r="U95" s="40">
        <v>3</v>
      </c>
      <c r="V95" s="47">
        <v>5300</v>
      </c>
      <c r="W95" s="48">
        <v>2003</v>
      </c>
      <c r="X95" s="40"/>
      <c r="Y95" s="52"/>
      <c r="Z95" s="40" t="s">
        <v>910</v>
      </c>
      <c r="AA95" s="49">
        <f t="shared" si="16"/>
        <v>125027</v>
      </c>
      <c r="AB95" s="71">
        <f t="shared" si="17"/>
        <v>0.56999999999999995</v>
      </c>
      <c r="AC95" s="49">
        <f t="shared" si="18"/>
        <v>53761.61</v>
      </c>
      <c r="AD95" s="50">
        <f t="shared" si="19"/>
        <v>0</v>
      </c>
      <c r="AE95" s="50">
        <f t="shared" si="20"/>
        <v>0</v>
      </c>
      <c r="AF95" s="50">
        <f t="shared" si="21"/>
        <v>53761.61</v>
      </c>
      <c r="AG95" s="199">
        <f t="shared" si="22"/>
        <v>53761</v>
      </c>
      <c r="AH95" s="187"/>
      <c r="AI95" s="185" t="s">
        <v>1451</v>
      </c>
      <c r="AJ95" s="185"/>
      <c r="AK95" s="277">
        <f t="shared" si="15"/>
        <v>5300</v>
      </c>
      <c r="AL95" s="25">
        <f>(SUMIFS('T1 2019 Pipeline Data Lagasco'!$O:$O,'T1 2019 Pipeline Data Lagasco'!$A:$A,'Dec 31 2018 OFFS'!$AI95,'T1 2019 Pipeline Data Lagasco'!$Q:$Q,'Dec 31 2018 OFFS'!$AK95,'T1 2019 Pipeline Data Lagasco'!$E:$E,'Dec 31 2018 OFFS'!$U95,'T1 2019 Pipeline Data Lagasco'!$G:$G,'Dec 31 2018 OFFS'!$W95))/(MAX(COUNTIFS('T1 2019 Pipeline Data Lagasco'!$A:$A,'Dec 31 2018 OFFS'!$AI95,'T1 2019 Pipeline Data Lagasco'!$Q:$Q,'Dec 31 2018 OFFS'!$AK95,'T1 2019 Pipeline Data Lagasco'!$E:$E,'Dec 31 2018 OFFS'!$U95,'T1 2019 Pipeline Data Lagasco'!$G:$G,'Dec 31 2018 OFFS'!$W95),1))</f>
        <v>53761</v>
      </c>
      <c r="AM95" s="274">
        <f t="shared" si="23"/>
        <v>0</v>
      </c>
    </row>
    <row r="96" spans="1:39" ht="12.7">
      <c r="A96" s="193" t="s">
        <v>909</v>
      </c>
      <c r="B96" s="40" t="s">
        <v>919</v>
      </c>
      <c r="C96" s="40" t="s">
        <v>920</v>
      </c>
      <c r="D96" s="40" t="s">
        <v>172</v>
      </c>
      <c r="E96" s="40" t="s">
        <v>1054</v>
      </c>
      <c r="F96" s="139" t="s">
        <v>1051</v>
      </c>
      <c r="G96" s="41" t="s">
        <v>1044</v>
      </c>
      <c r="H96" s="42">
        <v>42</v>
      </c>
      <c r="I96" s="43">
        <v>34</v>
      </c>
      <c r="J96" s="44">
        <v>59.28</v>
      </c>
      <c r="K96" s="45">
        <v>80</v>
      </c>
      <c r="L96" s="43">
        <v>55</v>
      </c>
      <c r="M96" s="46">
        <v>29.22</v>
      </c>
      <c r="N96" s="40" t="s">
        <v>1045</v>
      </c>
      <c r="O96" s="42">
        <v>42</v>
      </c>
      <c r="P96" s="43">
        <v>35</v>
      </c>
      <c r="Q96" s="44">
        <v>40.98</v>
      </c>
      <c r="R96" s="45">
        <v>80</v>
      </c>
      <c r="S96" s="43">
        <v>55</v>
      </c>
      <c r="T96" s="46">
        <v>10.02</v>
      </c>
      <c r="U96" s="40">
        <v>4</v>
      </c>
      <c r="V96" s="47">
        <v>4458.99</v>
      </c>
      <c r="W96" s="48">
        <v>1999</v>
      </c>
      <c r="X96" s="40"/>
      <c r="Y96" s="52"/>
      <c r="Z96" s="40" t="s">
        <v>910</v>
      </c>
      <c r="AA96" s="49">
        <f t="shared" si="16"/>
        <v>0</v>
      </c>
      <c r="AB96" s="71">
        <f t="shared" si="17"/>
        <v>0.62</v>
      </c>
      <c r="AC96" s="49">
        <f t="shared" si="18"/>
        <v>0</v>
      </c>
      <c r="AD96" s="50">
        <f t="shared" si="19"/>
        <v>0</v>
      </c>
      <c r="AE96" s="50">
        <f t="shared" si="20"/>
        <v>0</v>
      </c>
      <c r="AF96" s="50">
        <f t="shared" si="21"/>
        <v>0</v>
      </c>
      <c r="AG96" s="199">
        <f t="shared" si="22"/>
        <v>0</v>
      </c>
      <c r="AH96" s="187"/>
      <c r="AI96" s="185" t="s">
        <v>1451</v>
      </c>
      <c r="AJ96" s="185"/>
      <c r="AK96" s="277">
        <f t="shared" si="15"/>
        <v>4458.99</v>
      </c>
      <c r="AL96" s="25">
        <f>(SUMIFS('T1 2019 Pipeline Data Lagasco'!$O:$O,'T1 2019 Pipeline Data Lagasco'!$A:$A,'Dec 31 2018 OFFS'!$AI96,'T1 2019 Pipeline Data Lagasco'!$Q:$Q,'Dec 31 2018 OFFS'!$AK96,'T1 2019 Pipeline Data Lagasco'!$E:$E,'Dec 31 2018 OFFS'!$U96,'T1 2019 Pipeline Data Lagasco'!$G:$G,'Dec 31 2018 OFFS'!$W96))/(MAX(COUNTIFS('T1 2019 Pipeline Data Lagasco'!$A:$A,'Dec 31 2018 OFFS'!$AI96,'T1 2019 Pipeline Data Lagasco'!$Q:$Q,'Dec 31 2018 OFFS'!$AK96,'T1 2019 Pipeline Data Lagasco'!$E:$E,'Dec 31 2018 OFFS'!$U96,'T1 2019 Pipeline Data Lagasco'!$G:$G,'Dec 31 2018 OFFS'!$W96),1))</f>
        <v>0</v>
      </c>
      <c r="AM96" s="274">
        <f t="shared" si="23"/>
        <v>0</v>
      </c>
    </row>
    <row r="97" spans="1:39" ht="12.7">
      <c r="A97" s="193" t="s">
        <v>909</v>
      </c>
      <c r="B97" s="40" t="s">
        <v>919</v>
      </c>
      <c r="C97" s="40" t="s">
        <v>920</v>
      </c>
      <c r="D97" s="40" t="s">
        <v>172</v>
      </c>
      <c r="E97" s="40" t="s">
        <v>1054</v>
      </c>
      <c r="F97" s="40" t="s">
        <v>1051</v>
      </c>
      <c r="G97" s="41" t="s">
        <v>174</v>
      </c>
      <c r="H97" s="42">
        <v>42</v>
      </c>
      <c r="I97" s="43">
        <v>33</v>
      </c>
      <c r="J97" s="44">
        <v>22.635999999999999</v>
      </c>
      <c r="K97" s="45">
        <v>80</v>
      </c>
      <c r="L97" s="43">
        <v>59</v>
      </c>
      <c r="M97" s="46">
        <v>30.04</v>
      </c>
      <c r="N97" s="40" t="s">
        <v>175</v>
      </c>
      <c r="O97" s="42">
        <v>42</v>
      </c>
      <c r="P97" s="43">
        <v>33</v>
      </c>
      <c r="Q97" s="44">
        <v>30</v>
      </c>
      <c r="R97" s="45">
        <v>80</v>
      </c>
      <c r="S97" s="43">
        <v>58</v>
      </c>
      <c r="T97" s="46">
        <v>30.48</v>
      </c>
      <c r="U97" s="40">
        <v>2</v>
      </c>
      <c r="V97" s="47">
        <v>4519.32</v>
      </c>
      <c r="W97" s="48">
        <v>1975</v>
      </c>
      <c r="X97" s="40"/>
      <c r="Y97" s="52"/>
      <c r="Z97" s="40" t="s">
        <v>910</v>
      </c>
      <c r="AA97" s="49">
        <f t="shared" si="16"/>
        <v>0</v>
      </c>
      <c r="AB97" s="71">
        <f t="shared" si="17"/>
        <v>0.80</v>
      </c>
      <c r="AC97" s="49">
        <f t="shared" si="18"/>
        <v>0</v>
      </c>
      <c r="AD97" s="50">
        <f t="shared" si="19"/>
        <v>0</v>
      </c>
      <c r="AE97" s="50">
        <f t="shared" si="20"/>
        <v>0</v>
      </c>
      <c r="AF97" s="50">
        <f t="shared" si="21"/>
        <v>0</v>
      </c>
      <c r="AG97" s="199">
        <f t="shared" si="22"/>
        <v>0</v>
      </c>
      <c r="AH97" s="187"/>
      <c r="AI97" s="185" t="s">
        <v>1451</v>
      </c>
      <c r="AJ97" s="185"/>
      <c r="AK97" s="277">
        <f t="shared" si="15"/>
        <v>4519.32</v>
      </c>
      <c r="AL97" s="25">
        <f>(SUMIFS('T1 2019 Pipeline Data Lagasco'!$O:$O,'T1 2019 Pipeline Data Lagasco'!$A:$A,'Dec 31 2018 OFFS'!$AI97,'T1 2019 Pipeline Data Lagasco'!$Q:$Q,'Dec 31 2018 OFFS'!$AK97,'T1 2019 Pipeline Data Lagasco'!$E:$E,'Dec 31 2018 OFFS'!$U97,'T1 2019 Pipeline Data Lagasco'!$G:$G,'Dec 31 2018 OFFS'!$W97))/(MAX(COUNTIFS('T1 2019 Pipeline Data Lagasco'!$A:$A,'Dec 31 2018 OFFS'!$AI97,'T1 2019 Pipeline Data Lagasco'!$Q:$Q,'Dec 31 2018 OFFS'!$AK97,'T1 2019 Pipeline Data Lagasco'!$E:$E,'Dec 31 2018 OFFS'!$U97,'T1 2019 Pipeline Data Lagasco'!$G:$G,'Dec 31 2018 OFFS'!$W97),1))</f>
        <v>0</v>
      </c>
      <c r="AM97" s="274">
        <f t="shared" si="23"/>
        <v>0</v>
      </c>
    </row>
    <row r="98" spans="1:39" ht="12.7">
      <c r="A98" s="193" t="s">
        <v>909</v>
      </c>
      <c r="B98" s="40" t="s">
        <v>919</v>
      </c>
      <c r="C98" s="40" t="s">
        <v>920</v>
      </c>
      <c r="D98" s="40" t="s">
        <v>172</v>
      </c>
      <c r="E98" s="40" t="s">
        <v>1054</v>
      </c>
      <c r="F98" s="40" t="s">
        <v>1051</v>
      </c>
      <c r="G98" s="41" t="s">
        <v>175</v>
      </c>
      <c r="H98" s="42">
        <v>42</v>
      </c>
      <c r="I98" s="43">
        <v>33</v>
      </c>
      <c r="J98" s="44">
        <v>30</v>
      </c>
      <c r="K98" s="45">
        <v>80</v>
      </c>
      <c r="L98" s="43">
        <v>58</v>
      </c>
      <c r="M98" s="46">
        <v>30.48</v>
      </c>
      <c r="N98" s="40" t="s">
        <v>176</v>
      </c>
      <c r="O98" s="42">
        <v>42</v>
      </c>
      <c r="P98" s="43">
        <v>33</v>
      </c>
      <c r="Q98" s="44">
        <v>58.923000000000002</v>
      </c>
      <c r="R98" s="45">
        <v>80</v>
      </c>
      <c r="S98" s="43">
        <v>56</v>
      </c>
      <c r="T98" s="46">
        <v>52.860999999999997</v>
      </c>
      <c r="U98" s="40">
        <v>2</v>
      </c>
      <c r="V98" s="47">
        <v>7870.08</v>
      </c>
      <c r="W98" s="48">
        <v>1982</v>
      </c>
      <c r="X98" s="40"/>
      <c r="Y98" s="52"/>
      <c r="Z98" s="40" t="s">
        <v>910</v>
      </c>
      <c r="AA98" s="49">
        <f t="shared" si="16"/>
        <v>0</v>
      </c>
      <c r="AB98" s="71">
        <f t="shared" si="17"/>
        <v>0.80</v>
      </c>
      <c r="AC98" s="49">
        <f t="shared" si="18"/>
        <v>0</v>
      </c>
      <c r="AD98" s="50">
        <f t="shared" si="19"/>
        <v>0</v>
      </c>
      <c r="AE98" s="50">
        <f t="shared" si="20"/>
        <v>0</v>
      </c>
      <c r="AF98" s="50">
        <f t="shared" si="21"/>
        <v>0</v>
      </c>
      <c r="AG98" s="199">
        <f t="shared" si="22"/>
        <v>0</v>
      </c>
      <c r="AH98" s="187"/>
      <c r="AI98" s="185" t="s">
        <v>1451</v>
      </c>
      <c r="AJ98" s="185"/>
      <c r="AK98" s="277">
        <f t="shared" si="15"/>
        <v>7870.08</v>
      </c>
      <c r="AL98" s="25">
        <f>(SUMIFS('T1 2019 Pipeline Data Lagasco'!$O:$O,'T1 2019 Pipeline Data Lagasco'!$A:$A,'Dec 31 2018 OFFS'!$AI98,'T1 2019 Pipeline Data Lagasco'!$Q:$Q,'Dec 31 2018 OFFS'!$AK98,'T1 2019 Pipeline Data Lagasco'!$E:$E,'Dec 31 2018 OFFS'!$U98,'T1 2019 Pipeline Data Lagasco'!$G:$G,'Dec 31 2018 OFFS'!$W98))/(MAX(COUNTIFS('T1 2019 Pipeline Data Lagasco'!$A:$A,'Dec 31 2018 OFFS'!$AI98,'T1 2019 Pipeline Data Lagasco'!$Q:$Q,'Dec 31 2018 OFFS'!$AK98,'T1 2019 Pipeline Data Lagasco'!$E:$E,'Dec 31 2018 OFFS'!$U98,'T1 2019 Pipeline Data Lagasco'!$G:$G,'Dec 31 2018 OFFS'!$W98),1))</f>
        <v>0</v>
      </c>
      <c r="AM98" s="274">
        <f t="shared" si="23"/>
        <v>0</v>
      </c>
    </row>
    <row r="99" spans="1:39" ht="12.7">
      <c r="A99" s="193" t="s">
        <v>909</v>
      </c>
      <c r="B99" s="40" t="s">
        <v>919</v>
      </c>
      <c r="C99" s="40" t="s">
        <v>920</v>
      </c>
      <c r="D99" s="40" t="s">
        <v>172</v>
      </c>
      <c r="E99" s="40" t="s">
        <v>1054</v>
      </c>
      <c r="F99" s="139" t="s">
        <v>1381</v>
      </c>
      <c r="G99" s="41" t="s">
        <v>175</v>
      </c>
      <c r="H99" s="42">
        <v>42</v>
      </c>
      <c r="I99" s="43">
        <v>33</v>
      </c>
      <c r="J99" s="44">
        <v>30</v>
      </c>
      <c r="K99" s="45">
        <v>80</v>
      </c>
      <c r="L99" s="43">
        <v>58</v>
      </c>
      <c r="M99" s="46">
        <v>30.48</v>
      </c>
      <c r="N99" s="139" t="s">
        <v>205</v>
      </c>
      <c r="O99" s="42">
        <v>42</v>
      </c>
      <c r="P99" s="43">
        <v>33</v>
      </c>
      <c r="Q99" s="44">
        <v>58.923000000000002</v>
      </c>
      <c r="R99" s="45">
        <v>80</v>
      </c>
      <c r="S99" s="43">
        <v>56</v>
      </c>
      <c r="T99" s="46">
        <v>52.860999999999997</v>
      </c>
      <c r="U99" s="40">
        <v>3</v>
      </c>
      <c r="V99" s="280">
        <v>3535</v>
      </c>
      <c r="W99" s="48">
        <v>2006</v>
      </c>
      <c r="X99" s="40"/>
      <c r="Y99" s="52"/>
      <c r="Z99" s="40" t="s">
        <v>910</v>
      </c>
      <c r="AA99" s="49">
        <f t="shared" si="16"/>
        <v>83390.649999999994</v>
      </c>
      <c r="AB99" s="71">
        <f t="shared" si="17"/>
        <v>0.52</v>
      </c>
      <c r="AC99" s="49">
        <f t="shared" si="18"/>
        <v>40027.51</v>
      </c>
      <c r="AD99" s="50">
        <f t="shared" si="19"/>
        <v>0</v>
      </c>
      <c r="AE99" s="50">
        <f t="shared" si="20"/>
        <v>0</v>
      </c>
      <c r="AF99" s="50">
        <f t="shared" si="21"/>
        <v>40027.51</v>
      </c>
      <c r="AG99" s="199">
        <f t="shared" si="22"/>
        <v>40027</v>
      </c>
      <c r="AH99" s="187"/>
      <c r="AI99" s="185" t="s">
        <v>1451</v>
      </c>
      <c r="AJ99" s="185"/>
      <c r="AK99" s="277">
        <f t="shared" si="15"/>
        <v>3535</v>
      </c>
      <c r="AL99" s="25">
        <f>(SUMIFS('T1 2019 Pipeline Data Lagasco'!$O:$O,'T1 2019 Pipeline Data Lagasco'!$A:$A,'Dec 31 2018 OFFS'!$AI99,'T1 2019 Pipeline Data Lagasco'!$Q:$Q,'Dec 31 2018 OFFS'!$AK99,'T1 2019 Pipeline Data Lagasco'!$E:$E,'Dec 31 2018 OFFS'!$U99,'T1 2019 Pipeline Data Lagasco'!$G:$G,'Dec 31 2018 OFFS'!$W99))/(MAX(COUNTIFS('T1 2019 Pipeline Data Lagasco'!$A:$A,'Dec 31 2018 OFFS'!$AI99,'T1 2019 Pipeline Data Lagasco'!$Q:$Q,'Dec 31 2018 OFFS'!$AK99,'T1 2019 Pipeline Data Lagasco'!$E:$E,'Dec 31 2018 OFFS'!$U99,'T1 2019 Pipeline Data Lagasco'!$G:$G,'Dec 31 2018 OFFS'!$W99),1))</f>
        <v>40027</v>
      </c>
      <c r="AM99" s="274">
        <f t="shared" si="23"/>
        <v>0</v>
      </c>
    </row>
    <row r="100" spans="1:39" ht="12.7">
      <c r="A100" s="193" t="s">
        <v>909</v>
      </c>
      <c r="B100" s="40" t="s">
        <v>919</v>
      </c>
      <c r="C100" s="40" t="s">
        <v>920</v>
      </c>
      <c r="D100" s="40" t="s">
        <v>172</v>
      </c>
      <c r="E100" s="40" t="s">
        <v>1054</v>
      </c>
      <c r="F100" s="40"/>
      <c r="G100" s="41" t="s">
        <v>176</v>
      </c>
      <c r="H100" s="42">
        <v>42</v>
      </c>
      <c r="I100" s="43">
        <v>33</v>
      </c>
      <c r="J100" s="44">
        <v>59.08</v>
      </c>
      <c r="K100" s="45">
        <v>80</v>
      </c>
      <c r="L100" s="43">
        <v>56</v>
      </c>
      <c r="M100" s="46">
        <v>53.025</v>
      </c>
      <c r="N100" s="40" t="s">
        <v>1261</v>
      </c>
      <c r="O100" s="42" t="s">
        <v>78</v>
      </c>
      <c r="P100" s="43">
        <v>33</v>
      </c>
      <c r="Q100" s="44">
        <v>25.56</v>
      </c>
      <c r="R100" s="45" t="s">
        <v>1010</v>
      </c>
      <c r="S100" s="43">
        <v>55</v>
      </c>
      <c r="T100" s="46">
        <v>55.44</v>
      </c>
      <c r="U100" s="40">
        <v>3</v>
      </c>
      <c r="V100" s="47">
        <v>5469</v>
      </c>
      <c r="W100" s="48">
        <v>2004</v>
      </c>
      <c r="X100" s="40"/>
      <c r="Y100" s="52" t="s">
        <v>1081</v>
      </c>
      <c r="Z100" s="40" t="s">
        <v>910</v>
      </c>
      <c r="AA100" s="49">
        <f t="shared" si="16"/>
        <v>129013.71</v>
      </c>
      <c r="AB100" s="71">
        <f t="shared" si="17"/>
        <v>0.56000000000000005</v>
      </c>
      <c r="AC100" s="49">
        <f t="shared" si="18"/>
        <v>56766.03</v>
      </c>
      <c r="AD100" s="50">
        <f t="shared" si="19"/>
        <v>0</v>
      </c>
      <c r="AE100" s="50">
        <f t="shared" si="20"/>
        <v>0</v>
      </c>
      <c r="AF100" s="50">
        <f t="shared" si="21"/>
        <v>56766.03</v>
      </c>
      <c r="AG100" s="199">
        <f t="shared" si="22"/>
        <v>56766</v>
      </c>
      <c r="AH100" s="187"/>
      <c r="AI100" s="185" t="s">
        <v>1451</v>
      </c>
      <c r="AJ100" s="185"/>
      <c r="AK100" s="277">
        <f t="shared" si="15"/>
        <v>5469</v>
      </c>
      <c r="AL100" s="25">
        <f>(SUMIFS('T1 2019 Pipeline Data Lagasco'!$O:$O,'T1 2019 Pipeline Data Lagasco'!$A:$A,'Dec 31 2018 OFFS'!$AI100,'T1 2019 Pipeline Data Lagasco'!$Q:$Q,'Dec 31 2018 OFFS'!$AK100,'T1 2019 Pipeline Data Lagasco'!$E:$E,'Dec 31 2018 OFFS'!$U100,'T1 2019 Pipeline Data Lagasco'!$G:$G,'Dec 31 2018 OFFS'!$W100))/(MAX(COUNTIFS('T1 2019 Pipeline Data Lagasco'!$A:$A,'Dec 31 2018 OFFS'!$AI100,'T1 2019 Pipeline Data Lagasco'!$Q:$Q,'Dec 31 2018 OFFS'!$AK100,'T1 2019 Pipeline Data Lagasco'!$E:$E,'Dec 31 2018 OFFS'!$U100,'T1 2019 Pipeline Data Lagasco'!$G:$G,'Dec 31 2018 OFFS'!$W100),1))</f>
        <v>56766</v>
      </c>
      <c r="AM100" s="274">
        <f t="shared" si="23"/>
        <v>0</v>
      </c>
    </row>
    <row r="101" spans="1:39" ht="12.7">
      <c r="A101" s="193" t="s">
        <v>909</v>
      </c>
      <c r="B101" s="40" t="s">
        <v>919</v>
      </c>
      <c r="C101" s="40" t="s">
        <v>920</v>
      </c>
      <c r="D101" s="40" t="s">
        <v>172</v>
      </c>
      <c r="E101" s="40" t="s">
        <v>1054</v>
      </c>
      <c r="F101" s="139" t="s">
        <v>1051</v>
      </c>
      <c r="G101" s="41" t="s">
        <v>1046</v>
      </c>
      <c r="H101" s="42">
        <v>42</v>
      </c>
      <c r="I101" s="43">
        <v>33</v>
      </c>
      <c r="J101" s="44">
        <v>10.02</v>
      </c>
      <c r="K101" s="45">
        <v>80</v>
      </c>
      <c r="L101" s="43">
        <v>56</v>
      </c>
      <c r="M101" s="46">
        <v>7.98</v>
      </c>
      <c r="N101" s="40" t="s">
        <v>1044</v>
      </c>
      <c r="O101" s="42">
        <v>42</v>
      </c>
      <c r="P101" s="43">
        <v>34</v>
      </c>
      <c r="Q101" s="44">
        <v>59.28</v>
      </c>
      <c r="R101" s="45">
        <v>80</v>
      </c>
      <c r="S101" s="43">
        <v>55</v>
      </c>
      <c r="T101" s="46">
        <v>29.22</v>
      </c>
      <c r="U101" s="40">
        <v>4</v>
      </c>
      <c r="V101" s="47">
        <v>11434.45</v>
      </c>
      <c r="W101" s="48">
        <v>1999</v>
      </c>
      <c r="X101" s="40"/>
      <c r="Y101" s="52"/>
      <c r="Z101" s="40" t="s">
        <v>910</v>
      </c>
      <c r="AA101" s="49">
        <f t="shared" si="16"/>
        <v>0</v>
      </c>
      <c r="AB101" s="71">
        <f t="shared" si="17"/>
        <v>0.62</v>
      </c>
      <c r="AC101" s="49">
        <f t="shared" si="18"/>
        <v>0</v>
      </c>
      <c r="AD101" s="50">
        <f t="shared" si="19"/>
        <v>0</v>
      </c>
      <c r="AE101" s="50">
        <f t="shared" si="20"/>
        <v>0</v>
      </c>
      <c r="AF101" s="50">
        <f t="shared" si="21"/>
        <v>0</v>
      </c>
      <c r="AG101" s="199">
        <f t="shared" si="22"/>
        <v>0</v>
      </c>
      <c r="AH101" s="187"/>
      <c r="AI101" s="185" t="s">
        <v>1451</v>
      </c>
      <c r="AJ101" s="185"/>
      <c r="AK101" s="277">
        <f t="shared" si="15"/>
        <v>11434.45</v>
      </c>
      <c r="AL101" s="25">
        <f>(SUMIFS('T1 2019 Pipeline Data Lagasco'!$O:$O,'T1 2019 Pipeline Data Lagasco'!$A:$A,'Dec 31 2018 OFFS'!$AI101,'T1 2019 Pipeline Data Lagasco'!$Q:$Q,'Dec 31 2018 OFFS'!$AK101,'T1 2019 Pipeline Data Lagasco'!$E:$E,'Dec 31 2018 OFFS'!$U101,'T1 2019 Pipeline Data Lagasco'!$G:$G,'Dec 31 2018 OFFS'!$W101))/(MAX(COUNTIFS('T1 2019 Pipeline Data Lagasco'!$A:$A,'Dec 31 2018 OFFS'!$AI101,'T1 2019 Pipeline Data Lagasco'!$Q:$Q,'Dec 31 2018 OFFS'!$AK101,'T1 2019 Pipeline Data Lagasco'!$E:$E,'Dec 31 2018 OFFS'!$U101,'T1 2019 Pipeline Data Lagasco'!$G:$G,'Dec 31 2018 OFFS'!$W101),1))</f>
        <v>0</v>
      </c>
      <c r="AM101" s="274">
        <f t="shared" si="23"/>
        <v>0</v>
      </c>
    </row>
    <row r="102" spans="1:39" ht="12.7">
      <c r="A102" s="193" t="s">
        <v>909</v>
      </c>
      <c r="B102" s="40" t="s">
        <v>919</v>
      </c>
      <c r="C102" s="40" t="s">
        <v>920</v>
      </c>
      <c r="D102" s="40" t="s">
        <v>172</v>
      </c>
      <c r="E102" s="40" t="s">
        <v>1054</v>
      </c>
      <c r="F102" s="40"/>
      <c r="G102" s="41" t="s">
        <v>205</v>
      </c>
      <c r="H102" s="42">
        <v>42</v>
      </c>
      <c r="I102" s="43">
        <v>32</v>
      </c>
      <c r="J102" s="44">
        <v>53.436</v>
      </c>
      <c r="K102" s="45">
        <v>80</v>
      </c>
      <c r="L102" s="43">
        <v>58</v>
      </c>
      <c r="M102" s="46">
        <v>13.352</v>
      </c>
      <c r="N102" s="40" t="s">
        <v>1172</v>
      </c>
      <c r="O102" s="42">
        <v>42</v>
      </c>
      <c r="P102" s="43">
        <v>31</v>
      </c>
      <c r="Q102" s="44">
        <v>16.706</v>
      </c>
      <c r="R102" s="45">
        <v>80</v>
      </c>
      <c r="S102" s="43">
        <v>57</v>
      </c>
      <c r="T102" s="46">
        <v>20.216000000000001</v>
      </c>
      <c r="U102" s="40">
        <v>4</v>
      </c>
      <c r="V102" s="47">
        <v>12471</v>
      </c>
      <c r="W102" s="48">
        <v>1985</v>
      </c>
      <c r="X102" s="40"/>
      <c r="Y102" s="52"/>
      <c r="Z102" s="40" t="s">
        <v>910</v>
      </c>
      <c r="AA102" s="49">
        <f t="shared" si="16"/>
        <v>329857.95</v>
      </c>
      <c r="AB102" s="71">
        <f t="shared" si="17"/>
        <v>0.80</v>
      </c>
      <c r="AC102" s="49">
        <f t="shared" si="18"/>
        <v>65971.59</v>
      </c>
      <c r="AD102" s="50">
        <f t="shared" si="19"/>
        <v>0</v>
      </c>
      <c r="AE102" s="50">
        <f t="shared" si="20"/>
        <v>0</v>
      </c>
      <c r="AF102" s="50">
        <f t="shared" si="21"/>
        <v>65971.59</v>
      </c>
      <c r="AG102" s="199">
        <f t="shared" si="22"/>
        <v>65971</v>
      </c>
      <c r="AH102" s="187"/>
      <c r="AI102" s="185" t="s">
        <v>1451</v>
      </c>
      <c r="AJ102" s="185"/>
      <c r="AK102" s="277">
        <f t="shared" si="15"/>
        <v>12471</v>
      </c>
      <c r="AL102" s="25">
        <f>(SUMIFS('T1 2019 Pipeline Data Lagasco'!$O:$O,'T1 2019 Pipeline Data Lagasco'!$A:$A,'Dec 31 2018 OFFS'!$AI102,'T1 2019 Pipeline Data Lagasco'!$Q:$Q,'Dec 31 2018 OFFS'!$AK102,'T1 2019 Pipeline Data Lagasco'!$E:$E,'Dec 31 2018 OFFS'!$U102,'T1 2019 Pipeline Data Lagasco'!$G:$G,'Dec 31 2018 OFFS'!$W102))/(MAX(COUNTIFS('T1 2019 Pipeline Data Lagasco'!$A:$A,'Dec 31 2018 OFFS'!$AI102,'T1 2019 Pipeline Data Lagasco'!$Q:$Q,'Dec 31 2018 OFFS'!$AK102,'T1 2019 Pipeline Data Lagasco'!$E:$E,'Dec 31 2018 OFFS'!$U102,'T1 2019 Pipeline Data Lagasco'!$G:$G,'Dec 31 2018 OFFS'!$W102),1))</f>
        <v>65971</v>
      </c>
      <c r="AM102" s="274">
        <f t="shared" si="23"/>
        <v>0</v>
      </c>
    </row>
    <row r="103" spans="1:39" ht="12.7">
      <c r="A103" s="193" t="s">
        <v>909</v>
      </c>
      <c r="B103" s="40" t="s">
        <v>919</v>
      </c>
      <c r="C103" s="40" t="s">
        <v>920</v>
      </c>
      <c r="D103" s="40" t="s">
        <v>172</v>
      </c>
      <c r="E103" s="40" t="s">
        <v>1054</v>
      </c>
      <c r="F103" s="40"/>
      <c r="G103" s="41" t="s">
        <v>205</v>
      </c>
      <c r="H103" s="42">
        <v>42</v>
      </c>
      <c r="I103" s="43">
        <v>32</v>
      </c>
      <c r="J103" s="44">
        <v>53.436</v>
      </c>
      <c r="K103" s="45">
        <v>80</v>
      </c>
      <c r="L103" s="43">
        <v>58</v>
      </c>
      <c r="M103" s="46">
        <v>13.352</v>
      </c>
      <c r="N103" s="40" t="s">
        <v>220</v>
      </c>
      <c r="O103" s="42">
        <v>42</v>
      </c>
      <c r="P103" s="43">
        <v>26</v>
      </c>
      <c r="Q103" s="44">
        <v>1.861</v>
      </c>
      <c r="R103" s="45">
        <v>80</v>
      </c>
      <c r="S103" s="43">
        <v>58</v>
      </c>
      <c r="T103" s="46">
        <v>13.314</v>
      </c>
      <c r="U103" s="40">
        <v>6</v>
      </c>
      <c r="V103" s="47">
        <v>41663.581470587997</v>
      </c>
      <c r="W103" s="48">
        <v>1975</v>
      </c>
      <c r="X103" s="40" t="s">
        <v>2</v>
      </c>
      <c r="Y103" s="52"/>
      <c r="Z103" s="40" t="s">
        <v>910</v>
      </c>
      <c r="AA103" s="49">
        <f t="shared" si="16"/>
        <v>1442809.8263264624</v>
      </c>
      <c r="AB103" s="71">
        <f t="shared" si="17"/>
        <v>0.80</v>
      </c>
      <c r="AC103" s="49">
        <f t="shared" si="18"/>
        <v>288561.96999999997</v>
      </c>
      <c r="AD103" s="50">
        <f t="shared" si="19"/>
        <v>72140.492499999993</v>
      </c>
      <c r="AE103" s="50">
        <f t="shared" si="20"/>
        <v>0</v>
      </c>
      <c r="AF103" s="50">
        <f t="shared" si="21"/>
        <v>216421.47749999998</v>
      </c>
      <c r="AG103" s="199">
        <f t="shared" si="22"/>
        <v>216421</v>
      </c>
      <c r="AH103" s="187"/>
      <c r="AI103" s="185" t="s">
        <v>1451</v>
      </c>
      <c r="AJ103" s="185"/>
      <c r="AK103" s="277">
        <f t="shared" si="15"/>
        <v>41663.58</v>
      </c>
      <c r="AL103" s="25">
        <f>(SUMIFS('T1 2019 Pipeline Data Lagasco'!$O:$O,'T1 2019 Pipeline Data Lagasco'!$A:$A,'Dec 31 2018 OFFS'!$AI103,'T1 2019 Pipeline Data Lagasco'!$Q:$Q,'Dec 31 2018 OFFS'!$AK103,'T1 2019 Pipeline Data Lagasco'!$E:$E,'Dec 31 2018 OFFS'!$U103,'T1 2019 Pipeline Data Lagasco'!$G:$G,'Dec 31 2018 OFFS'!$W103))/(MAX(COUNTIFS('T1 2019 Pipeline Data Lagasco'!$A:$A,'Dec 31 2018 OFFS'!$AI103,'T1 2019 Pipeline Data Lagasco'!$Q:$Q,'Dec 31 2018 OFFS'!$AK103,'T1 2019 Pipeline Data Lagasco'!$E:$E,'Dec 31 2018 OFFS'!$U103,'T1 2019 Pipeline Data Lagasco'!$G:$G,'Dec 31 2018 OFFS'!$W103),1))</f>
        <v>216421</v>
      </c>
      <c r="AM103" s="274">
        <f t="shared" si="23"/>
        <v>0</v>
      </c>
    </row>
    <row r="104" spans="1:39" ht="12.7">
      <c r="A104" s="193" t="s">
        <v>909</v>
      </c>
      <c r="B104" s="40" t="s">
        <v>919</v>
      </c>
      <c r="C104" s="40" t="s">
        <v>920</v>
      </c>
      <c r="D104" s="40" t="s">
        <v>172</v>
      </c>
      <c r="E104" s="40" t="s">
        <v>1054</v>
      </c>
      <c r="F104" s="40"/>
      <c r="G104" s="41" t="s">
        <v>205</v>
      </c>
      <c r="H104" s="42">
        <v>42</v>
      </c>
      <c r="I104" s="43">
        <v>32</v>
      </c>
      <c r="J104" s="44">
        <v>53.436</v>
      </c>
      <c r="K104" s="45">
        <v>80</v>
      </c>
      <c r="L104" s="43">
        <v>58</v>
      </c>
      <c r="M104" s="46">
        <v>13.352</v>
      </c>
      <c r="N104" s="40" t="s">
        <v>226</v>
      </c>
      <c r="O104" s="42">
        <v>42</v>
      </c>
      <c r="P104" s="43">
        <v>31</v>
      </c>
      <c r="Q104" s="44">
        <v>11.42</v>
      </c>
      <c r="R104" s="45">
        <v>80</v>
      </c>
      <c r="S104" s="43">
        <v>51</v>
      </c>
      <c r="T104" s="46">
        <v>59.37</v>
      </c>
      <c r="U104" s="40">
        <v>8</v>
      </c>
      <c r="V104" s="47">
        <v>29842.814096382001</v>
      </c>
      <c r="W104" s="48">
        <v>1964</v>
      </c>
      <c r="X104" s="40"/>
      <c r="Y104" s="52"/>
      <c r="Z104" s="40" t="s">
        <v>910</v>
      </c>
      <c r="AA104" s="49">
        <f t="shared" si="16"/>
        <v>1471250.7349516326</v>
      </c>
      <c r="AB104" s="71">
        <f t="shared" si="17"/>
        <v>0.80</v>
      </c>
      <c r="AC104" s="49">
        <f t="shared" si="18"/>
        <v>294250.15000000002</v>
      </c>
      <c r="AD104" s="50">
        <f t="shared" si="19"/>
        <v>0</v>
      </c>
      <c r="AE104" s="50">
        <f t="shared" si="20"/>
        <v>0</v>
      </c>
      <c r="AF104" s="50">
        <f t="shared" si="21"/>
        <v>294250.15000000002</v>
      </c>
      <c r="AG104" s="199">
        <f t="shared" si="22"/>
        <v>294250</v>
      </c>
      <c r="AH104" s="187"/>
      <c r="AI104" s="185" t="s">
        <v>1451</v>
      </c>
      <c r="AJ104" s="185"/>
      <c r="AK104" s="277">
        <f t="shared" si="15"/>
        <v>29842.81</v>
      </c>
      <c r="AL104" s="25">
        <f>(SUMIFS('T1 2019 Pipeline Data Lagasco'!$O:$O,'T1 2019 Pipeline Data Lagasco'!$A:$A,'Dec 31 2018 OFFS'!$AI104,'T1 2019 Pipeline Data Lagasco'!$Q:$Q,'Dec 31 2018 OFFS'!$AK104,'T1 2019 Pipeline Data Lagasco'!$E:$E,'Dec 31 2018 OFFS'!$U104,'T1 2019 Pipeline Data Lagasco'!$G:$G,'Dec 31 2018 OFFS'!$W104))/(MAX(COUNTIFS('T1 2019 Pipeline Data Lagasco'!$A:$A,'Dec 31 2018 OFFS'!$AI104,'T1 2019 Pipeline Data Lagasco'!$Q:$Q,'Dec 31 2018 OFFS'!$AK104,'T1 2019 Pipeline Data Lagasco'!$E:$E,'Dec 31 2018 OFFS'!$U104,'T1 2019 Pipeline Data Lagasco'!$G:$G,'Dec 31 2018 OFFS'!$W104),1))</f>
        <v>294250</v>
      </c>
      <c r="AM104" s="274">
        <f t="shared" si="23"/>
        <v>0</v>
      </c>
    </row>
    <row r="105" spans="1:39" ht="12.7">
      <c r="A105" s="193" t="s">
        <v>909</v>
      </c>
      <c r="B105" s="40" t="s">
        <v>919</v>
      </c>
      <c r="C105" s="40" t="s">
        <v>920</v>
      </c>
      <c r="D105" s="40" t="s">
        <v>172</v>
      </c>
      <c r="E105" s="40" t="s">
        <v>1054</v>
      </c>
      <c r="F105" s="40"/>
      <c r="G105" s="41" t="s">
        <v>205</v>
      </c>
      <c r="H105" s="42">
        <v>42</v>
      </c>
      <c r="I105" s="43">
        <v>32</v>
      </c>
      <c r="J105" s="44">
        <v>53.30</v>
      </c>
      <c r="K105" s="45">
        <v>80</v>
      </c>
      <c r="L105" s="43">
        <v>58</v>
      </c>
      <c r="M105" s="46">
        <v>12.90</v>
      </c>
      <c r="N105" s="41" t="s">
        <v>1155</v>
      </c>
      <c r="O105" s="42">
        <v>42</v>
      </c>
      <c r="P105" s="43">
        <v>39</v>
      </c>
      <c r="Q105" s="44">
        <v>35.799999999999997</v>
      </c>
      <c r="R105" s="45">
        <v>80</v>
      </c>
      <c r="S105" s="43">
        <v>54</v>
      </c>
      <c r="T105" s="46">
        <v>17.50</v>
      </c>
      <c r="U105" s="40">
        <v>10</v>
      </c>
      <c r="V105" s="47">
        <v>44553</v>
      </c>
      <c r="W105" s="48">
        <v>2002</v>
      </c>
      <c r="X105" s="40"/>
      <c r="Y105" s="52" t="s">
        <v>1081</v>
      </c>
      <c r="Z105" s="40" t="s">
        <v>910</v>
      </c>
      <c r="AA105" s="49">
        <f t="shared" si="16"/>
        <v>2196462.90</v>
      </c>
      <c r="AB105" s="71">
        <f t="shared" si="17"/>
        <v>0.56999999999999995</v>
      </c>
      <c r="AC105" s="49">
        <f t="shared" si="18"/>
        <v>944479.05</v>
      </c>
      <c r="AD105" s="50">
        <f t="shared" si="19"/>
        <v>0</v>
      </c>
      <c r="AE105" s="50">
        <f t="shared" si="20"/>
        <v>0</v>
      </c>
      <c r="AF105" s="50">
        <f t="shared" si="21"/>
        <v>944479.05</v>
      </c>
      <c r="AG105" s="199">
        <f t="shared" si="22"/>
        <v>944479</v>
      </c>
      <c r="AH105" s="187"/>
      <c r="AI105" s="185" t="s">
        <v>1451</v>
      </c>
      <c r="AJ105" s="185"/>
      <c r="AK105" s="277">
        <f t="shared" si="15"/>
        <v>44553</v>
      </c>
      <c r="AL105" s="25">
        <f>(SUMIFS('T1 2019 Pipeline Data Lagasco'!$O:$O,'T1 2019 Pipeline Data Lagasco'!$A:$A,'Dec 31 2018 OFFS'!$AI105,'T1 2019 Pipeline Data Lagasco'!$Q:$Q,'Dec 31 2018 OFFS'!$AK105,'T1 2019 Pipeline Data Lagasco'!$E:$E,'Dec 31 2018 OFFS'!$U105,'T1 2019 Pipeline Data Lagasco'!$G:$G,'Dec 31 2018 OFFS'!$W105))/(MAX(COUNTIFS('T1 2019 Pipeline Data Lagasco'!$A:$A,'Dec 31 2018 OFFS'!$AI105,'T1 2019 Pipeline Data Lagasco'!$Q:$Q,'Dec 31 2018 OFFS'!$AK105,'T1 2019 Pipeline Data Lagasco'!$E:$E,'Dec 31 2018 OFFS'!$U105,'T1 2019 Pipeline Data Lagasco'!$G:$G,'Dec 31 2018 OFFS'!$W105),1))</f>
        <v>944479</v>
      </c>
      <c r="AM105" s="274">
        <f t="shared" si="23"/>
        <v>0</v>
      </c>
    </row>
    <row r="106" spans="1:39" ht="12.7">
      <c r="A106" s="193" t="s">
        <v>909</v>
      </c>
      <c r="B106" s="40" t="s">
        <v>919</v>
      </c>
      <c r="C106" s="40" t="s">
        <v>920</v>
      </c>
      <c r="D106" s="40" t="s">
        <v>172</v>
      </c>
      <c r="E106" s="40" t="s">
        <v>1054</v>
      </c>
      <c r="F106" s="40" t="s">
        <v>1051</v>
      </c>
      <c r="G106" s="40" t="s">
        <v>1172</v>
      </c>
      <c r="H106" s="42">
        <v>42</v>
      </c>
      <c r="I106" s="43">
        <v>31</v>
      </c>
      <c r="J106" s="44">
        <v>16.706</v>
      </c>
      <c r="K106" s="45">
        <v>80</v>
      </c>
      <c r="L106" s="43">
        <v>57</v>
      </c>
      <c r="M106" s="46">
        <v>20.216000000000001</v>
      </c>
      <c r="N106" s="40" t="s">
        <v>206</v>
      </c>
      <c r="O106" s="42">
        <v>42</v>
      </c>
      <c r="P106" s="43">
        <v>27</v>
      </c>
      <c r="Q106" s="44">
        <v>14.222</v>
      </c>
      <c r="R106" s="45">
        <v>80</v>
      </c>
      <c r="S106" s="43">
        <v>55</v>
      </c>
      <c r="T106" s="46">
        <v>28.853999999999999</v>
      </c>
      <c r="U106" s="40">
        <v>4</v>
      </c>
      <c r="V106" s="47">
        <v>23982</v>
      </c>
      <c r="W106" s="48">
        <v>1971</v>
      </c>
      <c r="X106" s="40"/>
      <c r="Y106" s="52"/>
      <c r="Z106" s="40" t="s">
        <v>910</v>
      </c>
      <c r="AA106" s="49">
        <f t="shared" si="16"/>
        <v>0</v>
      </c>
      <c r="AB106" s="71">
        <f t="shared" si="17"/>
        <v>0.80</v>
      </c>
      <c r="AC106" s="49">
        <f t="shared" si="18"/>
        <v>0</v>
      </c>
      <c r="AD106" s="50">
        <f t="shared" si="19"/>
        <v>0</v>
      </c>
      <c r="AE106" s="50">
        <f t="shared" si="20"/>
        <v>0</v>
      </c>
      <c r="AF106" s="50">
        <f t="shared" si="21"/>
        <v>0</v>
      </c>
      <c r="AG106" s="199">
        <f t="shared" si="22"/>
        <v>0</v>
      </c>
      <c r="AH106" s="187"/>
      <c r="AI106" s="185" t="s">
        <v>1451</v>
      </c>
      <c r="AJ106" s="185"/>
      <c r="AK106" s="277">
        <f t="shared" si="15"/>
        <v>23982</v>
      </c>
      <c r="AL106" s="25">
        <f>(SUMIFS('T1 2019 Pipeline Data Lagasco'!$O:$O,'T1 2019 Pipeline Data Lagasco'!$A:$A,'Dec 31 2018 OFFS'!$AI106,'T1 2019 Pipeline Data Lagasco'!$Q:$Q,'Dec 31 2018 OFFS'!$AK106,'T1 2019 Pipeline Data Lagasco'!$E:$E,'Dec 31 2018 OFFS'!$U106,'T1 2019 Pipeline Data Lagasco'!$G:$G,'Dec 31 2018 OFFS'!$W106))/(MAX(COUNTIFS('T1 2019 Pipeline Data Lagasco'!$A:$A,'Dec 31 2018 OFFS'!$AI106,'T1 2019 Pipeline Data Lagasco'!$Q:$Q,'Dec 31 2018 OFFS'!$AK106,'T1 2019 Pipeline Data Lagasco'!$E:$E,'Dec 31 2018 OFFS'!$U106,'T1 2019 Pipeline Data Lagasco'!$G:$G,'Dec 31 2018 OFFS'!$W106),1))</f>
        <v>0</v>
      </c>
      <c r="AM106" s="274">
        <f t="shared" si="23"/>
        <v>0</v>
      </c>
    </row>
    <row r="107" spans="1:39" ht="12.7">
      <c r="A107" s="193" t="s">
        <v>909</v>
      </c>
      <c r="B107" s="40" t="s">
        <v>919</v>
      </c>
      <c r="C107" s="40" t="s">
        <v>920</v>
      </c>
      <c r="D107" s="40" t="s">
        <v>172</v>
      </c>
      <c r="E107" s="40" t="s">
        <v>1054</v>
      </c>
      <c r="F107" s="40"/>
      <c r="G107" s="40" t="s">
        <v>1172</v>
      </c>
      <c r="H107" s="42">
        <v>42</v>
      </c>
      <c r="I107" s="43">
        <v>31</v>
      </c>
      <c r="J107" s="44">
        <v>16.706</v>
      </c>
      <c r="K107" s="45">
        <v>80</v>
      </c>
      <c r="L107" s="43">
        <v>57</v>
      </c>
      <c r="M107" s="46">
        <v>20.216000000000001</v>
      </c>
      <c r="N107" s="40" t="s">
        <v>1367</v>
      </c>
      <c r="O107" s="42">
        <v>42</v>
      </c>
      <c r="P107" s="43">
        <v>30</v>
      </c>
      <c r="Q107" s="44">
        <v>48.42</v>
      </c>
      <c r="R107" s="45">
        <v>80</v>
      </c>
      <c r="S107" s="43">
        <v>56</v>
      </c>
      <c r="T107" s="46">
        <v>56.16</v>
      </c>
      <c r="U107" s="40">
        <v>4</v>
      </c>
      <c r="V107" s="47">
        <v>3399</v>
      </c>
      <c r="W107" s="48">
        <v>1971</v>
      </c>
      <c r="X107" s="40"/>
      <c r="Y107" s="52"/>
      <c r="Z107" s="40" t="s">
        <v>910</v>
      </c>
      <c r="AA107" s="49">
        <f t="shared" si="16"/>
        <v>89903.55</v>
      </c>
      <c r="AB107" s="71">
        <f t="shared" si="17"/>
        <v>0.80</v>
      </c>
      <c r="AC107" s="49">
        <f t="shared" si="18"/>
        <v>17980.71</v>
      </c>
      <c r="AD107" s="50">
        <f t="shared" si="19"/>
        <v>0</v>
      </c>
      <c r="AE107" s="50">
        <f t="shared" si="20"/>
        <v>0</v>
      </c>
      <c r="AF107" s="50">
        <f t="shared" si="21"/>
        <v>17980.71</v>
      </c>
      <c r="AG107" s="199">
        <f t="shared" si="22"/>
        <v>17980</v>
      </c>
      <c r="AH107" s="187"/>
      <c r="AI107" s="185" t="s">
        <v>1451</v>
      </c>
      <c r="AJ107" s="185"/>
      <c r="AK107" s="277">
        <f t="shared" si="15"/>
        <v>3399</v>
      </c>
      <c r="AL107" s="25">
        <f>(SUMIFS('T1 2019 Pipeline Data Lagasco'!$O:$O,'T1 2019 Pipeline Data Lagasco'!$A:$A,'Dec 31 2018 OFFS'!$AI107,'T1 2019 Pipeline Data Lagasco'!$Q:$Q,'Dec 31 2018 OFFS'!$AK107,'T1 2019 Pipeline Data Lagasco'!$E:$E,'Dec 31 2018 OFFS'!$U107,'T1 2019 Pipeline Data Lagasco'!$G:$G,'Dec 31 2018 OFFS'!$W107))/(MAX(COUNTIFS('T1 2019 Pipeline Data Lagasco'!$A:$A,'Dec 31 2018 OFFS'!$AI107,'T1 2019 Pipeline Data Lagasco'!$Q:$Q,'Dec 31 2018 OFFS'!$AK107,'T1 2019 Pipeline Data Lagasco'!$E:$E,'Dec 31 2018 OFFS'!$U107,'T1 2019 Pipeline Data Lagasco'!$G:$G,'Dec 31 2018 OFFS'!$W107),1))</f>
        <v>17980</v>
      </c>
      <c r="AM107" s="274">
        <f t="shared" si="23"/>
        <v>0</v>
      </c>
    </row>
    <row r="108" spans="1:39" ht="12.7">
      <c r="A108" s="193" t="s">
        <v>909</v>
      </c>
      <c r="B108" s="40" t="s">
        <v>919</v>
      </c>
      <c r="C108" s="40" t="s">
        <v>920</v>
      </c>
      <c r="D108" s="40" t="s">
        <v>172</v>
      </c>
      <c r="E108" s="40" t="s">
        <v>1054</v>
      </c>
      <c r="F108" s="139" t="s">
        <v>1051</v>
      </c>
      <c r="G108" s="41" t="s">
        <v>1047</v>
      </c>
      <c r="H108" s="42">
        <v>42</v>
      </c>
      <c r="I108" s="43">
        <v>31</v>
      </c>
      <c r="J108" s="44">
        <v>28.02</v>
      </c>
      <c r="K108" s="45">
        <v>80</v>
      </c>
      <c r="L108" s="43">
        <v>57</v>
      </c>
      <c r="M108" s="46">
        <v>10.98</v>
      </c>
      <c r="N108" s="40" t="s">
        <v>1046</v>
      </c>
      <c r="O108" s="42">
        <v>42</v>
      </c>
      <c r="P108" s="43">
        <v>33</v>
      </c>
      <c r="Q108" s="44">
        <v>10.02</v>
      </c>
      <c r="R108" s="45">
        <v>80</v>
      </c>
      <c r="S108" s="43">
        <v>56</v>
      </c>
      <c r="T108" s="46">
        <v>7.98</v>
      </c>
      <c r="U108" s="40">
        <v>4</v>
      </c>
      <c r="V108" s="47">
        <v>11351.64</v>
      </c>
      <c r="W108" s="48">
        <v>1999</v>
      </c>
      <c r="X108" s="40"/>
      <c r="Y108" s="52"/>
      <c r="Z108" s="40" t="s">
        <v>910</v>
      </c>
      <c r="AA108" s="49">
        <f t="shared" si="16"/>
        <v>0</v>
      </c>
      <c r="AB108" s="71">
        <f t="shared" si="17"/>
        <v>0.62</v>
      </c>
      <c r="AC108" s="49">
        <f t="shared" si="18"/>
        <v>0</v>
      </c>
      <c r="AD108" s="50">
        <f t="shared" si="19"/>
        <v>0</v>
      </c>
      <c r="AE108" s="50">
        <f t="shared" si="20"/>
        <v>0</v>
      </c>
      <c r="AF108" s="50">
        <f t="shared" si="21"/>
        <v>0</v>
      </c>
      <c r="AG108" s="199">
        <f t="shared" si="22"/>
        <v>0</v>
      </c>
      <c r="AH108" s="187"/>
      <c r="AI108" s="185" t="s">
        <v>1451</v>
      </c>
      <c r="AJ108" s="185"/>
      <c r="AK108" s="277">
        <f t="shared" si="15"/>
        <v>11351.64</v>
      </c>
      <c r="AL108" s="25">
        <f>(SUMIFS('T1 2019 Pipeline Data Lagasco'!$O:$O,'T1 2019 Pipeline Data Lagasco'!$A:$A,'Dec 31 2018 OFFS'!$AI108,'T1 2019 Pipeline Data Lagasco'!$Q:$Q,'Dec 31 2018 OFFS'!$AK108,'T1 2019 Pipeline Data Lagasco'!$E:$E,'Dec 31 2018 OFFS'!$U108,'T1 2019 Pipeline Data Lagasco'!$G:$G,'Dec 31 2018 OFFS'!$W108))/(MAX(COUNTIFS('T1 2019 Pipeline Data Lagasco'!$A:$A,'Dec 31 2018 OFFS'!$AI108,'T1 2019 Pipeline Data Lagasco'!$Q:$Q,'Dec 31 2018 OFFS'!$AK108,'T1 2019 Pipeline Data Lagasco'!$E:$E,'Dec 31 2018 OFFS'!$U108,'T1 2019 Pipeline Data Lagasco'!$G:$G,'Dec 31 2018 OFFS'!$W108),1))</f>
        <v>0</v>
      </c>
      <c r="AM108" s="274">
        <f t="shared" si="23"/>
        <v>0</v>
      </c>
    </row>
    <row r="109" spans="1:39" ht="12.7">
      <c r="A109" s="193" t="s">
        <v>909</v>
      </c>
      <c r="B109" s="40" t="s">
        <v>919</v>
      </c>
      <c r="C109" s="40" t="s">
        <v>920</v>
      </c>
      <c r="D109" s="40" t="s">
        <v>172</v>
      </c>
      <c r="E109" s="40" t="s">
        <v>1054</v>
      </c>
      <c r="F109" s="40"/>
      <c r="G109" s="40" t="s">
        <v>1367</v>
      </c>
      <c r="H109" s="42">
        <v>42</v>
      </c>
      <c r="I109" s="43">
        <v>30</v>
      </c>
      <c r="J109" s="44">
        <v>48.42</v>
      </c>
      <c r="K109" s="45">
        <v>80</v>
      </c>
      <c r="L109" s="43">
        <v>56</v>
      </c>
      <c r="M109" s="46">
        <v>56.16</v>
      </c>
      <c r="N109" s="40" t="s">
        <v>1368</v>
      </c>
      <c r="O109" s="42">
        <v>42</v>
      </c>
      <c r="P109" s="43">
        <v>30</v>
      </c>
      <c r="Q109" s="44">
        <v>53.40</v>
      </c>
      <c r="R109" s="45">
        <v>80</v>
      </c>
      <c r="S109" s="43">
        <v>56</v>
      </c>
      <c r="T109" s="46">
        <v>34.200000000000003</v>
      </c>
      <c r="U109" s="40">
        <v>4</v>
      </c>
      <c r="V109" s="47">
        <v>5808</v>
      </c>
      <c r="W109" s="48">
        <v>2001</v>
      </c>
      <c r="X109" s="40"/>
      <c r="Y109" s="52"/>
      <c r="Z109" s="40" t="s">
        <v>910</v>
      </c>
      <c r="AA109" s="49">
        <f t="shared" si="16"/>
        <v>153621.60</v>
      </c>
      <c r="AB109" s="71">
        <f t="shared" si="17"/>
        <v>0.59</v>
      </c>
      <c r="AC109" s="49">
        <f t="shared" si="18"/>
        <v>62984.86</v>
      </c>
      <c r="AD109" s="50">
        <f t="shared" si="19"/>
        <v>0</v>
      </c>
      <c r="AE109" s="50">
        <f t="shared" si="20"/>
        <v>0</v>
      </c>
      <c r="AF109" s="50">
        <f t="shared" si="21"/>
        <v>62984.86</v>
      </c>
      <c r="AG109" s="199">
        <f t="shared" si="22"/>
        <v>62984</v>
      </c>
      <c r="AH109" s="187"/>
      <c r="AI109" s="185" t="s">
        <v>1451</v>
      </c>
      <c r="AJ109" s="185"/>
      <c r="AK109" s="277">
        <f t="shared" si="15"/>
        <v>5808</v>
      </c>
      <c r="AL109" s="25">
        <f>(SUMIFS('T1 2019 Pipeline Data Lagasco'!$O:$O,'T1 2019 Pipeline Data Lagasco'!$A:$A,'Dec 31 2018 OFFS'!$AI109,'T1 2019 Pipeline Data Lagasco'!$Q:$Q,'Dec 31 2018 OFFS'!$AK109,'T1 2019 Pipeline Data Lagasco'!$E:$E,'Dec 31 2018 OFFS'!$U109,'T1 2019 Pipeline Data Lagasco'!$G:$G,'Dec 31 2018 OFFS'!$W109))/(MAX(COUNTIFS('T1 2019 Pipeline Data Lagasco'!$A:$A,'Dec 31 2018 OFFS'!$AI109,'T1 2019 Pipeline Data Lagasco'!$Q:$Q,'Dec 31 2018 OFFS'!$AK109,'T1 2019 Pipeline Data Lagasco'!$E:$E,'Dec 31 2018 OFFS'!$U109,'T1 2019 Pipeline Data Lagasco'!$G:$G,'Dec 31 2018 OFFS'!$W109),1))</f>
        <v>62984</v>
      </c>
      <c r="AM109" s="274">
        <f t="shared" si="23"/>
        <v>0</v>
      </c>
    </row>
    <row r="110" spans="1:39" ht="12.7">
      <c r="A110" s="193" t="s">
        <v>909</v>
      </c>
      <c r="B110" s="40" t="s">
        <v>919</v>
      </c>
      <c r="C110" s="40" t="s">
        <v>920</v>
      </c>
      <c r="D110" s="40" t="s">
        <v>172</v>
      </c>
      <c r="E110" s="40" t="s">
        <v>1054</v>
      </c>
      <c r="F110" s="40" t="s">
        <v>1051</v>
      </c>
      <c r="G110" s="41" t="s">
        <v>221</v>
      </c>
      <c r="H110" s="42">
        <v>42</v>
      </c>
      <c r="I110" s="43">
        <v>34</v>
      </c>
      <c r="J110" s="44">
        <f>0.085*60</f>
        <v>5.1000000000000005</v>
      </c>
      <c r="K110" s="45">
        <v>81</v>
      </c>
      <c r="L110" s="43">
        <v>1</v>
      </c>
      <c r="M110" s="46">
        <f>0.251*60</f>
        <v>15.06</v>
      </c>
      <c r="N110" s="41" t="s">
        <v>205</v>
      </c>
      <c r="O110" s="42">
        <v>42</v>
      </c>
      <c r="P110" s="43">
        <v>32</v>
      </c>
      <c r="Q110" s="44">
        <v>53.436</v>
      </c>
      <c r="R110" s="45">
        <v>80</v>
      </c>
      <c r="S110" s="43">
        <v>58</v>
      </c>
      <c r="T110" s="46">
        <v>13.352</v>
      </c>
      <c r="U110" s="40">
        <v>6</v>
      </c>
      <c r="V110" s="47">
        <v>15395</v>
      </c>
      <c r="W110" s="48">
        <v>1970</v>
      </c>
      <c r="X110" s="40" t="s">
        <v>2</v>
      </c>
      <c r="Y110" s="52"/>
      <c r="Z110" s="40" t="s">
        <v>910</v>
      </c>
      <c r="AA110" s="49">
        <f t="shared" si="16"/>
        <v>0</v>
      </c>
      <c r="AB110" s="71">
        <f t="shared" si="17"/>
        <v>0.80</v>
      </c>
      <c r="AC110" s="49">
        <f t="shared" si="18"/>
        <v>0</v>
      </c>
      <c r="AD110" s="50">
        <f t="shared" si="19"/>
        <v>0</v>
      </c>
      <c r="AE110" s="50">
        <f t="shared" si="20"/>
        <v>0</v>
      </c>
      <c r="AF110" s="50">
        <f t="shared" si="21"/>
        <v>0</v>
      </c>
      <c r="AG110" s="199">
        <f t="shared" si="22"/>
        <v>0</v>
      </c>
      <c r="AH110" s="187"/>
      <c r="AI110" s="185" t="s">
        <v>1451</v>
      </c>
      <c r="AJ110" s="185"/>
      <c r="AK110" s="277">
        <f t="shared" si="15"/>
        <v>15395</v>
      </c>
      <c r="AL110" s="25">
        <f>(SUMIFS('T1 2019 Pipeline Data Lagasco'!$O:$O,'T1 2019 Pipeline Data Lagasco'!$A:$A,'Dec 31 2018 OFFS'!$AI110,'T1 2019 Pipeline Data Lagasco'!$Q:$Q,'Dec 31 2018 OFFS'!$AK110,'T1 2019 Pipeline Data Lagasco'!$E:$E,'Dec 31 2018 OFFS'!$U110,'T1 2019 Pipeline Data Lagasco'!$G:$G,'Dec 31 2018 OFFS'!$W110))/(MAX(COUNTIFS('T1 2019 Pipeline Data Lagasco'!$A:$A,'Dec 31 2018 OFFS'!$AI110,'T1 2019 Pipeline Data Lagasco'!$Q:$Q,'Dec 31 2018 OFFS'!$AK110,'T1 2019 Pipeline Data Lagasco'!$E:$E,'Dec 31 2018 OFFS'!$U110,'T1 2019 Pipeline Data Lagasco'!$G:$G,'Dec 31 2018 OFFS'!$W110),1))</f>
        <v>0</v>
      </c>
      <c r="AM110" s="274">
        <f t="shared" si="23"/>
        <v>0</v>
      </c>
    </row>
    <row r="111" spans="1:39" ht="12.7">
      <c r="A111" s="193" t="s">
        <v>909</v>
      </c>
      <c r="B111" s="40" t="s">
        <v>919</v>
      </c>
      <c r="C111" s="40" t="s">
        <v>920</v>
      </c>
      <c r="D111" s="40" t="s">
        <v>172</v>
      </c>
      <c r="E111" s="40" t="s">
        <v>1054</v>
      </c>
      <c r="F111" s="40" t="s">
        <v>1051</v>
      </c>
      <c r="G111" s="40" t="s">
        <v>222</v>
      </c>
      <c r="H111" s="42">
        <v>42</v>
      </c>
      <c r="I111" s="43">
        <v>34</v>
      </c>
      <c r="J111" s="44">
        <v>8.7899999999999991</v>
      </c>
      <c r="K111" s="45">
        <v>81</v>
      </c>
      <c r="L111" s="43">
        <v>1</v>
      </c>
      <c r="M111" s="46">
        <v>11.82</v>
      </c>
      <c r="N111" s="41" t="s">
        <v>205</v>
      </c>
      <c r="O111" s="42">
        <v>42</v>
      </c>
      <c r="P111" s="43">
        <v>32</v>
      </c>
      <c r="Q111" s="44">
        <v>53.436</v>
      </c>
      <c r="R111" s="45">
        <v>80</v>
      </c>
      <c r="S111" s="43">
        <v>58</v>
      </c>
      <c r="T111" s="46">
        <v>13.352</v>
      </c>
      <c r="U111" s="40">
        <v>6</v>
      </c>
      <c r="V111" s="47">
        <v>15363</v>
      </c>
      <c r="W111" s="48">
        <v>1970</v>
      </c>
      <c r="X111" s="40"/>
      <c r="Y111" s="52"/>
      <c r="Z111" s="40" t="s">
        <v>910</v>
      </c>
      <c r="AA111" s="49">
        <f t="shared" si="16"/>
        <v>0</v>
      </c>
      <c r="AB111" s="71">
        <f t="shared" si="17"/>
        <v>0.80</v>
      </c>
      <c r="AC111" s="49">
        <f t="shared" si="18"/>
        <v>0</v>
      </c>
      <c r="AD111" s="50">
        <f t="shared" si="19"/>
        <v>0</v>
      </c>
      <c r="AE111" s="50">
        <f t="shared" si="20"/>
        <v>0</v>
      </c>
      <c r="AF111" s="50">
        <f t="shared" si="21"/>
        <v>0</v>
      </c>
      <c r="AG111" s="199">
        <f t="shared" si="22"/>
        <v>0</v>
      </c>
      <c r="AH111" s="187"/>
      <c r="AI111" s="185" t="s">
        <v>1451</v>
      </c>
      <c r="AJ111" s="185"/>
      <c r="AK111" s="277">
        <f t="shared" si="15"/>
        <v>15363</v>
      </c>
      <c r="AL111" s="25">
        <f>(SUMIFS('T1 2019 Pipeline Data Lagasco'!$O:$O,'T1 2019 Pipeline Data Lagasco'!$A:$A,'Dec 31 2018 OFFS'!$AI111,'T1 2019 Pipeline Data Lagasco'!$Q:$Q,'Dec 31 2018 OFFS'!$AK111,'T1 2019 Pipeline Data Lagasco'!$E:$E,'Dec 31 2018 OFFS'!$U111,'T1 2019 Pipeline Data Lagasco'!$G:$G,'Dec 31 2018 OFFS'!$W111))/(MAX(COUNTIFS('T1 2019 Pipeline Data Lagasco'!$A:$A,'Dec 31 2018 OFFS'!$AI111,'T1 2019 Pipeline Data Lagasco'!$Q:$Q,'Dec 31 2018 OFFS'!$AK111,'T1 2019 Pipeline Data Lagasco'!$E:$E,'Dec 31 2018 OFFS'!$U111,'T1 2019 Pipeline Data Lagasco'!$G:$G,'Dec 31 2018 OFFS'!$W111),1))</f>
        <v>0</v>
      </c>
      <c r="AM111" s="274">
        <f t="shared" si="23"/>
        <v>0</v>
      </c>
    </row>
    <row r="112" spans="1:39" ht="12.7">
      <c r="A112" s="193" t="s">
        <v>909</v>
      </c>
      <c r="B112" s="40" t="s">
        <v>919</v>
      </c>
      <c r="C112" s="40" t="s">
        <v>920</v>
      </c>
      <c r="D112" s="40" t="s">
        <v>172</v>
      </c>
      <c r="E112" s="40" t="s">
        <v>1054</v>
      </c>
      <c r="F112" s="40" t="s">
        <v>1051</v>
      </c>
      <c r="G112" s="40" t="s">
        <v>935</v>
      </c>
      <c r="H112" s="42">
        <v>42</v>
      </c>
      <c r="I112" s="43">
        <v>34</v>
      </c>
      <c r="J112" s="44">
        <v>4.26</v>
      </c>
      <c r="K112" s="45">
        <v>81</v>
      </c>
      <c r="L112" s="43">
        <v>1</v>
      </c>
      <c r="M112" s="46">
        <v>25.09</v>
      </c>
      <c r="N112" s="41" t="s">
        <v>174</v>
      </c>
      <c r="O112" s="42">
        <v>42</v>
      </c>
      <c r="P112" s="43">
        <v>33</v>
      </c>
      <c r="Q112" s="44">
        <v>22.635999999999999</v>
      </c>
      <c r="R112" s="45">
        <v>80</v>
      </c>
      <c r="S112" s="43">
        <v>59</v>
      </c>
      <c r="T112" s="46">
        <v>30.04</v>
      </c>
      <c r="U112" s="40">
        <v>6</v>
      </c>
      <c r="V112" s="47">
        <v>7900</v>
      </c>
      <c r="W112" s="147">
        <v>1970</v>
      </c>
      <c r="X112" s="40"/>
      <c r="Y112" s="52"/>
      <c r="Z112" s="40" t="s">
        <v>910</v>
      </c>
      <c r="AA112" s="49">
        <f t="shared" si="16"/>
        <v>0</v>
      </c>
      <c r="AB112" s="71">
        <f t="shared" si="17"/>
        <v>0.80</v>
      </c>
      <c r="AC112" s="49">
        <f t="shared" si="18"/>
        <v>0</v>
      </c>
      <c r="AD112" s="50">
        <f t="shared" si="19"/>
        <v>0</v>
      </c>
      <c r="AE112" s="50">
        <f t="shared" si="20"/>
        <v>0</v>
      </c>
      <c r="AF112" s="50">
        <f t="shared" si="21"/>
        <v>0</v>
      </c>
      <c r="AG112" s="199">
        <f t="shared" si="22"/>
        <v>0</v>
      </c>
      <c r="AH112" s="187"/>
      <c r="AI112" s="185" t="s">
        <v>1451</v>
      </c>
      <c r="AJ112" s="185"/>
      <c r="AK112" s="277">
        <f t="shared" si="15"/>
        <v>7900</v>
      </c>
      <c r="AL112" s="25">
        <f>(SUMIFS('T1 2019 Pipeline Data Lagasco'!$O:$O,'T1 2019 Pipeline Data Lagasco'!$A:$A,'Dec 31 2018 OFFS'!$AI112,'T1 2019 Pipeline Data Lagasco'!$Q:$Q,'Dec 31 2018 OFFS'!$AK112,'T1 2019 Pipeline Data Lagasco'!$E:$E,'Dec 31 2018 OFFS'!$U112,'T1 2019 Pipeline Data Lagasco'!$G:$G,'Dec 31 2018 OFFS'!$W112))/(MAX(COUNTIFS('T1 2019 Pipeline Data Lagasco'!$A:$A,'Dec 31 2018 OFFS'!$AI112,'T1 2019 Pipeline Data Lagasco'!$Q:$Q,'Dec 31 2018 OFFS'!$AK112,'T1 2019 Pipeline Data Lagasco'!$E:$E,'Dec 31 2018 OFFS'!$U112,'T1 2019 Pipeline Data Lagasco'!$G:$G,'Dec 31 2018 OFFS'!$W112),1))</f>
        <v>0</v>
      </c>
      <c r="AM112" s="274">
        <f t="shared" si="23"/>
        <v>0</v>
      </c>
    </row>
    <row r="113" spans="1:39" ht="12.7">
      <c r="A113" s="193" t="s">
        <v>909</v>
      </c>
      <c r="B113" s="40" t="s">
        <v>919</v>
      </c>
      <c r="C113" s="40" t="s">
        <v>920</v>
      </c>
      <c r="D113" s="40" t="s">
        <v>172</v>
      </c>
      <c r="E113" s="40" t="s">
        <v>1054</v>
      </c>
      <c r="F113" s="40" t="s">
        <v>1051</v>
      </c>
      <c r="G113" s="40" t="s">
        <v>936</v>
      </c>
      <c r="H113" s="42">
        <v>42</v>
      </c>
      <c r="I113" s="43">
        <v>34</v>
      </c>
      <c r="J113" s="44">
        <v>18.32</v>
      </c>
      <c r="K113" s="45">
        <v>81</v>
      </c>
      <c r="L113" s="43">
        <v>2</v>
      </c>
      <c r="M113" s="46">
        <v>16.13</v>
      </c>
      <c r="N113" s="40" t="s">
        <v>223</v>
      </c>
      <c r="O113" s="42">
        <v>42</v>
      </c>
      <c r="P113" s="43">
        <v>34</v>
      </c>
      <c r="Q113" s="44">
        <v>4.26</v>
      </c>
      <c r="R113" s="45">
        <v>81</v>
      </c>
      <c r="S113" s="43">
        <v>1</v>
      </c>
      <c r="T113" s="46">
        <v>25.09</v>
      </c>
      <c r="U113" s="40">
        <v>6</v>
      </c>
      <c r="V113" s="47">
        <v>4071</v>
      </c>
      <c r="W113" s="147">
        <v>1970</v>
      </c>
      <c r="X113" s="40"/>
      <c r="Y113" s="52"/>
      <c r="Z113" s="40" t="s">
        <v>910</v>
      </c>
      <c r="AA113" s="49">
        <f t="shared" si="16"/>
        <v>0</v>
      </c>
      <c r="AB113" s="71">
        <f t="shared" si="17"/>
        <v>0.80</v>
      </c>
      <c r="AC113" s="49">
        <f t="shared" si="18"/>
        <v>0</v>
      </c>
      <c r="AD113" s="50">
        <f t="shared" si="19"/>
        <v>0</v>
      </c>
      <c r="AE113" s="50">
        <f t="shared" si="20"/>
        <v>0</v>
      </c>
      <c r="AF113" s="50">
        <f t="shared" si="21"/>
        <v>0</v>
      </c>
      <c r="AG113" s="199">
        <f t="shared" si="22"/>
        <v>0</v>
      </c>
      <c r="AH113" s="187"/>
      <c r="AI113" s="185" t="s">
        <v>1451</v>
      </c>
      <c r="AJ113" s="185"/>
      <c r="AK113" s="277">
        <f t="shared" si="15"/>
        <v>4071</v>
      </c>
      <c r="AL113" s="25">
        <f>(SUMIFS('T1 2019 Pipeline Data Lagasco'!$O:$O,'T1 2019 Pipeline Data Lagasco'!$A:$A,'Dec 31 2018 OFFS'!$AI113,'T1 2019 Pipeline Data Lagasco'!$Q:$Q,'Dec 31 2018 OFFS'!$AK113,'T1 2019 Pipeline Data Lagasco'!$E:$E,'Dec 31 2018 OFFS'!$U113,'T1 2019 Pipeline Data Lagasco'!$G:$G,'Dec 31 2018 OFFS'!$W113))/(MAX(COUNTIFS('T1 2019 Pipeline Data Lagasco'!$A:$A,'Dec 31 2018 OFFS'!$AI113,'T1 2019 Pipeline Data Lagasco'!$Q:$Q,'Dec 31 2018 OFFS'!$AK113,'T1 2019 Pipeline Data Lagasco'!$E:$E,'Dec 31 2018 OFFS'!$U113,'T1 2019 Pipeline Data Lagasco'!$G:$G,'Dec 31 2018 OFFS'!$W113),1))</f>
        <v>0</v>
      </c>
      <c r="AM113" s="274">
        <f t="shared" si="23"/>
        <v>0</v>
      </c>
    </row>
    <row r="114" spans="1:39" ht="12.7">
      <c r="A114" s="193" t="s">
        <v>909</v>
      </c>
      <c r="B114" s="40" t="s">
        <v>919</v>
      </c>
      <c r="C114" s="40" t="s">
        <v>920</v>
      </c>
      <c r="D114" s="40" t="s">
        <v>172</v>
      </c>
      <c r="E114" s="40" t="s">
        <v>1054</v>
      </c>
      <c r="F114" s="40" t="s">
        <v>1051</v>
      </c>
      <c r="G114" s="40" t="s">
        <v>224</v>
      </c>
      <c r="H114" s="42">
        <v>42</v>
      </c>
      <c r="I114" s="43">
        <v>34</v>
      </c>
      <c r="J114" s="44">
        <v>22.59</v>
      </c>
      <c r="K114" s="45">
        <v>81</v>
      </c>
      <c r="L114" s="43">
        <v>2</v>
      </c>
      <c r="M114" s="46">
        <v>9.64</v>
      </c>
      <c r="N114" s="40" t="s">
        <v>221</v>
      </c>
      <c r="O114" s="42">
        <v>42</v>
      </c>
      <c r="P114" s="43">
        <v>34</v>
      </c>
      <c r="Q114" s="44">
        <f>0.085*60</f>
        <v>5.1000000000000005</v>
      </c>
      <c r="R114" s="45">
        <v>81</v>
      </c>
      <c r="S114" s="43">
        <v>1</v>
      </c>
      <c r="T114" s="46">
        <f>0.251*60</f>
        <v>15.06</v>
      </c>
      <c r="U114" s="40">
        <v>6</v>
      </c>
      <c r="V114" s="47">
        <v>4446</v>
      </c>
      <c r="W114" s="48">
        <v>1970</v>
      </c>
      <c r="X114" s="40" t="s">
        <v>2</v>
      </c>
      <c r="Y114" s="52"/>
      <c r="Z114" s="40" t="s">
        <v>910</v>
      </c>
      <c r="AA114" s="49">
        <f t="shared" si="16"/>
        <v>0</v>
      </c>
      <c r="AB114" s="71">
        <f t="shared" si="17"/>
        <v>0.80</v>
      </c>
      <c r="AC114" s="49">
        <f t="shared" si="18"/>
        <v>0</v>
      </c>
      <c r="AD114" s="50">
        <f t="shared" si="19"/>
        <v>0</v>
      </c>
      <c r="AE114" s="50">
        <f t="shared" si="20"/>
        <v>0</v>
      </c>
      <c r="AF114" s="50">
        <f t="shared" si="21"/>
        <v>0</v>
      </c>
      <c r="AG114" s="199">
        <f t="shared" si="22"/>
        <v>0</v>
      </c>
      <c r="AH114" s="187"/>
      <c r="AI114" s="185" t="s">
        <v>1451</v>
      </c>
      <c r="AJ114" s="185"/>
      <c r="AK114" s="277">
        <f t="shared" si="15"/>
        <v>4446</v>
      </c>
      <c r="AL114" s="25">
        <f>(SUMIFS('T1 2019 Pipeline Data Lagasco'!$O:$O,'T1 2019 Pipeline Data Lagasco'!$A:$A,'Dec 31 2018 OFFS'!$AI114,'T1 2019 Pipeline Data Lagasco'!$Q:$Q,'Dec 31 2018 OFFS'!$AK114,'T1 2019 Pipeline Data Lagasco'!$E:$E,'Dec 31 2018 OFFS'!$U114,'T1 2019 Pipeline Data Lagasco'!$G:$G,'Dec 31 2018 OFFS'!$W114))/(MAX(COUNTIFS('T1 2019 Pipeline Data Lagasco'!$A:$A,'Dec 31 2018 OFFS'!$AI114,'T1 2019 Pipeline Data Lagasco'!$Q:$Q,'Dec 31 2018 OFFS'!$AK114,'T1 2019 Pipeline Data Lagasco'!$E:$E,'Dec 31 2018 OFFS'!$U114,'T1 2019 Pipeline Data Lagasco'!$G:$G,'Dec 31 2018 OFFS'!$W114),1))</f>
        <v>0</v>
      </c>
      <c r="AM114" s="274">
        <f t="shared" si="23"/>
        <v>0</v>
      </c>
    </row>
    <row r="115" spans="1:39" ht="12.7">
      <c r="A115" s="193" t="s">
        <v>909</v>
      </c>
      <c r="B115" s="40" t="s">
        <v>919</v>
      </c>
      <c r="C115" s="40" t="s">
        <v>920</v>
      </c>
      <c r="D115" s="40" t="s">
        <v>172</v>
      </c>
      <c r="E115" s="40" t="s">
        <v>1054</v>
      </c>
      <c r="F115" s="40" t="s">
        <v>1051</v>
      </c>
      <c r="G115" s="40" t="s">
        <v>225</v>
      </c>
      <c r="H115" s="42">
        <v>42</v>
      </c>
      <c r="I115" s="43">
        <v>34</v>
      </c>
      <c r="J115" s="44">
        <v>27.35</v>
      </c>
      <c r="K115" s="45">
        <v>81</v>
      </c>
      <c r="L115" s="43">
        <v>2</v>
      </c>
      <c r="M115" s="46">
        <v>8.2799999999999994</v>
      </c>
      <c r="N115" s="40" t="s">
        <v>222</v>
      </c>
      <c r="O115" s="42">
        <v>42</v>
      </c>
      <c r="P115" s="43">
        <v>34</v>
      </c>
      <c r="Q115" s="44">
        <v>8.7899999999999991</v>
      </c>
      <c r="R115" s="45">
        <v>81</v>
      </c>
      <c r="S115" s="43">
        <v>1</v>
      </c>
      <c r="T115" s="46">
        <v>11.82</v>
      </c>
      <c r="U115" s="40">
        <v>6</v>
      </c>
      <c r="V115" s="47">
        <v>4071</v>
      </c>
      <c r="W115" s="48">
        <v>1970</v>
      </c>
      <c r="X115" s="40"/>
      <c r="Y115" s="52"/>
      <c r="Z115" s="40" t="s">
        <v>910</v>
      </c>
      <c r="AA115" s="49">
        <f t="shared" si="16"/>
        <v>0</v>
      </c>
      <c r="AB115" s="71">
        <f t="shared" si="17"/>
        <v>0.80</v>
      </c>
      <c r="AC115" s="49">
        <f t="shared" si="18"/>
        <v>0</v>
      </c>
      <c r="AD115" s="50">
        <f t="shared" si="19"/>
        <v>0</v>
      </c>
      <c r="AE115" s="50">
        <f t="shared" si="20"/>
        <v>0</v>
      </c>
      <c r="AF115" s="50">
        <f t="shared" si="21"/>
        <v>0</v>
      </c>
      <c r="AG115" s="199">
        <f t="shared" si="22"/>
        <v>0</v>
      </c>
      <c r="AH115" s="187"/>
      <c r="AI115" s="185" t="s">
        <v>1451</v>
      </c>
      <c r="AJ115" s="185"/>
      <c r="AK115" s="277">
        <f t="shared" si="15"/>
        <v>4071</v>
      </c>
      <c r="AL115" s="25">
        <f>(SUMIFS('T1 2019 Pipeline Data Lagasco'!$O:$O,'T1 2019 Pipeline Data Lagasco'!$A:$A,'Dec 31 2018 OFFS'!$AI115,'T1 2019 Pipeline Data Lagasco'!$Q:$Q,'Dec 31 2018 OFFS'!$AK115,'T1 2019 Pipeline Data Lagasco'!$E:$E,'Dec 31 2018 OFFS'!$U115,'T1 2019 Pipeline Data Lagasco'!$G:$G,'Dec 31 2018 OFFS'!$W115))/(MAX(COUNTIFS('T1 2019 Pipeline Data Lagasco'!$A:$A,'Dec 31 2018 OFFS'!$AI115,'T1 2019 Pipeline Data Lagasco'!$Q:$Q,'Dec 31 2018 OFFS'!$AK115,'T1 2019 Pipeline Data Lagasco'!$E:$E,'Dec 31 2018 OFFS'!$U115,'T1 2019 Pipeline Data Lagasco'!$G:$G,'Dec 31 2018 OFFS'!$W115),1))</f>
        <v>0</v>
      </c>
      <c r="AM115" s="274">
        <f t="shared" si="23"/>
        <v>0</v>
      </c>
    </row>
    <row r="116" spans="1:39" ht="12.7">
      <c r="A116" s="193" t="s">
        <v>909</v>
      </c>
      <c r="B116" s="40" t="s">
        <v>919</v>
      </c>
      <c r="C116" s="40" t="s">
        <v>920</v>
      </c>
      <c r="D116" s="40" t="s">
        <v>172</v>
      </c>
      <c r="E116" s="40" t="s">
        <v>1054</v>
      </c>
      <c r="F116" s="40"/>
      <c r="G116" s="41" t="s">
        <v>1006</v>
      </c>
      <c r="H116" s="42" t="s">
        <v>78</v>
      </c>
      <c r="I116" s="43" t="s">
        <v>983</v>
      </c>
      <c r="J116" s="44" t="s">
        <v>1007</v>
      </c>
      <c r="K116" s="45" t="s">
        <v>969</v>
      </c>
      <c r="L116" s="43" t="s">
        <v>995</v>
      </c>
      <c r="M116" s="46" t="s">
        <v>1008</v>
      </c>
      <c r="N116" s="40" t="s">
        <v>201</v>
      </c>
      <c r="O116" s="42" t="s">
        <v>78</v>
      </c>
      <c r="P116" s="43" t="s">
        <v>199</v>
      </c>
      <c r="Q116" s="44" t="s">
        <v>1009</v>
      </c>
      <c r="R116" s="45" t="s">
        <v>1010</v>
      </c>
      <c r="S116" s="43" t="s">
        <v>1011</v>
      </c>
      <c r="T116" s="46" t="s">
        <v>1012</v>
      </c>
      <c r="U116" s="40">
        <v>6</v>
      </c>
      <c r="V116" s="47">
        <v>11275.95</v>
      </c>
      <c r="W116" s="48">
        <v>1999</v>
      </c>
      <c r="X116" s="40"/>
      <c r="Y116" s="52"/>
      <c r="Z116" s="40" t="s">
        <v>910</v>
      </c>
      <c r="AA116" s="49">
        <f t="shared" si="16"/>
        <v>390486.14850000007</v>
      </c>
      <c r="AB116" s="71">
        <f t="shared" si="17"/>
        <v>0.62</v>
      </c>
      <c r="AC116" s="49">
        <f t="shared" si="18"/>
        <v>148384.74</v>
      </c>
      <c r="AD116" s="50">
        <f t="shared" si="19"/>
        <v>0</v>
      </c>
      <c r="AE116" s="50">
        <f t="shared" si="20"/>
        <v>0</v>
      </c>
      <c r="AF116" s="50">
        <f t="shared" si="21"/>
        <v>148384.74</v>
      </c>
      <c r="AG116" s="199">
        <f t="shared" si="22"/>
        <v>148384</v>
      </c>
      <c r="AH116" s="187"/>
      <c r="AI116" s="185" t="s">
        <v>1451</v>
      </c>
      <c r="AJ116" s="185"/>
      <c r="AK116" s="277">
        <f t="shared" si="15"/>
        <v>11275.95</v>
      </c>
      <c r="AL116" s="25">
        <f>(SUMIFS('T1 2019 Pipeline Data Lagasco'!$O:$O,'T1 2019 Pipeline Data Lagasco'!$A:$A,'Dec 31 2018 OFFS'!$AI116,'T1 2019 Pipeline Data Lagasco'!$Q:$Q,'Dec 31 2018 OFFS'!$AK116,'T1 2019 Pipeline Data Lagasco'!$E:$E,'Dec 31 2018 OFFS'!$U116,'T1 2019 Pipeline Data Lagasco'!$G:$G,'Dec 31 2018 OFFS'!$W116))/(MAX(COUNTIFS('T1 2019 Pipeline Data Lagasco'!$A:$A,'Dec 31 2018 OFFS'!$AI116,'T1 2019 Pipeline Data Lagasco'!$Q:$Q,'Dec 31 2018 OFFS'!$AK116,'T1 2019 Pipeline Data Lagasco'!$E:$E,'Dec 31 2018 OFFS'!$U116,'T1 2019 Pipeline Data Lagasco'!$G:$G,'Dec 31 2018 OFFS'!$W116),1))</f>
        <v>148384</v>
      </c>
      <c r="AM116" s="274">
        <f t="shared" si="23"/>
        <v>0</v>
      </c>
    </row>
    <row r="117" spans="1:39" ht="12.7">
      <c r="A117" s="193" t="s">
        <v>909</v>
      </c>
      <c r="B117" s="40" t="s">
        <v>919</v>
      </c>
      <c r="C117" s="40" t="s">
        <v>920</v>
      </c>
      <c r="D117" s="40" t="s">
        <v>172</v>
      </c>
      <c r="E117" s="40" t="s">
        <v>1054</v>
      </c>
      <c r="F117" s="40"/>
      <c r="G117" s="41" t="s">
        <v>993</v>
      </c>
      <c r="H117" s="42" t="s">
        <v>78</v>
      </c>
      <c r="I117" s="43" t="s">
        <v>983</v>
      </c>
      <c r="J117" s="44" t="s">
        <v>994</v>
      </c>
      <c r="K117" s="45" t="s">
        <v>969</v>
      </c>
      <c r="L117" s="43" t="s">
        <v>995</v>
      </c>
      <c r="M117" s="46" t="s">
        <v>996</v>
      </c>
      <c r="N117" s="41" t="s">
        <v>1006</v>
      </c>
      <c r="O117" s="42" t="s">
        <v>78</v>
      </c>
      <c r="P117" s="43" t="s">
        <v>983</v>
      </c>
      <c r="Q117" s="44" t="s">
        <v>1007</v>
      </c>
      <c r="R117" s="45" t="s">
        <v>969</v>
      </c>
      <c r="S117" s="43" t="s">
        <v>995</v>
      </c>
      <c r="T117" s="46" t="s">
        <v>1008</v>
      </c>
      <c r="U117" s="40">
        <v>6</v>
      </c>
      <c r="V117" s="47">
        <v>516.47</v>
      </c>
      <c r="W117" s="48">
        <v>1999</v>
      </c>
      <c r="X117" s="40"/>
      <c r="Y117" s="52"/>
      <c r="Z117" s="40" t="s">
        <v>910</v>
      </c>
      <c r="AA117" s="49">
        <f t="shared" si="16"/>
        <v>17885.356100000001</v>
      </c>
      <c r="AB117" s="71">
        <f t="shared" si="17"/>
        <v>0.62</v>
      </c>
      <c r="AC117" s="49">
        <f t="shared" si="18"/>
        <v>6796.44</v>
      </c>
      <c r="AD117" s="50">
        <f t="shared" si="19"/>
        <v>0</v>
      </c>
      <c r="AE117" s="50">
        <f t="shared" si="20"/>
        <v>0</v>
      </c>
      <c r="AF117" s="50">
        <f t="shared" si="21"/>
        <v>6796.44</v>
      </c>
      <c r="AG117" s="199">
        <f t="shared" si="22"/>
        <v>6796</v>
      </c>
      <c r="AH117" s="187"/>
      <c r="AI117" s="185" t="s">
        <v>1451</v>
      </c>
      <c r="AJ117" s="185"/>
      <c r="AK117" s="277">
        <f t="shared" si="15"/>
        <v>516.47</v>
      </c>
      <c r="AL117" s="25">
        <f>(SUMIFS('T1 2019 Pipeline Data Lagasco'!$O:$O,'T1 2019 Pipeline Data Lagasco'!$A:$A,'Dec 31 2018 OFFS'!$AI117,'T1 2019 Pipeline Data Lagasco'!$Q:$Q,'Dec 31 2018 OFFS'!$AK117,'T1 2019 Pipeline Data Lagasco'!$E:$E,'Dec 31 2018 OFFS'!$U117,'T1 2019 Pipeline Data Lagasco'!$G:$G,'Dec 31 2018 OFFS'!$W117))/(MAX(COUNTIFS('T1 2019 Pipeline Data Lagasco'!$A:$A,'Dec 31 2018 OFFS'!$AI117,'T1 2019 Pipeline Data Lagasco'!$Q:$Q,'Dec 31 2018 OFFS'!$AK117,'T1 2019 Pipeline Data Lagasco'!$E:$E,'Dec 31 2018 OFFS'!$U117,'T1 2019 Pipeline Data Lagasco'!$G:$G,'Dec 31 2018 OFFS'!$W117),1))</f>
        <v>6796</v>
      </c>
      <c r="AM117" s="274">
        <f t="shared" si="23"/>
        <v>0</v>
      </c>
    </row>
    <row r="118" spans="1:39" ht="12.7">
      <c r="A118" s="193" t="s">
        <v>909</v>
      </c>
      <c r="B118" s="40" t="s">
        <v>919</v>
      </c>
      <c r="C118" s="40" t="s">
        <v>920</v>
      </c>
      <c r="D118" s="40" t="s">
        <v>172</v>
      </c>
      <c r="E118" s="40" t="s">
        <v>1054</v>
      </c>
      <c r="F118" s="40"/>
      <c r="G118" s="40" t="s">
        <v>1368</v>
      </c>
      <c r="H118" s="42">
        <v>42</v>
      </c>
      <c r="I118" s="43">
        <v>30</v>
      </c>
      <c r="J118" s="44">
        <v>53.40</v>
      </c>
      <c r="K118" s="45">
        <v>80</v>
      </c>
      <c r="L118" s="43">
        <v>56</v>
      </c>
      <c r="M118" s="46">
        <v>34.200000000000003</v>
      </c>
      <c r="N118" s="40" t="s">
        <v>1369</v>
      </c>
      <c r="O118" s="42">
        <v>42</v>
      </c>
      <c r="P118" s="43">
        <v>28</v>
      </c>
      <c r="Q118" s="44">
        <v>54.78</v>
      </c>
      <c r="R118" s="45">
        <v>80</v>
      </c>
      <c r="S118" s="43">
        <v>56</v>
      </c>
      <c r="T118" s="46">
        <v>8.82</v>
      </c>
      <c r="U118" s="40">
        <v>4</v>
      </c>
      <c r="V118" s="47">
        <v>6232</v>
      </c>
      <c r="W118" s="48">
        <v>1985</v>
      </c>
      <c r="X118" s="40"/>
      <c r="Y118" s="52"/>
      <c r="Z118" s="40" t="s">
        <v>910</v>
      </c>
      <c r="AA118" s="49">
        <f t="shared" si="16"/>
        <v>164836.40</v>
      </c>
      <c r="AB118" s="71">
        <f t="shared" si="17"/>
        <v>0.80</v>
      </c>
      <c r="AC118" s="49">
        <f t="shared" si="18"/>
        <v>32967.28</v>
      </c>
      <c r="AD118" s="50">
        <f t="shared" si="19"/>
        <v>0</v>
      </c>
      <c r="AE118" s="50">
        <f t="shared" si="20"/>
        <v>0</v>
      </c>
      <c r="AF118" s="50">
        <f t="shared" si="21"/>
        <v>32967.28</v>
      </c>
      <c r="AG118" s="199">
        <f t="shared" si="22"/>
        <v>32967</v>
      </c>
      <c r="AH118" s="187"/>
      <c r="AI118" s="185" t="s">
        <v>1451</v>
      </c>
      <c r="AJ118" s="185"/>
      <c r="AK118" s="277">
        <f t="shared" si="15"/>
        <v>6232</v>
      </c>
      <c r="AL118" s="25">
        <f>(SUMIFS('T1 2019 Pipeline Data Lagasco'!$O:$O,'T1 2019 Pipeline Data Lagasco'!$A:$A,'Dec 31 2018 OFFS'!$AI118,'T1 2019 Pipeline Data Lagasco'!$Q:$Q,'Dec 31 2018 OFFS'!$AK118,'T1 2019 Pipeline Data Lagasco'!$E:$E,'Dec 31 2018 OFFS'!$U118,'T1 2019 Pipeline Data Lagasco'!$G:$G,'Dec 31 2018 OFFS'!$W118))/(MAX(COUNTIFS('T1 2019 Pipeline Data Lagasco'!$A:$A,'Dec 31 2018 OFFS'!$AI118,'T1 2019 Pipeline Data Lagasco'!$Q:$Q,'Dec 31 2018 OFFS'!$AK118,'T1 2019 Pipeline Data Lagasco'!$E:$E,'Dec 31 2018 OFFS'!$U118,'T1 2019 Pipeline Data Lagasco'!$G:$G,'Dec 31 2018 OFFS'!$W118),1))</f>
        <v>32967</v>
      </c>
      <c r="AM118" s="274">
        <f t="shared" si="23"/>
        <v>0</v>
      </c>
    </row>
    <row r="119" spans="1:39" ht="12.7">
      <c r="A119" s="193" t="s">
        <v>909</v>
      </c>
      <c r="B119" s="40" t="s">
        <v>919</v>
      </c>
      <c r="C119" s="40" t="s">
        <v>920</v>
      </c>
      <c r="D119" s="40" t="s">
        <v>172</v>
      </c>
      <c r="E119" s="40" t="s">
        <v>1054</v>
      </c>
      <c r="F119" s="139" t="s">
        <v>1051</v>
      </c>
      <c r="G119" s="41" t="s">
        <v>1048</v>
      </c>
      <c r="H119" s="42">
        <v>42</v>
      </c>
      <c r="I119" s="43">
        <v>29</v>
      </c>
      <c r="J119" s="44">
        <v>40.98</v>
      </c>
      <c r="K119" s="45">
        <v>80</v>
      </c>
      <c r="L119" s="43">
        <v>58</v>
      </c>
      <c r="M119" s="46">
        <v>1.02</v>
      </c>
      <c r="N119" s="40" t="s">
        <v>1047</v>
      </c>
      <c r="O119" s="42">
        <v>42</v>
      </c>
      <c r="P119" s="43">
        <v>31</v>
      </c>
      <c r="Q119" s="44">
        <v>28.02</v>
      </c>
      <c r="R119" s="45">
        <v>80</v>
      </c>
      <c r="S119" s="43">
        <v>57</v>
      </c>
      <c r="T119" s="46">
        <v>10.98</v>
      </c>
      <c r="U119" s="40">
        <v>4</v>
      </c>
      <c r="V119" s="47">
        <v>11465.49</v>
      </c>
      <c r="W119" s="48">
        <v>1999</v>
      </c>
      <c r="X119" s="40"/>
      <c r="Y119" s="52"/>
      <c r="Z119" s="40" t="s">
        <v>910</v>
      </c>
      <c r="AA119" s="49">
        <f t="shared" si="16"/>
        <v>0</v>
      </c>
      <c r="AB119" s="71">
        <f t="shared" si="17"/>
        <v>0.62</v>
      </c>
      <c r="AC119" s="49">
        <f t="shared" si="18"/>
        <v>0</v>
      </c>
      <c r="AD119" s="50">
        <f t="shared" si="19"/>
        <v>0</v>
      </c>
      <c r="AE119" s="50">
        <f t="shared" si="20"/>
        <v>0</v>
      </c>
      <c r="AF119" s="50">
        <f t="shared" si="21"/>
        <v>0</v>
      </c>
      <c r="AG119" s="199">
        <f t="shared" si="22"/>
        <v>0</v>
      </c>
      <c r="AH119" s="187"/>
      <c r="AI119" s="185" t="s">
        <v>1451</v>
      </c>
      <c r="AJ119" s="185"/>
      <c r="AK119" s="277">
        <f t="shared" si="15"/>
        <v>11465.49</v>
      </c>
      <c r="AL119" s="25">
        <f>(SUMIFS('T1 2019 Pipeline Data Lagasco'!$O:$O,'T1 2019 Pipeline Data Lagasco'!$A:$A,'Dec 31 2018 OFFS'!$AI119,'T1 2019 Pipeline Data Lagasco'!$Q:$Q,'Dec 31 2018 OFFS'!$AK119,'T1 2019 Pipeline Data Lagasco'!$E:$E,'Dec 31 2018 OFFS'!$U119,'T1 2019 Pipeline Data Lagasco'!$G:$G,'Dec 31 2018 OFFS'!$W119))/(MAX(COUNTIFS('T1 2019 Pipeline Data Lagasco'!$A:$A,'Dec 31 2018 OFFS'!$AI119,'T1 2019 Pipeline Data Lagasco'!$Q:$Q,'Dec 31 2018 OFFS'!$AK119,'T1 2019 Pipeline Data Lagasco'!$E:$E,'Dec 31 2018 OFFS'!$U119,'T1 2019 Pipeline Data Lagasco'!$G:$G,'Dec 31 2018 OFFS'!$W119),1))</f>
        <v>0</v>
      </c>
      <c r="AM119" s="274">
        <f t="shared" si="23"/>
        <v>0</v>
      </c>
    </row>
    <row r="120" spans="1:39" ht="12.7">
      <c r="A120" s="193" t="s">
        <v>909</v>
      </c>
      <c r="B120" s="40" t="s">
        <v>919</v>
      </c>
      <c r="C120" s="40" t="s">
        <v>920</v>
      </c>
      <c r="D120" s="40" t="s">
        <v>172</v>
      </c>
      <c r="E120" s="40" t="s">
        <v>1054</v>
      </c>
      <c r="F120" s="40"/>
      <c r="G120" s="40" t="s">
        <v>1369</v>
      </c>
      <c r="H120" s="42">
        <v>42</v>
      </c>
      <c r="I120" s="43">
        <v>28</v>
      </c>
      <c r="J120" s="44">
        <v>54.78</v>
      </c>
      <c r="K120" s="45">
        <v>80</v>
      </c>
      <c r="L120" s="43">
        <v>56</v>
      </c>
      <c r="M120" s="46">
        <v>8.82</v>
      </c>
      <c r="N120" s="40" t="s">
        <v>1370</v>
      </c>
      <c r="O120" s="42">
        <v>42</v>
      </c>
      <c r="P120" s="43">
        <v>28</v>
      </c>
      <c r="Q120" s="44">
        <v>12.12</v>
      </c>
      <c r="R120" s="45">
        <v>80</v>
      </c>
      <c r="S120" s="43">
        <v>55</v>
      </c>
      <c r="T120" s="46">
        <v>54.90</v>
      </c>
      <c r="U120" s="40">
        <v>4</v>
      </c>
      <c r="V120" s="47">
        <v>4443</v>
      </c>
      <c r="W120" s="48">
        <v>1985</v>
      </c>
      <c r="X120" s="40"/>
      <c r="Y120" s="52"/>
      <c r="Z120" s="40" t="s">
        <v>910</v>
      </c>
      <c r="AA120" s="49">
        <f t="shared" si="16"/>
        <v>117517.34999999999</v>
      </c>
      <c r="AB120" s="71">
        <f t="shared" si="17"/>
        <v>0.80</v>
      </c>
      <c r="AC120" s="49">
        <f t="shared" si="18"/>
        <v>23503.47</v>
      </c>
      <c r="AD120" s="50">
        <f t="shared" si="19"/>
        <v>0</v>
      </c>
      <c r="AE120" s="50">
        <f t="shared" si="20"/>
        <v>0</v>
      </c>
      <c r="AF120" s="50">
        <f t="shared" si="21"/>
        <v>23503.47</v>
      </c>
      <c r="AG120" s="199">
        <f t="shared" si="22"/>
        <v>23503</v>
      </c>
      <c r="AH120" s="187"/>
      <c r="AI120" s="185" t="s">
        <v>1451</v>
      </c>
      <c r="AJ120" s="185"/>
      <c r="AK120" s="277">
        <f t="shared" si="15"/>
        <v>4443</v>
      </c>
      <c r="AL120" s="25">
        <f>(SUMIFS('T1 2019 Pipeline Data Lagasco'!$O:$O,'T1 2019 Pipeline Data Lagasco'!$A:$A,'Dec 31 2018 OFFS'!$AI120,'T1 2019 Pipeline Data Lagasco'!$Q:$Q,'Dec 31 2018 OFFS'!$AK120,'T1 2019 Pipeline Data Lagasco'!$E:$E,'Dec 31 2018 OFFS'!$U120,'T1 2019 Pipeline Data Lagasco'!$G:$G,'Dec 31 2018 OFFS'!$W120))/(MAX(COUNTIFS('T1 2019 Pipeline Data Lagasco'!$A:$A,'Dec 31 2018 OFFS'!$AI120,'T1 2019 Pipeline Data Lagasco'!$Q:$Q,'Dec 31 2018 OFFS'!$AK120,'T1 2019 Pipeline Data Lagasco'!$E:$E,'Dec 31 2018 OFFS'!$U120,'T1 2019 Pipeline Data Lagasco'!$G:$G,'Dec 31 2018 OFFS'!$W120),1))</f>
        <v>23503</v>
      </c>
      <c r="AM120" s="274">
        <f t="shared" si="23"/>
        <v>0</v>
      </c>
    </row>
    <row r="121" spans="1:39" ht="12.7">
      <c r="A121" s="193" t="s">
        <v>909</v>
      </c>
      <c r="B121" s="40" t="s">
        <v>919</v>
      </c>
      <c r="C121" s="40" t="s">
        <v>920</v>
      </c>
      <c r="D121" s="40" t="s">
        <v>172</v>
      </c>
      <c r="E121" s="40" t="s">
        <v>1054</v>
      </c>
      <c r="F121" s="40"/>
      <c r="G121" s="40" t="s">
        <v>1370</v>
      </c>
      <c r="H121" s="42">
        <v>42</v>
      </c>
      <c r="I121" s="43">
        <v>28</v>
      </c>
      <c r="J121" s="44">
        <v>12.12</v>
      </c>
      <c r="K121" s="45">
        <v>80</v>
      </c>
      <c r="L121" s="43">
        <v>55</v>
      </c>
      <c r="M121" s="46">
        <v>54.90</v>
      </c>
      <c r="N121" s="40" t="s">
        <v>1371</v>
      </c>
      <c r="O121" s="42">
        <v>42</v>
      </c>
      <c r="P121" s="43">
        <v>27</v>
      </c>
      <c r="Q121" s="44">
        <v>48.96</v>
      </c>
      <c r="R121" s="45">
        <v>80</v>
      </c>
      <c r="S121" s="43">
        <v>55</v>
      </c>
      <c r="T121" s="46">
        <v>38.520000000000003</v>
      </c>
      <c r="U121" s="40">
        <v>4</v>
      </c>
      <c r="V121" s="47">
        <v>2645</v>
      </c>
      <c r="W121" s="48">
        <v>2001</v>
      </c>
      <c r="X121" s="40"/>
      <c r="Y121" s="52"/>
      <c r="Z121" s="40" t="s">
        <v>910</v>
      </c>
      <c r="AA121" s="49">
        <f t="shared" si="16"/>
        <v>69960.25</v>
      </c>
      <c r="AB121" s="71">
        <f t="shared" si="17"/>
        <v>0.59</v>
      </c>
      <c r="AC121" s="49">
        <f t="shared" si="18"/>
        <v>28683.70</v>
      </c>
      <c r="AD121" s="50">
        <f t="shared" si="19"/>
        <v>0</v>
      </c>
      <c r="AE121" s="50">
        <f t="shared" si="20"/>
        <v>0</v>
      </c>
      <c r="AF121" s="50">
        <f t="shared" si="21"/>
        <v>28683.70</v>
      </c>
      <c r="AG121" s="199">
        <f t="shared" si="22"/>
        <v>28683</v>
      </c>
      <c r="AH121" s="187"/>
      <c r="AI121" s="185" t="s">
        <v>1451</v>
      </c>
      <c r="AJ121" s="185"/>
      <c r="AK121" s="277">
        <f t="shared" si="15"/>
        <v>2645</v>
      </c>
      <c r="AL121" s="25">
        <f>(SUMIFS('T1 2019 Pipeline Data Lagasco'!$O:$O,'T1 2019 Pipeline Data Lagasco'!$A:$A,'Dec 31 2018 OFFS'!$AI121,'T1 2019 Pipeline Data Lagasco'!$Q:$Q,'Dec 31 2018 OFFS'!$AK121,'T1 2019 Pipeline Data Lagasco'!$E:$E,'Dec 31 2018 OFFS'!$U121,'T1 2019 Pipeline Data Lagasco'!$G:$G,'Dec 31 2018 OFFS'!$W121))/(MAX(COUNTIFS('T1 2019 Pipeline Data Lagasco'!$A:$A,'Dec 31 2018 OFFS'!$AI121,'T1 2019 Pipeline Data Lagasco'!$Q:$Q,'Dec 31 2018 OFFS'!$AK121,'T1 2019 Pipeline Data Lagasco'!$E:$E,'Dec 31 2018 OFFS'!$U121,'T1 2019 Pipeline Data Lagasco'!$G:$G,'Dec 31 2018 OFFS'!$W121),1))</f>
        <v>28683</v>
      </c>
      <c r="AM121" s="274">
        <f t="shared" si="23"/>
        <v>0</v>
      </c>
    </row>
    <row r="122" spans="1:39" ht="12.7">
      <c r="A122" s="193" t="s">
        <v>909</v>
      </c>
      <c r="B122" s="40" t="s">
        <v>919</v>
      </c>
      <c r="C122" s="40" t="s">
        <v>920</v>
      </c>
      <c r="D122" s="40" t="s">
        <v>172</v>
      </c>
      <c r="E122" s="40" t="s">
        <v>1054</v>
      </c>
      <c r="F122" s="40"/>
      <c r="G122" s="40" t="s">
        <v>1371</v>
      </c>
      <c r="H122" s="42">
        <v>42</v>
      </c>
      <c r="I122" s="43">
        <v>27</v>
      </c>
      <c r="J122" s="44">
        <v>48.96</v>
      </c>
      <c r="K122" s="45">
        <v>80</v>
      </c>
      <c r="L122" s="43">
        <v>55</v>
      </c>
      <c r="M122" s="46">
        <v>38.520000000000003</v>
      </c>
      <c r="N122" s="40" t="s">
        <v>1372</v>
      </c>
      <c r="O122" s="42">
        <v>42</v>
      </c>
      <c r="P122" s="43">
        <v>26</v>
      </c>
      <c r="Q122" s="44">
        <v>14.34</v>
      </c>
      <c r="R122" s="45">
        <v>80</v>
      </c>
      <c r="S122" s="43">
        <v>55</v>
      </c>
      <c r="T122" s="46">
        <v>13.20</v>
      </c>
      <c r="U122" s="40">
        <v>4</v>
      </c>
      <c r="V122" s="47">
        <v>9767</v>
      </c>
      <c r="W122" s="48">
        <v>1985</v>
      </c>
      <c r="X122" s="40"/>
      <c r="Y122" s="52"/>
      <c r="Z122" s="40" t="s">
        <v>910</v>
      </c>
      <c r="AA122" s="49">
        <f t="shared" si="16"/>
        <v>258337.15</v>
      </c>
      <c r="AB122" s="71">
        <f t="shared" si="17"/>
        <v>0.80</v>
      </c>
      <c r="AC122" s="49">
        <f t="shared" si="18"/>
        <v>51667.43</v>
      </c>
      <c r="AD122" s="50">
        <f t="shared" si="19"/>
        <v>0</v>
      </c>
      <c r="AE122" s="50">
        <f t="shared" si="20"/>
        <v>0</v>
      </c>
      <c r="AF122" s="50">
        <f t="shared" si="21"/>
        <v>51667.43</v>
      </c>
      <c r="AG122" s="199">
        <f t="shared" si="22"/>
        <v>51667</v>
      </c>
      <c r="AH122" s="187"/>
      <c r="AI122" s="185" t="s">
        <v>1451</v>
      </c>
      <c r="AJ122" s="185"/>
      <c r="AK122" s="277">
        <f t="shared" si="15"/>
        <v>9767</v>
      </c>
      <c r="AL122" s="25">
        <f>(SUMIFS('T1 2019 Pipeline Data Lagasco'!$O:$O,'T1 2019 Pipeline Data Lagasco'!$A:$A,'Dec 31 2018 OFFS'!$AI122,'T1 2019 Pipeline Data Lagasco'!$Q:$Q,'Dec 31 2018 OFFS'!$AK122,'T1 2019 Pipeline Data Lagasco'!$E:$E,'Dec 31 2018 OFFS'!$U122,'T1 2019 Pipeline Data Lagasco'!$G:$G,'Dec 31 2018 OFFS'!$W122))/(MAX(COUNTIFS('T1 2019 Pipeline Data Lagasco'!$A:$A,'Dec 31 2018 OFFS'!$AI122,'T1 2019 Pipeline Data Lagasco'!$Q:$Q,'Dec 31 2018 OFFS'!$AK122,'T1 2019 Pipeline Data Lagasco'!$E:$E,'Dec 31 2018 OFFS'!$U122,'T1 2019 Pipeline Data Lagasco'!$G:$G,'Dec 31 2018 OFFS'!$W122),1))</f>
        <v>51667</v>
      </c>
      <c r="AM122" s="274">
        <f t="shared" si="23"/>
        <v>0</v>
      </c>
    </row>
    <row r="123" spans="1:39" ht="12.7">
      <c r="A123" s="193" t="s">
        <v>909</v>
      </c>
      <c r="B123" s="40" t="s">
        <v>919</v>
      </c>
      <c r="C123" s="40" t="s">
        <v>920</v>
      </c>
      <c r="D123" s="40" t="s">
        <v>172</v>
      </c>
      <c r="E123" s="40" t="s">
        <v>1054</v>
      </c>
      <c r="F123" s="40" t="s">
        <v>1051</v>
      </c>
      <c r="G123" s="41" t="s">
        <v>206</v>
      </c>
      <c r="H123" s="42">
        <v>42</v>
      </c>
      <c r="I123" s="43">
        <v>27</v>
      </c>
      <c r="J123" s="44">
        <v>14.222</v>
      </c>
      <c r="K123" s="45">
        <v>80</v>
      </c>
      <c r="L123" s="43">
        <v>55</v>
      </c>
      <c r="M123" s="46">
        <v>28.853999999999999</v>
      </c>
      <c r="N123" s="40" t="s">
        <v>207</v>
      </c>
      <c r="O123" s="42">
        <v>42</v>
      </c>
      <c r="P123" s="43">
        <v>26</v>
      </c>
      <c r="Q123" s="44">
        <v>18.643000000000001</v>
      </c>
      <c r="R123" s="45">
        <v>80</v>
      </c>
      <c r="S123" s="43">
        <v>55</v>
      </c>
      <c r="T123" s="46">
        <v>33.334000000000003</v>
      </c>
      <c r="U123" s="40">
        <v>4</v>
      </c>
      <c r="V123" s="47">
        <v>5630</v>
      </c>
      <c r="W123" s="48">
        <v>1968</v>
      </c>
      <c r="X123" s="40"/>
      <c r="Y123" s="52"/>
      <c r="Z123" s="40" t="s">
        <v>910</v>
      </c>
      <c r="AA123" s="49">
        <f t="shared" si="16"/>
        <v>0</v>
      </c>
      <c r="AB123" s="71">
        <f t="shared" si="17"/>
        <v>0.80</v>
      </c>
      <c r="AC123" s="49">
        <f t="shared" si="18"/>
        <v>0</v>
      </c>
      <c r="AD123" s="50">
        <f t="shared" si="19"/>
        <v>0</v>
      </c>
      <c r="AE123" s="50">
        <f t="shared" si="20"/>
        <v>0</v>
      </c>
      <c r="AF123" s="50">
        <f t="shared" si="21"/>
        <v>0</v>
      </c>
      <c r="AG123" s="199">
        <f t="shared" si="22"/>
        <v>0</v>
      </c>
      <c r="AH123" s="187"/>
      <c r="AI123" s="185" t="s">
        <v>1451</v>
      </c>
      <c r="AJ123" s="185"/>
      <c r="AK123" s="277">
        <f t="shared" si="15"/>
        <v>5630</v>
      </c>
      <c r="AL123" s="25">
        <f>(SUMIFS('T1 2019 Pipeline Data Lagasco'!$O:$O,'T1 2019 Pipeline Data Lagasco'!$A:$A,'Dec 31 2018 OFFS'!$AI123,'T1 2019 Pipeline Data Lagasco'!$Q:$Q,'Dec 31 2018 OFFS'!$AK123,'T1 2019 Pipeline Data Lagasco'!$E:$E,'Dec 31 2018 OFFS'!$U123,'T1 2019 Pipeline Data Lagasco'!$G:$G,'Dec 31 2018 OFFS'!$W123))/(MAX(COUNTIFS('T1 2019 Pipeline Data Lagasco'!$A:$A,'Dec 31 2018 OFFS'!$AI123,'T1 2019 Pipeline Data Lagasco'!$Q:$Q,'Dec 31 2018 OFFS'!$AK123,'T1 2019 Pipeline Data Lagasco'!$E:$E,'Dec 31 2018 OFFS'!$U123,'T1 2019 Pipeline Data Lagasco'!$G:$G,'Dec 31 2018 OFFS'!$W123),1))</f>
        <v>0</v>
      </c>
      <c r="AM123" s="274">
        <f t="shared" si="23"/>
        <v>0</v>
      </c>
    </row>
    <row r="124" spans="1:39" ht="12.7">
      <c r="A124" s="193" t="s">
        <v>909</v>
      </c>
      <c r="B124" s="40" t="s">
        <v>919</v>
      </c>
      <c r="C124" s="40" t="s">
        <v>920</v>
      </c>
      <c r="D124" s="40" t="s">
        <v>172</v>
      </c>
      <c r="E124" s="40" t="s">
        <v>1054</v>
      </c>
      <c r="F124" s="139" t="s">
        <v>1051</v>
      </c>
      <c r="G124" s="41" t="s">
        <v>1049</v>
      </c>
      <c r="H124" s="42">
        <v>42</v>
      </c>
      <c r="I124" s="43">
        <v>27</v>
      </c>
      <c r="J124" s="44">
        <v>54</v>
      </c>
      <c r="K124" s="45">
        <v>80</v>
      </c>
      <c r="L124" s="43">
        <v>58</v>
      </c>
      <c r="M124" s="46">
        <v>49.98</v>
      </c>
      <c r="N124" s="40" t="s">
        <v>1048</v>
      </c>
      <c r="O124" s="42">
        <v>42</v>
      </c>
      <c r="P124" s="43">
        <v>29</v>
      </c>
      <c r="Q124" s="44">
        <v>40.98</v>
      </c>
      <c r="R124" s="45">
        <v>80</v>
      </c>
      <c r="S124" s="43">
        <v>58</v>
      </c>
      <c r="T124" s="46">
        <v>1.02</v>
      </c>
      <c r="U124" s="40">
        <v>4</v>
      </c>
      <c r="V124" s="47">
        <v>11434.05</v>
      </c>
      <c r="W124" s="48">
        <v>1999</v>
      </c>
      <c r="X124" s="40"/>
      <c r="Y124" s="52"/>
      <c r="Z124" s="40" t="s">
        <v>910</v>
      </c>
      <c r="AA124" s="49">
        <f t="shared" si="16"/>
        <v>0</v>
      </c>
      <c r="AB124" s="71">
        <f t="shared" si="17"/>
        <v>0.62</v>
      </c>
      <c r="AC124" s="49">
        <f t="shared" si="18"/>
        <v>0</v>
      </c>
      <c r="AD124" s="50">
        <f t="shared" si="19"/>
        <v>0</v>
      </c>
      <c r="AE124" s="50">
        <f t="shared" si="20"/>
        <v>0</v>
      </c>
      <c r="AF124" s="50">
        <f t="shared" si="21"/>
        <v>0</v>
      </c>
      <c r="AG124" s="199">
        <f t="shared" si="22"/>
        <v>0</v>
      </c>
      <c r="AH124" s="187"/>
      <c r="AI124" s="185" t="s">
        <v>1451</v>
      </c>
      <c r="AJ124" s="185"/>
      <c r="AK124" s="277">
        <f t="shared" si="15"/>
        <v>11434.05</v>
      </c>
      <c r="AL124" s="25">
        <f>(SUMIFS('T1 2019 Pipeline Data Lagasco'!$O:$O,'T1 2019 Pipeline Data Lagasco'!$A:$A,'Dec 31 2018 OFFS'!$AI124,'T1 2019 Pipeline Data Lagasco'!$Q:$Q,'Dec 31 2018 OFFS'!$AK124,'T1 2019 Pipeline Data Lagasco'!$E:$E,'Dec 31 2018 OFFS'!$U124,'T1 2019 Pipeline Data Lagasco'!$G:$G,'Dec 31 2018 OFFS'!$W124))/(MAX(COUNTIFS('T1 2019 Pipeline Data Lagasco'!$A:$A,'Dec 31 2018 OFFS'!$AI124,'T1 2019 Pipeline Data Lagasco'!$Q:$Q,'Dec 31 2018 OFFS'!$AK124,'T1 2019 Pipeline Data Lagasco'!$E:$E,'Dec 31 2018 OFFS'!$U124,'T1 2019 Pipeline Data Lagasco'!$G:$G,'Dec 31 2018 OFFS'!$W124),1))</f>
        <v>0</v>
      </c>
      <c r="AM124" s="274">
        <f t="shared" si="23"/>
        <v>0</v>
      </c>
    </row>
    <row r="125" spans="1:39" ht="12.7">
      <c r="A125" s="193" t="s">
        <v>909</v>
      </c>
      <c r="B125" s="40" t="s">
        <v>919</v>
      </c>
      <c r="C125" s="40" t="s">
        <v>920</v>
      </c>
      <c r="D125" s="40" t="s">
        <v>172</v>
      </c>
      <c r="E125" s="40" t="s">
        <v>1054</v>
      </c>
      <c r="F125" s="139" t="s">
        <v>1051</v>
      </c>
      <c r="G125" s="41" t="s">
        <v>1050</v>
      </c>
      <c r="H125" s="42">
        <v>42</v>
      </c>
      <c r="I125" s="43">
        <v>46</v>
      </c>
      <c r="J125" s="44">
        <v>7.20</v>
      </c>
      <c r="K125" s="45">
        <v>80</v>
      </c>
      <c r="L125" s="43">
        <v>59</v>
      </c>
      <c r="M125" s="46">
        <v>37</v>
      </c>
      <c r="N125" s="41" t="s">
        <v>1157</v>
      </c>
      <c r="O125" s="42">
        <v>42</v>
      </c>
      <c r="P125" s="43">
        <v>36</v>
      </c>
      <c r="Q125" s="44">
        <v>45.10</v>
      </c>
      <c r="R125" s="45">
        <v>80</v>
      </c>
      <c r="S125" s="43">
        <v>54</v>
      </c>
      <c r="T125" s="46">
        <v>49.50</v>
      </c>
      <c r="U125" s="40">
        <v>6</v>
      </c>
      <c r="V125" s="47">
        <v>68167</v>
      </c>
      <c r="W125" s="48">
        <v>2002</v>
      </c>
      <c r="X125" s="40"/>
      <c r="Y125" s="52"/>
      <c r="Z125" s="40" t="s">
        <v>910</v>
      </c>
      <c r="AA125" s="49">
        <f t="shared" si="16"/>
        <v>0</v>
      </c>
      <c r="AB125" s="71">
        <f t="shared" si="17"/>
        <v>0.56999999999999995</v>
      </c>
      <c r="AC125" s="49">
        <f t="shared" si="18"/>
        <v>0</v>
      </c>
      <c r="AD125" s="50">
        <f t="shared" si="19"/>
        <v>0</v>
      </c>
      <c r="AE125" s="50">
        <f t="shared" si="20"/>
        <v>0</v>
      </c>
      <c r="AF125" s="50">
        <f t="shared" si="21"/>
        <v>0</v>
      </c>
      <c r="AG125" s="199">
        <f t="shared" si="22"/>
        <v>0</v>
      </c>
      <c r="AH125" s="187"/>
      <c r="AI125" s="185" t="s">
        <v>1451</v>
      </c>
      <c r="AJ125" s="185"/>
      <c r="AK125" s="277">
        <f t="shared" si="15"/>
        <v>68167</v>
      </c>
      <c r="AL125" s="25">
        <f>(SUMIFS('T1 2019 Pipeline Data Lagasco'!$O:$O,'T1 2019 Pipeline Data Lagasco'!$A:$A,'Dec 31 2018 OFFS'!$AI125,'T1 2019 Pipeline Data Lagasco'!$Q:$Q,'Dec 31 2018 OFFS'!$AK125,'T1 2019 Pipeline Data Lagasco'!$E:$E,'Dec 31 2018 OFFS'!$U125,'T1 2019 Pipeline Data Lagasco'!$G:$G,'Dec 31 2018 OFFS'!$W125))/(MAX(COUNTIFS('T1 2019 Pipeline Data Lagasco'!$A:$A,'Dec 31 2018 OFFS'!$AI125,'T1 2019 Pipeline Data Lagasco'!$Q:$Q,'Dec 31 2018 OFFS'!$AK125,'T1 2019 Pipeline Data Lagasco'!$E:$E,'Dec 31 2018 OFFS'!$U125,'T1 2019 Pipeline Data Lagasco'!$G:$G,'Dec 31 2018 OFFS'!$W125),1))</f>
        <v>0</v>
      </c>
      <c r="AM125" s="274">
        <f t="shared" si="23"/>
        <v>0</v>
      </c>
    </row>
    <row r="126" spans="1:39" ht="12.7">
      <c r="A126" s="193" t="s">
        <v>909</v>
      </c>
      <c r="B126" s="40" t="s">
        <v>919</v>
      </c>
      <c r="C126" s="40" t="s">
        <v>920</v>
      </c>
      <c r="D126" s="40" t="s">
        <v>172</v>
      </c>
      <c r="E126" s="40" t="s">
        <v>1054</v>
      </c>
      <c r="F126" s="139" t="s">
        <v>1051</v>
      </c>
      <c r="G126" s="41" t="s">
        <v>1050</v>
      </c>
      <c r="H126" s="42">
        <v>42</v>
      </c>
      <c r="I126" s="43">
        <v>26</v>
      </c>
      <c r="J126" s="44">
        <v>7.20</v>
      </c>
      <c r="K126" s="45">
        <v>80</v>
      </c>
      <c r="L126" s="43">
        <v>59</v>
      </c>
      <c r="M126" s="46">
        <v>37.08</v>
      </c>
      <c r="N126" s="40" t="s">
        <v>1049</v>
      </c>
      <c r="O126" s="42">
        <v>42</v>
      </c>
      <c r="P126" s="43">
        <v>27</v>
      </c>
      <c r="Q126" s="44">
        <v>54</v>
      </c>
      <c r="R126" s="45">
        <v>80</v>
      </c>
      <c r="S126" s="43">
        <v>58</v>
      </c>
      <c r="T126" s="46">
        <v>49.98</v>
      </c>
      <c r="U126" s="40">
        <v>4</v>
      </c>
      <c r="V126" s="47">
        <v>11373</v>
      </c>
      <c r="W126" s="48">
        <v>1999</v>
      </c>
      <c r="X126" s="40"/>
      <c r="Y126" s="52"/>
      <c r="Z126" s="40" t="s">
        <v>910</v>
      </c>
      <c r="AA126" s="49">
        <f t="shared" si="16"/>
        <v>0</v>
      </c>
      <c r="AB126" s="71">
        <f t="shared" si="17"/>
        <v>0.62</v>
      </c>
      <c r="AC126" s="49">
        <f t="shared" si="18"/>
        <v>0</v>
      </c>
      <c r="AD126" s="50">
        <f t="shared" si="19"/>
        <v>0</v>
      </c>
      <c r="AE126" s="50">
        <f t="shared" si="20"/>
        <v>0</v>
      </c>
      <c r="AF126" s="50">
        <f t="shared" si="21"/>
        <v>0</v>
      </c>
      <c r="AG126" s="199">
        <f t="shared" si="22"/>
        <v>0</v>
      </c>
      <c r="AH126" s="187"/>
      <c r="AI126" s="185" t="s">
        <v>1451</v>
      </c>
      <c r="AJ126" s="185"/>
      <c r="AK126" s="277">
        <f t="shared" si="15"/>
        <v>11373</v>
      </c>
      <c r="AL126" s="25">
        <f>(SUMIFS('T1 2019 Pipeline Data Lagasco'!$O:$O,'T1 2019 Pipeline Data Lagasco'!$A:$A,'Dec 31 2018 OFFS'!$AI126,'T1 2019 Pipeline Data Lagasco'!$Q:$Q,'Dec 31 2018 OFFS'!$AK126,'T1 2019 Pipeline Data Lagasco'!$E:$E,'Dec 31 2018 OFFS'!$U126,'T1 2019 Pipeline Data Lagasco'!$G:$G,'Dec 31 2018 OFFS'!$W126))/(MAX(COUNTIFS('T1 2019 Pipeline Data Lagasco'!$A:$A,'Dec 31 2018 OFFS'!$AI126,'T1 2019 Pipeline Data Lagasco'!$Q:$Q,'Dec 31 2018 OFFS'!$AK126,'T1 2019 Pipeline Data Lagasco'!$E:$E,'Dec 31 2018 OFFS'!$U126,'T1 2019 Pipeline Data Lagasco'!$G:$G,'Dec 31 2018 OFFS'!$W126),1))</f>
        <v>0</v>
      </c>
      <c r="AM126" s="274">
        <f t="shared" si="23"/>
        <v>0</v>
      </c>
    </row>
    <row r="127" spans="1:39" ht="12.7">
      <c r="A127" s="193" t="s">
        <v>909</v>
      </c>
      <c r="B127" s="40" t="s">
        <v>919</v>
      </c>
      <c r="C127" s="40" t="s">
        <v>920</v>
      </c>
      <c r="D127" s="40" t="s">
        <v>172</v>
      </c>
      <c r="E127" s="40" t="s">
        <v>1054</v>
      </c>
      <c r="F127" s="139" t="s">
        <v>1051</v>
      </c>
      <c r="G127" s="41" t="s">
        <v>1276</v>
      </c>
      <c r="H127" s="42" t="s">
        <v>78</v>
      </c>
      <c r="I127" s="43" t="s">
        <v>199</v>
      </c>
      <c r="J127" s="44">
        <v>0.90</v>
      </c>
      <c r="K127" s="45">
        <v>80</v>
      </c>
      <c r="L127" s="43">
        <v>59</v>
      </c>
      <c r="M127" s="46">
        <v>0.84</v>
      </c>
      <c r="N127" s="41" t="s">
        <v>201</v>
      </c>
      <c r="O127" s="42">
        <v>42</v>
      </c>
      <c r="P127" s="43">
        <v>26</v>
      </c>
      <c r="Q127" s="44">
        <v>7.56</v>
      </c>
      <c r="R127" s="45">
        <v>80</v>
      </c>
      <c r="S127" s="43">
        <v>59</v>
      </c>
      <c r="T127" s="46">
        <v>37.200000000000003</v>
      </c>
      <c r="U127" s="40">
        <v>3</v>
      </c>
      <c r="V127" s="47">
        <v>2800</v>
      </c>
      <c r="W127" s="48">
        <v>2006</v>
      </c>
      <c r="X127" s="40"/>
      <c r="Y127" s="52"/>
      <c r="Z127" s="40" t="s">
        <v>910</v>
      </c>
      <c r="AA127" s="49">
        <f t="shared" si="16"/>
        <v>0</v>
      </c>
      <c r="AB127" s="71">
        <f t="shared" si="17"/>
        <v>0.52</v>
      </c>
      <c r="AC127" s="49">
        <f t="shared" si="18"/>
        <v>0</v>
      </c>
      <c r="AD127" s="50">
        <f t="shared" si="19"/>
        <v>0</v>
      </c>
      <c r="AE127" s="50">
        <f t="shared" si="20"/>
        <v>0</v>
      </c>
      <c r="AF127" s="50">
        <f t="shared" si="21"/>
        <v>0</v>
      </c>
      <c r="AG127" s="199">
        <f t="shared" si="22"/>
        <v>0</v>
      </c>
      <c r="AH127" s="187"/>
      <c r="AI127" s="185" t="s">
        <v>1451</v>
      </c>
      <c r="AJ127" s="185"/>
      <c r="AK127" s="277">
        <f t="shared" si="15"/>
        <v>2800</v>
      </c>
      <c r="AL127" s="25">
        <f>(SUMIFS('T1 2019 Pipeline Data Lagasco'!$O:$O,'T1 2019 Pipeline Data Lagasco'!$A:$A,'Dec 31 2018 OFFS'!$AI127,'T1 2019 Pipeline Data Lagasco'!$Q:$Q,'Dec 31 2018 OFFS'!$AK127,'T1 2019 Pipeline Data Lagasco'!$E:$E,'Dec 31 2018 OFFS'!$U127,'T1 2019 Pipeline Data Lagasco'!$G:$G,'Dec 31 2018 OFFS'!$W127))/(MAX(COUNTIFS('T1 2019 Pipeline Data Lagasco'!$A:$A,'Dec 31 2018 OFFS'!$AI127,'T1 2019 Pipeline Data Lagasco'!$Q:$Q,'Dec 31 2018 OFFS'!$AK127,'T1 2019 Pipeline Data Lagasco'!$E:$E,'Dec 31 2018 OFFS'!$U127,'T1 2019 Pipeline Data Lagasco'!$G:$G,'Dec 31 2018 OFFS'!$W127),1))</f>
        <v>0</v>
      </c>
      <c r="AM127" s="274">
        <f t="shared" si="23"/>
        <v>0</v>
      </c>
    </row>
    <row r="128" spans="1:39" ht="12.7">
      <c r="A128" s="193" t="s">
        <v>909</v>
      </c>
      <c r="B128" s="40" t="s">
        <v>919</v>
      </c>
      <c r="C128" s="40" t="s">
        <v>920</v>
      </c>
      <c r="D128" s="40" t="s">
        <v>172</v>
      </c>
      <c r="E128" s="40" t="s">
        <v>1054</v>
      </c>
      <c r="F128" s="40" t="s">
        <v>1051</v>
      </c>
      <c r="G128" s="41" t="s">
        <v>202</v>
      </c>
      <c r="H128" s="42" t="s">
        <v>78</v>
      </c>
      <c r="I128" s="43" t="s">
        <v>199</v>
      </c>
      <c r="J128" s="44" t="s">
        <v>200</v>
      </c>
      <c r="K128" s="45">
        <v>80</v>
      </c>
      <c r="L128" s="43">
        <v>58</v>
      </c>
      <c r="M128" s="46">
        <v>55.55</v>
      </c>
      <c r="N128" s="41" t="s">
        <v>201</v>
      </c>
      <c r="O128" s="42">
        <v>42</v>
      </c>
      <c r="P128" s="43">
        <v>26</v>
      </c>
      <c r="Q128" s="44">
        <v>8.0399999999999991</v>
      </c>
      <c r="R128" s="45">
        <v>80</v>
      </c>
      <c r="S128" s="43">
        <v>59</v>
      </c>
      <c r="T128" s="46">
        <v>37.74</v>
      </c>
      <c r="U128" s="40">
        <v>4</v>
      </c>
      <c r="V128" s="47">
        <v>3231</v>
      </c>
      <c r="W128" s="48">
        <v>1980</v>
      </c>
      <c r="X128" s="40"/>
      <c r="Y128" s="52"/>
      <c r="Z128" s="40" t="s">
        <v>910</v>
      </c>
      <c r="AA128" s="49">
        <f t="shared" si="16"/>
        <v>0</v>
      </c>
      <c r="AB128" s="71">
        <f t="shared" si="17"/>
        <v>0.80</v>
      </c>
      <c r="AC128" s="49">
        <f t="shared" si="18"/>
        <v>0</v>
      </c>
      <c r="AD128" s="50">
        <f t="shared" si="19"/>
        <v>0</v>
      </c>
      <c r="AE128" s="50">
        <f t="shared" si="20"/>
        <v>0</v>
      </c>
      <c r="AF128" s="50">
        <f t="shared" si="21"/>
        <v>0</v>
      </c>
      <c r="AG128" s="199">
        <f t="shared" si="22"/>
        <v>0</v>
      </c>
      <c r="AH128" s="187"/>
      <c r="AI128" s="185" t="s">
        <v>1451</v>
      </c>
      <c r="AJ128" s="185"/>
      <c r="AK128" s="277">
        <f t="shared" si="15"/>
        <v>3231</v>
      </c>
      <c r="AL128" s="25">
        <f>(SUMIFS('T1 2019 Pipeline Data Lagasco'!$O:$O,'T1 2019 Pipeline Data Lagasco'!$A:$A,'Dec 31 2018 OFFS'!$AI128,'T1 2019 Pipeline Data Lagasco'!$Q:$Q,'Dec 31 2018 OFFS'!$AK128,'T1 2019 Pipeline Data Lagasco'!$E:$E,'Dec 31 2018 OFFS'!$U128,'T1 2019 Pipeline Data Lagasco'!$G:$G,'Dec 31 2018 OFFS'!$W128))/(MAX(COUNTIFS('T1 2019 Pipeline Data Lagasco'!$A:$A,'Dec 31 2018 OFFS'!$AI128,'T1 2019 Pipeline Data Lagasco'!$Q:$Q,'Dec 31 2018 OFFS'!$AK128,'T1 2019 Pipeline Data Lagasco'!$E:$E,'Dec 31 2018 OFFS'!$U128,'T1 2019 Pipeline Data Lagasco'!$G:$G,'Dec 31 2018 OFFS'!$W128),1))</f>
        <v>0</v>
      </c>
      <c r="AM128" s="274">
        <f t="shared" si="23"/>
        <v>0</v>
      </c>
    </row>
    <row r="129" spans="1:39" ht="12.7">
      <c r="A129" s="193" t="s">
        <v>909</v>
      </c>
      <c r="B129" s="40" t="s">
        <v>919</v>
      </c>
      <c r="C129" s="40" t="s">
        <v>920</v>
      </c>
      <c r="D129" s="40" t="s">
        <v>172</v>
      </c>
      <c r="E129" s="40" t="s">
        <v>1054</v>
      </c>
      <c r="F129" s="40" t="s">
        <v>1379</v>
      </c>
      <c r="G129" s="41" t="s">
        <v>1050</v>
      </c>
      <c r="H129" s="42">
        <v>42</v>
      </c>
      <c r="I129" s="43">
        <v>46</v>
      </c>
      <c r="J129" s="44">
        <v>7.20</v>
      </c>
      <c r="K129" s="45">
        <v>80</v>
      </c>
      <c r="L129" s="43">
        <v>59</v>
      </c>
      <c r="M129" s="46">
        <v>37</v>
      </c>
      <c r="N129" s="41" t="s">
        <v>1378</v>
      </c>
      <c r="O129" s="42">
        <v>42</v>
      </c>
      <c r="P129" s="43">
        <v>35</v>
      </c>
      <c r="Q129" s="44">
        <v>17.10</v>
      </c>
      <c r="R129" s="45">
        <v>80</v>
      </c>
      <c r="S129" s="43">
        <v>55</v>
      </c>
      <c r="T129" s="46">
        <v>50.52</v>
      </c>
      <c r="U129" s="40">
        <v>6</v>
      </c>
      <c r="V129" s="47">
        <v>41085</v>
      </c>
      <c r="W129" s="48">
        <v>2002</v>
      </c>
      <c r="X129" s="40"/>
      <c r="Y129" s="52"/>
      <c r="Z129" s="40" t="s">
        <v>910</v>
      </c>
      <c r="AA129" s="49">
        <f t="shared" si="16"/>
        <v>1422773.55</v>
      </c>
      <c r="AB129" s="71">
        <f t="shared" si="17"/>
        <v>0.56999999999999995</v>
      </c>
      <c r="AC129" s="49">
        <f t="shared" si="18"/>
        <v>611792.63</v>
      </c>
      <c r="AD129" s="50">
        <f t="shared" si="19"/>
        <v>0</v>
      </c>
      <c r="AE129" s="50">
        <f t="shared" si="20"/>
        <v>0</v>
      </c>
      <c r="AF129" s="50">
        <f t="shared" si="21"/>
        <v>611792.63</v>
      </c>
      <c r="AG129" s="199">
        <f t="shared" si="22"/>
        <v>611792</v>
      </c>
      <c r="AH129" s="187"/>
      <c r="AI129" s="185" t="s">
        <v>1451</v>
      </c>
      <c r="AJ129" s="185"/>
      <c r="AK129" s="277">
        <f t="shared" si="15"/>
        <v>41085</v>
      </c>
      <c r="AL129" s="25">
        <f>(SUMIFS('T1 2019 Pipeline Data Lagasco'!$O:$O,'T1 2019 Pipeline Data Lagasco'!$A:$A,'Dec 31 2018 OFFS'!$AI129,'T1 2019 Pipeline Data Lagasco'!$Q:$Q,'Dec 31 2018 OFFS'!$AK129,'T1 2019 Pipeline Data Lagasco'!$E:$E,'Dec 31 2018 OFFS'!$U129,'T1 2019 Pipeline Data Lagasco'!$G:$G,'Dec 31 2018 OFFS'!$W129))/(MAX(COUNTIFS('T1 2019 Pipeline Data Lagasco'!$A:$A,'Dec 31 2018 OFFS'!$AI129,'T1 2019 Pipeline Data Lagasco'!$Q:$Q,'Dec 31 2018 OFFS'!$AK129,'T1 2019 Pipeline Data Lagasco'!$E:$E,'Dec 31 2018 OFFS'!$U129,'T1 2019 Pipeline Data Lagasco'!$G:$G,'Dec 31 2018 OFFS'!$W129),1))</f>
        <v>611792</v>
      </c>
      <c r="AM129" s="274">
        <f t="shared" si="23"/>
        <v>0</v>
      </c>
    </row>
    <row r="130" spans="1:39" ht="12.7">
      <c r="A130" s="193" t="s">
        <v>909</v>
      </c>
      <c r="B130" s="40" t="s">
        <v>919</v>
      </c>
      <c r="C130" s="40" t="s">
        <v>920</v>
      </c>
      <c r="D130" s="40" t="s">
        <v>172</v>
      </c>
      <c r="E130" s="40" t="s">
        <v>1054</v>
      </c>
      <c r="F130" s="40" t="s">
        <v>1379</v>
      </c>
      <c r="G130" s="41" t="s">
        <v>1378</v>
      </c>
      <c r="H130" s="42">
        <v>42</v>
      </c>
      <c r="I130" s="43">
        <v>35</v>
      </c>
      <c r="J130" s="44">
        <v>17.10</v>
      </c>
      <c r="K130" s="45">
        <v>80</v>
      </c>
      <c r="L130" s="43">
        <v>55</v>
      </c>
      <c r="M130" s="46">
        <v>50.52</v>
      </c>
      <c r="N130" s="41" t="s">
        <v>1157</v>
      </c>
      <c r="O130" s="42">
        <v>42</v>
      </c>
      <c r="P130" s="43">
        <v>36</v>
      </c>
      <c r="Q130" s="44">
        <v>45.10</v>
      </c>
      <c r="R130" s="45">
        <v>80</v>
      </c>
      <c r="S130" s="43">
        <v>54</v>
      </c>
      <c r="T130" s="46">
        <v>49.50</v>
      </c>
      <c r="U130" s="40">
        <v>6</v>
      </c>
      <c r="V130" s="47">
        <v>27211</v>
      </c>
      <c r="W130" s="48">
        <v>2002</v>
      </c>
      <c r="X130" s="40"/>
      <c r="Y130" s="52"/>
      <c r="Z130" s="40" t="s">
        <v>910</v>
      </c>
      <c r="AA130" s="49">
        <f t="shared" si="16"/>
        <v>942316.93</v>
      </c>
      <c r="AB130" s="71">
        <f t="shared" si="17"/>
        <v>0.56999999999999995</v>
      </c>
      <c r="AC130" s="49">
        <f t="shared" si="18"/>
        <v>405196.28</v>
      </c>
      <c r="AD130" s="50">
        <f t="shared" si="19"/>
        <v>0</v>
      </c>
      <c r="AE130" s="50">
        <f t="shared" si="20"/>
        <v>0</v>
      </c>
      <c r="AF130" s="50">
        <f t="shared" si="21"/>
        <v>405196.28</v>
      </c>
      <c r="AG130" s="199">
        <f t="shared" si="22"/>
        <v>405196</v>
      </c>
      <c r="AH130" s="187"/>
      <c r="AI130" s="185" t="s">
        <v>1451</v>
      </c>
      <c r="AJ130" s="185"/>
      <c r="AK130" s="277">
        <f t="shared" si="15"/>
        <v>27211</v>
      </c>
      <c r="AL130" s="25">
        <f>(SUMIFS('T1 2019 Pipeline Data Lagasco'!$O:$O,'T1 2019 Pipeline Data Lagasco'!$A:$A,'Dec 31 2018 OFFS'!$AI130,'T1 2019 Pipeline Data Lagasco'!$Q:$Q,'Dec 31 2018 OFFS'!$AK130,'T1 2019 Pipeline Data Lagasco'!$E:$E,'Dec 31 2018 OFFS'!$U130,'T1 2019 Pipeline Data Lagasco'!$G:$G,'Dec 31 2018 OFFS'!$W130))/(MAX(COUNTIFS('T1 2019 Pipeline Data Lagasco'!$A:$A,'Dec 31 2018 OFFS'!$AI130,'T1 2019 Pipeline Data Lagasco'!$Q:$Q,'Dec 31 2018 OFFS'!$AK130,'T1 2019 Pipeline Data Lagasco'!$E:$E,'Dec 31 2018 OFFS'!$U130,'T1 2019 Pipeline Data Lagasco'!$G:$G,'Dec 31 2018 OFFS'!$W130),1))</f>
        <v>405196</v>
      </c>
      <c r="AM130" s="274">
        <f t="shared" si="23"/>
        <v>0</v>
      </c>
    </row>
    <row r="131" spans="1:39" ht="12.7">
      <c r="A131" s="193" t="s">
        <v>909</v>
      </c>
      <c r="B131" s="40" t="s">
        <v>919</v>
      </c>
      <c r="C131" s="40" t="s">
        <v>920</v>
      </c>
      <c r="D131" s="40" t="s">
        <v>172</v>
      </c>
      <c r="E131" s="40" t="s">
        <v>1054</v>
      </c>
      <c r="F131" s="139" t="s">
        <v>1051</v>
      </c>
      <c r="G131" s="41" t="s">
        <v>1050</v>
      </c>
      <c r="H131" s="42">
        <v>42</v>
      </c>
      <c r="I131" s="43">
        <v>26</v>
      </c>
      <c r="J131" s="44">
        <f>60*0.117</f>
        <v>7.02</v>
      </c>
      <c r="K131" s="45">
        <v>80</v>
      </c>
      <c r="L131" s="43">
        <v>59</v>
      </c>
      <c r="M131" s="46">
        <f>60*0.617</f>
        <v>37.019999999999996</v>
      </c>
      <c r="N131" s="41" t="s">
        <v>220</v>
      </c>
      <c r="O131" s="42" t="s">
        <v>78</v>
      </c>
      <c r="P131" s="43" t="s">
        <v>199</v>
      </c>
      <c r="Q131" s="44">
        <f>60*0.028</f>
        <v>1.68</v>
      </c>
      <c r="R131" s="45">
        <v>80</v>
      </c>
      <c r="S131" s="43">
        <v>58</v>
      </c>
      <c r="T131" s="46">
        <f>60*0.215</f>
        <v>12.90</v>
      </c>
      <c r="U131" s="40">
        <v>6</v>
      </c>
      <c r="V131" s="323">
        <v>6270</v>
      </c>
      <c r="W131" s="48">
        <v>2010</v>
      </c>
      <c r="X131" s="40"/>
      <c r="Y131" s="52"/>
      <c r="Z131" s="40" t="s">
        <v>910</v>
      </c>
      <c r="AA131" s="49">
        <f t="shared" si="16"/>
        <v>0</v>
      </c>
      <c r="AB131" s="71">
        <f t="shared" si="17"/>
        <v>0.39</v>
      </c>
      <c r="AC131" s="49">
        <f t="shared" si="18"/>
        <v>0</v>
      </c>
      <c r="AD131" s="50">
        <f t="shared" si="19"/>
        <v>0</v>
      </c>
      <c r="AE131" s="50">
        <f t="shared" si="20"/>
        <v>0</v>
      </c>
      <c r="AF131" s="50">
        <f t="shared" si="21"/>
        <v>0</v>
      </c>
      <c r="AG131" s="199">
        <f t="shared" si="22"/>
        <v>0</v>
      </c>
      <c r="AH131" s="187"/>
      <c r="AI131" s="185" t="s">
        <v>1451</v>
      </c>
      <c r="AJ131" s="185"/>
      <c r="AK131" s="282">
        <f t="shared" si="24" ref="AK131:AK194">ROUND(V131,2)</f>
        <v>6270</v>
      </c>
      <c r="AL131" s="321">
        <f>(SUMIFS('T1 2019 Pipeline Data Lagasco'!$O:$O,'T1 2019 Pipeline Data Lagasco'!$A:$A,'Dec 31 2018 OFFS'!$AI131,'T1 2019 Pipeline Data Lagasco'!$Q:$Q,'Dec 31 2018 OFFS'!$AK131,'T1 2019 Pipeline Data Lagasco'!$E:$E,'Dec 31 2018 OFFS'!$U131,'T1 2019 Pipeline Data Lagasco'!$G:$G,'Dec 31 2018 OFFS'!$W131))/(MAX(COUNTIFS('T1 2019 Pipeline Data Lagasco'!$A:$A,'Dec 31 2018 OFFS'!$AI131,'T1 2019 Pipeline Data Lagasco'!$Q:$Q,'Dec 31 2018 OFFS'!$AK131,'T1 2019 Pipeline Data Lagasco'!$E:$E,'Dec 31 2018 OFFS'!$U131,'T1 2019 Pipeline Data Lagasco'!$G:$G,'Dec 31 2018 OFFS'!$W131),1))*0</f>
        <v>0</v>
      </c>
      <c r="AM131" s="274">
        <f t="shared" si="23"/>
        <v>0</v>
      </c>
    </row>
    <row r="132" spans="1:39" ht="12.7">
      <c r="A132" s="193" t="s">
        <v>909</v>
      </c>
      <c r="B132" s="40" t="s">
        <v>919</v>
      </c>
      <c r="C132" s="40" t="s">
        <v>920</v>
      </c>
      <c r="D132" s="40" t="s">
        <v>172</v>
      </c>
      <c r="E132" s="40" t="s">
        <v>1054</v>
      </c>
      <c r="F132" s="40"/>
      <c r="G132" s="41" t="s">
        <v>220</v>
      </c>
      <c r="H132" s="42" t="s">
        <v>78</v>
      </c>
      <c r="I132" s="43" t="s">
        <v>199</v>
      </c>
      <c r="J132" s="44">
        <f>60*0.028</f>
        <v>1.68</v>
      </c>
      <c r="K132" s="45">
        <v>80</v>
      </c>
      <c r="L132" s="43">
        <v>58</v>
      </c>
      <c r="M132" s="46">
        <f>60*0.215</f>
        <v>12.90</v>
      </c>
      <c r="N132" s="41" t="s">
        <v>198</v>
      </c>
      <c r="O132" s="42">
        <v>42</v>
      </c>
      <c r="P132" s="43">
        <v>25</v>
      </c>
      <c r="Q132" s="44">
        <f>60*0.522</f>
        <v>31.32</v>
      </c>
      <c r="R132" s="45">
        <v>80</v>
      </c>
      <c r="S132" s="43">
        <v>55</v>
      </c>
      <c r="T132" s="46">
        <f>60*0.142</f>
        <v>8.52</v>
      </c>
      <c r="U132" s="40">
        <v>6</v>
      </c>
      <c r="V132" s="47">
        <v>14084</v>
      </c>
      <c r="W132" s="48">
        <v>2001</v>
      </c>
      <c r="X132" s="40"/>
      <c r="Y132" s="52"/>
      <c r="Z132" s="40" t="s">
        <v>910</v>
      </c>
      <c r="AA132" s="49">
        <f t="shared" si="25" ref="AA132:AA195">IF(F132="ABAND",0,(IF(Z132="steel",VLOOKUP(U132,steelrates,2,FALSE)*V132,VLOOKUP(U132,plasticrates,2,FALSE)*V132)))</f>
        <v>487728.92000000004</v>
      </c>
      <c r="AB132" s="71">
        <f t="shared" si="26" ref="AB132:AB195">IF(W132=0,0,(VLOOKUP(W132,depreciation,2)))</f>
        <v>0.59</v>
      </c>
      <c r="AC132" s="49">
        <f t="shared" si="27" ref="AC132:AC195">ROUND(+AA132-(+AA132*AB132),2)</f>
        <v>199968.86</v>
      </c>
      <c r="AD132" s="50">
        <f t="shared" si="28" ref="AD132:AD195">(IF(X132="LOOP",AC132*0.25,0))</f>
        <v>0</v>
      </c>
      <c r="AE132" s="50">
        <f t="shared" si="29" ref="AE132:AE195">(IF(F132="SUSP",AC132*0.2,0))</f>
        <v>0</v>
      </c>
      <c r="AF132" s="50">
        <f t="shared" si="30" ref="AF132:AF195">+AC132-AD132-AE132</f>
        <v>199968.86</v>
      </c>
      <c r="AG132" s="199">
        <f t="shared" si="31" ref="AG132:AG195">ROUNDDOWN(AF132,0)</f>
        <v>199968</v>
      </c>
      <c r="AH132" s="187"/>
      <c r="AI132" s="185" t="s">
        <v>1451</v>
      </c>
      <c r="AJ132" s="185"/>
      <c r="AK132" s="277">
        <f t="shared" si="24"/>
        <v>14084</v>
      </c>
      <c r="AL132" s="25">
        <f>(SUMIFS('T1 2019 Pipeline Data Lagasco'!$O:$O,'T1 2019 Pipeline Data Lagasco'!$A:$A,'Dec 31 2018 OFFS'!$AI132,'T1 2019 Pipeline Data Lagasco'!$Q:$Q,'Dec 31 2018 OFFS'!$AK132,'T1 2019 Pipeline Data Lagasco'!$E:$E,'Dec 31 2018 OFFS'!$U132,'T1 2019 Pipeline Data Lagasco'!$G:$G,'Dec 31 2018 OFFS'!$W132))/(MAX(COUNTIFS('T1 2019 Pipeline Data Lagasco'!$A:$A,'Dec 31 2018 OFFS'!$AI132,'T1 2019 Pipeline Data Lagasco'!$Q:$Q,'Dec 31 2018 OFFS'!$AK132,'T1 2019 Pipeline Data Lagasco'!$E:$E,'Dec 31 2018 OFFS'!$U132,'T1 2019 Pipeline Data Lagasco'!$G:$G,'Dec 31 2018 OFFS'!$W132),1))</f>
        <v>199968</v>
      </c>
      <c r="AM132" s="274">
        <f t="shared" si="32" ref="AM132:AM195">AG132-AL132</f>
        <v>0</v>
      </c>
    </row>
    <row r="133" spans="1:39" ht="12.7">
      <c r="A133" s="193" t="s">
        <v>909</v>
      </c>
      <c r="B133" s="40" t="s">
        <v>919</v>
      </c>
      <c r="C133" s="40" t="s">
        <v>920</v>
      </c>
      <c r="D133" s="40" t="s">
        <v>172</v>
      </c>
      <c r="E133" s="40" t="s">
        <v>1054</v>
      </c>
      <c r="F133" s="40" t="s">
        <v>1051</v>
      </c>
      <c r="G133" s="41" t="s">
        <v>220</v>
      </c>
      <c r="H133" s="42">
        <v>42</v>
      </c>
      <c r="I133" s="43">
        <v>26</v>
      </c>
      <c r="J133" s="44">
        <v>1.861</v>
      </c>
      <c r="K133" s="45">
        <v>80</v>
      </c>
      <c r="L133" s="43">
        <v>58</v>
      </c>
      <c r="M133" s="46">
        <v>13.314</v>
      </c>
      <c r="N133" s="41" t="s">
        <v>202</v>
      </c>
      <c r="O133" s="42" t="s">
        <v>78</v>
      </c>
      <c r="P133" s="43" t="s">
        <v>199</v>
      </c>
      <c r="Q133" s="44" t="s">
        <v>200</v>
      </c>
      <c r="R133" s="45">
        <v>80</v>
      </c>
      <c r="S133" s="43">
        <v>58</v>
      </c>
      <c r="T133" s="46">
        <v>55.55</v>
      </c>
      <c r="U133" s="40">
        <v>4</v>
      </c>
      <c r="V133" s="47">
        <v>3161</v>
      </c>
      <c r="W133" s="48">
        <v>1980</v>
      </c>
      <c r="X133" s="40"/>
      <c r="Y133" s="52"/>
      <c r="Z133" s="40" t="s">
        <v>910</v>
      </c>
      <c r="AA133" s="49">
        <f t="shared" si="25"/>
        <v>0</v>
      </c>
      <c r="AB133" s="71">
        <f t="shared" si="26"/>
        <v>0.80</v>
      </c>
      <c r="AC133" s="49">
        <f t="shared" si="27"/>
        <v>0</v>
      </c>
      <c r="AD133" s="50">
        <f t="shared" si="28"/>
        <v>0</v>
      </c>
      <c r="AE133" s="50">
        <f t="shared" si="29"/>
        <v>0</v>
      </c>
      <c r="AF133" s="50">
        <f t="shared" si="30"/>
        <v>0</v>
      </c>
      <c r="AG133" s="199">
        <f t="shared" si="31"/>
        <v>0</v>
      </c>
      <c r="AH133" s="187"/>
      <c r="AI133" s="185" t="s">
        <v>1451</v>
      </c>
      <c r="AJ133" s="185"/>
      <c r="AK133" s="277">
        <f t="shared" si="24"/>
        <v>3161</v>
      </c>
      <c r="AL133" s="25">
        <f>(SUMIFS('T1 2019 Pipeline Data Lagasco'!$O:$O,'T1 2019 Pipeline Data Lagasco'!$A:$A,'Dec 31 2018 OFFS'!$AI133,'T1 2019 Pipeline Data Lagasco'!$Q:$Q,'Dec 31 2018 OFFS'!$AK133,'T1 2019 Pipeline Data Lagasco'!$E:$E,'Dec 31 2018 OFFS'!$U133,'T1 2019 Pipeline Data Lagasco'!$G:$G,'Dec 31 2018 OFFS'!$W133))/(MAX(COUNTIFS('T1 2019 Pipeline Data Lagasco'!$A:$A,'Dec 31 2018 OFFS'!$AI133,'T1 2019 Pipeline Data Lagasco'!$Q:$Q,'Dec 31 2018 OFFS'!$AK133,'T1 2019 Pipeline Data Lagasco'!$E:$E,'Dec 31 2018 OFFS'!$U133,'T1 2019 Pipeline Data Lagasco'!$G:$G,'Dec 31 2018 OFFS'!$W133),1))</f>
        <v>0</v>
      </c>
      <c r="AM133" s="274">
        <f t="shared" si="32"/>
        <v>0</v>
      </c>
    </row>
    <row r="134" spans="1:39" ht="12.7">
      <c r="A134" s="193" t="s">
        <v>909</v>
      </c>
      <c r="B134" s="40" t="s">
        <v>919</v>
      </c>
      <c r="C134" s="40" t="s">
        <v>920</v>
      </c>
      <c r="D134" s="40" t="s">
        <v>172</v>
      </c>
      <c r="E134" s="40" t="s">
        <v>1054</v>
      </c>
      <c r="F134" s="40"/>
      <c r="G134" s="41" t="s">
        <v>220</v>
      </c>
      <c r="H134" s="42">
        <v>42</v>
      </c>
      <c r="I134" s="43">
        <v>26</v>
      </c>
      <c r="J134" s="44">
        <v>1.861</v>
      </c>
      <c r="K134" s="45">
        <v>80</v>
      </c>
      <c r="L134" s="43">
        <v>58</v>
      </c>
      <c r="M134" s="46">
        <v>13.314</v>
      </c>
      <c r="N134" s="40" t="s">
        <v>191</v>
      </c>
      <c r="O134" s="42">
        <v>42</v>
      </c>
      <c r="P134" s="43">
        <v>24</v>
      </c>
      <c r="Q134" s="44">
        <v>9.2140000000000004</v>
      </c>
      <c r="R134" s="45">
        <v>80</v>
      </c>
      <c r="S134" s="43">
        <v>57</v>
      </c>
      <c r="T134" s="46">
        <v>50.832000000000001</v>
      </c>
      <c r="U134" s="40">
        <v>6</v>
      </c>
      <c r="V134" s="47">
        <v>11504</v>
      </c>
      <c r="W134" s="48">
        <v>1975</v>
      </c>
      <c r="X134" s="40" t="s">
        <v>2</v>
      </c>
      <c r="Y134" s="52"/>
      <c r="Z134" s="40" t="s">
        <v>910</v>
      </c>
      <c r="AA134" s="49">
        <f t="shared" si="25"/>
        <v>398383.52</v>
      </c>
      <c r="AB134" s="71">
        <f t="shared" si="26"/>
        <v>0.80</v>
      </c>
      <c r="AC134" s="49">
        <f t="shared" si="27"/>
        <v>79676.70</v>
      </c>
      <c r="AD134" s="50">
        <f t="shared" si="28"/>
        <v>19919.174999999999</v>
      </c>
      <c r="AE134" s="50">
        <f t="shared" si="29"/>
        <v>0</v>
      </c>
      <c r="AF134" s="50">
        <f t="shared" si="30"/>
        <v>59757.524999999994</v>
      </c>
      <c r="AG134" s="199">
        <f t="shared" si="31"/>
        <v>59757</v>
      </c>
      <c r="AH134" s="187"/>
      <c r="AI134" s="185" t="s">
        <v>1451</v>
      </c>
      <c r="AJ134" s="185"/>
      <c r="AK134" s="277">
        <f t="shared" si="24"/>
        <v>11504</v>
      </c>
      <c r="AL134" s="25">
        <f>(SUMIFS('T1 2019 Pipeline Data Lagasco'!$O:$O,'T1 2019 Pipeline Data Lagasco'!$A:$A,'Dec 31 2018 OFFS'!$AI134,'T1 2019 Pipeline Data Lagasco'!$Q:$Q,'Dec 31 2018 OFFS'!$AK134,'T1 2019 Pipeline Data Lagasco'!$E:$E,'Dec 31 2018 OFFS'!$U134,'T1 2019 Pipeline Data Lagasco'!$G:$G,'Dec 31 2018 OFFS'!$W134))/(MAX(COUNTIFS('T1 2019 Pipeline Data Lagasco'!$A:$A,'Dec 31 2018 OFFS'!$AI134,'T1 2019 Pipeline Data Lagasco'!$Q:$Q,'Dec 31 2018 OFFS'!$AK134,'T1 2019 Pipeline Data Lagasco'!$E:$E,'Dec 31 2018 OFFS'!$U134,'T1 2019 Pipeline Data Lagasco'!$G:$G,'Dec 31 2018 OFFS'!$W134),1))</f>
        <v>59757</v>
      </c>
      <c r="AM134" s="274">
        <f t="shared" si="32"/>
        <v>0</v>
      </c>
    </row>
    <row r="135" spans="1:39" ht="12.7">
      <c r="A135" s="193" t="s">
        <v>909</v>
      </c>
      <c r="B135" s="40" t="s">
        <v>919</v>
      </c>
      <c r="C135" s="40" t="s">
        <v>920</v>
      </c>
      <c r="D135" s="40" t="s">
        <v>172</v>
      </c>
      <c r="E135" s="40" t="s">
        <v>1054</v>
      </c>
      <c r="F135" s="40" t="s">
        <v>1051</v>
      </c>
      <c r="G135" s="41" t="s">
        <v>207</v>
      </c>
      <c r="H135" s="42">
        <v>42</v>
      </c>
      <c r="I135" s="43">
        <v>26</v>
      </c>
      <c r="J135" s="44">
        <v>18.643000000000001</v>
      </c>
      <c r="K135" s="45">
        <v>80</v>
      </c>
      <c r="L135" s="43">
        <v>55</v>
      </c>
      <c r="M135" s="46">
        <v>33.334000000000003</v>
      </c>
      <c r="N135" s="40" t="s">
        <v>198</v>
      </c>
      <c r="O135" s="42">
        <v>42</v>
      </c>
      <c r="P135" s="43">
        <v>25</v>
      </c>
      <c r="Q135" s="44">
        <v>31.541</v>
      </c>
      <c r="R135" s="45">
        <v>80</v>
      </c>
      <c r="S135" s="43">
        <v>55</v>
      </c>
      <c r="T135" s="46">
        <v>9.0399999999999991</v>
      </c>
      <c r="U135" s="40">
        <v>4</v>
      </c>
      <c r="V135" s="47">
        <v>5098</v>
      </c>
      <c r="W135" s="48">
        <v>1968</v>
      </c>
      <c r="X135" s="40"/>
      <c r="Y135" s="52"/>
      <c r="Z135" s="40" t="s">
        <v>910</v>
      </c>
      <c r="AA135" s="49">
        <f t="shared" si="25"/>
        <v>0</v>
      </c>
      <c r="AB135" s="71">
        <f t="shared" si="26"/>
        <v>0.80</v>
      </c>
      <c r="AC135" s="49">
        <f t="shared" si="27"/>
        <v>0</v>
      </c>
      <c r="AD135" s="50">
        <f t="shared" si="28"/>
        <v>0</v>
      </c>
      <c r="AE135" s="50">
        <f t="shared" si="29"/>
        <v>0</v>
      </c>
      <c r="AF135" s="50">
        <f t="shared" si="30"/>
        <v>0</v>
      </c>
      <c r="AG135" s="199">
        <f t="shared" si="31"/>
        <v>0</v>
      </c>
      <c r="AH135" s="187"/>
      <c r="AI135" s="185" t="s">
        <v>1451</v>
      </c>
      <c r="AJ135" s="185"/>
      <c r="AK135" s="277">
        <f t="shared" si="24"/>
        <v>5098</v>
      </c>
      <c r="AL135" s="25">
        <f>(SUMIFS('T1 2019 Pipeline Data Lagasco'!$O:$O,'T1 2019 Pipeline Data Lagasco'!$A:$A,'Dec 31 2018 OFFS'!$AI135,'T1 2019 Pipeline Data Lagasco'!$Q:$Q,'Dec 31 2018 OFFS'!$AK135,'T1 2019 Pipeline Data Lagasco'!$E:$E,'Dec 31 2018 OFFS'!$U135,'T1 2019 Pipeline Data Lagasco'!$G:$G,'Dec 31 2018 OFFS'!$W135))/(MAX(COUNTIFS('T1 2019 Pipeline Data Lagasco'!$A:$A,'Dec 31 2018 OFFS'!$AI135,'T1 2019 Pipeline Data Lagasco'!$Q:$Q,'Dec 31 2018 OFFS'!$AK135,'T1 2019 Pipeline Data Lagasco'!$E:$E,'Dec 31 2018 OFFS'!$U135,'T1 2019 Pipeline Data Lagasco'!$G:$G,'Dec 31 2018 OFFS'!$W135),1))</f>
        <v>0</v>
      </c>
      <c r="AM135" s="274">
        <f t="shared" si="32"/>
        <v>0</v>
      </c>
    </row>
    <row r="136" spans="1:39" ht="12.7">
      <c r="A136" s="193" t="s">
        <v>909</v>
      </c>
      <c r="B136" s="40" t="s">
        <v>919</v>
      </c>
      <c r="C136" s="40" t="s">
        <v>920</v>
      </c>
      <c r="D136" s="40" t="s">
        <v>172</v>
      </c>
      <c r="E136" s="40" t="s">
        <v>1054</v>
      </c>
      <c r="F136" s="40"/>
      <c r="G136" s="40" t="s">
        <v>1372</v>
      </c>
      <c r="H136" s="42">
        <v>42</v>
      </c>
      <c r="I136" s="43">
        <v>26</v>
      </c>
      <c r="J136" s="44">
        <v>14.34</v>
      </c>
      <c r="K136" s="45">
        <v>80</v>
      </c>
      <c r="L136" s="43">
        <v>55</v>
      </c>
      <c r="M136" s="46">
        <v>13.20</v>
      </c>
      <c r="N136" s="40" t="s">
        <v>1373</v>
      </c>
      <c r="O136" s="42">
        <v>42</v>
      </c>
      <c r="P136" s="43">
        <v>25</v>
      </c>
      <c r="Q136" s="44">
        <v>49.26</v>
      </c>
      <c r="R136" s="45">
        <v>80</v>
      </c>
      <c r="S136" s="43">
        <v>55</v>
      </c>
      <c r="T136" s="46">
        <v>9.24</v>
      </c>
      <c r="U136" s="40">
        <v>4</v>
      </c>
      <c r="V136" s="47">
        <v>2557</v>
      </c>
      <c r="W136" s="48">
        <v>2001</v>
      </c>
      <c r="X136" s="40"/>
      <c r="Y136" s="52"/>
      <c r="Z136" s="40" t="s">
        <v>910</v>
      </c>
      <c r="AA136" s="49">
        <f t="shared" si="25"/>
        <v>67632.649999999994</v>
      </c>
      <c r="AB136" s="71">
        <f t="shared" si="26"/>
        <v>0.59</v>
      </c>
      <c r="AC136" s="49">
        <f t="shared" si="27"/>
        <v>27729.39</v>
      </c>
      <c r="AD136" s="50">
        <f t="shared" si="28"/>
        <v>0</v>
      </c>
      <c r="AE136" s="50">
        <f t="shared" si="29"/>
        <v>0</v>
      </c>
      <c r="AF136" s="50">
        <f t="shared" si="30"/>
        <v>27729.39</v>
      </c>
      <c r="AG136" s="199">
        <f t="shared" si="31"/>
        <v>27729</v>
      </c>
      <c r="AH136" s="187"/>
      <c r="AI136" s="185" t="s">
        <v>1451</v>
      </c>
      <c r="AJ136" s="185"/>
      <c r="AK136" s="277">
        <f t="shared" si="24"/>
        <v>2557</v>
      </c>
      <c r="AL136" s="25">
        <f>(SUMIFS('T1 2019 Pipeline Data Lagasco'!$O:$O,'T1 2019 Pipeline Data Lagasco'!$A:$A,'Dec 31 2018 OFFS'!$AI136,'T1 2019 Pipeline Data Lagasco'!$Q:$Q,'Dec 31 2018 OFFS'!$AK136,'T1 2019 Pipeline Data Lagasco'!$E:$E,'Dec 31 2018 OFFS'!$U136,'T1 2019 Pipeline Data Lagasco'!$G:$G,'Dec 31 2018 OFFS'!$W136))/(MAX(COUNTIFS('T1 2019 Pipeline Data Lagasco'!$A:$A,'Dec 31 2018 OFFS'!$AI136,'T1 2019 Pipeline Data Lagasco'!$Q:$Q,'Dec 31 2018 OFFS'!$AK136,'T1 2019 Pipeline Data Lagasco'!$E:$E,'Dec 31 2018 OFFS'!$U136,'T1 2019 Pipeline Data Lagasco'!$G:$G,'Dec 31 2018 OFFS'!$W136),1))</f>
        <v>27729</v>
      </c>
      <c r="AM136" s="274">
        <f t="shared" si="32"/>
        <v>0</v>
      </c>
    </row>
    <row r="137" spans="1:39" ht="12.7">
      <c r="A137" s="193" t="s">
        <v>909</v>
      </c>
      <c r="B137" s="40" t="s">
        <v>919</v>
      </c>
      <c r="C137" s="40" t="s">
        <v>920</v>
      </c>
      <c r="D137" s="40" t="s">
        <v>172</v>
      </c>
      <c r="E137" s="40" t="s">
        <v>1054</v>
      </c>
      <c r="F137" s="40"/>
      <c r="G137" s="40" t="s">
        <v>1373</v>
      </c>
      <c r="H137" s="42">
        <v>42</v>
      </c>
      <c r="I137" s="43">
        <v>25</v>
      </c>
      <c r="J137" s="44">
        <v>49.26</v>
      </c>
      <c r="K137" s="45">
        <v>80</v>
      </c>
      <c r="L137" s="43">
        <v>55</v>
      </c>
      <c r="M137" s="46">
        <v>9.24</v>
      </c>
      <c r="N137" s="40" t="s">
        <v>198</v>
      </c>
      <c r="O137" s="42">
        <v>42</v>
      </c>
      <c r="P137" s="43">
        <v>25</v>
      </c>
      <c r="Q137" s="44">
        <v>31.541</v>
      </c>
      <c r="R137" s="45">
        <v>80</v>
      </c>
      <c r="S137" s="43">
        <v>55</v>
      </c>
      <c r="T137" s="46">
        <v>9.0399999999999991</v>
      </c>
      <c r="U137" s="40">
        <v>4</v>
      </c>
      <c r="V137" s="47">
        <v>1818</v>
      </c>
      <c r="W137" s="48">
        <v>1985</v>
      </c>
      <c r="X137" s="40"/>
      <c r="Y137" s="52"/>
      <c r="Z137" s="40" t="s">
        <v>910</v>
      </c>
      <c r="AA137" s="49">
        <f t="shared" si="25"/>
        <v>48086.10</v>
      </c>
      <c r="AB137" s="71">
        <f t="shared" si="26"/>
        <v>0.80</v>
      </c>
      <c r="AC137" s="49">
        <f t="shared" si="27"/>
        <v>9617.2199999999993</v>
      </c>
      <c r="AD137" s="50">
        <f t="shared" si="28"/>
        <v>0</v>
      </c>
      <c r="AE137" s="50">
        <f t="shared" si="29"/>
        <v>0</v>
      </c>
      <c r="AF137" s="50">
        <f t="shared" si="30"/>
        <v>9617.2199999999993</v>
      </c>
      <c r="AG137" s="199">
        <f t="shared" si="31"/>
        <v>9617</v>
      </c>
      <c r="AH137" s="187"/>
      <c r="AI137" s="185" t="s">
        <v>1451</v>
      </c>
      <c r="AJ137" s="185"/>
      <c r="AK137" s="277">
        <f t="shared" si="24"/>
        <v>1818</v>
      </c>
      <c r="AL137" s="25">
        <f>(SUMIFS('T1 2019 Pipeline Data Lagasco'!$O:$O,'T1 2019 Pipeline Data Lagasco'!$A:$A,'Dec 31 2018 OFFS'!$AI137,'T1 2019 Pipeline Data Lagasco'!$Q:$Q,'Dec 31 2018 OFFS'!$AK137,'T1 2019 Pipeline Data Lagasco'!$E:$E,'Dec 31 2018 OFFS'!$U137,'T1 2019 Pipeline Data Lagasco'!$G:$G,'Dec 31 2018 OFFS'!$W137))/(MAX(COUNTIFS('T1 2019 Pipeline Data Lagasco'!$A:$A,'Dec 31 2018 OFFS'!$AI137,'T1 2019 Pipeline Data Lagasco'!$Q:$Q,'Dec 31 2018 OFFS'!$AK137,'T1 2019 Pipeline Data Lagasco'!$E:$E,'Dec 31 2018 OFFS'!$U137,'T1 2019 Pipeline Data Lagasco'!$G:$G,'Dec 31 2018 OFFS'!$W137),1))</f>
        <v>9617</v>
      </c>
      <c r="AM137" s="274">
        <f t="shared" si="32"/>
        <v>0</v>
      </c>
    </row>
    <row r="138" spans="1:39" ht="12.7">
      <c r="A138" s="193" t="s">
        <v>909</v>
      </c>
      <c r="B138" s="40" t="s">
        <v>919</v>
      </c>
      <c r="C138" s="40" t="s">
        <v>920</v>
      </c>
      <c r="D138" s="40" t="s">
        <v>172</v>
      </c>
      <c r="E138" s="40" t="s">
        <v>1054</v>
      </c>
      <c r="F138" s="40" t="s">
        <v>1051</v>
      </c>
      <c r="G138" s="41" t="s">
        <v>934</v>
      </c>
      <c r="H138" s="42">
        <v>42</v>
      </c>
      <c r="I138" s="43">
        <v>25</v>
      </c>
      <c r="J138" s="44">
        <v>20.167000000000002</v>
      </c>
      <c r="K138" s="45">
        <v>80</v>
      </c>
      <c r="L138" s="43">
        <v>55</v>
      </c>
      <c r="M138" s="46">
        <v>54.655</v>
      </c>
      <c r="N138" s="41" t="s">
        <v>198</v>
      </c>
      <c r="O138" s="42">
        <v>42</v>
      </c>
      <c r="P138" s="43">
        <v>25</v>
      </c>
      <c r="Q138" s="44">
        <v>31.541</v>
      </c>
      <c r="R138" s="45">
        <v>80</v>
      </c>
      <c r="S138" s="43">
        <v>55</v>
      </c>
      <c r="T138" s="46">
        <v>9.0399999999999991</v>
      </c>
      <c r="U138" s="40">
        <v>3</v>
      </c>
      <c r="V138" s="47">
        <v>3609.65</v>
      </c>
      <c r="W138" s="48">
        <v>1998</v>
      </c>
      <c r="X138" s="40"/>
      <c r="Y138" s="52"/>
      <c r="Z138" s="40" t="s">
        <v>910</v>
      </c>
      <c r="AA138" s="49">
        <f t="shared" si="25"/>
        <v>0</v>
      </c>
      <c r="AB138" s="71">
        <f t="shared" si="26"/>
        <v>0.63</v>
      </c>
      <c r="AC138" s="49">
        <f t="shared" si="27"/>
        <v>0</v>
      </c>
      <c r="AD138" s="50">
        <f t="shared" si="28"/>
        <v>0</v>
      </c>
      <c r="AE138" s="50">
        <f t="shared" si="29"/>
        <v>0</v>
      </c>
      <c r="AF138" s="50">
        <f t="shared" si="30"/>
        <v>0</v>
      </c>
      <c r="AG138" s="199">
        <f t="shared" si="31"/>
        <v>0</v>
      </c>
      <c r="AH138" s="187"/>
      <c r="AI138" s="185" t="s">
        <v>1451</v>
      </c>
      <c r="AJ138" s="185"/>
      <c r="AK138" s="277">
        <f t="shared" si="24"/>
        <v>3609.65</v>
      </c>
      <c r="AL138" s="25">
        <f>(SUMIFS('T1 2019 Pipeline Data Lagasco'!$O:$O,'T1 2019 Pipeline Data Lagasco'!$A:$A,'Dec 31 2018 OFFS'!$AI138,'T1 2019 Pipeline Data Lagasco'!$Q:$Q,'Dec 31 2018 OFFS'!$AK138,'T1 2019 Pipeline Data Lagasco'!$E:$E,'Dec 31 2018 OFFS'!$U138,'T1 2019 Pipeline Data Lagasco'!$G:$G,'Dec 31 2018 OFFS'!$W138))/(MAX(COUNTIFS('T1 2019 Pipeline Data Lagasco'!$A:$A,'Dec 31 2018 OFFS'!$AI138,'T1 2019 Pipeline Data Lagasco'!$Q:$Q,'Dec 31 2018 OFFS'!$AK138,'T1 2019 Pipeline Data Lagasco'!$E:$E,'Dec 31 2018 OFFS'!$U138,'T1 2019 Pipeline Data Lagasco'!$G:$G,'Dec 31 2018 OFFS'!$W138),1))</f>
        <v>0</v>
      </c>
      <c r="AM138" s="274">
        <f t="shared" si="32"/>
        <v>0</v>
      </c>
    </row>
    <row r="139" spans="1:39" ht="12.7">
      <c r="A139" s="193" t="s">
        <v>909</v>
      </c>
      <c r="B139" s="148" t="s">
        <v>919</v>
      </c>
      <c r="C139" s="148" t="s">
        <v>920</v>
      </c>
      <c r="D139" s="148" t="s">
        <v>172</v>
      </c>
      <c r="E139" s="148" t="s">
        <v>1054</v>
      </c>
      <c r="F139" s="148" t="s">
        <v>1380</v>
      </c>
      <c r="G139" s="149" t="s">
        <v>198</v>
      </c>
      <c r="H139" s="150">
        <v>42</v>
      </c>
      <c r="I139" s="151">
        <v>25</v>
      </c>
      <c r="J139" s="152">
        <v>31.541</v>
      </c>
      <c r="K139" s="153">
        <v>80</v>
      </c>
      <c r="L139" s="151">
        <v>55</v>
      </c>
      <c r="M139" s="154">
        <v>9.0399999999999991</v>
      </c>
      <c r="N139" s="40" t="s">
        <v>209</v>
      </c>
      <c r="O139" s="42">
        <v>42</v>
      </c>
      <c r="P139" s="43">
        <v>24</v>
      </c>
      <c r="Q139" s="44">
        <v>53.25</v>
      </c>
      <c r="R139" s="45">
        <v>80</v>
      </c>
      <c r="S139" s="43">
        <v>51</v>
      </c>
      <c r="T139" s="46">
        <v>57.56</v>
      </c>
      <c r="U139" s="40">
        <v>4</v>
      </c>
      <c r="V139" s="47">
        <v>14899.58</v>
      </c>
      <c r="W139" s="48">
        <v>1999</v>
      </c>
      <c r="X139" s="40"/>
      <c r="Y139" s="52"/>
      <c r="Z139" s="139" t="s">
        <v>910</v>
      </c>
      <c r="AA139" s="49">
        <f t="shared" si="25"/>
        <v>394093.891</v>
      </c>
      <c r="AB139" s="71">
        <f t="shared" si="26"/>
        <v>0.62</v>
      </c>
      <c r="AC139" s="49">
        <f t="shared" si="27"/>
        <v>149755.68</v>
      </c>
      <c r="AD139" s="50">
        <f t="shared" si="28"/>
        <v>0</v>
      </c>
      <c r="AE139" s="50">
        <f t="shared" si="29"/>
        <v>0</v>
      </c>
      <c r="AF139" s="50">
        <f t="shared" si="30"/>
        <v>149755.68</v>
      </c>
      <c r="AG139" s="199">
        <f t="shared" si="31"/>
        <v>149755</v>
      </c>
      <c r="AH139" s="187"/>
      <c r="AI139" s="185" t="s">
        <v>1451</v>
      </c>
      <c r="AJ139" s="185"/>
      <c r="AK139" s="277">
        <f t="shared" si="24"/>
        <v>14899.58</v>
      </c>
      <c r="AL139" s="25">
        <f>(SUMIFS('T1 2019 Pipeline Data Lagasco'!$O:$O,'T1 2019 Pipeline Data Lagasco'!$A:$A,'Dec 31 2018 OFFS'!$AI139,'T1 2019 Pipeline Data Lagasco'!$Q:$Q,'Dec 31 2018 OFFS'!$AK139,'T1 2019 Pipeline Data Lagasco'!$E:$E,'Dec 31 2018 OFFS'!$U139,'T1 2019 Pipeline Data Lagasco'!$G:$G,'Dec 31 2018 OFFS'!$W139))/(MAX(COUNTIFS('T1 2019 Pipeline Data Lagasco'!$A:$A,'Dec 31 2018 OFFS'!$AI139,'T1 2019 Pipeline Data Lagasco'!$Q:$Q,'Dec 31 2018 OFFS'!$AK139,'T1 2019 Pipeline Data Lagasco'!$E:$E,'Dec 31 2018 OFFS'!$U139,'T1 2019 Pipeline Data Lagasco'!$G:$G,'Dec 31 2018 OFFS'!$W139),1))</f>
        <v>149755</v>
      </c>
      <c r="AM139" s="274">
        <f t="shared" si="32"/>
        <v>0</v>
      </c>
    </row>
    <row r="140" spans="1:39" ht="12.7">
      <c r="A140" s="193" t="s">
        <v>909</v>
      </c>
      <c r="B140" s="40" t="s">
        <v>919</v>
      </c>
      <c r="C140" s="40" t="s">
        <v>920</v>
      </c>
      <c r="D140" s="40" t="s">
        <v>172</v>
      </c>
      <c r="E140" s="40" t="s">
        <v>1054</v>
      </c>
      <c r="F140" s="40" t="s">
        <v>1051</v>
      </c>
      <c r="G140" s="41" t="s">
        <v>198</v>
      </c>
      <c r="H140" s="42">
        <v>42</v>
      </c>
      <c r="I140" s="43">
        <v>25</v>
      </c>
      <c r="J140" s="44">
        <v>31.541</v>
      </c>
      <c r="K140" s="45">
        <v>80</v>
      </c>
      <c r="L140" s="43">
        <v>55</v>
      </c>
      <c r="M140" s="46">
        <v>9.0399999999999991</v>
      </c>
      <c r="N140" s="40" t="s">
        <v>208</v>
      </c>
      <c r="O140" s="42">
        <v>42</v>
      </c>
      <c r="P140" s="43">
        <v>25</v>
      </c>
      <c r="Q140" s="44">
        <v>17.52</v>
      </c>
      <c r="R140" s="45">
        <v>80</v>
      </c>
      <c r="S140" s="43">
        <v>54</v>
      </c>
      <c r="T140" s="46">
        <v>18.18</v>
      </c>
      <c r="U140" s="40">
        <v>4</v>
      </c>
      <c r="V140" s="47">
        <v>4069.947388696</v>
      </c>
      <c r="W140" s="48">
        <v>1968</v>
      </c>
      <c r="X140" s="40"/>
      <c r="Y140" s="52"/>
      <c r="Z140" s="40" t="s">
        <v>910</v>
      </c>
      <c r="AA140" s="49">
        <f t="shared" si="25"/>
        <v>0</v>
      </c>
      <c r="AB140" s="71">
        <f t="shared" si="26"/>
        <v>0.80</v>
      </c>
      <c r="AC140" s="49">
        <f t="shared" si="27"/>
        <v>0</v>
      </c>
      <c r="AD140" s="50">
        <f t="shared" si="28"/>
        <v>0</v>
      </c>
      <c r="AE140" s="50">
        <f t="shared" si="29"/>
        <v>0</v>
      </c>
      <c r="AF140" s="50">
        <f t="shared" si="30"/>
        <v>0</v>
      </c>
      <c r="AG140" s="199">
        <f t="shared" si="31"/>
        <v>0</v>
      </c>
      <c r="AH140" s="187"/>
      <c r="AI140" s="185" t="s">
        <v>1451</v>
      </c>
      <c r="AJ140" s="185"/>
      <c r="AK140" s="277">
        <f t="shared" si="24"/>
        <v>4069.95</v>
      </c>
      <c r="AL140" s="25">
        <f>(SUMIFS('T1 2019 Pipeline Data Lagasco'!$O:$O,'T1 2019 Pipeline Data Lagasco'!$A:$A,'Dec 31 2018 OFFS'!$AI140,'T1 2019 Pipeline Data Lagasco'!$Q:$Q,'Dec 31 2018 OFFS'!$AK140,'T1 2019 Pipeline Data Lagasco'!$E:$E,'Dec 31 2018 OFFS'!$U140,'T1 2019 Pipeline Data Lagasco'!$G:$G,'Dec 31 2018 OFFS'!$W140))/(MAX(COUNTIFS('T1 2019 Pipeline Data Lagasco'!$A:$A,'Dec 31 2018 OFFS'!$AI140,'T1 2019 Pipeline Data Lagasco'!$Q:$Q,'Dec 31 2018 OFFS'!$AK140,'T1 2019 Pipeline Data Lagasco'!$E:$E,'Dec 31 2018 OFFS'!$U140,'T1 2019 Pipeline Data Lagasco'!$G:$G,'Dec 31 2018 OFFS'!$W140),1))</f>
        <v>0</v>
      </c>
      <c r="AM140" s="274">
        <f t="shared" si="32"/>
        <v>0</v>
      </c>
    </row>
    <row r="141" spans="1:39" ht="12.7">
      <c r="A141" s="193" t="s">
        <v>909</v>
      </c>
      <c r="B141" s="40" t="s">
        <v>919</v>
      </c>
      <c r="C141" s="40" t="s">
        <v>920</v>
      </c>
      <c r="D141" s="40" t="s">
        <v>172</v>
      </c>
      <c r="E141" s="40" t="s">
        <v>1054</v>
      </c>
      <c r="F141" s="139" t="s">
        <v>1051</v>
      </c>
      <c r="G141" s="41" t="s">
        <v>1305</v>
      </c>
      <c r="H141" s="42">
        <v>42</v>
      </c>
      <c r="I141" s="43">
        <v>25</v>
      </c>
      <c r="J141" s="44">
        <v>29.10</v>
      </c>
      <c r="K141" s="45">
        <v>80</v>
      </c>
      <c r="L141" s="43">
        <v>59</v>
      </c>
      <c r="M141" s="46">
        <v>11.10</v>
      </c>
      <c r="N141" s="40" t="s">
        <v>201</v>
      </c>
      <c r="O141" s="42">
        <v>42</v>
      </c>
      <c r="P141" s="43">
        <v>26</v>
      </c>
      <c r="Q141" s="44">
        <v>7.62</v>
      </c>
      <c r="R141" s="45">
        <v>80</v>
      </c>
      <c r="S141" s="43">
        <v>59</v>
      </c>
      <c r="T141" s="44">
        <v>37.619999999999997</v>
      </c>
      <c r="U141" s="40">
        <v>4</v>
      </c>
      <c r="V141" s="47">
        <v>4372</v>
      </c>
      <c r="W141" s="48">
        <v>1985</v>
      </c>
      <c r="X141" s="40"/>
      <c r="Y141" s="52"/>
      <c r="Z141" s="40" t="s">
        <v>910</v>
      </c>
      <c r="AA141" s="49">
        <f t="shared" si="25"/>
        <v>0</v>
      </c>
      <c r="AB141" s="71">
        <f t="shared" si="26"/>
        <v>0.80</v>
      </c>
      <c r="AC141" s="49">
        <f t="shared" si="27"/>
        <v>0</v>
      </c>
      <c r="AD141" s="50">
        <f t="shared" si="28"/>
        <v>0</v>
      </c>
      <c r="AE141" s="50">
        <f t="shared" si="29"/>
        <v>0</v>
      </c>
      <c r="AF141" s="50">
        <f t="shared" si="30"/>
        <v>0</v>
      </c>
      <c r="AG141" s="199">
        <f t="shared" si="31"/>
        <v>0</v>
      </c>
      <c r="AH141" s="187"/>
      <c r="AI141" s="185" t="s">
        <v>1451</v>
      </c>
      <c r="AJ141" s="185"/>
      <c r="AK141" s="277">
        <f t="shared" si="24"/>
        <v>4372</v>
      </c>
      <c r="AL141" s="25">
        <f>(SUMIFS('T1 2019 Pipeline Data Lagasco'!$O:$O,'T1 2019 Pipeline Data Lagasco'!$A:$A,'Dec 31 2018 OFFS'!$AI141,'T1 2019 Pipeline Data Lagasco'!$Q:$Q,'Dec 31 2018 OFFS'!$AK141,'T1 2019 Pipeline Data Lagasco'!$E:$E,'Dec 31 2018 OFFS'!$U141,'T1 2019 Pipeline Data Lagasco'!$G:$G,'Dec 31 2018 OFFS'!$W141))/(MAX(COUNTIFS('T1 2019 Pipeline Data Lagasco'!$A:$A,'Dec 31 2018 OFFS'!$AI141,'T1 2019 Pipeline Data Lagasco'!$Q:$Q,'Dec 31 2018 OFFS'!$AK141,'T1 2019 Pipeline Data Lagasco'!$E:$E,'Dec 31 2018 OFFS'!$U141,'T1 2019 Pipeline Data Lagasco'!$G:$G,'Dec 31 2018 OFFS'!$W141),1))</f>
        <v>0</v>
      </c>
      <c r="AM141" s="274">
        <f t="shared" si="32"/>
        <v>0</v>
      </c>
    </row>
    <row r="142" spans="1:39" ht="12.7">
      <c r="A142" s="193" t="s">
        <v>909</v>
      </c>
      <c r="B142" s="40" t="s">
        <v>919</v>
      </c>
      <c r="C142" s="40" t="s">
        <v>920</v>
      </c>
      <c r="D142" s="40" t="s">
        <v>172</v>
      </c>
      <c r="E142" s="40" t="s">
        <v>1054</v>
      </c>
      <c r="F142" s="139" t="s">
        <v>1051</v>
      </c>
      <c r="G142" s="41" t="s">
        <v>1305</v>
      </c>
      <c r="H142" s="42">
        <v>42</v>
      </c>
      <c r="I142" s="43">
        <v>25</v>
      </c>
      <c r="J142" s="44">
        <v>29.10</v>
      </c>
      <c r="K142" s="45">
        <v>80</v>
      </c>
      <c r="L142" s="43">
        <v>59</v>
      </c>
      <c r="M142" s="46">
        <v>11.10</v>
      </c>
      <c r="N142" s="41" t="s">
        <v>203</v>
      </c>
      <c r="O142" s="42">
        <v>42</v>
      </c>
      <c r="P142" s="43">
        <v>23</v>
      </c>
      <c r="Q142" s="44">
        <v>28.678999999999998</v>
      </c>
      <c r="R142" s="45">
        <v>80</v>
      </c>
      <c r="S142" s="43">
        <v>56</v>
      </c>
      <c r="T142" s="46">
        <v>8.173</v>
      </c>
      <c r="U142" s="40">
        <v>4</v>
      </c>
      <c r="V142" s="47">
        <v>18324</v>
      </c>
      <c r="W142" s="48">
        <v>1985</v>
      </c>
      <c r="X142" s="40"/>
      <c r="Y142" s="52"/>
      <c r="Z142" s="40" t="s">
        <v>910</v>
      </c>
      <c r="AA142" s="49">
        <f t="shared" si="25"/>
        <v>0</v>
      </c>
      <c r="AB142" s="71">
        <f t="shared" si="26"/>
        <v>0.80</v>
      </c>
      <c r="AC142" s="49">
        <f t="shared" si="27"/>
        <v>0</v>
      </c>
      <c r="AD142" s="50">
        <f t="shared" si="28"/>
        <v>0</v>
      </c>
      <c r="AE142" s="50">
        <f t="shared" si="29"/>
        <v>0</v>
      </c>
      <c r="AF142" s="50">
        <f t="shared" si="30"/>
        <v>0</v>
      </c>
      <c r="AG142" s="199">
        <f t="shared" si="31"/>
        <v>0</v>
      </c>
      <c r="AH142" s="187"/>
      <c r="AI142" s="185" t="s">
        <v>1451</v>
      </c>
      <c r="AJ142" s="185"/>
      <c r="AK142" s="277">
        <f t="shared" si="24"/>
        <v>18324</v>
      </c>
      <c r="AL142" s="25">
        <f>(SUMIFS('T1 2019 Pipeline Data Lagasco'!$O:$O,'T1 2019 Pipeline Data Lagasco'!$A:$A,'Dec 31 2018 OFFS'!$AI142,'T1 2019 Pipeline Data Lagasco'!$Q:$Q,'Dec 31 2018 OFFS'!$AK142,'T1 2019 Pipeline Data Lagasco'!$E:$E,'Dec 31 2018 OFFS'!$U142,'T1 2019 Pipeline Data Lagasco'!$G:$G,'Dec 31 2018 OFFS'!$W142))/(MAX(COUNTIFS('T1 2019 Pipeline Data Lagasco'!$A:$A,'Dec 31 2018 OFFS'!$AI142,'T1 2019 Pipeline Data Lagasco'!$Q:$Q,'Dec 31 2018 OFFS'!$AK142,'T1 2019 Pipeline Data Lagasco'!$E:$E,'Dec 31 2018 OFFS'!$U142,'T1 2019 Pipeline Data Lagasco'!$G:$G,'Dec 31 2018 OFFS'!$W142),1))</f>
        <v>0</v>
      </c>
      <c r="AM142" s="274">
        <f t="shared" si="32"/>
        <v>0</v>
      </c>
    </row>
    <row r="143" spans="1:39" ht="12.7">
      <c r="A143" s="193" t="s">
        <v>909</v>
      </c>
      <c r="B143" s="40" t="s">
        <v>919</v>
      </c>
      <c r="C143" s="40" t="s">
        <v>920</v>
      </c>
      <c r="D143" s="40" t="s">
        <v>172</v>
      </c>
      <c r="E143" s="40" t="s">
        <v>1054</v>
      </c>
      <c r="F143" s="40" t="s">
        <v>1051</v>
      </c>
      <c r="G143" s="41" t="s">
        <v>177</v>
      </c>
      <c r="H143" s="42">
        <v>42</v>
      </c>
      <c r="I143" s="43">
        <v>25</v>
      </c>
      <c r="J143" s="44">
        <v>4.9800000000000004</v>
      </c>
      <c r="K143" s="45">
        <v>80</v>
      </c>
      <c r="L143" s="43">
        <v>53</v>
      </c>
      <c r="M143" s="46">
        <v>5.04</v>
      </c>
      <c r="N143" s="40" t="s">
        <v>178</v>
      </c>
      <c r="O143" s="42">
        <v>42</v>
      </c>
      <c r="P143" s="43">
        <v>25</v>
      </c>
      <c r="Q143" s="44">
        <v>7.6719999999999997</v>
      </c>
      <c r="R143" s="45">
        <v>80</v>
      </c>
      <c r="S143" s="43">
        <v>52</v>
      </c>
      <c r="T143" s="46">
        <v>59.225</v>
      </c>
      <c r="U143" s="40">
        <v>3</v>
      </c>
      <c r="V143" s="47">
        <v>514.27163865</v>
      </c>
      <c r="W143" s="48">
        <v>2002</v>
      </c>
      <c r="X143" s="40"/>
      <c r="Y143" s="52"/>
      <c r="Z143" s="40" t="s">
        <v>910</v>
      </c>
      <c r="AA143" s="49">
        <f t="shared" si="25"/>
        <v>0</v>
      </c>
      <c r="AB143" s="71">
        <f t="shared" si="26"/>
        <v>0.56999999999999995</v>
      </c>
      <c r="AC143" s="49">
        <f t="shared" si="27"/>
        <v>0</v>
      </c>
      <c r="AD143" s="50">
        <f t="shared" si="28"/>
        <v>0</v>
      </c>
      <c r="AE143" s="50">
        <f t="shared" si="29"/>
        <v>0</v>
      </c>
      <c r="AF143" s="50">
        <f t="shared" si="30"/>
        <v>0</v>
      </c>
      <c r="AG143" s="199">
        <f t="shared" si="31"/>
        <v>0</v>
      </c>
      <c r="AH143" s="187"/>
      <c r="AI143" s="185" t="s">
        <v>1451</v>
      </c>
      <c r="AJ143" s="185"/>
      <c r="AK143" s="277">
        <f t="shared" si="24"/>
        <v>514.27</v>
      </c>
      <c r="AL143" s="25">
        <f>(SUMIFS('T1 2019 Pipeline Data Lagasco'!$O:$O,'T1 2019 Pipeline Data Lagasco'!$A:$A,'Dec 31 2018 OFFS'!$AI143,'T1 2019 Pipeline Data Lagasco'!$Q:$Q,'Dec 31 2018 OFFS'!$AK143,'T1 2019 Pipeline Data Lagasco'!$E:$E,'Dec 31 2018 OFFS'!$U143,'T1 2019 Pipeline Data Lagasco'!$G:$G,'Dec 31 2018 OFFS'!$W143))/(MAX(COUNTIFS('T1 2019 Pipeline Data Lagasco'!$A:$A,'Dec 31 2018 OFFS'!$AI143,'T1 2019 Pipeline Data Lagasco'!$Q:$Q,'Dec 31 2018 OFFS'!$AK143,'T1 2019 Pipeline Data Lagasco'!$E:$E,'Dec 31 2018 OFFS'!$U143,'T1 2019 Pipeline Data Lagasco'!$G:$G,'Dec 31 2018 OFFS'!$W143),1))</f>
        <v>0</v>
      </c>
      <c r="AM143" s="274">
        <f t="shared" si="32"/>
        <v>0</v>
      </c>
    </row>
    <row r="144" spans="1:39" ht="12.7">
      <c r="A144" s="193" t="s">
        <v>909</v>
      </c>
      <c r="B144" s="40" t="s">
        <v>919</v>
      </c>
      <c r="C144" s="40" t="s">
        <v>920</v>
      </c>
      <c r="D144" s="40" t="s">
        <v>172</v>
      </c>
      <c r="E144" s="40" t="s">
        <v>1054</v>
      </c>
      <c r="F144" s="40" t="s">
        <v>1051</v>
      </c>
      <c r="G144" s="41" t="s">
        <v>177</v>
      </c>
      <c r="H144" s="42">
        <v>42</v>
      </c>
      <c r="I144" s="43">
        <v>25</v>
      </c>
      <c r="J144" s="44">
        <v>4.9800000000000004</v>
      </c>
      <c r="K144" s="45">
        <v>80</v>
      </c>
      <c r="L144" s="43">
        <v>53</v>
      </c>
      <c r="M144" s="46">
        <v>5.04</v>
      </c>
      <c r="N144" s="40" t="s">
        <v>209</v>
      </c>
      <c r="O144" s="42">
        <v>42</v>
      </c>
      <c r="P144" s="43">
        <v>24</v>
      </c>
      <c r="Q144" s="44">
        <v>53.25</v>
      </c>
      <c r="R144" s="45">
        <v>80</v>
      </c>
      <c r="S144" s="43">
        <v>51</v>
      </c>
      <c r="T144" s="46">
        <v>57.56</v>
      </c>
      <c r="U144" s="40">
        <v>4</v>
      </c>
      <c r="V144" s="47">
        <v>5198.9171722740002</v>
      </c>
      <c r="W144" s="48">
        <v>1970</v>
      </c>
      <c r="X144" s="40"/>
      <c r="Y144" s="52"/>
      <c r="Z144" s="40" t="s">
        <v>910</v>
      </c>
      <c r="AA144" s="49">
        <f t="shared" si="25"/>
        <v>0</v>
      </c>
      <c r="AB144" s="71">
        <f t="shared" si="26"/>
        <v>0.80</v>
      </c>
      <c r="AC144" s="49">
        <f t="shared" si="27"/>
        <v>0</v>
      </c>
      <c r="AD144" s="50">
        <f t="shared" si="28"/>
        <v>0</v>
      </c>
      <c r="AE144" s="50">
        <f t="shared" si="29"/>
        <v>0</v>
      </c>
      <c r="AF144" s="50">
        <f t="shared" si="30"/>
        <v>0</v>
      </c>
      <c r="AG144" s="199">
        <f t="shared" si="31"/>
        <v>0</v>
      </c>
      <c r="AH144" s="187"/>
      <c r="AI144" s="185" t="s">
        <v>1451</v>
      </c>
      <c r="AJ144" s="185"/>
      <c r="AK144" s="277">
        <f t="shared" si="24"/>
        <v>5198.92</v>
      </c>
      <c r="AL144" s="25">
        <f>(SUMIFS('T1 2019 Pipeline Data Lagasco'!$O:$O,'T1 2019 Pipeline Data Lagasco'!$A:$A,'Dec 31 2018 OFFS'!$AI144,'T1 2019 Pipeline Data Lagasco'!$Q:$Q,'Dec 31 2018 OFFS'!$AK144,'T1 2019 Pipeline Data Lagasco'!$E:$E,'Dec 31 2018 OFFS'!$U144,'T1 2019 Pipeline Data Lagasco'!$G:$G,'Dec 31 2018 OFFS'!$W144))/(MAX(COUNTIFS('T1 2019 Pipeline Data Lagasco'!$A:$A,'Dec 31 2018 OFFS'!$AI144,'T1 2019 Pipeline Data Lagasco'!$Q:$Q,'Dec 31 2018 OFFS'!$AK144,'T1 2019 Pipeline Data Lagasco'!$E:$E,'Dec 31 2018 OFFS'!$U144,'T1 2019 Pipeline Data Lagasco'!$G:$G,'Dec 31 2018 OFFS'!$W144),1))</f>
        <v>0</v>
      </c>
      <c r="AM144" s="274">
        <f t="shared" si="32"/>
        <v>0</v>
      </c>
    </row>
    <row r="145" spans="1:39" ht="12.7">
      <c r="A145" s="193" t="s">
        <v>909</v>
      </c>
      <c r="B145" s="40" t="s">
        <v>919</v>
      </c>
      <c r="C145" s="40" t="s">
        <v>920</v>
      </c>
      <c r="D145" s="40" t="s">
        <v>172</v>
      </c>
      <c r="E145" s="40" t="s">
        <v>1054</v>
      </c>
      <c r="F145" s="40" t="s">
        <v>1051</v>
      </c>
      <c r="G145" s="41" t="s">
        <v>208</v>
      </c>
      <c r="H145" s="42">
        <v>42</v>
      </c>
      <c r="I145" s="43">
        <v>25</v>
      </c>
      <c r="J145" s="44">
        <v>17.52</v>
      </c>
      <c r="K145" s="45">
        <v>80</v>
      </c>
      <c r="L145" s="43">
        <v>54</v>
      </c>
      <c r="M145" s="46">
        <v>18.18</v>
      </c>
      <c r="N145" s="40" t="s">
        <v>177</v>
      </c>
      <c r="O145" s="42">
        <v>42</v>
      </c>
      <c r="P145" s="43">
        <v>25</v>
      </c>
      <c r="Q145" s="44">
        <v>4.9800000000000004</v>
      </c>
      <c r="R145" s="45">
        <v>80</v>
      </c>
      <c r="S145" s="43">
        <v>53</v>
      </c>
      <c r="T145" s="46">
        <v>5.04</v>
      </c>
      <c r="U145" s="40">
        <v>4</v>
      </c>
      <c r="V145" s="47">
        <v>5630.7084983519999</v>
      </c>
      <c r="W145" s="48">
        <v>1970</v>
      </c>
      <c r="X145" s="40"/>
      <c r="Y145" s="52"/>
      <c r="Z145" s="40" t="s">
        <v>910</v>
      </c>
      <c r="AA145" s="49">
        <f t="shared" si="25"/>
        <v>0</v>
      </c>
      <c r="AB145" s="71">
        <f t="shared" si="26"/>
        <v>0.80</v>
      </c>
      <c r="AC145" s="49">
        <f t="shared" si="27"/>
        <v>0</v>
      </c>
      <c r="AD145" s="50">
        <f t="shared" si="28"/>
        <v>0</v>
      </c>
      <c r="AE145" s="50">
        <f t="shared" si="29"/>
        <v>0</v>
      </c>
      <c r="AF145" s="50">
        <f t="shared" si="30"/>
        <v>0</v>
      </c>
      <c r="AG145" s="199">
        <f t="shared" si="31"/>
        <v>0</v>
      </c>
      <c r="AH145" s="187"/>
      <c r="AI145" s="185" t="s">
        <v>1451</v>
      </c>
      <c r="AJ145" s="185"/>
      <c r="AK145" s="277">
        <f t="shared" si="24"/>
        <v>5630.71</v>
      </c>
      <c r="AL145" s="25">
        <f>(SUMIFS('T1 2019 Pipeline Data Lagasco'!$O:$O,'T1 2019 Pipeline Data Lagasco'!$A:$A,'Dec 31 2018 OFFS'!$AI145,'T1 2019 Pipeline Data Lagasco'!$Q:$Q,'Dec 31 2018 OFFS'!$AK145,'T1 2019 Pipeline Data Lagasco'!$E:$E,'Dec 31 2018 OFFS'!$U145,'T1 2019 Pipeline Data Lagasco'!$G:$G,'Dec 31 2018 OFFS'!$W145))/(MAX(COUNTIFS('T1 2019 Pipeline Data Lagasco'!$A:$A,'Dec 31 2018 OFFS'!$AI145,'T1 2019 Pipeline Data Lagasco'!$Q:$Q,'Dec 31 2018 OFFS'!$AK145,'T1 2019 Pipeline Data Lagasco'!$E:$E,'Dec 31 2018 OFFS'!$U145,'T1 2019 Pipeline Data Lagasco'!$G:$G,'Dec 31 2018 OFFS'!$W145),1))</f>
        <v>0</v>
      </c>
      <c r="AM145" s="274">
        <f t="shared" si="32"/>
        <v>0</v>
      </c>
    </row>
    <row r="146" spans="1:39" ht="12.7">
      <c r="A146" s="193" t="s">
        <v>909</v>
      </c>
      <c r="B146" s="40" t="s">
        <v>919</v>
      </c>
      <c r="C146" s="40" t="s">
        <v>920</v>
      </c>
      <c r="D146" s="40" t="s">
        <v>172</v>
      </c>
      <c r="E146" s="40" t="s">
        <v>1054</v>
      </c>
      <c r="F146" s="40" t="s">
        <v>1051</v>
      </c>
      <c r="G146" s="41" t="s">
        <v>190</v>
      </c>
      <c r="H146" s="42">
        <v>42</v>
      </c>
      <c r="I146" s="43">
        <v>24</v>
      </c>
      <c r="J146" s="44">
        <v>39.24</v>
      </c>
      <c r="K146" s="45">
        <v>80</v>
      </c>
      <c r="L146" s="43">
        <v>54</v>
      </c>
      <c r="M146" s="46">
        <v>50.08</v>
      </c>
      <c r="N146" s="40" t="s">
        <v>198</v>
      </c>
      <c r="O146" s="42">
        <v>42</v>
      </c>
      <c r="P146" s="43">
        <v>25</v>
      </c>
      <c r="Q146" s="44">
        <v>31.541</v>
      </c>
      <c r="R146" s="45">
        <v>80</v>
      </c>
      <c r="S146" s="43">
        <v>55</v>
      </c>
      <c r="T146" s="46">
        <v>9.0399999999999991</v>
      </c>
      <c r="U146" s="40">
        <v>4</v>
      </c>
      <c r="V146" s="281">
        <v>5476</v>
      </c>
      <c r="W146" s="48">
        <v>1970</v>
      </c>
      <c r="X146" s="40"/>
      <c r="Y146" s="52"/>
      <c r="Z146" s="40" t="s">
        <v>910</v>
      </c>
      <c r="AA146" s="49">
        <f t="shared" si="25"/>
        <v>0</v>
      </c>
      <c r="AB146" s="71">
        <f t="shared" si="26"/>
        <v>0.80</v>
      </c>
      <c r="AC146" s="49">
        <f t="shared" si="27"/>
        <v>0</v>
      </c>
      <c r="AD146" s="50">
        <f t="shared" si="28"/>
        <v>0</v>
      </c>
      <c r="AE146" s="50">
        <f t="shared" si="29"/>
        <v>0</v>
      </c>
      <c r="AF146" s="50">
        <f t="shared" si="30"/>
        <v>0</v>
      </c>
      <c r="AG146" s="199">
        <f t="shared" si="31"/>
        <v>0</v>
      </c>
      <c r="AH146" s="187"/>
      <c r="AI146" s="185" t="s">
        <v>1451</v>
      </c>
      <c r="AJ146" s="185"/>
      <c r="AK146" s="277">
        <f t="shared" si="24"/>
        <v>5476</v>
      </c>
      <c r="AL146" s="25">
        <f>(SUMIFS('T1 2019 Pipeline Data Lagasco'!$O:$O,'T1 2019 Pipeline Data Lagasco'!$A:$A,'Dec 31 2018 OFFS'!$AI146,'T1 2019 Pipeline Data Lagasco'!$Q:$Q,'Dec 31 2018 OFFS'!$AK146,'T1 2019 Pipeline Data Lagasco'!$E:$E,'Dec 31 2018 OFFS'!$U146,'T1 2019 Pipeline Data Lagasco'!$G:$G,'Dec 31 2018 OFFS'!$W146))/(MAX(COUNTIFS('T1 2019 Pipeline Data Lagasco'!$A:$A,'Dec 31 2018 OFFS'!$AI146,'T1 2019 Pipeline Data Lagasco'!$Q:$Q,'Dec 31 2018 OFFS'!$AK146,'T1 2019 Pipeline Data Lagasco'!$E:$E,'Dec 31 2018 OFFS'!$U146,'T1 2019 Pipeline Data Lagasco'!$G:$G,'Dec 31 2018 OFFS'!$W146),1))</f>
        <v>0</v>
      </c>
      <c r="AM146" s="274">
        <f t="shared" si="32"/>
        <v>0</v>
      </c>
    </row>
    <row r="147" spans="1:39" ht="12.7">
      <c r="A147" s="193" t="s">
        <v>909</v>
      </c>
      <c r="B147" s="40" t="s">
        <v>919</v>
      </c>
      <c r="C147" s="40" t="s">
        <v>920</v>
      </c>
      <c r="D147" s="40" t="s">
        <v>172</v>
      </c>
      <c r="E147" s="40" t="s">
        <v>1054</v>
      </c>
      <c r="F147" s="40" t="s">
        <v>1380</v>
      </c>
      <c r="G147" s="41" t="s">
        <v>190</v>
      </c>
      <c r="H147" s="42">
        <v>42</v>
      </c>
      <c r="I147" s="43">
        <v>24</v>
      </c>
      <c r="J147" s="44">
        <v>39.24</v>
      </c>
      <c r="K147" s="45">
        <v>80</v>
      </c>
      <c r="L147" s="43">
        <v>54</v>
      </c>
      <c r="M147" s="46">
        <v>50.08</v>
      </c>
      <c r="N147" s="40" t="s">
        <v>198</v>
      </c>
      <c r="O147" s="42">
        <v>42</v>
      </c>
      <c r="P147" s="43">
        <v>25</v>
      </c>
      <c r="Q147" s="44">
        <v>31.541</v>
      </c>
      <c r="R147" s="45">
        <v>80</v>
      </c>
      <c r="S147" s="43">
        <v>55</v>
      </c>
      <c r="T147" s="46">
        <v>9.0399999999999991</v>
      </c>
      <c r="U147" s="40">
        <v>4</v>
      </c>
      <c r="V147" s="281">
        <v>5476</v>
      </c>
      <c r="W147" s="48">
        <v>1999</v>
      </c>
      <c r="X147" s="40"/>
      <c r="Y147" s="52"/>
      <c r="Z147" s="139" t="s">
        <v>910</v>
      </c>
      <c r="AA147" s="49">
        <f t="shared" si="25"/>
        <v>144840.19999999998</v>
      </c>
      <c r="AB147" s="71">
        <f t="shared" si="26"/>
        <v>0.62</v>
      </c>
      <c r="AC147" s="49">
        <f t="shared" si="27"/>
        <v>55039.28</v>
      </c>
      <c r="AD147" s="50">
        <f t="shared" si="28"/>
        <v>0</v>
      </c>
      <c r="AE147" s="50">
        <f t="shared" si="29"/>
        <v>0</v>
      </c>
      <c r="AF147" s="50">
        <f t="shared" si="30"/>
        <v>55039.28</v>
      </c>
      <c r="AG147" s="199">
        <f t="shared" si="31"/>
        <v>55039</v>
      </c>
      <c r="AH147" s="187"/>
      <c r="AI147" s="185" t="s">
        <v>1451</v>
      </c>
      <c r="AJ147" s="185"/>
      <c r="AK147" s="277">
        <f t="shared" si="24"/>
        <v>5476</v>
      </c>
      <c r="AL147" s="25">
        <f>(SUMIFS('T1 2019 Pipeline Data Lagasco'!$O:$O,'T1 2019 Pipeline Data Lagasco'!$A:$A,'Dec 31 2018 OFFS'!$AI147,'T1 2019 Pipeline Data Lagasco'!$Q:$Q,'Dec 31 2018 OFFS'!$AK147,'T1 2019 Pipeline Data Lagasco'!$E:$E,'Dec 31 2018 OFFS'!$U147,'T1 2019 Pipeline Data Lagasco'!$G:$G,'Dec 31 2018 OFFS'!$W147))/(MAX(COUNTIFS('T1 2019 Pipeline Data Lagasco'!$A:$A,'Dec 31 2018 OFFS'!$AI147,'T1 2019 Pipeline Data Lagasco'!$Q:$Q,'Dec 31 2018 OFFS'!$AK147,'T1 2019 Pipeline Data Lagasco'!$E:$E,'Dec 31 2018 OFFS'!$U147,'T1 2019 Pipeline Data Lagasco'!$G:$G,'Dec 31 2018 OFFS'!$W147),1))</f>
        <v>55039</v>
      </c>
      <c r="AM147" s="274">
        <f t="shared" si="32"/>
        <v>0</v>
      </c>
    </row>
    <row r="148" spans="1:39" ht="12.7">
      <c r="A148" s="193" t="s">
        <v>909</v>
      </c>
      <c r="B148" s="40" t="s">
        <v>919</v>
      </c>
      <c r="C148" s="40" t="s">
        <v>920</v>
      </c>
      <c r="D148" s="40" t="s">
        <v>172</v>
      </c>
      <c r="E148" s="40" t="s">
        <v>1054</v>
      </c>
      <c r="F148" s="40" t="s">
        <v>1051</v>
      </c>
      <c r="G148" s="41" t="s">
        <v>190</v>
      </c>
      <c r="H148" s="42">
        <v>42</v>
      </c>
      <c r="I148" s="43">
        <v>24</v>
      </c>
      <c r="J148" s="44">
        <v>39.24</v>
      </c>
      <c r="K148" s="45">
        <v>80</v>
      </c>
      <c r="L148" s="43">
        <v>54</v>
      </c>
      <c r="M148" s="46">
        <v>50.08</v>
      </c>
      <c r="N148" s="40" t="s">
        <v>180</v>
      </c>
      <c r="O148" s="42">
        <v>42</v>
      </c>
      <c r="P148" s="43">
        <v>22</v>
      </c>
      <c r="Q148" s="44">
        <v>49.320999999999998</v>
      </c>
      <c r="R148" s="45">
        <v>80</v>
      </c>
      <c r="S148" s="43">
        <v>54</v>
      </c>
      <c r="T148" s="46">
        <v>10.311999999999999</v>
      </c>
      <c r="U148" s="40">
        <v>4</v>
      </c>
      <c r="V148" s="281">
        <v>11520.045598138</v>
      </c>
      <c r="W148" s="48">
        <v>1968</v>
      </c>
      <c r="X148" s="40"/>
      <c r="Y148" s="52"/>
      <c r="Z148" s="40" t="s">
        <v>910</v>
      </c>
      <c r="AA148" s="49">
        <f t="shared" si="25"/>
        <v>0</v>
      </c>
      <c r="AB148" s="71">
        <f t="shared" si="26"/>
        <v>0.80</v>
      </c>
      <c r="AC148" s="49">
        <f t="shared" si="27"/>
        <v>0</v>
      </c>
      <c r="AD148" s="50">
        <f t="shared" si="28"/>
        <v>0</v>
      </c>
      <c r="AE148" s="50">
        <f t="shared" si="29"/>
        <v>0</v>
      </c>
      <c r="AF148" s="50">
        <f t="shared" si="30"/>
        <v>0</v>
      </c>
      <c r="AG148" s="199">
        <f t="shared" si="31"/>
        <v>0</v>
      </c>
      <c r="AH148" s="187"/>
      <c r="AI148" s="185" t="s">
        <v>1451</v>
      </c>
      <c r="AJ148" s="185"/>
      <c r="AK148" s="277">
        <f t="shared" si="24"/>
        <v>11520.05</v>
      </c>
      <c r="AL148" s="25">
        <f>(SUMIFS('T1 2019 Pipeline Data Lagasco'!$O:$O,'T1 2019 Pipeline Data Lagasco'!$A:$A,'Dec 31 2018 OFFS'!$AI148,'T1 2019 Pipeline Data Lagasco'!$Q:$Q,'Dec 31 2018 OFFS'!$AK148,'T1 2019 Pipeline Data Lagasco'!$E:$E,'Dec 31 2018 OFFS'!$U148,'T1 2019 Pipeline Data Lagasco'!$G:$G,'Dec 31 2018 OFFS'!$W148))/(MAX(COUNTIFS('T1 2019 Pipeline Data Lagasco'!$A:$A,'Dec 31 2018 OFFS'!$AI148,'T1 2019 Pipeline Data Lagasco'!$Q:$Q,'Dec 31 2018 OFFS'!$AK148,'T1 2019 Pipeline Data Lagasco'!$E:$E,'Dec 31 2018 OFFS'!$U148,'T1 2019 Pipeline Data Lagasco'!$G:$G,'Dec 31 2018 OFFS'!$W148),1))</f>
        <v>0</v>
      </c>
      <c r="AM148" s="274">
        <f t="shared" si="32"/>
        <v>0</v>
      </c>
    </row>
    <row r="149" spans="1:39" ht="12.7">
      <c r="A149" s="193" t="s">
        <v>909</v>
      </c>
      <c r="B149" s="40" t="s">
        <v>919</v>
      </c>
      <c r="C149" s="40" t="s">
        <v>920</v>
      </c>
      <c r="D149" s="40" t="s">
        <v>172</v>
      </c>
      <c r="E149" s="40" t="s">
        <v>1054</v>
      </c>
      <c r="F149" s="40" t="s">
        <v>1051</v>
      </c>
      <c r="G149" s="41" t="s">
        <v>179</v>
      </c>
      <c r="H149" s="42">
        <v>42</v>
      </c>
      <c r="I149" s="43">
        <v>23</v>
      </c>
      <c r="J149" s="44">
        <v>41.83</v>
      </c>
      <c r="K149" s="45">
        <v>80</v>
      </c>
      <c r="L149" s="43">
        <v>54</v>
      </c>
      <c r="M149" s="46">
        <v>45.536999999999999</v>
      </c>
      <c r="N149" s="40" t="s">
        <v>180</v>
      </c>
      <c r="O149" s="42">
        <v>42</v>
      </c>
      <c r="P149" s="43">
        <v>22</v>
      </c>
      <c r="Q149" s="44">
        <v>49.320999999999998</v>
      </c>
      <c r="R149" s="45">
        <v>80</v>
      </c>
      <c r="S149" s="43">
        <v>54</v>
      </c>
      <c r="T149" s="46">
        <v>10.311999999999999</v>
      </c>
      <c r="U149" s="40">
        <v>2</v>
      </c>
      <c r="V149" s="47">
        <v>5936.35153412</v>
      </c>
      <c r="W149" s="48">
        <v>1980</v>
      </c>
      <c r="X149" s="40"/>
      <c r="Y149" s="52"/>
      <c r="Z149" s="40" t="s">
        <v>910</v>
      </c>
      <c r="AA149" s="49">
        <f t="shared" si="25"/>
        <v>0</v>
      </c>
      <c r="AB149" s="71">
        <f t="shared" si="26"/>
        <v>0.80</v>
      </c>
      <c r="AC149" s="49">
        <f t="shared" si="27"/>
        <v>0</v>
      </c>
      <c r="AD149" s="50">
        <f t="shared" si="28"/>
        <v>0</v>
      </c>
      <c r="AE149" s="50">
        <f t="shared" si="29"/>
        <v>0</v>
      </c>
      <c r="AF149" s="50">
        <f t="shared" si="30"/>
        <v>0</v>
      </c>
      <c r="AG149" s="199">
        <f t="shared" si="31"/>
        <v>0</v>
      </c>
      <c r="AH149" s="187"/>
      <c r="AI149" s="185" t="s">
        <v>1451</v>
      </c>
      <c r="AJ149" s="185"/>
      <c r="AK149" s="277">
        <f t="shared" si="24"/>
        <v>5936.35</v>
      </c>
      <c r="AL149" s="25">
        <f>(SUMIFS('T1 2019 Pipeline Data Lagasco'!$O:$O,'T1 2019 Pipeline Data Lagasco'!$A:$A,'Dec 31 2018 OFFS'!$AI149,'T1 2019 Pipeline Data Lagasco'!$Q:$Q,'Dec 31 2018 OFFS'!$AK149,'T1 2019 Pipeline Data Lagasco'!$E:$E,'Dec 31 2018 OFFS'!$U149,'T1 2019 Pipeline Data Lagasco'!$G:$G,'Dec 31 2018 OFFS'!$W149))/(MAX(COUNTIFS('T1 2019 Pipeline Data Lagasco'!$A:$A,'Dec 31 2018 OFFS'!$AI149,'T1 2019 Pipeline Data Lagasco'!$Q:$Q,'Dec 31 2018 OFFS'!$AK149,'T1 2019 Pipeline Data Lagasco'!$E:$E,'Dec 31 2018 OFFS'!$U149,'T1 2019 Pipeline Data Lagasco'!$G:$G,'Dec 31 2018 OFFS'!$W149),1))</f>
        <v>0</v>
      </c>
      <c r="AM149" s="274">
        <f t="shared" si="32"/>
        <v>0</v>
      </c>
    </row>
    <row r="150" spans="1:39" ht="12.7">
      <c r="A150" s="193" t="s">
        <v>909</v>
      </c>
      <c r="B150" s="40" t="s">
        <v>919</v>
      </c>
      <c r="C150" s="40" t="s">
        <v>920</v>
      </c>
      <c r="D150" s="40" t="s">
        <v>172</v>
      </c>
      <c r="E150" s="40" t="s">
        <v>1054</v>
      </c>
      <c r="F150" s="139" t="s">
        <v>1051</v>
      </c>
      <c r="G150" s="41" t="s">
        <v>1288</v>
      </c>
      <c r="H150" s="42">
        <v>42</v>
      </c>
      <c r="I150" s="43">
        <v>22</v>
      </c>
      <c r="J150" s="44">
        <v>48.72</v>
      </c>
      <c r="K150" s="45">
        <v>80</v>
      </c>
      <c r="L150" s="43">
        <v>52</v>
      </c>
      <c r="M150" s="46">
        <v>51.54</v>
      </c>
      <c r="N150" s="40" t="s">
        <v>180</v>
      </c>
      <c r="O150" s="42">
        <v>42</v>
      </c>
      <c r="P150" s="43">
        <v>22</v>
      </c>
      <c r="Q150" s="44">
        <v>49.38</v>
      </c>
      <c r="R150" s="45">
        <v>80</v>
      </c>
      <c r="S150" s="43">
        <v>54</v>
      </c>
      <c r="T150" s="46">
        <v>9.7200000000000006</v>
      </c>
      <c r="U150" s="40">
        <v>3</v>
      </c>
      <c r="V150" s="323">
        <v>5849</v>
      </c>
      <c r="W150" s="48">
        <v>2006</v>
      </c>
      <c r="X150" s="40"/>
      <c r="Y150" s="52"/>
      <c r="Z150" s="40" t="s">
        <v>910</v>
      </c>
      <c r="AA150" s="49">
        <f t="shared" si="25"/>
        <v>0</v>
      </c>
      <c r="AB150" s="71">
        <f t="shared" si="26"/>
        <v>0.52</v>
      </c>
      <c r="AC150" s="49">
        <f t="shared" si="27"/>
        <v>0</v>
      </c>
      <c r="AD150" s="50">
        <f t="shared" si="28"/>
        <v>0</v>
      </c>
      <c r="AE150" s="50">
        <f t="shared" si="29"/>
        <v>0</v>
      </c>
      <c r="AF150" s="50">
        <f t="shared" si="30"/>
        <v>0</v>
      </c>
      <c r="AG150" s="199">
        <f t="shared" si="31"/>
        <v>0</v>
      </c>
      <c r="AH150" s="187"/>
      <c r="AI150" s="185" t="s">
        <v>1451</v>
      </c>
      <c r="AJ150" s="185"/>
      <c r="AK150" s="282">
        <f t="shared" si="24"/>
        <v>5849</v>
      </c>
      <c r="AL150" s="321">
        <f>(SUMIFS('T1 2019 Pipeline Data Lagasco'!$O:$O,'T1 2019 Pipeline Data Lagasco'!$A:$A,'Dec 31 2018 OFFS'!$AI150,'T1 2019 Pipeline Data Lagasco'!$Q:$Q,'Dec 31 2018 OFFS'!$AK150,'T1 2019 Pipeline Data Lagasco'!$E:$E,'Dec 31 2018 OFFS'!$U150,'T1 2019 Pipeline Data Lagasco'!$G:$G,'Dec 31 2018 OFFS'!$W150))/(MAX(COUNTIFS('T1 2019 Pipeline Data Lagasco'!$A:$A,'Dec 31 2018 OFFS'!$AI150,'T1 2019 Pipeline Data Lagasco'!$Q:$Q,'Dec 31 2018 OFFS'!$AK150,'T1 2019 Pipeline Data Lagasco'!$E:$E,'Dec 31 2018 OFFS'!$U150,'T1 2019 Pipeline Data Lagasco'!$G:$G,'Dec 31 2018 OFFS'!$W150),1))*0</f>
        <v>0</v>
      </c>
      <c r="AM150" s="274">
        <f t="shared" si="32"/>
        <v>0</v>
      </c>
    </row>
    <row r="151" spans="1:39" ht="12.7">
      <c r="A151" s="193" t="s">
        <v>909</v>
      </c>
      <c r="B151" s="40" t="s">
        <v>919</v>
      </c>
      <c r="C151" s="40" t="s">
        <v>920</v>
      </c>
      <c r="D151" s="40" t="s">
        <v>172</v>
      </c>
      <c r="E151" s="40" t="s">
        <v>1054</v>
      </c>
      <c r="F151" s="40" t="s">
        <v>1051</v>
      </c>
      <c r="G151" s="41" t="s">
        <v>180</v>
      </c>
      <c r="H151" s="42">
        <v>42</v>
      </c>
      <c r="I151" s="43">
        <v>22</v>
      </c>
      <c r="J151" s="44">
        <v>49.320999999999998</v>
      </c>
      <c r="K151" s="45">
        <v>80</v>
      </c>
      <c r="L151" s="43">
        <v>54</v>
      </c>
      <c r="M151" s="46">
        <v>10.311999999999999</v>
      </c>
      <c r="N151" s="41" t="s">
        <v>181</v>
      </c>
      <c r="O151" s="42">
        <v>42</v>
      </c>
      <c r="P151" s="43">
        <v>22</v>
      </c>
      <c r="Q151" s="44">
        <v>34.204082999999997</v>
      </c>
      <c r="R151" s="45">
        <v>80</v>
      </c>
      <c r="S151" s="43">
        <v>55</v>
      </c>
      <c r="T151" s="46">
        <v>43.658104000000002</v>
      </c>
      <c r="U151" s="40">
        <v>2</v>
      </c>
      <c r="V151" s="47">
        <v>7171.0955928499998</v>
      </c>
      <c r="W151" s="48">
        <v>1978</v>
      </c>
      <c r="X151" s="40"/>
      <c r="Y151" s="52"/>
      <c r="Z151" s="40" t="s">
        <v>910</v>
      </c>
      <c r="AA151" s="49">
        <f t="shared" si="25"/>
        <v>0</v>
      </c>
      <c r="AB151" s="71">
        <f t="shared" si="26"/>
        <v>0.80</v>
      </c>
      <c r="AC151" s="49">
        <f t="shared" si="27"/>
        <v>0</v>
      </c>
      <c r="AD151" s="50">
        <f t="shared" si="28"/>
        <v>0</v>
      </c>
      <c r="AE151" s="50">
        <f t="shared" si="29"/>
        <v>0</v>
      </c>
      <c r="AF151" s="50">
        <f t="shared" si="30"/>
        <v>0</v>
      </c>
      <c r="AG151" s="199">
        <f t="shared" si="31"/>
        <v>0</v>
      </c>
      <c r="AH151" s="187"/>
      <c r="AI151" s="185" t="s">
        <v>1451</v>
      </c>
      <c r="AJ151" s="185"/>
      <c r="AK151" s="277">
        <f t="shared" si="24"/>
        <v>7171.10</v>
      </c>
      <c r="AL151" s="25">
        <f>(SUMIFS('T1 2019 Pipeline Data Lagasco'!$O:$O,'T1 2019 Pipeline Data Lagasco'!$A:$A,'Dec 31 2018 OFFS'!$AI151,'T1 2019 Pipeline Data Lagasco'!$Q:$Q,'Dec 31 2018 OFFS'!$AK151,'T1 2019 Pipeline Data Lagasco'!$E:$E,'Dec 31 2018 OFFS'!$U151,'T1 2019 Pipeline Data Lagasco'!$G:$G,'Dec 31 2018 OFFS'!$W151))/(MAX(COUNTIFS('T1 2019 Pipeline Data Lagasco'!$A:$A,'Dec 31 2018 OFFS'!$AI151,'T1 2019 Pipeline Data Lagasco'!$Q:$Q,'Dec 31 2018 OFFS'!$AK151,'T1 2019 Pipeline Data Lagasco'!$E:$E,'Dec 31 2018 OFFS'!$U151,'T1 2019 Pipeline Data Lagasco'!$G:$G,'Dec 31 2018 OFFS'!$W151),1))</f>
        <v>0</v>
      </c>
      <c r="AM151" s="274">
        <f t="shared" si="32"/>
        <v>0</v>
      </c>
    </row>
    <row r="152" spans="1:39" ht="12.7">
      <c r="A152" s="193" t="s">
        <v>909</v>
      </c>
      <c r="B152" s="40" t="s">
        <v>919</v>
      </c>
      <c r="C152" s="40" t="s">
        <v>920</v>
      </c>
      <c r="D152" s="40" t="s">
        <v>172</v>
      </c>
      <c r="E152" s="40" t="s">
        <v>1054</v>
      </c>
      <c r="F152" s="40" t="s">
        <v>1380</v>
      </c>
      <c r="G152" s="41" t="s">
        <v>190</v>
      </c>
      <c r="H152" s="42">
        <v>42</v>
      </c>
      <c r="I152" s="43">
        <v>24</v>
      </c>
      <c r="J152" s="44">
        <v>39.24</v>
      </c>
      <c r="K152" s="45">
        <v>80</v>
      </c>
      <c r="L152" s="43">
        <v>54</v>
      </c>
      <c r="M152" s="46">
        <v>50.08</v>
      </c>
      <c r="N152" s="40" t="s">
        <v>180</v>
      </c>
      <c r="O152" s="42">
        <v>42</v>
      </c>
      <c r="P152" s="43">
        <v>22</v>
      </c>
      <c r="Q152" s="44">
        <v>49.320999999999998</v>
      </c>
      <c r="R152" s="45">
        <v>80</v>
      </c>
      <c r="S152" s="43">
        <v>54</v>
      </c>
      <c r="T152" s="46">
        <v>10.311999999999999</v>
      </c>
      <c r="U152" s="40">
        <v>4</v>
      </c>
      <c r="V152" s="281">
        <v>11520.045598138</v>
      </c>
      <c r="W152" s="48">
        <v>1999</v>
      </c>
      <c r="X152" s="40"/>
      <c r="Y152" s="52"/>
      <c r="Z152" s="139" t="s">
        <v>910</v>
      </c>
      <c r="AA152" s="49">
        <f t="shared" si="25"/>
        <v>304705.20607075008</v>
      </c>
      <c r="AB152" s="71">
        <f t="shared" si="26"/>
        <v>0.62</v>
      </c>
      <c r="AC152" s="49">
        <f t="shared" si="27"/>
        <v>115787.98</v>
      </c>
      <c r="AD152" s="50">
        <f t="shared" si="28"/>
        <v>0</v>
      </c>
      <c r="AE152" s="50">
        <f t="shared" si="29"/>
        <v>0</v>
      </c>
      <c r="AF152" s="50">
        <f t="shared" si="30"/>
        <v>115787.98</v>
      </c>
      <c r="AG152" s="199">
        <f t="shared" si="31"/>
        <v>115787</v>
      </c>
      <c r="AH152" s="187"/>
      <c r="AI152" s="185" t="s">
        <v>1451</v>
      </c>
      <c r="AJ152" s="185"/>
      <c r="AK152" s="277">
        <f t="shared" si="24"/>
        <v>11520.05</v>
      </c>
      <c r="AL152" s="25">
        <f>(SUMIFS('T1 2019 Pipeline Data Lagasco'!$O:$O,'T1 2019 Pipeline Data Lagasco'!$A:$A,'Dec 31 2018 OFFS'!$AI152,'T1 2019 Pipeline Data Lagasco'!$Q:$Q,'Dec 31 2018 OFFS'!$AK152,'T1 2019 Pipeline Data Lagasco'!$E:$E,'Dec 31 2018 OFFS'!$U152,'T1 2019 Pipeline Data Lagasco'!$G:$G,'Dec 31 2018 OFFS'!$W152))/(MAX(COUNTIFS('T1 2019 Pipeline Data Lagasco'!$A:$A,'Dec 31 2018 OFFS'!$AI152,'T1 2019 Pipeline Data Lagasco'!$Q:$Q,'Dec 31 2018 OFFS'!$AK152,'T1 2019 Pipeline Data Lagasco'!$E:$E,'Dec 31 2018 OFFS'!$U152,'T1 2019 Pipeline Data Lagasco'!$G:$G,'Dec 31 2018 OFFS'!$W152),1))</f>
        <v>115787</v>
      </c>
      <c r="AM152" s="274">
        <f t="shared" si="32"/>
        <v>0</v>
      </c>
    </row>
    <row r="153" spans="1:39" ht="12.7">
      <c r="A153" s="193" t="s">
        <v>909</v>
      </c>
      <c r="B153" s="40" t="s">
        <v>919</v>
      </c>
      <c r="C153" s="40" t="s">
        <v>920</v>
      </c>
      <c r="D153" s="40" t="s">
        <v>172</v>
      </c>
      <c r="E153" s="40" t="s">
        <v>1054</v>
      </c>
      <c r="F153" s="40" t="s">
        <v>1051</v>
      </c>
      <c r="G153" s="41" t="s">
        <v>180</v>
      </c>
      <c r="H153" s="42">
        <v>42</v>
      </c>
      <c r="I153" s="43">
        <v>22</v>
      </c>
      <c r="J153" s="44">
        <v>49.320999999999998</v>
      </c>
      <c r="K153" s="45">
        <v>80</v>
      </c>
      <c r="L153" s="43">
        <v>54</v>
      </c>
      <c r="M153" s="46">
        <v>10.311999999999999</v>
      </c>
      <c r="N153" s="40" t="s">
        <v>182</v>
      </c>
      <c r="O153" s="42">
        <v>42</v>
      </c>
      <c r="P153" s="43">
        <v>21</v>
      </c>
      <c r="Q153" s="44">
        <v>42.906999999999996</v>
      </c>
      <c r="R153" s="45">
        <v>80</v>
      </c>
      <c r="S153" s="43">
        <v>53</v>
      </c>
      <c r="T153" s="46">
        <v>44.453000000000003</v>
      </c>
      <c r="U153" s="40">
        <v>4</v>
      </c>
      <c r="V153" s="281">
        <v>6997.539167429999</v>
      </c>
      <c r="W153" s="48">
        <v>1971</v>
      </c>
      <c r="X153" s="40"/>
      <c r="Y153" s="52"/>
      <c r="Z153" s="40" t="s">
        <v>910</v>
      </c>
      <c r="AA153" s="49">
        <f t="shared" si="25"/>
        <v>0</v>
      </c>
      <c r="AB153" s="71">
        <f t="shared" si="26"/>
        <v>0.80</v>
      </c>
      <c r="AC153" s="49">
        <f t="shared" si="27"/>
        <v>0</v>
      </c>
      <c r="AD153" s="50">
        <f t="shared" si="28"/>
        <v>0</v>
      </c>
      <c r="AE153" s="50">
        <f t="shared" si="29"/>
        <v>0</v>
      </c>
      <c r="AF153" s="50">
        <f t="shared" si="30"/>
        <v>0</v>
      </c>
      <c r="AG153" s="199">
        <f t="shared" si="31"/>
        <v>0</v>
      </c>
      <c r="AH153" s="187"/>
      <c r="AI153" s="185" t="s">
        <v>1451</v>
      </c>
      <c r="AJ153" s="185"/>
      <c r="AK153" s="277">
        <f t="shared" si="24"/>
        <v>6997.54</v>
      </c>
      <c r="AL153" s="25">
        <f>(SUMIFS('T1 2019 Pipeline Data Lagasco'!$O:$O,'T1 2019 Pipeline Data Lagasco'!$A:$A,'Dec 31 2018 OFFS'!$AI153,'T1 2019 Pipeline Data Lagasco'!$Q:$Q,'Dec 31 2018 OFFS'!$AK153,'T1 2019 Pipeline Data Lagasco'!$E:$E,'Dec 31 2018 OFFS'!$U153,'T1 2019 Pipeline Data Lagasco'!$G:$G,'Dec 31 2018 OFFS'!$W153))/(MAX(COUNTIFS('T1 2019 Pipeline Data Lagasco'!$A:$A,'Dec 31 2018 OFFS'!$AI153,'T1 2019 Pipeline Data Lagasco'!$Q:$Q,'Dec 31 2018 OFFS'!$AK153,'T1 2019 Pipeline Data Lagasco'!$E:$E,'Dec 31 2018 OFFS'!$U153,'T1 2019 Pipeline Data Lagasco'!$G:$G,'Dec 31 2018 OFFS'!$W153),1))</f>
        <v>0</v>
      </c>
      <c r="AM153" s="274">
        <f t="shared" si="32"/>
        <v>0</v>
      </c>
    </row>
    <row r="154" spans="1:39" ht="12.7">
      <c r="A154" s="193" t="s">
        <v>909</v>
      </c>
      <c r="B154" s="40" t="s">
        <v>919</v>
      </c>
      <c r="C154" s="40" t="s">
        <v>920</v>
      </c>
      <c r="D154" s="40" t="s">
        <v>172</v>
      </c>
      <c r="E154" s="40" t="s">
        <v>1054</v>
      </c>
      <c r="F154" s="40" t="s">
        <v>1051</v>
      </c>
      <c r="G154" s="41" t="s">
        <v>182</v>
      </c>
      <c r="H154" s="42">
        <v>42</v>
      </c>
      <c r="I154" s="43">
        <v>21</v>
      </c>
      <c r="J154" s="44">
        <v>42.906999999999996</v>
      </c>
      <c r="K154" s="45">
        <v>80</v>
      </c>
      <c r="L154" s="43">
        <v>53</v>
      </c>
      <c r="M154" s="46">
        <v>44.453000000000003</v>
      </c>
      <c r="N154" s="40" t="s">
        <v>183</v>
      </c>
      <c r="O154" s="42">
        <v>42</v>
      </c>
      <c r="P154" s="43">
        <v>21</v>
      </c>
      <c r="Q154" s="44">
        <v>59.825</v>
      </c>
      <c r="R154" s="45">
        <v>80</v>
      </c>
      <c r="S154" s="43">
        <v>52</v>
      </c>
      <c r="T154" s="46">
        <v>29.041</v>
      </c>
      <c r="U154" s="40">
        <v>2</v>
      </c>
      <c r="V154" s="47">
        <v>5914.5339494499995</v>
      </c>
      <c r="W154" s="48">
        <v>1971</v>
      </c>
      <c r="X154" s="40"/>
      <c r="Y154" s="52"/>
      <c r="Z154" s="40" t="s">
        <v>910</v>
      </c>
      <c r="AA154" s="49">
        <f t="shared" si="25"/>
        <v>0</v>
      </c>
      <c r="AB154" s="71">
        <f t="shared" si="26"/>
        <v>0.80</v>
      </c>
      <c r="AC154" s="49">
        <f t="shared" si="27"/>
        <v>0</v>
      </c>
      <c r="AD154" s="50">
        <f t="shared" si="28"/>
        <v>0</v>
      </c>
      <c r="AE154" s="50">
        <f t="shared" si="29"/>
        <v>0</v>
      </c>
      <c r="AF154" s="50">
        <f t="shared" si="30"/>
        <v>0</v>
      </c>
      <c r="AG154" s="199">
        <f t="shared" si="31"/>
        <v>0</v>
      </c>
      <c r="AH154" s="187"/>
      <c r="AI154" s="185" t="s">
        <v>1451</v>
      </c>
      <c r="AJ154" s="185"/>
      <c r="AK154" s="277">
        <f t="shared" si="24"/>
        <v>5914.53</v>
      </c>
      <c r="AL154" s="25">
        <f>(SUMIFS('T1 2019 Pipeline Data Lagasco'!$O:$O,'T1 2019 Pipeline Data Lagasco'!$A:$A,'Dec 31 2018 OFFS'!$AI154,'T1 2019 Pipeline Data Lagasco'!$Q:$Q,'Dec 31 2018 OFFS'!$AK154,'T1 2019 Pipeline Data Lagasco'!$E:$E,'Dec 31 2018 OFFS'!$U154,'T1 2019 Pipeline Data Lagasco'!$G:$G,'Dec 31 2018 OFFS'!$W154))/(MAX(COUNTIFS('T1 2019 Pipeline Data Lagasco'!$A:$A,'Dec 31 2018 OFFS'!$AI154,'T1 2019 Pipeline Data Lagasco'!$Q:$Q,'Dec 31 2018 OFFS'!$AK154,'T1 2019 Pipeline Data Lagasco'!$E:$E,'Dec 31 2018 OFFS'!$U154,'T1 2019 Pipeline Data Lagasco'!$G:$G,'Dec 31 2018 OFFS'!$W154),1))</f>
        <v>0</v>
      </c>
      <c r="AM154" s="274">
        <f t="shared" si="32"/>
        <v>0</v>
      </c>
    </row>
    <row r="155" spans="1:39" ht="12.7">
      <c r="A155" s="193" t="s">
        <v>909</v>
      </c>
      <c r="B155" s="40" t="s">
        <v>919</v>
      </c>
      <c r="C155" s="40" t="s">
        <v>920</v>
      </c>
      <c r="D155" s="40" t="s">
        <v>172</v>
      </c>
      <c r="E155" s="40" t="s">
        <v>1054</v>
      </c>
      <c r="F155" s="40" t="s">
        <v>1380</v>
      </c>
      <c r="G155" s="41" t="s">
        <v>180</v>
      </c>
      <c r="H155" s="42">
        <v>42</v>
      </c>
      <c r="I155" s="43">
        <v>22</v>
      </c>
      <c r="J155" s="44">
        <v>49.320999999999998</v>
      </c>
      <c r="K155" s="45">
        <v>80</v>
      </c>
      <c r="L155" s="43">
        <v>54</v>
      </c>
      <c r="M155" s="46">
        <v>10.311999999999999</v>
      </c>
      <c r="N155" s="40" t="s">
        <v>182</v>
      </c>
      <c r="O155" s="42">
        <v>42</v>
      </c>
      <c r="P155" s="43">
        <v>21</v>
      </c>
      <c r="Q155" s="44">
        <v>42.906999999999996</v>
      </c>
      <c r="R155" s="45">
        <v>80</v>
      </c>
      <c r="S155" s="43">
        <v>53</v>
      </c>
      <c r="T155" s="46">
        <v>44.453000000000003</v>
      </c>
      <c r="U155" s="40">
        <v>4</v>
      </c>
      <c r="V155" s="281">
        <v>6997.539167429999</v>
      </c>
      <c r="W155" s="48">
        <v>1999</v>
      </c>
      <c r="X155" s="40"/>
      <c r="Y155" s="52"/>
      <c r="Z155" s="139" t="s">
        <v>910</v>
      </c>
      <c r="AA155" s="49">
        <f t="shared" si="25"/>
        <v>185084.91097852346</v>
      </c>
      <c r="AB155" s="71">
        <f t="shared" si="26"/>
        <v>0.62</v>
      </c>
      <c r="AC155" s="49">
        <f t="shared" si="27"/>
        <v>70332.27</v>
      </c>
      <c r="AD155" s="50">
        <f t="shared" si="28"/>
        <v>0</v>
      </c>
      <c r="AE155" s="50">
        <f t="shared" si="29"/>
        <v>0</v>
      </c>
      <c r="AF155" s="50">
        <f t="shared" si="30"/>
        <v>70332.27</v>
      </c>
      <c r="AG155" s="199">
        <f t="shared" si="31"/>
        <v>70332</v>
      </c>
      <c r="AH155" s="187"/>
      <c r="AI155" s="185" t="s">
        <v>1451</v>
      </c>
      <c r="AJ155" s="185"/>
      <c r="AK155" s="277">
        <f t="shared" si="24"/>
        <v>6997.54</v>
      </c>
      <c r="AL155" s="25">
        <f>(SUMIFS('T1 2019 Pipeline Data Lagasco'!$O:$O,'T1 2019 Pipeline Data Lagasco'!$A:$A,'Dec 31 2018 OFFS'!$AI155,'T1 2019 Pipeline Data Lagasco'!$Q:$Q,'Dec 31 2018 OFFS'!$AK155,'T1 2019 Pipeline Data Lagasco'!$E:$E,'Dec 31 2018 OFFS'!$U155,'T1 2019 Pipeline Data Lagasco'!$G:$G,'Dec 31 2018 OFFS'!$W155))/(MAX(COUNTIFS('T1 2019 Pipeline Data Lagasco'!$A:$A,'Dec 31 2018 OFFS'!$AI155,'T1 2019 Pipeline Data Lagasco'!$Q:$Q,'Dec 31 2018 OFFS'!$AK155,'T1 2019 Pipeline Data Lagasco'!$E:$E,'Dec 31 2018 OFFS'!$U155,'T1 2019 Pipeline Data Lagasco'!$G:$G,'Dec 31 2018 OFFS'!$W155),1))</f>
        <v>70332</v>
      </c>
      <c r="AM155" s="274">
        <f t="shared" si="32"/>
        <v>0</v>
      </c>
    </row>
    <row r="156" spans="1:39" ht="12.7">
      <c r="A156" s="193" t="s">
        <v>909</v>
      </c>
      <c r="B156" s="40" t="s">
        <v>919</v>
      </c>
      <c r="C156" s="40" t="s">
        <v>920</v>
      </c>
      <c r="D156" s="40" t="s">
        <v>172</v>
      </c>
      <c r="E156" s="40" t="s">
        <v>1054</v>
      </c>
      <c r="F156" s="40" t="s">
        <v>1051</v>
      </c>
      <c r="G156" s="41" t="s">
        <v>182</v>
      </c>
      <c r="H156" s="42">
        <v>42</v>
      </c>
      <c r="I156" s="43">
        <v>21</v>
      </c>
      <c r="J156" s="44">
        <v>42.906999999999996</v>
      </c>
      <c r="K156" s="45">
        <v>80</v>
      </c>
      <c r="L156" s="43">
        <v>53</v>
      </c>
      <c r="M156" s="46">
        <v>44.453000000000003</v>
      </c>
      <c r="N156" s="40" t="s">
        <v>184</v>
      </c>
      <c r="O156" s="42">
        <v>42</v>
      </c>
      <c r="P156" s="43">
        <v>21</v>
      </c>
      <c r="Q156" s="44">
        <v>4.0039999999999996</v>
      </c>
      <c r="R156" s="45">
        <v>80</v>
      </c>
      <c r="S156" s="43">
        <v>53</v>
      </c>
      <c r="T156" s="46">
        <v>18.152999999999999</v>
      </c>
      <c r="U156" s="40">
        <v>4</v>
      </c>
      <c r="V156" s="281">
        <v>4405.3476414500001</v>
      </c>
      <c r="W156" s="48">
        <v>1971</v>
      </c>
      <c r="X156" s="40"/>
      <c r="Y156" s="52"/>
      <c r="Z156" s="40" t="s">
        <v>910</v>
      </c>
      <c r="AA156" s="49">
        <f t="shared" si="25"/>
        <v>0</v>
      </c>
      <c r="AB156" s="71">
        <f t="shared" si="26"/>
        <v>0.80</v>
      </c>
      <c r="AC156" s="49">
        <f t="shared" si="27"/>
        <v>0</v>
      </c>
      <c r="AD156" s="50">
        <f t="shared" si="28"/>
        <v>0</v>
      </c>
      <c r="AE156" s="50">
        <f t="shared" si="29"/>
        <v>0</v>
      </c>
      <c r="AF156" s="50">
        <f t="shared" si="30"/>
        <v>0</v>
      </c>
      <c r="AG156" s="199">
        <f t="shared" si="31"/>
        <v>0</v>
      </c>
      <c r="AH156" s="187"/>
      <c r="AI156" s="185" t="s">
        <v>1451</v>
      </c>
      <c r="AJ156" s="185"/>
      <c r="AK156" s="277">
        <f t="shared" si="24"/>
        <v>4405.3500000000004</v>
      </c>
      <c r="AL156" s="25">
        <f>(SUMIFS('T1 2019 Pipeline Data Lagasco'!$O:$O,'T1 2019 Pipeline Data Lagasco'!$A:$A,'Dec 31 2018 OFFS'!$AI156,'T1 2019 Pipeline Data Lagasco'!$Q:$Q,'Dec 31 2018 OFFS'!$AK156,'T1 2019 Pipeline Data Lagasco'!$E:$E,'Dec 31 2018 OFFS'!$U156,'T1 2019 Pipeline Data Lagasco'!$G:$G,'Dec 31 2018 OFFS'!$W156))/(MAX(COUNTIFS('T1 2019 Pipeline Data Lagasco'!$A:$A,'Dec 31 2018 OFFS'!$AI156,'T1 2019 Pipeline Data Lagasco'!$Q:$Q,'Dec 31 2018 OFFS'!$AK156,'T1 2019 Pipeline Data Lagasco'!$E:$E,'Dec 31 2018 OFFS'!$U156,'T1 2019 Pipeline Data Lagasco'!$G:$G,'Dec 31 2018 OFFS'!$W156),1))</f>
        <v>0</v>
      </c>
      <c r="AM156" s="274">
        <f t="shared" si="32"/>
        <v>0</v>
      </c>
    </row>
    <row r="157" spans="1:39" ht="12.7">
      <c r="A157" s="193" t="s">
        <v>909</v>
      </c>
      <c r="B157" s="40" t="s">
        <v>919</v>
      </c>
      <c r="C157" s="40" t="s">
        <v>920</v>
      </c>
      <c r="D157" s="40" t="s">
        <v>172</v>
      </c>
      <c r="E157" s="40" t="s">
        <v>1054</v>
      </c>
      <c r="F157" s="40" t="s">
        <v>1380</v>
      </c>
      <c r="G157" s="41" t="s">
        <v>182</v>
      </c>
      <c r="H157" s="42">
        <v>42</v>
      </c>
      <c r="I157" s="43">
        <v>21</v>
      </c>
      <c r="J157" s="44">
        <v>42.906999999999996</v>
      </c>
      <c r="K157" s="45">
        <v>80</v>
      </c>
      <c r="L157" s="43">
        <v>53</v>
      </c>
      <c r="M157" s="46">
        <v>44.453000000000003</v>
      </c>
      <c r="N157" s="40" t="s">
        <v>183</v>
      </c>
      <c r="O157" s="42">
        <v>42</v>
      </c>
      <c r="P157" s="43">
        <v>21</v>
      </c>
      <c r="Q157" s="44">
        <v>59.825</v>
      </c>
      <c r="R157" s="45">
        <v>80</v>
      </c>
      <c r="S157" s="43">
        <v>52</v>
      </c>
      <c r="T157" s="46">
        <v>29.041</v>
      </c>
      <c r="U157" s="40">
        <v>3</v>
      </c>
      <c r="V157" s="323">
        <v>5849</v>
      </c>
      <c r="W157" s="48">
        <v>2006</v>
      </c>
      <c r="X157" s="40"/>
      <c r="Y157" s="52"/>
      <c r="Z157" s="139" t="s">
        <v>910</v>
      </c>
      <c r="AA157" s="49">
        <f t="shared" si="25"/>
        <v>137977.91</v>
      </c>
      <c r="AB157" s="71">
        <f t="shared" si="26"/>
        <v>0.52</v>
      </c>
      <c r="AC157" s="49">
        <f t="shared" si="27"/>
        <v>66229.399999999994</v>
      </c>
      <c r="AD157" s="50">
        <f t="shared" si="28"/>
        <v>0</v>
      </c>
      <c r="AE157" s="50">
        <f t="shared" si="29"/>
        <v>0</v>
      </c>
      <c r="AF157" s="50">
        <f t="shared" si="30"/>
        <v>66229.399999999994</v>
      </c>
      <c r="AG157" s="199">
        <f t="shared" si="31"/>
        <v>66229</v>
      </c>
      <c r="AH157" s="187"/>
      <c r="AI157" s="185" t="s">
        <v>1451</v>
      </c>
      <c r="AJ157" s="185"/>
      <c r="AK157" s="282">
        <f t="shared" si="24"/>
        <v>5849</v>
      </c>
      <c r="AL157" s="321">
        <f>(SUMIFS('T1 2019 Pipeline Data Lagasco'!$O:$O,'T1 2019 Pipeline Data Lagasco'!$A:$A,'Dec 31 2018 OFFS'!$AI157,'T1 2019 Pipeline Data Lagasco'!$Q:$Q,'Dec 31 2018 OFFS'!$AK157,'T1 2019 Pipeline Data Lagasco'!$E:$E,'Dec 31 2018 OFFS'!$U157,'T1 2019 Pipeline Data Lagasco'!$G:$G,'Dec 31 2018 OFFS'!$W157))/(MAX(COUNTIFS('T1 2019 Pipeline Data Lagasco'!$A:$A,'Dec 31 2018 OFFS'!$AI157,'T1 2019 Pipeline Data Lagasco'!$Q:$Q,'Dec 31 2018 OFFS'!$AK157,'T1 2019 Pipeline Data Lagasco'!$E:$E,'Dec 31 2018 OFFS'!$U157,'T1 2019 Pipeline Data Lagasco'!$G:$G,'Dec 31 2018 OFFS'!$W157),1))*2</f>
        <v>66229</v>
      </c>
      <c r="AM157" s="274">
        <f t="shared" si="32"/>
        <v>0</v>
      </c>
    </row>
    <row r="158" spans="1:39" ht="12.7">
      <c r="A158" s="193" t="s">
        <v>909</v>
      </c>
      <c r="B158" s="40" t="s">
        <v>919</v>
      </c>
      <c r="C158" s="40" t="s">
        <v>920</v>
      </c>
      <c r="D158" s="40" t="s">
        <v>172</v>
      </c>
      <c r="E158" s="40" t="s">
        <v>1054</v>
      </c>
      <c r="F158" s="40"/>
      <c r="G158" s="41" t="s">
        <v>184</v>
      </c>
      <c r="H158" s="42">
        <v>42</v>
      </c>
      <c r="I158" s="43">
        <v>21</v>
      </c>
      <c r="J158" s="44">
        <v>4.0039999999999996</v>
      </c>
      <c r="K158" s="45">
        <v>80</v>
      </c>
      <c r="L158" s="43">
        <v>53</v>
      </c>
      <c r="M158" s="46">
        <v>18.152999999999999</v>
      </c>
      <c r="N158" s="40" t="s">
        <v>185</v>
      </c>
      <c r="O158" s="42">
        <v>42</v>
      </c>
      <c r="P158" s="43">
        <v>20</v>
      </c>
      <c r="Q158" s="44">
        <v>51.421999999999997</v>
      </c>
      <c r="R158" s="45">
        <v>80</v>
      </c>
      <c r="S158" s="43">
        <v>53</v>
      </c>
      <c r="T158" s="46">
        <v>5.405</v>
      </c>
      <c r="U158" s="40">
        <v>2</v>
      </c>
      <c r="V158" s="47">
        <v>1593.2414236759998</v>
      </c>
      <c r="W158" s="48">
        <v>1971</v>
      </c>
      <c r="X158" s="40"/>
      <c r="Y158" s="52"/>
      <c r="Z158" s="40" t="s">
        <v>910</v>
      </c>
      <c r="AA158" s="49">
        <f t="shared" si="25"/>
        <v>25874.240720498234</v>
      </c>
      <c r="AB158" s="71">
        <f t="shared" si="26"/>
        <v>0.80</v>
      </c>
      <c r="AC158" s="49">
        <f t="shared" si="27"/>
        <v>5174.8500000000004</v>
      </c>
      <c r="AD158" s="50">
        <f t="shared" si="28"/>
        <v>0</v>
      </c>
      <c r="AE158" s="50">
        <f t="shared" si="29"/>
        <v>0</v>
      </c>
      <c r="AF158" s="50">
        <f t="shared" si="30"/>
        <v>5174.8500000000004</v>
      </c>
      <c r="AG158" s="199">
        <f t="shared" si="31"/>
        <v>5174</v>
      </c>
      <c r="AH158" s="187"/>
      <c r="AI158" s="185" t="s">
        <v>1451</v>
      </c>
      <c r="AJ158" s="185"/>
      <c r="AK158" s="277">
        <f t="shared" si="24"/>
        <v>1593.24</v>
      </c>
      <c r="AL158" s="25">
        <f>(SUMIFS('T1 2019 Pipeline Data Lagasco'!$O:$O,'T1 2019 Pipeline Data Lagasco'!$A:$A,'Dec 31 2018 OFFS'!$AI158,'T1 2019 Pipeline Data Lagasco'!$Q:$Q,'Dec 31 2018 OFFS'!$AK158,'T1 2019 Pipeline Data Lagasco'!$E:$E,'Dec 31 2018 OFFS'!$U158,'T1 2019 Pipeline Data Lagasco'!$G:$G,'Dec 31 2018 OFFS'!$W158))/(MAX(COUNTIFS('T1 2019 Pipeline Data Lagasco'!$A:$A,'Dec 31 2018 OFFS'!$AI158,'T1 2019 Pipeline Data Lagasco'!$Q:$Q,'Dec 31 2018 OFFS'!$AK158,'T1 2019 Pipeline Data Lagasco'!$E:$E,'Dec 31 2018 OFFS'!$U158,'T1 2019 Pipeline Data Lagasco'!$G:$G,'Dec 31 2018 OFFS'!$W158),1))</f>
        <v>5174</v>
      </c>
      <c r="AM158" s="274">
        <f t="shared" si="32"/>
        <v>0</v>
      </c>
    </row>
    <row r="159" spans="1:39" ht="12.7">
      <c r="A159" s="193" t="s">
        <v>909</v>
      </c>
      <c r="B159" s="40" t="s">
        <v>919</v>
      </c>
      <c r="C159" s="40" t="s">
        <v>920</v>
      </c>
      <c r="D159" s="40" t="s">
        <v>172</v>
      </c>
      <c r="E159" s="40" t="s">
        <v>1054</v>
      </c>
      <c r="F159" s="40" t="s">
        <v>1380</v>
      </c>
      <c r="G159" s="41" t="s">
        <v>182</v>
      </c>
      <c r="H159" s="42">
        <v>42</v>
      </c>
      <c r="I159" s="43">
        <v>21</v>
      </c>
      <c r="J159" s="44">
        <v>42.906999999999996</v>
      </c>
      <c r="K159" s="45">
        <v>80</v>
      </c>
      <c r="L159" s="43">
        <v>53</v>
      </c>
      <c r="M159" s="46">
        <v>44.453000000000003</v>
      </c>
      <c r="N159" s="40" t="s">
        <v>184</v>
      </c>
      <c r="O159" s="42">
        <v>42</v>
      </c>
      <c r="P159" s="43">
        <v>21</v>
      </c>
      <c r="Q159" s="44">
        <v>4.0039999999999996</v>
      </c>
      <c r="R159" s="45">
        <v>80</v>
      </c>
      <c r="S159" s="43">
        <v>53</v>
      </c>
      <c r="T159" s="46">
        <v>18.152999999999999</v>
      </c>
      <c r="U159" s="40">
        <v>4</v>
      </c>
      <c r="V159" s="281">
        <v>4405.3476414500001</v>
      </c>
      <c r="W159" s="48">
        <v>1999</v>
      </c>
      <c r="X159" s="40"/>
      <c r="Y159" s="52"/>
      <c r="Z159" s="139" t="s">
        <v>910</v>
      </c>
      <c r="AA159" s="49">
        <f t="shared" si="25"/>
        <v>116521.44511635249</v>
      </c>
      <c r="AB159" s="71">
        <f t="shared" si="26"/>
        <v>0.62</v>
      </c>
      <c r="AC159" s="49">
        <f t="shared" si="27"/>
        <v>44278.15</v>
      </c>
      <c r="AD159" s="50">
        <f t="shared" si="28"/>
        <v>0</v>
      </c>
      <c r="AE159" s="50">
        <f t="shared" si="29"/>
        <v>0</v>
      </c>
      <c r="AF159" s="50">
        <f t="shared" si="30"/>
        <v>44278.15</v>
      </c>
      <c r="AG159" s="199">
        <f t="shared" si="31"/>
        <v>44278</v>
      </c>
      <c r="AH159" s="187"/>
      <c r="AI159" s="185" t="s">
        <v>1451</v>
      </c>
      <c r="AJ159" s="185"/>
      <c r="AK159" s="277">
        <f t="shared" si="24"/>
        <v>4405.3500000000004</v>
      </c>
      <c r="AL159" s="25">
        <f>(SUMIFS('T1 2019 Pipeline Data Lagasco'!$O:$O,'T1 2019 Pipeline Data Lagasco'!$A:$A,'Dec 31 2018 OFFS'!$AI159,'T1 2019 Pipeline Data Lagasco'!$Q:$Q,'Dec 31 2018 OFFS'!$AK159,'T1 2019 Pipeline Data Lagasco'!$E:$E,'Dec 31 2018 OFFS'!$U159,'T1 2019 Pipeline Data Lagasco'!$G:$G,'Dec 31 2018 OFFS'!$W159))/(MAX(COUNTIFS('T1 2019 Pipeline Data Lagasco'!$A:$A,'Dec 31 2018 OFFS'!$AI159,'T1 2019 Pipeline Data Lagasco'!$Q:$Q,'Dec 31 2018 OFFS'!$AK159,'T1 2019 Pipeline Data Lagasco'!$E:$E,'Dec 31 2018 OFFS'!$U159,'T1 2019 Pipeline Data Lagasco'!$G:$G,'Dec 31 2018 OFFS'!$W159),1))</f>
        <v>44278</v>
      </c>
      <c r="AM159" s="274">
        <f t="shared" si="32"/>
        <v>0</v>
      </c>
    </row>
    <row r="160" spans="1:39" ht="12.7">
      <c r="A160" s="193" t="s">
        <v>909</v>
      </c>
      <c r="B160" s="40" t="s">
        <v>919</v>
      </c>
      <c r="C160" s="40" t="s">
        <v>920</v>
      </c>
      <c r="D160" s="40" t="s">
        <v>172</v>
      </c>
      <c r="E160" s="40" t="s">
        <v>1054</v>
      </c>
      <c r="F160" s="40"/>
      <c r="G160" s="41" t="s">
        <v>184</v>
      </c>
      <c r="H160" s="42">
        <v>42</v>
      </c>
      <c r="I160" s="43">
        <v>21</v>
      </c>
      <c r="J160" s="44">
        <v>4.0039999999999996</v>
      </c>
      <c r="K160" s="45">
        <v>80</v>
      </c>
      <c r="L160" s="43">
        <v>53</v>
      </c>
      <c r="M160" s="46">
        <v>18.152999999999999</v>
      </c>
      <c r="N160" s="41" t="s">
        <v>210</v>
      </c>
      <c r="O160" s="42">
        <v>42</v>
      </c>
      <c r="P160" s="43">
        <v>19</v>
      </c>
      <c r="Q160" s="44">
        <v>16.32</v>
      </c>
      <c r="R160" s="45">
        <v>80</v>
      </c>
      <c r="S160" s="43">
        <v>54</v>
      </c>
      <c r="T160" s="46">
        <v>49.98</v>
      </c>
      <c r="U160" s="40">
        <v>4</v>
      </c>
      <c r="V160" s="47">
        <v>12898.982566078001</v>
      </c>
      <c r="W160" s="48">
        <v>1981</v>
      </c>
      <c r="X160" s="40"/>
      <c r="Y160" s="52"/>
      <c r="Z160" s="40" t="s">
        <v>910</v>
      </c>
      <c r="AA160" s="49">
        <f t="shared" si="25"/>
        <v>341178.0888727631</v>
      </c>
      <c r="AB160" s="71">
        <f t="shared" si="26"/>
        <v>0.80</v>
      </c>
      <c r="AC160" s="49">
        <f t="shared" si="27"/>
        <v>68235.62</v>
      </c>
      <c r="AD160" s="50">
        <f t="shared" si="28"/>
        <v>0</v>
      </c>
      <c r="AE160" s="50">
        <f t="shared" si="29"/>
        <v>0</v>
      </c>
      <c r="AF160" s="50">
        <f t="shared" si="30"/>
        <v>68235.62</v>
      </c>
      <c r="AG160" s="199">
        <f t="shared" si="31"/>
        <v>68235</v>
      </c>
      <c r="AH160" s="187"/>
      <c r="AI160" s="185" t="s">
        <v>1451</v>
      </c>
      <c r="AJ160" s="185"/>
      <c r="AK160" s="277">
        <f t="shared" si="24"/>
        <v>12898.98</v>
      </c>
      <c r="AL160" s="25">
        <f>(SUMIFS('T1 2019 Pipeline Data Lagasco'!$O:$O,'T1 2019 Pipeline Data Lagasco'!$A:$A,'Dec 31 2018 OFFS'!$AI160,'T1 2019 Pipeline Data Lagasco'!$Q:$Q,'Dec 31 2018 OFFS'!$AK160,'T1 2019 Pipeline Data Lagasco'!$E:$E,'Dec 31 2018 OFFS'!$U160,'T1 2019 Pipeline Data Lagasco'!$G:$G,'Dec 31 2018 OFFS'!$W160))/(MAX(COUNTIFS('T1 2019 Pipeline Data Lagasco'!$A:$A,'Dec 31 2018 OFFS'!$AI160,'T1 2019 Pipeline Data Lagasco'!$Q:$Q,'Dec 31 2018 OFFS'!$AK160,'T1 2019 Pipeline Data Lagasco'!$E:$E,'Dec 31 2018 OFFS'!$U160,'T1 2019 Pipeline Data Lagasco'!$G:$G,'Dec 31 2018 OFFS'!$W160),1))</f>
        <v>68235</v>
      </c>
      <c r="AM160" s="274">
        <f t="shared" si="32"/>
        <v>0</v>
      </c>
    </row>
    <row r="161" spans="1:39" ht="12.7">
      <c r="A161" s="193" t="s">
        <v>909</v>
      </c>
      <c r="B161" s="40" t="s">
        <v>919</v>
      </c>
      <c r="C161" s="40" t="s">
        <v>920</v>
      </c>
      <c r="D161" s="40" t="s">
        <v>172</v>
      </c>
      <c r="E161" s="40" t="s">
        <v>1054</v>
      </c>
      <c r="F161" s="40"/>
      <c r="G161" s="41" t="s">
        <v>184</v>
      </c>
      <c r="H161" s="42">
        <v>42</v>
      </c>
      <c r="I161" s="43">
        <v>21</v>
      </c>
      <c r="J161" s="44">
        <v>4.0039999999999996</v>
      </c>
      <c r="K161" s="45">
        <v>80</v>
      </c>
      <c r="L161" s="43">
        <v>53</v>
      </c>
      <c r="M161" s="46">
        <v>18.152999999999999</v>
      </c>
      <c r="N161" s="54" t="s">
        <v>187</v>
      </c>
      <c r="O161" s="42">
        <v>42</v>
      </c>
      <c r="P161" s="43">
        <v>20</v>
      </c>
      <c r="Q161" s="44">
        <v>4.0110000000000001</v>
      </c>
      <c r="R161" s="45">
        <v>80</v>
      </c>
      <c r="S161" s="43">
        <v>52</v>
      </c>
      <c r="T161" s="46">
        <v>36.36</v>
      </c>
      <c r="U161" s="40">
        <v>4</v>
      </c>
      <c r="V161" s="47">
        <v>6835.9578072799995</v>
      </c>
      <c r="W161" s="48">
        <v>1971</v>
      </c>
      <c r="X161" s="40"/>
      <c r="Y161" s="52"/>
      <c r="Z161" s="40" t="s">
        <v>910</v>
      </c>
      <c r="AA161" s="49">
        <f t="shared" si="25"/>
        <v>180811.08400255599</v>
      </c>
      <c r="AB161" s="71">
        <f t="shared" si="26"/>
        <v>0.80</v>
      </c>
      <c r="AC161" s="49">
        <f t="shared" si="27"/>
        <v>36162.22</v>
      </c>
      <c r="AD161" s="50">
        <f t="shared" si="28"/>
        <v>0</v>
      </c>
      <c r="AE161" s="50">
        <f t="shared" si="29"/>
        <v>0</v>
      </c>
      <c r="AF161" s="50">
        <f t="shared" si="30"/>
        <v>36162.22</v>
      </c>
      <c r="AG161" s="199">
        <f t="shared" si="31"/>
        <v>36162</v>
      </c>
      <c r="AH161" s="187"/>
      <c r="AI161" s="185" t="s">
        <v>1451</v>
      </c>
      <c r="AJ161" s="185"/>
      <c r="AK161" s="277">
        <f t="shared" si="24"/>
        <v>6835.96</v>
      </c>
      <c r="AL161" s="25">
        <f>(SUMIFS('T1 2019 Pipeline Data Lagasco'!$O:$O,'T1 2019 Pipeline Data Lagasco'!$A:$A,'Dec 31 2018 OFFS'!$AI161,'T1 2019 Pipeline Data Lagasco'!$Q:$Q,'Dec 31 2018 OFFS'!$AK161,'T1 2019 Pipeline Data Lagasco'!$E:$E,'Dec 31 2018 OFFS'!$U161,'T1 2019 Pipeline Data Lagasco'!$G:$G,'Dec 31 2018 OFFS'!$W161))/(MAX(COUNTIFS('T1 2019 Pipeline Data Lagasco'!$A:$A,'Dec 31 2018 OFFS'!$AI161,'T1 2019 Pipeline Data Lagasco'!$Q:$Q,'Dec 31 2018 OFFS'!$AK161,'T1 2019 Pipeline Data Lagasco'!$E:$E,'Dec 31 2018 OFFS'!$U161,'T1 2019 Pipeline Data Lagasco'!$G:$G,'Dec 31 2018 OFFS'!$W161),1))</f>
        <v>36162</v>
      </c>
      <c r="AM161" s="274">
        <f t="shared" si="32"/>
        <v>0</v>
      </c>
    </row>
    <row r="162" spans="1:39" ht="12.7">
      <c r="A162" s="193" t="s">
        <v>909</v>
      </c>
      <c r="B162" s="40" t="s">
        <v>919</v>
      </c>
      <c r="C162" s="40" t="s">
        <v>920</v>
      </c>
      <c r="D162" s="40" t="s">
        <v>172</v>
      </c>
      <c r="E162" s="40" t="s">
        <v>1054</v>
      </c>
      <c r="F162" s="139" t="s">
        <v>1051</v>
      </c>
      <c r="G162" s="41" t="s">
        <v>183</v>
      </c>
      <c r="H162" s="42">
        <v>42</v>
      </c>
      <c r="I162" s="43">
        <v>21</v>
      </c>
      <c r="J162" s="44">
        <v>59.825</v>
      </c>
      <c r="K162" s="45">
        <v>80</v>
      </c>
      <c r="L162" s="43">
        <v>52</v>
      </c>
      <c r="M162" s="46">
        <v>29.041</v>
      </c>
      <c r="N162" s="40" t="s">
        <v>186</v>
      </c>
      <c r="O162" s="42">
        <v>42</v>
      </c>
      <c r="P162" s="43">
        <v>21</v>
      </c>
      <c r="Q162" s="44">
        <v>57.92</v>
      </c>
      <c r="R162" s="45">
        <v>80</v>
      </c>
      <c r="S162" s="43">
        <v>52</v>
      </c>
      <c r="T162" s="46">
        <v>2.0499999999999998</v>
      </c>
      <c r="U162" s="40">
        <v>2</v>
      </c>
      <c r="V162" s="47">
        <v>2035.301778328</v>
      </c>
      <c r="W162" s="48">
        <v>1985</v>
      </c>
      <c r="X162" s="40"/>
      <c r="Y162" s="52"/>
      <c r="Z162" s="40" t="s">
        <v>910</v>
      </c>
      <c r="AA162" s="49">
        <f t="shared" si="25"/>
        <v>0</v>
      </c>
      <c r="AB162" s="71">
        <f t="shared" si="26"/>
        <v>0.80</v>
      </c>
      <c r="AC162" s="49">
        <f t="shared" si="27"/>
        <v>0</v>
      </c>
      <c r="AD162" s="50">
        <f t="shared" si="28"/>
        <v>0</v>
      </c>
      <c r="AE162" s="50">
        <f t="shared" si="29"/>
        <v>0</v>
      </c>
      <c r="AF162" s="50">
        <f t="shared" si="30"/>
        <v>0</v>
      </c>
      <c r="AG162" s="199">
        <f t="shared" si="31"/>
        <v>0</v>
      </c>
      <c r="AH162" s="187"/>
      <c r="AI162" s="185" t="s">
        <v>1451</v>
      </c>
      <c r="AJ162" s="185"/>
      <c r="AK162" s="277">
        <f t="shared" si="24"/>
        <v>2035.30</v>
      </c>
      <c r="AL162" s="25">
        <f>(SUMIFS('T1 2019 Pipeline Data Lagasco'!$O:$O,'T1 2019 Pipeline Data Lagasco'!$A:$A,'Dec 31 2018 OFFS'!$AI162,'T1 2019 Pipeline Data Lagasco'!$Q:$Q,'Dec 31 2018 OFFS'!$AK162,'T1 2019 Pipeline Data Lagasco'!$E:$E,'Dec 31 2018 OFFS'!$U162,'T1 2019 Pipeline Data Lagasco'!$G:$G,'Dec 31 2018 OFFS'!$W162))/(MAX(COUNTIFS('T1 2019 Pipeline Data Lagasco'!$A:$A,'Dec 31 2018 OFFS'!$AI162,'T1 2019 Pipeline Data Lagasco'!$Q:$Q,'Dec 31 2018 OFFS'!$AK162,'T1 2019 Pipeline Data Lagasco'!$E:$E,'Dec 31 2018 OFFS'!$U162,'T1 2019 Pipeline Data Lagasco'!$G:$G,'Dec 31 2018 OFFS'!$W162),1))</f>
        <v>0</v>
      </c>
      <c r="AM162" s="274">
        <f t="shared" si="32"/>
        <v>0</v>
      </c>
    </row>
    <row r="163" spans="1:39" ht="12.7">
      <c r="A163" s="193" t="s">
        <v>909</v>
      </c>
      <c r="B163" s="40" t="s">
        <v>919</v>
      </c>
      <c r="C163" s="40" t="s">
        <v>920</v>
      </c>
      <c r="D163" s="40" t="s">
        <v>172</v>
      </c>
      <c r="E163" s="40" t="s">
        <v>1054</v>
      </c>
      <c r="F163" s="40" t="s">
        <v>1051</v>
      </c>
      <c r="G163" s="41" t="s">
        <v>187</v>
      </c>
      <c r="H163" s="42">
        <v>42</v>
      </c>
      <c r="I163" s="43">
        <v>20</v>
      </c>
      <c r="J163" s="44">
        <v>4.0110000000000001</v>
      </c>
      <c r="K163" s="45">
        <v>80</v>
      </c>
      <c r="L163" s="43">
        <v>52</v>
      </c>
      <c r="M163" s="46">
        <v>36.36</v>
      </c>
      <c r="N163" s="41" t="s">
        <v>171</v>
      </c>
      <c r="O163" s="42">
        <v>42</v>
      </c>
      <c r="P163" s="43">
        <v>19</v>
      </c>
      <c r="Q163" s="44">
        <v>8.2200000000000006</v>
      </c>
      <c r="R163" s="45">
        <v>80</v>
      </c>
      <c r="S163" s="43">
        <v>53</v>
      </c>
      <c r="T163" s="46">
        <v>7.02</v>
      </c>
      <c r="U163" s="40">
        <v>2</v>
      </c>
      <c r="V163" s="47">
        <v>6091</v>
      </c>
      <c r="W163" s="48">
        <v>1971</v>
      </c>
      <c r="X163" s="40"/>
      <c r="Y163" s="52"/>
      <c r="Z163" s="40" t="s">
        <v>910</v>
      </c>
      <c r="AA163" s="49">
        <f t="shared" si="25"/>
        <v>0</v>
      </c>
      <c r="AB163" s="71">
        <f t="shared" si="26"/>
        <v>0.80</v>
      </c>
      <c r="AC163" s="49">
        <f t="shared" si="27"/>
        <v>0</v>
      </c>
      <c r="AD163" s="50">
        <f t="shared" si="28"/>
        <v>0</v>
      </c>
      <c r="AE163" s="50">
        <f t="shared" si="29"/>
        <v>0</v>
      </c>
      <c r="AF163" s="50">
        <f t="shared" si="30"/>
        <v>0</v>
      </c>
      <c r="AG163" s="199">
        <f t="shared" si="31"/>
        <v>0</v>
      </c>
      <c r="AH163" s="187"/>
      <c r="AI163" s="185" t="s">
        <v>1451</v>
      </c>
      <c r="AJ163" s="185"/>
      <c r="AK163" s="277">
        <f t="shared" si="24"/>
        <v>6091</v>
      </c>
      <c r="AL163" s="25">
        <f>(SUMIFS('T1 2019 Pipeline Data Lagasco'!$O:$O,'T1 2019 Pipeline Data Lagasco'!$A:$A,'Dec 31 2018 OFFS'!$AI163,'T1 2019 Pipeline Data Lagasco'!$Q:$Q,'Dec 31 2018 OFFS'!$AK163,'T1 2019 Pipeline Data Lagasco'!$E:$E,'Dec 31 2018 OFFS'!$U163,'T1 2019 Pipeline Data Lagasco'!$G:$G,'Dec 31 2018 OFFS'!$W163))/(MAX(COUNTIFS('T1 2019 Pipeline Data Lagasco'!$A:$A,'Dec 31 2018 OFFS'!$AI163,'T1 2019 Pipeline Data Lagasco'!$Q:$Q,'Dec 31 2018 OFFS'!$AK163,'T1 2019 Pipeline Data Lagasco'!$E:$E,'Dec 31 2018 OFFS'!$U163,'T1 2019 Pipeline Data Lagasco'!$G:$G,'Dec 31 2018 OFFS'!$W163),1))</f>
        <v>0</v>
      </c>
      <c r="AM163" s="274">
        <f t="shared" si="32"/>
        <v>0</v>
      </c>
    </row>
    <row r="164" spans="1:39" ht="12.7">
      <c r="A164" s="200" t="s">
        <v>909</v>
      </c>
      <c r="B164" s="201" t="s">
        <v>919</v>
      </c>
      <c r="C164" s="201" t="s">
        <v>920</v>
      </c>
      <c r="D164" s="201" t="s">
        <v>172</v>
      </c>
      <c r="E164" s="201" t="s">
        <v>1054</v>
      </c>
      <c r="F164" s="202" t="s">
        <v>1051</v>
      </c>
      <c r="G164" s="208" t="s">
        <v>187</v>
      </c>
      <c r="H164" s="203">
        <v>42</v>
      </c>
      <c r="I164" s="204">
        <v>20</v>
      </c>
      <c r="J164" s="205">
        <v>4.0110000000000001</v>
      </c>
      <c r="K164" s="206">
        <v>80</v>
      </c>
      <c r="L164" s="204">
        <v>52</v>
      </c>
      <c r="M164" s="207">
        <v>36.36</v>
      </c>
      <c r="N164" s="210" t="s">
        <v>188</v>
      </c>
      <c r="O164" s="203">
        <v>42</v>
      </c>
      <c r="P164" s="204">
        <v>19</v>
      </c>
      <c r="Q164" s="205">
        <v>11.946</v>
      </c>
      <c r="R164" s="206">
        <v>80</v>
      </c>
      <c r="S164" s="204">
        <v>52</v>
      </c>
      <c r="T164" s="207">
        <v>22.552</v>
      </c>
      <c r="U164" s="201">
        <v>2</v>
      </c>
      <c r="V164" s="209">
        <v>5371.4565373559999</v>
      </c>
      <c r="W164" s="210">
        <v>1971</v>
      </c>
      <c r="X164" s="201"/>
      <c r="Y164" s="52"/>
      <c r="Z164" s="201" t="s">
        <v>910</v>
      </c>
      <c r="AA164" s="211">
        <f t="shared" si="25"/>
        <v>0</v>
      </c>
      <c r="AB164" s="212">
        <f t="shared" si="26"/>
        <v>0.80</v>
      </c>
      <c r="AC164" s="211">
        <f t="shared" si="27"/>
        <v>0</v>
      </c>
      <c r="AD164" s="213">
        <f t="shared" si="28"/>
        <v>0</v>
      </c>
      <c r="AE164" s="213">
        <f t="shared" si="29"/>
        <v>0</v>
      </c>
      <c r="AF164" s="213">
        <f t="shared" si="30"/>
        <v>0</v>
      </c>
      <c r="AG164" s="214">
        <f t="shared" si="31"/>
        <v>0</v>
      </c>
      <c r="AH164" s="215"/>
      <c r="AI164" s="216" t="s">
        <v>1451</v>
      </c>
      <c r="AJ164" s="216" t="s">
        <v>1560</v>
      </c>
      <c r="AK164" s="283">
        <f t="shared" si="24"/>
        <v>5371.46</v>
      </c>
      <c r="AL164" s="25">
        <f>(SUMIFS('T1 2019 Pipeline Data Lagasco'!$O:$O,'T1 2019 Pipeline Data Lagasco'!$A:$A,'Dec 31 2018 OFFS'!$AI164,'T1 2019 Pipeline Data Lagasco'!$Q:$Q,'Dec 31 2018 OFFS'!$AK164,'T1 2019 Pipeline Data Lagasco'!$E:$E,'Dec 31 2018 OFFS'!$U164,'T1 2019 Pipeline Data Lagasco'!$G:$G,'Dec 31 2018 OFFS'!$W164))/(MAX(COUNTIFS('T1 2019 Pipeline Data Lagasco'!$A:$A,'Dec 31 2018 OFFS'!$AI164,'T1 2019 Pipeline Data Lagasco'!$Q:$Q,'Dec 31 2018 OFFS'!$AK164,'T1 2019 Pipeline Data Lagasco'!$E:$E,'Dec 31 2018 OFFS'!$U164,'T1 2019 Pipeline Data Lagasco'!$G:$G,'Dec 31 2018 OFFS'!$W164),1))</f>
        <v>0</v>
      </c>
      <c r="AM164" s="285">
        <f t="shared" si="32"/>
        <v>0</v>
      </c>
    </row>
    <row r="165" spans="1:39" ht="12.7">
      <c r="A165" s="200" t="s">
        <v>909</v>
      </c>
      <c r="B165" s="201" t="s">
        <v>919</v>
      </c>
      <c r="C165" s="201" t="s">
        <v>920</v>
      </c>
      <c r="D165" s="201" t="s">
        <v>172</v>
      </c>
      <c r="E165" s="201" t="s">
        <v>1054</v>
      </c>
      <c r="F165" s="202" t="s">
        <v>1051</v>
      </c>
      <c r="G165" s="208" t="s">
        <v>187</v>
      </c>
      <c r="H165" s="203">
        <v>42</v>
      </c>
      <c r="I165" s="204">
        <v>20</v>
      </c>
      <c r="J165" s="205">
        <v>4.0110000000000001</v>
      </c>
      <c r="K165" s="206">
        <v>80</v>
      </c>
      <c r="L165" s="204">
        <v>52</v>
      </c>
      <c r="M165" s="207">
        <v>36.36</v>
      </c>
      <c r="N165" s="201" t="s">
        <v>211</v>
      </c>
      <c r="O165" s="203">
        <v>42</v>
      </c>
      <c r="P165" s="204">
        <v>19</v>
      </c>
      <c r="Q165" s="205">
        <v>52.31</v>
      </c>
      <c r="R165" s="206">
        <v>80</v>
      </c>
      <c r="S165" s="204">
        <v>52</v>
      </c>
      <c r="T165" s="207">
        <v>5.47</v>
      </c>
      <c r="U165" s="201">
        <v>4</v>
      </c>
      <c r="V165" s="281">
        <v>2604.9211844040001</v>
      </c>
      <c r="W165" s="210">
        <v>1971</v>
      </c>
      <c r="X165" s="201"/>
      <c r="Y165" s="52"/>
      <c r="Z165" s="201" t="s">
        <v>910</v>
      </c>
      <c r="AA165" s="211">
        <f t="shared" si="25"/>
        <v>0</v>
      </c>
      <c r="AB165" s="212">
        <f t="shared" si="26"/>
        <v>0.80</v>
      </c>
      <c r="AC165" s="211">
        <f t="shared" si="27"/>
        <v>0</v>
      </c>
      <c r="AD165" s="213">
        <f t="shared" si="28"/>
        <v>0</v>
      </c>
      <c r="AE165" s="213">
        <f t="shared" si="29"/>
        <v>0</v>
      </c>
      <c r="AF165" s="213">
        <f t="shared" si="30"/>
        <v>0</v>
      </c>
      <c r="AG165" s="214">
        <f t="shared" si="31"/>
        <v>0</v>
      </c>
      <c r="AH165" s="215"/>
      <c r="AI165" s="216" t="s">
        <v>1451</v>
      </c>
      <c r="AJ165" s="216" t="s">
        <v>1560</v>
      </c>
      <c r="AK165" s="283">
        <f t="shared" si="24"/>
        <v>2604.92</v>
      </c>
      <c r="AL165" s="25">
        <f>(SUMIFS('T1 2019 Pipeline Data Lagasco'!$O:$O,'T1 2019 Pipeline Data Lagasco'!$A:$A,'Dec 31 2018 OFFS'!$AI165,'T1 2019 Pipeline Data Lagasco'!$Q:$Q,'Dec 31 2018 OFFS'!$AK165,'T1 2019 Pipeline Data Lagasco'!$E:$E,'Dec 31 2018 OFFS'!$U165,'T1 2019 Pipeline Data Lagasco'!$G:$G,'Dec 31 2018 OFFS'!$W165))/(MAX(COUNTIFS('T1 2019 Pipeline Data Lagasco'!$A:$A,'Dec 31 2018 OFFS'!$AI165,'T1 2019 Pipeline Data Lagasco'!$Q:$Q,'Dec 31 2018 OFFS'!$AK165,'T1 2019 Pipeline Data Lagasco'!$E:$E,'Dec 31 2018 OFFS'!$U165,'T1 2019 Pipeline Data Lagasco'!$G:$G,'Dec 31 2018 OFFS'!$W165),1))</f>
        <v>0</v>
      </c>
      <c r="AM165" s="285">
        <f t="shared" si="32"/>
        <v>0</v>
      </c>
    </row>
    <row r="166" spans="1:39" ht="12.7">
      <c r="A166" s="193" t="s">
        <v>909</v>
      </c>
      <c r="B166" s="139" t="s">
        <v>919</v>
      </c>
      <c r="C166" s="139" t="s">
        <v>920</v>
      </c>
      <c r="D166" s="139" t="s">
        <v>172</v>
      </c>
      <c r="E166" s="139" t="s">
        <v>1054</v>
      </c>
      <c r="F166" s="139" t="s">
        <v>1380</v>
      </c>
      <c r="G166" s="155" t="s">
        <v>187</v>
      </c>
      <c r="H166" s="42">
        <v>42</v>
      </c>
      <c r="I166" s="43">
        <v>20</v>
      </c>
      <c r="J166" s="44">
        <v>4.0110000000000001</v>
      </c>
      <c r="K166" s="45">
        <v>80</v>
      </c>
      <c r="L166" s="43">
        <v>52</v>
      </c>
      <c r="M166" s="46">
        <v>36.36</v>
      </c>
      <c r="N166" s="139" t="s">
        <v>211</v>
      </c>
      <c r="O166" s="42">
        <v>42</v>
      </c>
      <c r="P166" s="43">
        <v>19</v>
      </c>
      <c r="Q166" s="44">
        <v>52.31</v>
      </c>
      <c r="R166" s="45">
        <v>80</v>
      </c>
      <c r="S166" s="43">
        <v>52</v>
      </c>
      <c r="T166" s="46">
        <v>5.47</v>
      </c>
      <c r="U166" s="40">
        <v>4</v>
      </c>
      <c r="V166" s="281">
        <v>2604.9211844040001</v>
      </c>
      <c r="W166" s="48">
        <v>1999</v>
      </c>
      <c r="X166" s="40"/>
      <c r="Y166" s="52"/>
      <c r="Z166" s="139" t="s">
        <v>910</v>
      </c>
      <c r="AA166" s="49">
        <f t="shared" si="25"/>
        <v>68900.165327485796</v>
      </c>
      <c r="AB166" s="71">
        <f t="shared" si="26"/>
        <v>0.62</v>
      </c>
      <c r="AC166" s="49">
        <f t="shared" si="27"/>
        <v>26182.06</v>
      </c>
      <c r="AD166" s="50">
        <f t="shared" si="28"/>
        <v>0</v>
      </c>
      <c r="AE166" s="50">
        <f t="shared" si="29"/>
        <v>0</v>
      </c>
      <c r="AF166" s="50">
        <f t="shared" si="30"/>
        <v>26182.06</v>
      </c>
      <c r="AG166" s="199">
        <f t="shared" si="31"/>
        <v>26182</v>
      </c>
      <c r="AH166" s="187"/>
      <c r="AI166" s="185" t="s">
        <v>1451</v>
      </c>
      <c r="AJ166" s="185"/>
      <c r="AK166" s="277">
        <f t="shared" si="24"/>
        <v>2604.92</v>
      </c>
      <c r="AL166" s="25">
        <f>(SUMIFS('T1 2019 Pipeline Data Lagasco'!$O:$O,'T1 2019 Pipeline Data Lagasco'!$A:$A,'Dec 31 2018 OFFS'!$AI166,'T1 2019 Pipeline Data Lagasco'!$Q:$Q,'Dec 31 2018 OFFS'!$AK166,'T1 2019 Pipeline Data Lagasco'!$E:$E,'Dec 31 2018 OFFS'!$U166,'T1 2019 Pipeline Data Lagasco'!$G:$G,'Dec 31 2018 OFFS'!$W166))/(MAX(COUNTIFS('T1 2019 Pipeline Data Lagasco'!$A:$A,'Dec 31 2018 OFFS'!$AI166,'T1 2019 Pipeline Data Lagasco'!$Q:$Q,'Dec 31 2018 OFFS'!$AK166,'T1 2019 Pipeline Data Lagasco'!$E:$E,'Dec 31 2018 OFFS'!$U166,'T1 2019 Pipeline Data Lagasco'!$G:$G,'Dec 31 2018 OFFS'!$W166),1))</f>
        <v>26182</v>
      </c>
      <c r="AM166" s="274">
        <f t="shared" si="32"/>
        <v>0</v>
      </c>
    </row>
    <row r="167" spans="1:39" ht="12.7">
      <c r="A167" s="193" t="s">
        <v>909</v>
      </c>
      <c r="B167" s="40" t="s">
        <v>919</v>
      </c>
      <c r="C167" s="40" t="s">
        <v>920</v>
      </c>
      <c r="D167" s="40" t="s">
        <v>172</v>
      </c>
      <c r="E167" s="40" t="s">
        <v>1054</v>
      </c>
      <c r="F167" s="40"/>
      <c r="G167" s="41" t="s">
        <v>1289</v>
      </c>
      <c r="H167" s="42">
        <v>42</v>
      </c>
      <c r="I167" s="43">
        <v>20</v>
      </c>
      <c r="J167" s="44">
        <v>7.08</v>
      </c>
      <c r="K167" s="45">
        <v>80</v>
      </c>
      <c r="L167" s="43">
        <v>52</v>
      </c>
      <c r="M167" s="46">
        <v>0</v>
      </c>
      <c r="N167" s="41" t="s">
        <v>187</v>
      </c>
      <c r="O167" s="42">
        <v>42</v>
      </c>
      <c r="P167" s="43">
        <v>20</v>
      </c>
      <c r="Q167" s="44">
        <v>3.96</v>
      </c>
      <c r="R167" s="45">
        <v>80</v>
      </c>
      <c r="S167" s="43">
        <v>52</v>
      </c>
      <c r="T167" s="46">
        <v>36.119999999999997</v>
      </c>
      <c r="U167" s="40">
        <v>3</v>
      </c>
      <c r="V167" s="47">
        <v>2719</v>
      </c>
      <c r="W167" s="48">
        <v>2006</v>
      </c>
      <c r="X167" s="40"/>
      <c r="Y167" s="52"/>
      <c r="Z167" s="40" t="s">
        <v>910</v>
      </c>
      <c r="AA167" s="49">
        <f t="shared" si="25"/>
        <v>64141.21</v>
      </c>
      <c r="AB167" s="71">
        <f t="shared" si="26"/>
        <v>0.52</v>
      </c>
      <c r="AC167" s="49">
        <f t="shared" si="27"/>
        <v>30787.78</v>
      </c>
      <c r="AD167" s="50">
        <f t="shared" si="28"/>
        <v>0</v>
      </c>
      <c r="AE167" s="50">
        <f t="shared" si="29"/>
        <v>0</v>
      </c>
      <c r="AF167" s="50">
        <f t="shared" si="30"/>
        <v>30787.78</v>
      </c>
      <c r="AG167" s="199">
        <f t="shared" si="31"/>
        <v>30787</v>
      </c>
      <c r="AH167" s="187"/>
      <c r="AI167" s="185" t="s">
        <v>1451</v>
      </c>
      <c r="AJ167" s="185"/>
      <c r="AK167" s="277">
        <f t="shared" si="24"/>
        <v>2719</v>
      </c>
      <c r="AL167" s="25">
        <f>(SUMIFS('T1 2019 Pipeline Data Lagasco'!$O:$O,'T1 2019 Pipeline Data Lagasco'!$A:$A,'Dec 31 2018 OFFS'!$AI167,'T1 2019 Pipeline Data Lagasco'!$Q:$Q,'Dec 31 2018 OFFS'!$AK167,'T1 2019 Pipeline Data Lagasco'!$E:$E,'Dec 31 2018 OFFS'!$U167,'T1 2019 Pipeline Data Lagasco'!$G:$G,'Dec 31 2018 OFFS'!$W167))/(MAX(COUNTIFS('T1 2019 Pipeline Data Lagasco'!$A:$A,'Dec 31 2018 OFFS'!$AI167,'T1 2019 Pipeline Data Lagasco'!$Q:$Q,'Dec 31 2018 OFFS'!$AK167,'T1 2019 Pipeline Data Lagasco'!$E:$E,'Dec 31 2018 OFFS'!$U167,'T1 2019 Pipeline Data Lagasco'!$G:$G,'Dec 31 2018 OFFS'!$W167),1))</f>
        <v>30787</v>
      </c>
      <c r="AM167" s="274">
        <f t="shared" si="32"/>
        <v>0</v>
      </c>
    </row>
    <row r="168" spans="1:39" ht="12.7">
      <c r="A168" s="193" t="s">
        <v>909</v>
      </c>
      <c r="B168" s="40" t="s">
        <v>919</v>
      </c>
      <c r="C168" s="40" t="s">
        <v>920</v>
      </c>
      <c r="D168" s="40" t="s">
        <v>172</v>
      </c>
      <c r="E168" s="40" t="s">
        <v>1054</v>
      </c>
      <c r="F168" s="40"/>
      <c r="G168" s="41" t="s">
        <v>189</v>
      </c>
      <c r="H168" s="42">
        <v>42</v>
      </c>
      <c r="I168" s="43">
        <v>24</v>
      </c>
      <c r="J168" s="44">
        <v>28.913</v>
      </c>
      <c r="K168" s="45">
        <v>80</v>
      </c>
      <c r="L168" s="43">
        <v>55</v>
      </c>
      <c r="M168" s="46">
        <v>46.389000000000003</v>
      </c>
      <c r="N168" s="40" t="s">
        <v>190</v>
      </c>
      <c r="O168" s="42">
        <v>42</v>
      </c>
      <c r="P168" s="43">
        <v>24</v>
      </c>
      <c r="Q168" s="44">
        <v>39.24</v>
      </c>
      <c r="R168" s="45">
        <v>80</v>
      </c>
      <c r="S168" s="43">
        <v>54</v>
      </c>
      <c r="T168" s="46">
        <v>50.08</v>
      </c>
      <c r="U168" s="40">
        <v>2</v>
      </c>
      <c r="V168" s="47">
        <v>4351.4762519339993</v>
      </c>
      <c r="W168" s="48">
        <v>1978</v>
      </c>
      <c r="X168" s="40"/>
      <c r="Y168" s="52"/>
      <c r="Z168" s="40" t="s">
        <v>910</v>
      </c>
      <c r="AA168" s="49">
        <f t="shared" si="25"/>
        <v>70667.974331408142</v>
      </c>
      <c r="AB168" s="71">
        <f t="shared" si="26"/>
        <v>0.80</v>
      </c>
      <c r="AC168" s="49">
        <f t="shared" si="27"/>
        <v>14133.59</v>
      </c>
      <c r="AD168" s="50">
        <f t="shared" si="28"/>
        <v>0</v>
      </c>
      <c r="AE168" s="50">
        <f t="shared" si="29"/>
        <v>0</v>
      </c>
      <c r="AF168" s="50">
        <f t="shared" si="30"/>
        <v>14133.59</v>
      </c>
      <c r="AG168" s="199">
        <f t="shared" si="31"/>
        <v>14133</v>
      </c>
      <c r="AH168" s="187"/>
      <c r="AI168" s="185" t="s">
        <v>1451</v>
      </c>
      <c r="AJ168" s="185"/>
      <c r="AK168" s="277">
        <f t="shared" si="24"/>
        <v>4351.4799999999996</v>
      </c>
      <c r="AL168" s="25">
        <f>(SUMIFS('T1 2019 Pipeline Data Lagasco'!$O:$O,'T1 2019 Pipeline Data Lagasco'!$A:$A,'Dec 31 2018 OFFS'!$AI168,'T1 2019 Pipeline Data Lagasco'!$Q:$Q,'Dec 31 2018 OFFS'!$AK168,'T1 2019 Pipeline Data Lagasco'!$E:$E,'Dec 31 2018 OFFS'!$U168,'T1 2019 Pipeline Data Lagasco'!$G:$G,'Dec 31 2018 OFFS'!$W168))/(MAX(COUNTIFS('T1 2019 Pipeline Data Lagasco'!$A:$A,'Dec 31 2018 OFFS'!$AI168,'T1 2019 Pipeline Data Lagasco'!$Q:$Q,'Dec 31 2018 OFFS'!$AK168,'T1 2019 Pipeline Data Lagasco'!$E:$E,'Dec 31 2018 OFFS'!$U168,'T1 2019 Pipeline Data Lagasco'!$G:$G,'Dec 31 2018 OFFS'!$W168),1))</f>
        <v>14133</v>
      </c>
      <c r="AM168" s="274">
        <f t="shared" si="32"/>
        <v>0</v>
      </c>
    </row>
    <row r="169" spans="1:39" ht="12.7">
      <c r="A169" s="200" t="s">
        <v>909</v>
      </c>
      <c r="B169" s="201" t="s">
        <v>919</v>
      </c>
      <c r="C169" s="201" t="s">
        <v>920</v>
      </c>
      <c r="D169" s="201" t="s">
        <v>172</v>
      </c>
      <c r="E169" s="201" t="s">
        <v>1054</v>
      </c>
      <c r="F169" s="202" t="s">
        <v>1051</v>
      </c>
      <c r="G169" s="208" t="s">
        <v>212</v>
      </c>
      <c r="H169" s="203">
        <v>42</v>
      </c>
      <c r="I169" s="204">
        <v>24</v>
      </c>
      <c r="J169" s="205">
        <v>29.762</v>
      </c>
      <c r="K169" s="206">
        <v>80</v>
      </c>
      <c r="L169" s="204">
        <v>56</v>
      </c>
      <c r="M169" s="207">
        <v>39.534999999999997</v>
      </c>
      <c r="N169" s="201" t="s">
        <v>190</v>
      </c>
      <c r="O169" s="203">
        <v>42</v>
      </c>
      <c r="P169" s="204">
        <v>24</v>
      </c>
      <c r="Q169" s="205">
        <v>39.24</v>
      </c>
      <c r="R169" s="206">
        <v>80</v>
      </c>
      <c r="S169" s="204">
        <v>54</v>
      </c>
      <c r="T169" s="207">
        <v>50.08</v>
      </c>
      <c r="U169" s="201">
        <v>4</v>
      </c>
      <c r="V169" s="209">
        <v>8266.6992356619994</v>
      </c>
      <c r="W169" s="210">
        <v>1985</v>
      </c>
      <c r="X169" s="201"/>
      <c r="Y169" s="52"/>
      <c r="Z169" s="201" t="s">
        <v>910</v>
      </c>
      <c r="AA169" s="211">
        <f t="shared" si="25"/>
        <v>0</v>
      </c>
      <c r="AB169" s="212">
        <f t="shared" si="26"/>
        <v>0.80</v>
      </c>
      <c r="AC169" s="211">
        <f t="shared" si="27"/>
        <v>0</v>
      </c>
      <c r="AD169" s="213">
        <f t="shared" si="28"/>
        <v>0</v>
      </c>
      <c r="AE169" s="213">
        <f t="shared" si="29"/>
        <v>0</v>
      </c>
      <c r="AF169" s="213">
        <f t="shared" si="30"/>
        <v>0</v>
      </c>
      <c r="AG169" s="214">
        <f t="shared" si="31"/>
        <v>0</v>
      </c>
      <c r="AH169" s="215"/>
      <c r="AI169" s="216" t="s">
        <v>1451</v>
      </c>
      <c r="AJ169" s="216" t="s">
        <v>1560</v>
      </c>
      <c r="AK169" s="283">
        <f t="shared" si="24"/>
        <v>8266.7000000000007</v>
      </c>
      <c r="AL169" s="25">
        <f>(SUMIFS('T1 2019 Pipeline Data Lagasco'!$O:$O,'T1 2019 Pipeline Data Lagasco'!$A:$A,'Dec 31 2018 OFFS'!$AI169,'T1 2019 Pipeline Data Lagasco'!$Q:$Q,'Dec 31 2018 OFFS'!$AK169,'T1 2019 Pipeline Data Lagasco'!$E:$E,'Dec 31 2018 OFFS'!$U169,'T1 2019 Pipeline Data Lagasco'!$G:$G,'Dec 31 2018 OFFS'!$W169))/(MAX(COUNTIFS('T1 2019 Pipeline Data Lagasco'!$A:$A,'Dec 31 2018 OFFS'!$AI169,'T1 2019 Pipeline Data Lagasco'!$Q:$Q,'Dec 31 2018 OFFS'!$AK169,'T1 2019 Pipeline Data Lagasco'!$E:$E,'Dec 31 2018 OFFS'!$U169,'T1 2019 Pipeline Data Lagasco'!$G:$G,'Dec 31 2018 OFFS'!$W169),1))</f>
        <v>0</v>
      </c>
      <c r="AM169" s="285">
        <f t="shared" si="32"/>
        <v>0</v>
      </c>
    </row>
    <row r="170" spans="1:39" ht="12.7">
      <c r="A170" s="193" t="s">
        <v>909</v>
      </c>
      <c r="B170" s="40" t="s">
        <v>919</v>
      </c>
      <c r="C170" s="40" t="s">
        <v>920</v>
      </c>
      <c r="D170" s="40" t="s">
        <v>172</v>
      </c>
      <c r="E170" s="40" t="s">
        <v>1054</v>
      </c>
      <c r="F170" s="139" t="s">
        <v>1051</v>
      </c>
      <c r="G170" s="41" t="s">
        <v>191</v>
      </c>
      <c r="H170" s="42">
        <v>42</v>
      </c>
      <c r="I170" s="43">
        <v>24</v>
      </c>
      <c r="J170" s="44">
        <v>9.2141160000000006</v>
      </c>
      <c r="K170" s="45">
        <v>80</v>
      </c>
      <c r="L170" s="43">
        <v>57</v>
      </c>
      <c r="M170" s="46">
        <v>51.832213000000003</v>
      </c>
      <c r="N170" s="40" t="s">
        <v>192</v>
      </c>
      <c r="O170" s="42">
        <v>42</v>
      </c>
      <c r="P170" s="43">
        <v>24</v>
      </c>
      <c r="Q170" s="44">
        <v>5.0999999999999996</v>
      </c>
      <c r="R170" s="45">
        <v>80</v>
      </c>
      <c r="S170" s="43">
        <v>58</v>
      </c>
      <c r="T170" s="46">
        <v>52.32</v>
      </c>
      <c r="U170" s="40">
        <v>2</v>
      </c>
      <c r="V170" s="47">
        <v>4557.1849073939993</v>
      </c>
      <c r="W170" s="48">
        <v>1978</v>
      </c>
      <c r="X170" s="40"/>
      <c r="Y170" s="52"/>
      <c r="Z170" s="40" t="s">
        <v>910</v>
      </c>
      <c r="AA170" s="49">
        <f t="shared" si="25"/>
        <v>0</v>
      </c>
      <c r="AB170" s="71">
        <f t="shared" si="26"/>
        <v>0.80</v>
      </c>
      <c r="AC170" s="49">
        <f t="shared" si="27"/>
        <v>0</v>
      </c>
      <c r="AD170" s="50">
        <f t="shared" si="28"/>
        <v>0</v>
      </c>
      <c r="AE170" s="50">
        <f t="shared" si="29"/>
        <v>0</v>
      </c>
      <c r="AF170" s="50">
        <f t="shared" si="30"/>
        <v>0</v>
      </c>
      <c r="AG170" s="199">
        <f t="shared" si="31"/>
        <v>0</v>
      </c>
      <c r="AH170" s="187"/>
      <c r="AI170" s="185" t="s">
        <v>1451</v>
      </c>
      <c r="AJ170" s="185"/>
      <c r="AK170" s="277">
        <f t="shared" si="24"/>
        <v>4557.18</v>
      </c>
      <c r="AL170" s="25">
        <f>(SUMIFS('T1 2019 Pipeline Data Lagasco'!$O:$O,'T1 2019 Pipeline Data Lagasco'!$A:$A,'Dec 31 2018 OFFS'!$AI170,'T1 2019 Pipeline Data Lagasco'!$Q:$Q,'Dec 31 2018 OFFS'!$AK170,'T1 2019 Pipeline Data Lagasco'!$E:$E,'Dec 31 2018 OFFS'!$U170,'T1 2019 Pipeline Data Lagasco'!$G:$G,'Dec 31 2018 OFFS'!$W170))/(MAX(COUNTIFS('T1 2019 Pipeline Data Lagasco'!$A:$A,'Dec 31 2018 OFFS'!$AI170,'T1 2019 Pipeline Data Lagasco'!$Q:$Q,'Dec 31 2018 OFFS'!$AK170,'T1 2019 Pipeline Data Lagasco'!$E:$E,'Dec 31 2018 OFFS'!$U170,'T1 2019 Pipeline Data Lagasco'!$G:$G,'Dec 31 2018 OFFS'!$W170),1))</f>
        <v>0</v>
      </c>
      <c r="AM170" s="274">
        <f t="shared" si="32"/>
        <v>0</v>
      </c>
    </row>
    <row r="171" spans="1:39" ht="12.7">
      <c r="A171" s="193" t="s">
        <v>909</v>
      </c>
      <c r="B171" s="40" t="s">
        <v>919</v>
      </c>
      <c r="C171" s="40" t="s">
        <v>920</v>
      </c>
      <c r="D171" s="40" t="s">
        <v>172</v>
      </c>
      <c r="E171" s="40" t="s">
        <v>1054</v>
      </c>
      <c r="F171" s="40"/>
      <c r="G171" s="41" t="s">
        <v>191</v>
      </c>
      <c r="H171" s="42">
        <v>42</v>
      </c>
      <c r="I171" s="43">
        <v>24</v>
      </c>
      <c r="J171" s="44">
        <v>9.2141160000000006</v>
      </c>
      <c r="K171" s="45">
        <v>80</v>
      </c>
      <c r="L171" s="43">
        <v>57</v>
      </c>
      <c r="M171" s="46">
        <v>51.832213000000003</v>
      </c>
      <c r="N171" s="40" t="s">
        <v>213</v>
      </c>
      <c r="O171" s="42">
        <v>42</v>
      </c>
      <c r="P171" s="43">
        <v>19</v>
      </c>
      <c r="Q171" s="44">
        <f>0.565*60</f>
        <v>33.90</v>
      </c>
      <c r="R171" s="45">
        <v>81</v>
      </c>
      <c r="S171" s="43">
        <v>2</v>
      </c>
      <c r="T171" s="46">
        <f>0.045*60</f>
        <v>2.6999999999999997</v>
      </c>
      <c r="U171" s="40">
        <v>4</v>
      </c>
      <c r="V171" s="47">
        <v>33635.760180764002</v>
      </c>
      <c r="W171" s="48">
        <v>1985</v>
      </c>
      <c r="X171" s="40"/>
      <c r="Y171" s="52"/>
      <c r="Z171" s="40" t="s">
        <v>910</v>
      </c>
      <c r="AA171" s="49">
        <f t="shared" si="25"/>
        <v>889665.85678120784</v>
      </c>
      <c r="AB171" s="71">
        <f t="shared" si="26"/>
        <v>0.80</v>
      </c>
      <c r="AC171" s="49">
        <f t="shared" si="27"/>
        <v>177933.17</v>
      </c>
      <c r="AD171" s="50">
        <f t="shared" si="28"/>
        <v>0</v>
      </c>
      <c r="AE171" s="50">
        <f t="shared" si="29"/>
        <v>0</v>
      </c>
      <c r="AF171" s="50">
        <f t="shared" si="30"/>
        <v>177933.17</v>
      </c>
      <c r="AG171" s="199">
        <f t="shared" si="31"/>
        <v>177933</v>
      </c>
      <c r="AH171" s="187"/>
      <c r="AI171" s="185" t="s">
        <v>1451</v>
      </c>
      <c r="AJ171" s="185"/>
      <c r="AK171" s="277">
        <f t="shared" si="24"/>
        <v>33635.76</v>
      </c>
      <c r="AL171" s="25">
        <f>(SUMIFS('T1 2019 Pipeline Data Lagasco'!$O:$O,'T1 2019 Pipeline Data Lagasco'!$A:$A,'Dec 31 2018 OFFS'!$AI171,'T1 2019 Pipeline Data Lagasco'!$Q:$Q,'Dec 31 2018 OFFS'!$AK171,'T1 2019 Pipeline Data Lagasco'!$E:$E,'Dec 31 2018 OFFS'!$U171,'T1 2019 Pipeline Data Lagasco'!$G:$G,'Dec 31 2018 OFFS'!$W171))/(MAX(COUNTIFS('T1 2019 Pipeline Data Lagasco'!$A:$A,'Dec 31 2018 OFFS'!$AI171,'T1 2019 Pipeline Data Lagasco'!$Q:$Q,'Dec 31 2018 OFFS'!$AK171,'T1 2019 Pipeline Data Lagasco'!$E:$E,'Dec 31 2018 OFFS'!$U171,'T1 2019 Pipeline Data Lagasco'!$G:$G,'Dec 31 2018 OFFS'!$W171),1))</f>
        <v>177933</v>
      </c>
      <c r="AM171" s="274">
        <f t="shared" si="32"/>
        <v>0</v>
      </c>
    </row>
    <row r="172" spans="1:39" ht="12.7">
      <c r="A172" s="193" t="s">
        <v>909</v>
      </c>
      <c r="B172" s="40" t="s">
        <v>919</v>
      </c>
      <c r="C172" s="40" t="s">
        <v>920</v>
      </c>
      <c r="D172" s="40" t="s">
        <v>172</v>
      </c>
      <c r="E172" s="40" t="s">
        <v>1054</v>
      </c>
      <c r="F172" s="40" t="s">
        <v>1051</v>
      </c>
      <c r="G172" s="41" t="s">
        <v>191</v>
      </c>
      <c r="H172" s="42">
        <v>42</v>
      </c>
      <c r="I172" s="43">
        <v>24</v>
      </c>
      <c r="J172" s="44">
        <v>9.2141160000000006</v>
      </c>
      <c r="K172" s="45">
        <v>80</v>
      </c>
      <c r="L172" s="43">
        <v>57</v>
      </c>
      <c r="M172" s="46">
        <v>51.832213000000003</v>
      </c>
      <c r="N172" s="40" t="s">
        <v>214</v>
      </c>
      <c r="O172" s="42">
        <v>42</v>
      </c>
      <c r="P172" s="43">
        <v>24</v>
      </c>
      <c r="Q172" s="44">
        <f>0.362*60</f>
        <v>21.72</v>
      </c>
      <c r="R172" s="45">
        <v>81</v>
      </c>
      <c r="S172" s="43">
        <v>1</v>
      </c>
      <c r="T172" s="46">
        <f>0.626*60</f>
        <v>37.56</v>
      </c>
      <c r="U172" s="40">
        <v>4</v>
      </c>
      <c r="V172" s="47">
        <v>16981.82</v>
      </c>
      <c r="W172" s="48">
        <v>1980</v>
      </c>
      <c r="X172" s="40"/>
      <c r="Y172" s="52"/>
      <c r="Z172" s="40" t="s">
        <v>910</v>
      </c>
      <c r="AA172" s="49">
        <f t="shared" si="25"/>
        <v>0</v>
      </c>
      <c r="AB172" s="71">
        <f t="shared" si="26"/>
        <v>0.80</v>
      </c>
      <c r="AC172" s="49">
        <f t="shared" si="27"/>
        <v>0</v>
      </c>
      <c r="AD172" s="50">
        <f t="shared" si="28"/>
        <v>0</v>
      </c>
      <c r="AE172" s="50">
        <f t="shared" si="29"/>
        <v>0</v>
      </c>
      <c r="AF172" s="50">
        <f t="shared" si="30"/>
        <v>0</v>
      </c>
      <c r="AG172" s="199">
        <f t="shared" si="31"/>
        <v>0</v>
      </c>
      <c r="AH172" s="187"/>
      <c r="AI172" s="185" t="s">
        <v>1451</v>
      </c>
      <c r="AJ172" s="185"/>
      <c r="AK172" s="277">
        <f t="shared" si="24"/>
        <v>16981.82</v>
      </c>
      <c r="AL172" s="25">
        <f>(SUMIFS('T1 2019 Pipeline Data Lagasco'!$O:$O,'T1 2019 Pipeline Data Lagasco'!$A:$A,'Dec 31 2018 OFFS'!$AI172,'T1 2019 Pipeline Data Lagasco'!$Q:$Q,'Dec 31 2018 OFFS'!$AK172,'T1 2019 Pipeline Data Lagasco'!$E:$E,'Dec 31 2018 OFFS'!$U172,'T1 2019 Pipeline Data Lagasco'!$G:$G,'Dec 31 2018 OFFS'!$W172))/(MAX(COUNTIFS('T1 2019 Pipeline Data Lagasco'!$A:$A,'Dec 31 2018 OFFS'!$AI172,'T1 2019 Pipeline Data Lagasco'!$Q:$Q,'Dec 31 2018 OFFS'!$AK172,'T1 2019 Pipeline Data Lagasco'!$E:$E,'Dec 31 2018 OFFS'!$U172,'T1 2019 Pipeline Data Lagasco'!$G:$G,'Dec 31 2018 OFFS'!$W172),1))</f>
        <v>0</v>
      </c>
      <c r="AM172" s="274">
        <f t="shared" si="32"/>
        <v>0</v>
      </c>
    </row>
    <row r="173" spans="1:39" ht="12.7">
      <c r="A173" s="193" t="s">
        <v>909</v>
      </c>
      <c r="B173" s="40" t="s">
        <v>919</v>
      </c>
      <c r="C173" s="40" t="s">
        <v>920</v>
      </c>
      <c r="D173" s="40" t="s">
        <v>172</v>
      </c>
      <c r="E173" s="40" t="s">
        <v>1054</v>
      </c>
      <c r="F173" s="139" t="s">
        <v>1051</v>
      </c>
      <c r="G173" s="41" t="s">
        <v>191</v>
      </c>
      <c r="H173" s="42">
        <v>42</v>
      </c>
      <c r="I173" s="43">
        <v>24</v>
      </c>
      <c r="J173" s="44">
        <v>9.2141160000000006</v>
      </c>
      <c r="K173" s="45">
        <v>80</v>
      </c>
      <c r="L173" s="43">
        <v>57</v>
      </c>
      <c r="M173" s="46">
        <v>51.832213000000003</v>
      </c>
      <c r="N173" s="40" t="s">
        <v>212</v>
      </c>
      <c r="O173" s="42">
        <v>42</v>
      </c>
      <c r="P173" s="43">
        <v>24</v>
      </c>
      <c r="Q173" s="44">
        <v>28.913</v>
      </c>
      <c r="R173" s="45">
        <v>80</v>
      </c>
      <c r="S173" s="43">
        <v>55</v>
      </c>
      <c r="T173" s="46">
        <v>46.389000000000003</v>
      </c>
      <c r="U173" s="40">
        <v>4</v>
      </c>
      <c r="V173" s="281">
        <v>5794</v>
      </c>
      <c r="W173" s="48">
        <v>1980</v>
      </c>
      <c r="X173" s="40"/>
      <c r="Y173" s="52"/>
      <c r="Z173" s="40" t="s">
        <v>910</v>
      </c>
      <c r="AA173" s="49">
        <f t="shared" si="25"/>
        <v>0</v>
      </c>
      <c r="AB173" s="71">
        <f t="shared" si="26"/>
        <v>0.80</v>
      </c>
      <c r="AC173" s="49">
        <f t="shared" si="27"/>
        <v>0</v>
      </c>
      <c r="AD173" s="50">
        <f t="shared" si="28"/>
        <v>0</v>
      </c>
      <c r="AE173" s="50">
        <f t="shared" si="29"/>
        <v>0</v>
      </c>
      <c r="AF173" s="50">
        <f t="shared" si="30"/>
        <v>0</v>
      </c>
      <c r="AG173" s="199">
        <f t="shared" si="31"/>
        <v>0</v>
      </c>
      <c r="AH173" s="187"/>
      <c r="AI173" s="185" t="s">
        <v>1451</v>
      </c>
      <c r="AJ173" s="185"/>
      <c r="AK173" s="277">
        <f t="shared" si="24"/>
        <v>5794</v>
      </c>
      <c r="AL173" s="25">
        <f>(SUMIFS('T1 2019 Pipeline Data Lagasco'!$O:$O,'T1 2019 Pipeline Data Lagasco'!$A:$A,'Dec 31 2018 OFFS'!$AI173,'T1 2019 Pipeline Data Lagasco'!$Q:$Q,'Dec 31 2018 OFFS'!$AK173,'T1 2019 Pipeline Data Lagasco'!$E:$E,'Dec 31 2018 OFFS'!$U173,'T1 2019 Pipeline Data Lagasco'!$G:$G,'Dec 31 2018 OFFS'!$W173))/(MAX(COUNTIFS('T1 2019 Pipeline Data Lagasco'!$A:$A,'Dec 31 2018 OFFS'!$AI173,'T1 2019 Pipeline Data Lagasco'!$Q:$Q,'Dec 31 2018 OFFS'!$AK173,'T1 2019 Pipeline Data Lagasco'!$E:$E,'Dec 31 2018 OFFS'!$U173,'T1 2019 Pipeline Data Lagasco'!$G:$G,'Dec 31 2018 OFFS'!$W173),1))</f>
        <v>0</v>
      </c>
      <c r="AM173" s="274">
        <f t="shared" si="32"/>
        <v>0</v>
      </c>
    </row>
    <row r="174" spans="1:39" ht="12.7">
      <c r="A174" s="193" t="s">
        <v>909</v>
      </c>
      <c r="B174" s="40" t="s">
        <v>919</v>
      </c>
      <c r="C174" s="40" t="s">
        <v>920</v>
      </c>
      <c r="D174" s="40" t="s">
        <v>172</v>
      </c>
      <c r="E174" s="40" t="s">
        <v>1054</v>
      </c>
      <c r="F174" s="139" t="s">
        <v>1380</v>
      </c>
      <c r="G174" s="155" t="s">
        <v>191</v>
      </c>
      <c r="H174" s="42">
        <v>42</v>
      </c>
      <c r="I174" s="43">
        <v>24</v>
      </c>
      <c r="J174" s="44">
        <v>9.2141160000000006</v>
      </c>
      <c r="K174" s="45">
        <v>80</v>
      </c>
      <c r="L174" s="43">
        <v>57</v>
      </c>
      <c r="M174" s="46">
        <v>51.832213000000003</v>
      </c>
      <c r="N174" s="139" t="s">
        <v>212</v>
      </c>
      <c r="O174" s="42">
        <v>42</v>
      </c>
      <c r="P174" s="43">
        <v>24</v>
      </c>
      <c r="Q174" s="44">
        <v>28.913</v>
      </c>
      <c r="R174" s="45">
        <v>80</v>
      </c>
      <c r="S174" s="43">
        <v>55</v>
      </c>
      <c r="T174" s="46">
        <v>46.389000000000003</v>
      </c>
      <c r="U174" s="40">
        <v>3</v>
      </c>
      <c r="V174" s="281">
        <v>5794</v>
      </c>
      <c r="W174" s="48">
        <v>2003</v>
      </c>
      <c r="X174" s="40"/>
      <c r="Y174" s="52"/>
      <c r="Z174" s="139" t="s">
        <v>910</v>
      </c>
      <c r="AA174" s="49">
        <f t="shared" si="25"/>
        <v>136680.46</v>
      </c>
      <c r="AB174" s="71">
        <f t="shared" si="26"/>
        <v>0.56999999999999995</v>
      </c>
      <c r="AC174" s="49">
        <f t="shared" si="27"/>
        <v>58772.60</v>
      </c>
      <c r="AD174" s="50">
        <f t="shared" si="28"/>
        <v>0</v>
      </c>
      <c r="AE174" s="50">
        <f t="shared" si="29"/>
        <v>0</v>
      </c>
      <c r="AF174" s="50">
        <f t="shared" si="30"/>
        <v>58772.60</v>
      </c>
      <c r="AG174" s="199">
        <f t="shared" si="31"/>
        <v>58772</v>
      </c>
      <c r="AH174" s="187"/>
      <c r="AI174" s="185" t="s">
        <v>1451</v>
      </c>
      <c r="AJ174" s="185"/>
      <c r="AK174" s="277">
        <f t="shared" si="24"/>
        <v>5794</v>
      </c>
      <c r="AL174" s="25">
        <f>(SUMIFS('T1 2019 Pipeline Data Lagasco'!$O:$O,'T1 2019 Pipeline Data Lagasco'!$A:$A,'Dec 31 2018 OFFS'!$AI174,'T1 2019 Pipeline Data Lagasco'!$Q:$Q,'Dec 31 2018 OFFS'!$AK174,'T1 2019 Pipeline Data Lagasco'!$E:$E,'Dec 31 2018 OFFS'!$U174,'T1 2019 Pipeline Data Lagasco'!$G:$G,'Dec 31 2018 OFFS'!$W174))/(MAX(COUNTIFS('T1 2019 Pipeline Data Lagasco'!$A:$A,'Dec 31 2018 OFFS'!$AI174,'T1 2019 Pipeline Data Lagasco'!$Q:$Q,'Dec 31 2018 OFFS'!$AK174,'T1 2019 Pipeline Data Lagasco'!$E:$E,'Dec 31 2018 OFFS'!$U174,'T1 2019 Pipeline Data Lagasco'!$G:$G,'Dec 31 2018 OFFS'!$W174),1))</f>
        <v>58772</v>
      </c>
      <c r="AM174" s="274">
        <f t="shared" si="32"/>
        <v>0</v>
      </c>
    </row>
    <row r="175" spans="1:39" ht="12.7">
      <c r="A175" s="193" t="s">
        <v>909</v>
      </c>
      <c r="B175" s="40" t="s">
        <v>919</v>
      </c>
      <c r="C175" s="40" t="s">
        <v>920</v>
      </c>
      <c r="D175" s="40" t="s">
        <v>172</v>
      </c>
      <c r="E175" s="40" t="s">
        <v>1054</v>
      </c>
      <c r="F175" s="40" t="s">
        <v>1051</v>
      </c>
      <c r="G175" s="41" t="s">
        <v>1123</v>
      </c>
      <c r="H175" s="42" t="s">
        <v>78</v>
      </c>
      <c r="I175" s="43">
        <v>24</v>
      </c>
      <c r="J175" s="44">
        <v>39.840000000000003</v>
      </c>
      <c r="K175" s="45" t="s">
        <v>1010</v>
      </c>
      <c r="L175" s="43">
        <v>58</v>
      </c>
      <c r="M175" s="46">
        <v>15.84</v>
      </c>
      <c r="N175" s="41" t="s">
        <v>1125</v>
      </c>
      <c r="O175" s="42" t="s">
        <v>78</v>
      </c>
      <c r="P175" s="43">
        <v>24</v>
      </c>
      <c r="Q175" s="44">
        <v>50.28</v>
      </c>
      <c r="R175" s="45" t="s">
        <v>1010</v>
      </c>
      <c r="S175" s="43">
        <v>58</v>
      </c>
      <c r="T175" s="46">
        <v>4.32</v>
      </c>
      <c r="U175" s="40">
        <v>3</v>
      </c>
      <c r="V175" s="47">
        <v>1325</v>
      </c>
      <c r="W175" s="48">
        <v>2001</v>
      </c>
      <c r="X175" s="40"/>
      <c r="Y175" s="52"/>
      <c r="Z175" s="40" t="s">
        <v>910</v>
      </c>
      <c r="AA175" s="49">
        <f t="shared" si="25"/>
        <v>0</v>
      </c>
      <c r="AB175" s="71">
        <f t="shared" si="26"/>
        <v>0.59</v>
      </c>
      <c r="AC175" s="49">
        <f t="shared" si="27"/>
        <v>0</v>
      </c>
      <c r="AD175" s="50">
        <f t="shared" si="28"/>
        <v>0</v>
      </c>
      <c r="AE175" s="50">
        <f t="shared" si="29"/>
        <v>0</v>
      </c>
      <c r="AF175" s="50">
        <f t="shared" si="30"/>
        <v>0</v>
      </c>
      <c r="AG175" s="199">
        <f t="shared" si="31"/>
        <v>0</v>
      </c>
      <c r="AH175" s="187"/>
      <c r="AI175" s="185" t="s">
        <v>1451</v>
      </c>
      <c r="AJ175" s="185"/>
      <c r="AK175" s="277">
        <f t="shared" si="24"/>
        <v>1325</v>
      </c>
      <c r="AL175" s="25">
        <f>(SUMIFS('T1 2019 Pipeline Data Lagasco'!$O:$O,'T1 2019 Pipeline Data Lagasco'!$A:$A,'Dec 31 2018 OFFS'!$AI175,'T1 2019 Pipeline Data Lagasco'!$Q:$Q,'Dec 31 2018 OFFS'!$AK175,'T1 2019 Pipeline Data Lagasco'!$E:$E,'Dec 31 2018 OFFS'!$U175,'T1 2019 Pipeline Data Lagasco'!$G:$G,'Dec 31 2018 OFFS'!$W175))/(MAX(COUNTIFS('T1 2019 Pipeline Data Lagasco'!$A:$A,'Dec 31 2018 OFFS'!$AI175,'T1 2019 Pipeline Data Lagasco'!$Q:$Q,'Dec 31 2018 OFFS'!$AK175,'T1 2019 Pipeline Data Lagasco'!$E:$E,'Dec 31 2018 OFFS'!$U175,'T1 2019 Pipeline Data Lagasco'!$G:$G,'Dec 31 2018 OFFS'!$W175),1))</f>
        <v>0</v>
      </c>
      <c r="AM175" s="274">
        <f t="shared" si="32"/>
        <v>0</v>
      </c>
    </row>
    <row r="176" spans="1:39" ht="12.7">
      <c r="A176" s="193" t="s">
        <v>909</v>
      </c>
      <c r="B176" s="40" t="s">
        <v>919</v>
      </c>
      <c r="C176" s="40" t="s">
        <v>920</v>
      </c>
      <c r="D176" s="40" t="s">
        <v>172</v>
      </c>
      <c r="E176" s="40" t="s">
        <v>1054</v>
      </c>
      <c r="F176" s="40" t="s">
        <v>1051</v>
      </c>
      <c r="G176" s="41" t="s">
        <v>1159</v>
      </c>
      <c r="H176" s="42">
        <v>42</v>
      </c>
      <c r="I176" s="43">
        <v>23</v>
      </c>
      <c r="J176" s="44">
        <v>50.70</v>
      </c>
      <c r="K176" s="45">
        <v>80</v>
      </c>
      <c r="L176" s="43">
        <v>57</v>
      </c>
      <c r="M176" s="46">
        <v>13.86</v>
      </c>
      <c r="N176" s="41" t="s">
        <v>1160</v>
      </c>
      <c r="O176" s="42">
        <v>42</v>
      </c>
      <c r="P176" s="43">
        <v>23</v>
      </c>
      <c r="Q176" s="44">
        <v>42.50</v>
      </c>
      <c r="R176" s="45">
        <v>80</v>
      </c>
      <c r="S176" s="43">
        <v>56</v>
      </c>
      <c r="T176" s="46">
        <v>32.200000000000003</v>
      </c>
      <c r="U176" s="40">
        <v>3</v>
      </c>
      <c r="V176" s="47">
        <v>3228</v>
      </c>
      <c r="W176" s="48">
        <v>2002</v>
      </c>
      <c r="X176" s="40"/>
      <c r="Y176" s="52"/>
      <c r="Z176" s="40" t="s">
        <v>910</v>
      </c>
      <c r="AA176" s="49">
        <f t="shared" si="25"/>
        <v>0</v>
      </c>
      <c r="AB176" s="71">
        <f t="shared" si="26"/>
        <v>0.56999999999999995</v>
      </c>
      <c r="AC176" s="49">
        <f t="shared" si="27"/>
        <v>0</v>
      </c>
      <c r="AD176" s="50">
        <f t="shared" si="28"/>
        <v>0</v>
      </c>
      <c r="AE176" s="50">
        <f t="shared" si="29"/>
        <v>0</v>
      </c>
      <c r="AF176" s="50">
        <f t="shared" si="30"/>
        <v>0</v>
      </c>
      <c r="AG176" s="199">
        <f t="shared" si="31"/>
        <v>0</v>
      </c>
      <c r="AH176" s="187"/>
      <c r="AI176" s="185" t="s">
        <v>1451</v>
      </c>
      <c r="AJ176" s="185"/>
      <c r="AK176" s="277">
        <f t="shared" si="24"/>
        <v>3228</v>
      </c>
      <c r="AL176" s="25">
        <f>(SUMIFS('T1 2019 Pipeline Data Lagasco'!$O:$O,'T1 2019 Pipeline Data Lagasco'!$A:$A,'Dec 31 2018 OFFS'!$AI176,'T1 2019 Pipeline Data Lagasco'!$Q:$Q,'Dec 31 2018 OFFS'!$AK176,'T1 2019 Pipeline Data Lagasco'!$E:$E,'Dec 31 2018 OFFS'!$U176,'T1 2019 Pipeline Data Lagasco'!$G:$G,'Dec 31 2018 OFFS'!$W176))/(MAX(COUNTIFS('T1 2019 Pipeline Data Lagasco'!$A:$A,'Dec 31 2018 OFFS'!$AI176,'T1 2019 Pipeline Data Lagasco'!$Q:$Q,'Dec 31 2018 OFFS'!$AK176,'T1 2019 Pipeline Data Lagasco'!$E:$E,'Dec 31 2018 OFFS'!$U176,'T1 2019 Pipeline Data Lagasco'!$G:$G,'Dec 31 2018 OFFS'!$W176),1))</f>
        <v>0</v>
      </c>
      <c r="AM176" s="274">
        <f t="shared" si="32"/>
        <v>0</v>
      </c>
    </row>
    <row r="177" spans="1:39" ht="12.7">
      <c r="A177" s="193" t="s">
        <v>909</v>
      </c>
      <c r="B177" s="40" t="s">
        <v>919</v>
      </c>
      <c r="C177" s="40" t="s">
        <v>920</v>
      </c>
      <c r="D177" s="40" t="s">
        <v>172</v>
      </c>
      <c r="E177" s="40" t="s">
        <v>1054</v>
      </c>
      <c r="F177" s="40"/>
      <c r="G177" s="41" t="s">
        <v>1158</v>
      </c>
      <c r="H177" s="42">
        <v>42</v>
      </c>
      <c r="I177" s="43">
        <v>23</v>
      </c>
      <c r="J177" s="44">
        <v>21</v>
      </c>
      <c r="K177" s="45">
        <v>80</v>
      </c>
      <c r="L177" s="43">
        <v>57</v>
      </c>
      <c r="M177" s="46">
        <v>53.20</v>
      </c>
      <c r="N177" s="41" t="s">
        <v>191</v>
      </c>
      <c r="O177" s="42">
        <v>42</v>
      </c>
      <c r="P177" s="43">
        <v>24</v>
      </c>
      <c r="Q177" s="44">
        <v>9.18</v>
      </c>
      <c r="R177" s="45">
        <v>80</v>
      </c>
      <c r="S177" s="43">
        <v>57</v>
      </c>
      <c r="T177" s="46">
        <v>51.80</v>
      </c>
      <c r="U177" s="40">
        <v>3</v>
      </c>
      <c r="V177" s="47">
        <v>4867</v>
      </c>
      <c r="W177" s="48">
        <v>2002</v>
      </c>
      <c r="X177" s="40"/>
      <c r="Y177" s="52"/>
      <c r="Z177" s="40" t="s">
        <v>910</v>
      </c>
      <c r="AA177" s="49">
        <f t="shared" si="25"/>
        <v>114812.53</v>
      </c>
      <c r="AB177" s="71">
        <f t="shared" si="26"/>
        <v>0.56999999999999995</v>
      </c>
      <c r="AC177" s="49">
        <f t="shared" si="27"/>
        <v>49369.39</v>
      </c>
      <c r="AD177" s="50">
        <f t="shared" si="28"/>
        <v>0</v>
      </c>
      <c r="AE177" s="50">
        <f t="shared" si="29"/>
        <v>0</v>
      </c>
      <c r="AF177" s="50">
        <f t="shared" si="30"/>
        <v>49369.39</v>
      </c>
      <c r="AG177" s="199">
        <f t="shared" si="31"/>
        <v>49369</v>
      </c>
      <c r="AH177" s="187"/>
      <c r="AI177" s="185" t="s">
        <v>1451</v>
      </c>
      <c r="AJ177" s="185"/>
      <c r="AK177" s="277">
        <f t="shared" si="24"/>
        <v>4867</v>
      </c>
      <c r="AL177" s="25">
        <f>(SUMIFS('T1 2019 Pipeline Data Lagasco'!$O:$O,'T1 2019 Pipeline Data Lagasco'!$A:$A,'Dec 31 2018 OFFS'!$AI177,'T1 2019 Pipeline Data Lagasco'!$Q:$Q,'Dec 31 2018 OFFS'!$AK177,'T1 2019 Pipeline Data Lagasco'!$E:$E,'Dec 31 2018 OFFS'!$U177,'T1 2019 Pipeline Data Lagasco'!$G:$G,'Dec 31 2018 OFFS'!$W177))/(MAX(COUNTIFS('T1 2019 Pipeline Data Lagasco'!$A:$A,'Dec 31 2018 OFFS'!$AI177,'T1 2019 Pipeline Data Lagasco'!$Q:$Q,'Dec 31 2018 OFFS'!$AK177,'T1 2019 Pipeline Data Lagasco'!$E:$E,'Dec 31 2018 OFFS'!$U177,'T1 2019 Pipeline Data Lagasco'!$G:$G,'Dec 31 2018 OFFS'!$W177),1))</f>
        <v>49369</v>
      </c>
      <c r="AM177" s="274">
        <f t="shared" si="32"/>
        <v>0</v>
      </c>
    </row>
    <row r="178" spans="1:39" ht="12.7">
      <c r="A178" s="193" t="s">
        <v>909</v>
      </c>
      <c r="B178" s="40" t="s">
        <v>919</v>
      </c>
      <c r="C178" s="40" t="s">
        <v>920</v>
      </c>
      <c r="D178" s="40" t="s">
        <v>172</v>
      </c>
      <c r="E178" s="40" t="s">
        <v>1054</v>
      </c>
      <c r="F178" s="40" t="s">
        <v>1051</v>
      </c>
      <c r="G178" s="41" t="s">
        <v>193</v>
      </c>
      <c r="H178" s="42">
        <v>42</v>
      </c>
      <c r="I178" s="43">
        <v>23</v>
      </c>
      <c r="J178" s="44">
        <v>5.58</v>
      </c>
      <c r="K178" s="45">
        <v>80</v>
      </c>
      <c r="L178" s="43">
        <v>56</v>
      </c>
      <c r="M178" s="46">
        <v>46.98</v>
      </c>
      <c r="N178" s="40" t="s">
        <v>181</v>
      </c>
      <c r="O178" s="42">
        <v>42</v>
      </c>
      <c r="P178" s="43">
        <v>22</v>
      </c>
      <c r="Q178" s="44">
        <v>34.204082999999997</v>
      </c>
      <c r="R178" s="45">
        <v>80</v>
      </c>
      <c r="S178" s="43">
        <v>55</v>
      </c>
      <c r="T178" s="44">
        <v>43.658104000000002</v>
      </c>
      <c r="U178" s="40">
        <v>2</v>
      </c>
      <c r="V178" s="47">
        <v>5715.9775247540001</v>
      </c>
      <c r="W178" s="48">
        <v>1978</v>
      </c>
      <c r="X178" s="40"/>
      <c r="Y178" s="52"/>
      <c r="Z178" s="40" t="s">
        <v>910</v>
      </c>
      <c r="AA178" s="49">
        <f t="shared" si="25"/>
        <v>0</v>
      </c>
      <c r="AB178" s="71">
        <f t="shared" si="26"/>
        <v>0.80</v>
      </c>
      <c r="AC178" s="49">
        <f t="shared" si="27"/>
        <v>0</v>
      </c>
      <c r="AD178" s="50">
        <f t="shared" si="28"/>
        <v>0</v>
      </c>
      <c r="AE178" s="50">
        <f t="shared" si="29"/>
        <v>0</v>
      </c>
      <c r="AF178" s="50">
        <f t="shared" si="30"/>
        <v>0</v>
      </c>
      <c r="AG178" s="199">
        <f t="shared" si="31"/>
        <v>0</v>
      </c>
      <c r="AH178" s="187"/>
      <c r="AI178" s="185" t="s">
        <v>1451</v>
      </c>
      <c r="AJ178" s="185"/>
      <c r="AK178" s="277">
        <f t="shared" si="24"/>
        <v>5715.98</v>
      </c>
      <c r="AL178" s="25">
        <f>(SUMIFS('T1 2019 Pipeline Data Lagasco'!$O:$O,'T1 2019 Pipeline Data Lagasco'!$A:$A,'Dec 31 2018 OFFS'!$AI178,'T1 2019 Pipeline Data Lagasco'!$Q:$Q,'Dec 31 2018 OFFS'!$AK178,'T1 2019 Pipeline Data Lagasco'!$E:$E,'Dec 31 2018 OFFS'!$U178,'T1 2019 Pipeline Data Lagasco'!$G:$G,'Dec 31 2018 OFFS'!$W178))/(MAX(COUNTIFS('T1 2019 Pipeline Data Lagasco'!$A:$A,'Dec 31 2018 OFFS'!$AI178,'T1 2019 Pipeline Data Lagasco'!$Q:$Q,'Dec 31 2018 OFFS'!$AK178,'T1 2019 Pipeline Data Lagasco'!$E:$E,'Dec 31 2018 OFFS'!$U178,'T1 2019 Pipeline Data Lagasco'!$G:$G,'Dec 31 2018 OFFS'!$W178),1))</f>
        <v>0</v>
      </c>
      <c r="AM178" s="274">
        <f t="shared" si="32"/>
        <v>0</v>
      </c>
    </row>
    <row r="179" spans="1:39" ht="12.7">
      <c r="A179" s="193" t="s">
        <v>909</v>
      </c>
      <c r="B179" s="40" t="s">
        <v>919</v>
      </c>
      <c r="C179" s="40" t="s">
        <v>920</v>
      </c>
      <c r="D179" s="40" t="s">
        <v>172</v>
      </c>
      <c r="E179" s="40" t="s">
        <v>1054</v>
      </c>
      <c r="F179" s="40" t="s">
        <v>1051</v>
      </c>
      <c r="G179" s="41" t="s">
        <v>193</v>
      </c>
      <c r="H179" s="42">
        <v>42</v>
      </c>
      <c r="I179" s="43">
        <v>23</v>
      </c>
      <c r="J179" s="44">
        <v>5.58</v>
      </c>
      <c r="K179" s="45">
        <v>80</v>
      </c>
      <c r="L179" s="43">
        <v>56</v>
      </c>
      <c r="M179" s="46">
        <v>46.98</v>
      </c>
      <c r="N179" s="40" t="s">
        <v>1150</v>
      </c>
      <c r="O179" s="42">
        <v>42</v>
      </c>
      <c r="P179" s="43">
        <v>23</v>
      </c>
      <c r="Q179" s="44">
        <v>42.484000000000002</v>
      </c>
      <c r="R179" s="45">
        <v>80</v>
      </c>
      <c r="S179" s="43">
        <v>56</v>
      </c>
      <c r="T179" s="46">
        <v>32.249000000000002</v>
      </c>
      <c r="U179" s="40">
        <v>3</v>
      </c>
      <c r="V179" s="47">
        <v>3926</v>
      </c>
      <c r="W179" s="48">
        <v>2009</v>
      </c>
      <c r="X179" s="40"/>
      <c r="Y179" s="52"/>
      <c r="Z179" s="40" t="s">
        <v>910</v>
      </c>
      <c r="AA179" s="49">
        <f t="shared" si="25"/>
        <v>0</v>
      </c>
      <c r="AB179" s="71">
        <f t="shared" si="26"/>
        <v>0.44</v>
      </c>
      <c r="AC179" s="49">
        <f t="shared" si="27"/>
        <v>0</v>
      </c>
      <c r="AD179" s="50">
        <f t="shared" si="28"/>
        <v>0</v>
      </c>
      <c r="AE179" s="50">
        <f t="shared" si="29"/>
        <v>0</v>
      </c>
      <c r="AF179" s="50">
        <f t="shared" si="30"/>
        <v>0</v>
      </c>
      <c r="AG179" s="199">
        <f t="shared" si="31"/>
        <v>0</v>
      </c>
      <c r="AH179" s="187"/>
      <c r="AI179" s="185" t="s">
        <v>1451</v>
      </c>
      <c r="AJ179" s="185"/>
      <c r="AK179" s="277">
        <f t="shared" si="24"/>
        <v>3926</v>
      </c>
      <c r="AL179" s="25">
        <f>(SUMIFS('T1 2019 Pipeline Data Lagasco'!$O:$O,'T1 2019 Pipeline Data Lagasco'!$A:$A,'Dec 31 2018 OFFS'!$AI179,'T1 2019 Pipeline Data Lagasco'!$Q:$Q,'Dec 31 2018 OFFS'!$AK179,'T1 2019 Pipeline Data Lagasco'!$E:$E,'Dec 31 2018 OFFS'!$U179,'T1 2019 Pipeline Data Lagasco'!$G:$G,'Dec 31 2018 OFFS'!$W179))/(MAX(COUNTIFS('T1 2019 Pipeline Data Lagasco'!$A:$A,'Dec 31 2018 OFFS'!$AI179,'T1 2019 Pipeline Data Lagasco'!$Q:$Q,'Dec 31 2018 OFFS'!$AK179,'T1 2019 Pipeline Data Lagasco'!$E:$E,'Dec 31 2018 OFFS'!$U179,'T1 2019 Pipeline Data Lagasco'!$G:$G,'Dec 31 2018 OFFS'!$W179),1))</f>
        <v>0</v>
      </c>
      <c r="AM179" s="274">
        <f t="shared" si="32"/>
        <v>0</v>
      </c>
    </row>
    <row r="180" spans="1:39" ht="12.7">
      <c r="A180" s="193" t="s">
        <v>909</v>
      </c>
      <c r="B180" s="40" t="s">
        <v>919</v>
      </c>
      <c r="C180" s="40" t="s">
        <v>920</v>
      </c>
      <c r="D180" s="40" t="s">
        <v>172</v>
      </c>
      <c r="E180" s="40" t="s">
        <v>1054</v>
      </c>
      <c r="F180" s="40"/>
      <c r="G180" s="41" t="s">
        <v>193</v>
      </c>
      <c r="H180" s="42">
        <v>42</v>
      </c>
      <c r="I180" s="43">
        <v>23</v>
      </c>
      <c r="J180" s="44">
        <f>60*0.097</f>
        <v>5.82</v>
      </c>
      <c r="K180" s="45">
        <v>80</v>
      </c>
      <c r="L180" s="43">
        <v>56</v>
      </c>
      <c r="M180" s="46">
        <f>60*0.796</f>
        <v>47.760000000000005</v>
      </c>
      <c r="N180" s="40" t="s">
        <v>1158</v>
      </c>
      <c r="O180" s="42">
        <v>42</v>
      </c>
      <c r="P180" s="43">
        <v>23</v>
      </c>
      <c r="Q180" s="44">
        <f>60*0.351</f>
        <v>21.06</v>
      </c>
      <c r="R180" s="45">
        <v>80</v>
      </c>
      <c r="S180" s="43">
        <v>57</v>
      </c>
      <c r="T180" s="46">
        <f>60*0.886</f>
        <v>53.16</v>
      </c>
      <c r="U180" s="40">
        <v>3</v>
      </c>
      <c r="V180" s="47">
        <v>5192</v>
      </c>
      <c r="W180" s="48">
        <v>2009</v>
      </c>
      <c r="X180" s="40"/>
      <c r="Y180" s="52"/>
      <c r="Z180" s="40" t="s">
        <v>910</v>
      </c>
      <c r="AA180" s="49">
        <f t="shared" si="25"/>
        <v>122479.28</v>
      </c>
      <c r="AB180" s="71">
        <f t="shared" si="26"/>
        <v>0.44</v>
      </c>
      <c r="AC180" s="49">
        <f t="shared" si="27"/>
        <v>68588.399999999994</v>
      </c>
      <c r="AD180" s="50">
        <f t="shared" si="28"/>
        <v>0</v>
      </c>
      <c r="AE180" s="50">
        <f t="shared" si="29"/>
        <v>0</v>
      </c>
      <c r="AF180" s="50">
        <f t="shared" si="30"/>
        <v>68588.399999999994</v>
      </c>
      <c r="AG180" s="199">
        <f t="shared" si="31"/>
        <v>68588</v>
      </c>
      <c r="AH180" s="187"/>
      <c r="AI180" s="185" t="s">
        <v>1451</v>
      </c>
      <c r="AJ180" s="185"/>
      <c r="AK180" s="277">
        <f t="shared" si="24"/>
        <v>5192</v>
      </c>
      <c r="AL180" s="25">
        <f>(SUMIFS('T1 2019 Pipeline Data Lagasco'!$O:$O,'T1 2019 Pipeline Data Lagasco'!$A:$A,'Dec 31 2018 OFFS'!$AI180,'T1 2019 Pipeline Data Lagasco'!$Q:$Q,'Dec 31 2018 OFFS'!$AK180,'T1 2019 Pipeline Data Lagasco'!$E:$E,'Dec 31 2018 OFFS'!$U180,'T1 2019 Pipeline Data Lagasco'!$G:$G,'Dec 31 2018 OFFS'!$W180))/(MAX(COUNTIFS('T1 2019 Pipeline Data Lagasco'!$A:$A,'Dec 31 2018 OFFS'!$AI180,'T1 2019 Pipeline Data Lagasco'!$Q:$Q,'Dec 31 2018 OFFS'!$AK180,'T1 2019 Pipeline Data Lagasco'!$E:$E,'Dec 31 2018 OFFS'!$U180,'T1 2019 Pipeline Data Lagasco'!$G:$G,'Dec 31 2018 OFFS'!$W180),1))</f>
        <v>68588</v>
      </c>
      <c r="AM180" s="274">
        <f t="shared" si="32"/>
        <v>0</v>
      </c>
    </row>
    <row r="181" spans="1:39" ht="12.7">
      <c r="A181" s="193" t="s">
        <v>909</v>
      </c>
      <c r="B181" s="40" t="s">
        <v>919</v>
      </c>
      <c r="C181" s="40" t="s">
        <v>920</v>
      </c>
      <c r="D181" s="40" t="s">
        <v>172</v>
      </c>
      <c r="E181" s="40" t="s">
        <v>1054</v>
      </c>
      <c r="F181" s="139" t="s">
        <v>1051</v>
      </c>
      <c r="G181" s="41" t="s">
        <v>203</v>
      </c>
      <c r="H181" s="42">
        <v>42</v>
      </c>
      <c r="I181" s="43">
        <v>23</v>
      </c>
      <c r="J181" s="44">
        <v>22.257999999999999</v>
      </c>
      <c r="K181" s="45">
        <v>80</v>
      </c>
      <c r="L181" s="43">
        <v>56</v>
      </c>
      <c r="M181" s="46">
        <v>5.9489999999999998</v>
      </c>
      <c r="N181" s="41" t="s">
        <v>1150</v>
      </c>
      <c r="O181" s="42">
        <v>42</v>
      </c>
      <c r="P181" s="43">
        <v>23</v>
      </c>
      <c r="Q181" s="44">
        <v>42.484000000000002</v>
      </c>
      <c r="R181" s="45">
        <v>80</v>
      </c>
      <c r="S181" s="43">
        <v>56</v>
      </c>
      <c r="T181" s="46">
        <v>32.249000000000002</v>
      </c>
      <c r="U181" s="40">
        <v>3</v>
      </c>
      <c r="V181" s="47">
        <v>2843</v>
      </c>
      <c r="W181" s="48">
        <v>2004</v>
      </c>
      <c r="X181" s="40"/>
      <c r="Y181" s="52"/>
      <c r="Z181" s="40" t="s">
        <v>910</v>
      </c>
      <c r="AA181" s="49">
        <f t="shared" si="25"/>
        <v>0</v>
      </c>
      <c r="AB181" s="71">
        <f t="shared" si="26"/>
        <v>0.56000000000000005</v>
      </c>
      <c r="AC181" s="49">
        <f t="shared" si="27"/>
        <v>0</v>
      </c>
      <c r="AD181" s="50">
        <f t="shared" si="28"/>
        <v>0</v>
      </c>
      <c r="AE181" s="50">
        <f t="shared" si="29"/>
        <v>0</v>
      </c>
      <c r="AF181" s="50">
        <f t="shared" si="30"/>
        <v>0</v>
      </c>
      <c r="AG181" s="199">
        <f t="shared" si="31"/>
        <v>0</v>
      </c>
      <c r="AH181" s="187"/>
      <c r="AI181" s="185" t="s">
        <v>1451</v>
      </c>
      <c r="AJ181" s="185"/>
      <c r="AK181" s="277">
        <f t="shared" si="24"/>
        <v>2843</v>
      </c>
      <c r="AL181" s="25">
        <f>(SUMIFS('T1 2019 Pipeline Data Lagasco'!$O:$O,'T1 2019 Pipeline Data Lagasco'!$A:$A,'Dec 31 2018 OFFS'!$AI181,'T1 2019 Pipeline Data Lagasco'!$Q:$Q,'Dec 31 2018 OFFS'!$AK181,'T1 2019 Pipeline Data Lagasco'!$E:$E,'Dec 31 2018 OFFS'!$U181,'T1 2019 Pipeline Data Lagasco'!$G:$G,'Dec 31 2018 OFFS'!$W181))/(MAX(COUNTIFS('T1 2019 Pipeline Data Lagasco'!$A:$A,'Dec 31 2018 OFFS'!$AI181,'T1 2019 Pipeline Data Lagasco'!$Q:$Q,'Dec 31 2018 OFFS'!$AK181,'T1 2019 Pipeline Data Lagasco'!$E:$E,'Dec 31 2018 OFFS'!$U181,'T1 2019 Pipeline Data Lagasco'!$G:$G,'Dec 31 2018 OFFS'!$W181),1))</f>
        <v>0</v>
      </c>
      <c r="AM181" s="274">
        <f t="shared" si="32"/>
        <v>0</v>
      </c>
    </row>
    <row r="182" spans="1:39" ht="12.7">
      <c r="A182" s="193" t="s">
        <v>909</v>
      </c>
      <c r="B182" s="40" t="s">
        <v>919</v>
      </c>
      <c r="C182" s="40" t="s">
        <v>920</v>
      </c>
      <c r="D182" s="40" t="s">
        <v>172</v>
      </c>
      <c r="E182" s="40" t="s">
        <v>1054</v>
      </c>
      <c r="F182" s="139" t="s">
        <v>1051</v>
      </c>
      <c r="G182" s="41" t="s">
        <v>203</v>
      </c>
      <c r="H182" s="42">
        <v>42</v>
      </c>
      <c r="I182" s="43">
        <v>23</v>
      </c>
      <c r="J182" s="44">
        <v>28.678999999999998</v>
      </c>
      <c r="K182" s="45">
        <v>80</v>
      </c>
      <c r="L182" s="43">
        <v>56</v>
      </c>
      <c r="M182" s="46">
        <v>8.173</v>
      </c>
      <c r="N182" s="41" t="s">
        <v>204</v>
      </c>
      <c r="O182" s="42">
        <v>42</v>
      </c>
      <c r="P182" s="43">
        <v>23</v>
      </c>
      <c r="Q182" s="44">
        <v>27.847999999999999</v>
      </c>
      <c r="R182" s="45">
        <v>80</v>
      </c>
      <c r="S182" s="43">
        <v>55</v>
      </c>
      <c r="T182" s="46">
        <v>38.161999999999999</v>
      </c>
      <c r="U182" s="40">
        <v>4</v>
      </c>
      <c r="V182" s="47">
        <v>2248</v>
      </c>
      <c r="W182" s="48">
        <v>1985</v>
      </c>
      <c r="X182" s="40"/>
      <c r="Y182" s="52"/>
      <c r="Z182" s="40" t="s">
        <v>910</v>
      </c>
      <c r="AA182" s="49">
        <f t="shared" si="25"/>
        <v>0</v>
      </c>
      <c r="AB182" s="71">
        <f t="shared" si="26"/>
        <v>0.80</v>
      </c>
      <c r="AC182" s="49">
        <f t="shared" si="27"/>
        <v>0</v>
      </c>
      <c r="AD182" s="50">
        <f t="shared" si="28"/>
        <v>0</v>
      </c>
      <c r="AE182" s="50">
        <f t="shared" si="29"/>
        <v>0</v>
      </c>
      <c r="AF182" s="50">
        <f t="shared" si="30"/>
        <v>0</v>
      </c>
      <c r="AG182" s="199">
        <f t="shared" si="31"/>
        <v>0</v>
      </c>
      <c r="AH182" s="187"/>
      <c r="AI182" s="185" t="s">
        <v>1451</v>
      </c>
      <c r="AJ182" s="185"/>
      <c r="AK182" s="277">
        <f t="shared" si="24"/>
        <v>2248</v>
      </c>
      <c r="AL182" s="25">
        <f>(SUMIFS('T1 2019 Pipeline Data Lagasco'!$O:$O,'T1 2019 Pipeline Data Lagasco'!$A:$A,'Dec 31 2018 OFFS'!$AI182,'T1 2019 Pipeline Data Lagasco'!$Q:$Q,'Dec 31 2018 OFFS'!$AK182,'T1 2019 Pipeline Data Lagasco'!$E:$E,'Dec 31 2018 OFFS'!$U182,'T1 2019 Pipeline Data Lagasco'!$G:$G,'Dec 31 2018 OFFS'!$W182))/(MAX(COUNTIFS('T1 2019 Pipeline Data Lagasco'!$A:$A,'Dec 31 2018 OFFS'!$AI182,'T1 2019 Pipeline Data Lagasco'!$Q:$Q,'Dec 31 2018 OFFS'!$AK182,'T1 2019 Pipeline Data Lagasco'!$E:$E,'Dec 31 2018 OFFS'!$U182,'T1 2019 Pipeline Data Lagasco'!$G:$G,'Dec 31 2018 OFFS'!$W182),1))</f>
        <v>0</v>
      </c>
      <c r="AM182" s="274">
        <f t="shared" si="32"/>
        <v>0</v>
      </c>
    </row>
    <row r="183" spans="1:39" ht="12.7">
      <c r="A183" s="193" t="s">
        <v>909</v>
      </c>
      <c r="B183" s="40" t="s">
        <v>919</v>
      </c>
      <c r="C183" s="40" t="s">
        <v>920</v>
      </c>
      <c r="D183" s="40" t="s">
        <v>172</v>
      </c>
      <c r="E183" s="40" t="s">
        <v>1054</v>
      </c>
      <c r="F183" s="40" t="s">
        <v>1051</v>
      </c>
      <c r="G183" s="41" t="s">
        <v>1149</v>
      </c>
      <c r="H183" s="42" t="s">
        <v>78</v>
      </c>
      <c r="I183" s="43">
        <v>23</v>
      </c>
      <c r="J183" s="44">
        <v>17.10</v>
      </c>
      <c r="K183" s="45" t="s">
        <v>1010</v>
      </c>
      <c r="L183" s="43">
        <v>55</v>
      </c>
      <c r="M183" s="46">
        <v>22.14</v>
      </c>
      <c r="N183" s="41" t="s">
        <v>1150</v>
      </c>
      <c r="O183" s="42" t="s">
        <v>78</v>
      </c>
      <c r="P183" s="43">
        <v>23</v>
      </c>
      <c r="Q183" s="44">
        <v>42.484000000000002</v>
      </c>
      <c r="R183" s="45" t="s">
        <v>1010</v>
      </c>
      <c r="S183" s="43">
        <v>56</v>
      </c>
      <c r="T183" s="46">
        <v>32.249000000000002</v>
      </c>
      <c r="U183" s="40">
        <v>3</v>
      </c>
      <c r="V183" s="47">
        <v>5400</v>
      </c>
      <c r="W183" s="48">
        <v>2001</v>
      </c>
      <c r="X183" s="40"/>
      <c r="Y183" s="52"/>
      <c r="Z183" s="40" t="s">
        <v>910</v>
      </c>
      <c r="AA183" s="49">
        <f t="shared" si="25"/>
        <v>0</v>
      </c>
      <c r="AB183" s="71">
        <f t="shared" si="26"/>
        <v>0.59</v>
      </c>
      <c r="AC183" s="49">
        <f t="shared" si="27"/>
        <v>0</v>
      </c>
      <c r="AD183" s="50">
        <f t="shared" si="28"/>
        <v>0</v>
      </c>
      <c r="AE183" s="50">
        <f t="shared" si="29"/>
        <v>0</v>
      </c>
      <c r="AF183" s="50">
        <f t="shared" si="30"/>
        <v>0</v>
      </c>
      <c r="AG183" s="199">
        <f t="shared" si="31"/>
        <v>0</v>
      </c>
      <c r="AH183" s="187"/>
      <c r="AI183" s="185" t="s">
        <v>1451</v>
      </c>
      <c r="AJ183" s="185"/>
      <c r="AK183" s="277">
        <f t="shared" si="24"/>
        <v>5400</v>
      </c>
      <c r="AL183" s="25">
        <f>(SUMIFS('T1 2019 Pipeline Data Lagasco'!$O:$O,'T1 2019 Pipeline Data Lagasco'!$A:$A,'Dec 31 2018 OFFS'!$AI183,'T1 2019 Pipeline Data Lagasco'!$Q:$Q,'Dec 31 2018 OFFS'!$AK183,'T1 2019 Pipeline Data Lagasco'!$E:$E,'Dec 31 2018 OFFS'!$U183,'T1 2019 Pipeline Data Lagasco'!$G:$G,'Dec 31 2018 OFFS'!$W183))/(MAX(COUNTIFS('T1 2019 Pipeline Data Lagasco'!$A:$A,'Dec 31 2018 OFFS'!$AI183,'T1 2019 Pipeline Data Lagasco'!$Q:$Q,'Dec 31 2018 OFFS'!$AK183,'T1 2019 Pipeline Data Lagasco'!$E:$E,'Dec 31 2018 OFFS'!$U183,'T1 2019 Pipeline Data Lagasco'!$G:$G,'Dec 31 2018 OFFS'!$W183),1))</f>
        <v>0</v>
      </c>
      <c r="AM183" s="274">
        <f t="shared" si="32"/>
        <v>0</v>
      </c>
    </row>
    <row r="184" spans="1:39" ht="12.7">
      <c r="A184" s="193" t="s">
        <v>909</v>
      </c>
      <c r="B184" s="40" t="s">
        <v>919</v>
      </c>
      <c r="C184" s="40" t="s">
        <v>920</v>
      </c>
      <c r="D184" s="40" t="s">
        <v>172</v>
      </c>
      <c r="E184" s="40" t="s">
        <v>1054</v>
      </c>
      <c r="F184" s="40"/>
      <c r="G184" s="41" t="s">
        <v>194</v>
      </c>
      <c r="H184" s="42">
        <v>42</v>
      </c>
      <c r="I184" s="43">
        <v>22</v>
      </c>
      <c r="J184" s="44">
        <v>47.350999999999999</v>
      </c>
      <c r="K184" s="45">
        <v>80</v>
      </c>
      <c r="L184" s="43">
        <v>59</v>
      </c>
      <c r="M184" s="46">
        <v>11.655</v>
      </c>
      <c r="N184" s="40" t="s">
        <v>195</v>
      </c>
      <c r="O184" s="42">
        <v>42</v>
      </c>
      <c r="P184" s="43">
        <v>22</v>
      </c>
      <c r="Q184" s="44">
        <v>57.355</v>
      </c>
      <c r="R184" s="45">
        <v>80</v>
      </c>
      <c r="S184" s="43">
        <v>59</v>
      </c>
      <c r="T184" s="46">
        <v>30.137</v>
      </c>
      <c r="U184" s="40">
        <v>2</v>
      </c>
      <c r="V184" s="47">
        <v>1717.3884017079999</v>
      </c>
      <c r="W184" s="48">
        <v>1985</v>
      </c>
      <c r="X184" s="40"/>
      <c r="Y184" s="52"/>
      <c r="Z184" s="40" t="s">
        <v>910</v>
      </c>
      <c r="AA184" s="49">
        <f t="shared" si="25"/>
        <v>27890.387643737915</v>
      </c>
      <c r="AB184" s="71">
        <f t="shared" si="26"/>
        <v>0.80</v>
      </c>
      <c r="AC184" s="49">
        <f t="shared" si="27"/>
        <v>5578.08</v>
      </c>
      <c r="AD184" s="50">
        <f t="shared" si="28"/>
        <v>0</v>
      </c>
      <c r="AE184" s="50">
        <f t="shared" si="29"/>
        <v>0</v>
      </c>
      <c r="AF184" s="50">
        <f t="shared" si="30"/>
        <v>5578.08</v>
      </c>
      <c r="AG184" s="199">
        <f t="shared" si="31"/>
        <v>5578</v>
      </c>
      <c r="AH184" s="187"/>
      <c r="AI184" s="185" t="s">
        <v>1451</v>
      </c>
      <c r="AJ184" s="185"/>
      <c r="AK184" s="277">
        <f t="shared" si="24"/>
        <v>1717.39</v>
      </c>
      <c r="AL184" s="25">
        <f>(SUMIFS('T1 2019 Pipeline Data Lagasco'!$O:$O,'T1 2019 Pipeline Data Lagasco'!$A:$A,'Dec 31 2018 OFFS'!$AI184,'T1 2019 Pipeline Data Lagasco'!$Q:$Q,'Dec 31 2018 OFFS'!$AK184,'T1 2019 Pipeline Data Lagasco'!$E:$E,'Dec 31 2018 OFFS'!$U184,'T1 2019 Pipeline Data Lagasco'!$G:$G,'Dec 31 2018 OFFS'!$W184))/(MAX(COUNTIFS('T1 2019 Pipeline Data Lagasco'!$A:$A,'Dec 31 2018 OFFS'!$AI184,'T1 2019 Pipeline Data Lagasco'!$Q:$Q,'Dec 31 2018 OFFS'!$AK184,'T1 2019 Pipeline Data Lagasco'!$E:$E,'Dec 31 2018 OFFS'!$U184,'T1 2019 Pipeline Data Lagasco'!$G:$G,'Dec 31 2018 OFFS'!$W184),1))</f>
        <v>5578</v>
      </c>
      <c r="AM184" s="274">
        <f t="shared" si="32"/>
        <v>0</v>
      </c>
    </row>
    <row r="185" spans="1:39" ht="12.7">
      <c r="A185" s="193" t="s">
        <v>909</v>
      </c>
      <c r="B185" s="40" t="s">
        <v>919</v>
      </c>
      <c r="C185" s="40" t="s">
        <v>920</v>
      </c>
      <c r="D185" s="40" t="s">
        <v>172</v>
      </c>
      <c r="E185" s="40" t="s">
        <v>1054</v>
      </c>
      <c r="F185" s="40" t="s">
        <v>1051</v>
      </c>
      <c r="G185" s="41" t="s">
        <v>933</v>
      </c>
      <c r="H185" s="42">
        <v>42</v>
      </c>
      <c r="I185" s="43">
        <v>24</v>
      </c>
      <c r="J185" s="44">
        <f>0.26*60</f>
        <v>15.60</v>
      </c>
      <c r="K185" s="45">
        <v>81</v>
      </c>
      <c r="L185" s="43" t="s">
        <v>1099</v>
      </c>
      <c r="M185" s="46">
        <f>0.204*60</f>
        <v>12.239999999999998</v>
      </c>
      <c r="N185" s="40" t="s">
        <v>173</v>
      </c>
      <c r="O185" s="42">
        <v>42</v>
      </c>
      <c r="P185" s="43">
        <v>23</v>
      </c>
      <c r="Q185" s="44">
        <f>0.888*60</f>
        <v>53.28</v>
      </c>
      <c r="R185" s="45">
        <v>81</v>
      </c>
      <c r="S185" s="43">
        <v>0</v>
      </c>
      <c r="T185" s="46">
        <f>0.519*60</f>
        <v>31.14</v>
      </c>
      <c r="U185" s="40">
        <v>2</v>
      </c>
      <c r="V185" s="47">
        <v>2664</v>
      </c>
      <c r="W185" s="48">
        <v>1980</v>
      </c>
      <c r="X185" s="40"/>
      <c r="Y185" s="52"/>
      <c r="Z185" s="40" t="s">
        <v>910</v>
      </c>
      <c r="AA185" s="49">
        <f t="shared" si="25"/>
        <v>0</v>
      </c>
      <c r="AB185" s="71">
        <f t="shared" si="26"/>
        <v>0.80</v>
      </c>
      <c r="AC185" s="49">
        <f t="shared" si="27"/>
        <v>0</v>
      </c>
      <c r="AD185" s="50">
        <f t="shared" si="28"/>
        <v>0</v>
      </c>
      <c r="AE185" s="50">
        <f t="shared" si="29"/>
        <v>0</v>
      </c>
      <c r="AF185" s="50">
        <f t="shared" si="30"/>
        <v>0</v>
      </c>
      <c r="AG185" s="199">
        <f t="shared" si="31"/>
        <v>0</v>
      </c>
      <c r="AH185" s="187"/>
      <c r="AI185" s="185" t="s">
        <v>1451</v>
      </c>
      <c r="AJ185" s="185"/>
      <c r="AK185" s="277">
        <f t="shared" si="24"/>
        <v>2664</v>
      </c>
      <c r="AL185" s="25">
        <f>(SUMIFS('T1 2019 Pipeline Data Lagasco'!$O:$O,'T1 2019 Pipeline Data Lagasco'!$A:$A,'Dec 31 2018 OFFS'!$AI185,'T1 2019 Pipeline Data Lagasco'!$Q:$Q,'Dec 31 2018 OFFS'!$AK185,'T1 2019 Pipeline Data Lagasco'!$E:$E,'Dec 31 2018 OFFS'!$U185,'T1 2019 Pipeline Data Lagasco'!$G:$G,'Dec 31 2018 OFFS'!$W185))/(MAX(COUNTIFS('T1 2019 Pipeline Data Lagasco'!$A:$A,'Dec 31 2018 OFFS'!$AI185,'T1 2019 Pipeline Data Lagasco'!$Q:$Q,'Dec 31 2018 OFFS'!$AK185,'T1 2019 Pipeline Data Lagasco'!$E:$E,'Dec 31 2018 OFFS'!$U185,'T1 2019 Pipeline Data Lagasco'!$G:$G,'Dec 31 2018 OFFS'!$W185),1))</f>
        <v>0</v>
      </c>
      <c r="AM185" s="274">
        <f t="shared" si="32"/>
        <v>0</v>
      </c>
    </row>
    <row r="186" spans="1:39" ht="12.7">
      <c r="A186" s="193" t="s">
        <v>909</v>
      </c>
      <c r="B186" s="40" t="s">
        <v>919</v>
      </c>
      <c r="C186" s="40" t="s">
        <v>920</v>
      </c>
      <c r="D186" s="40" t="s">
        <v>172</v>
      </c>
      <c r="E186" s="40" t="s">
        <v>1054</v>
      </c>
      <c r="F186" s="40" t="s">
        <v>1051</v>
      </c>
      <c r="G186" s="41" t="s">
        <v>214</v>
      </c>
      <c r="H186" s="42">
        <v>42</v>
      </c>
      <c r="I186" s="43">
        <v>24</v>
      </c>
      <c r="J186" s="44">
        <f>0.362*60</f>
        <v>21.72</v>
      </c>
      <c r="K186" s="45">
        <v>81</v>
      </c>
      <c r="L186" s="43">
        <v>1</v>
      </c>
      <c r="M186" s="46">
        <f>0.626*60</f>
        <v>37.56</v>
      </c>
      <c r="N186" s="40" t="s">
        <v>215</v>
      </c>
      <c r="O186" s="42">
        <v>42</v>
      </c>
      <c r="P186" s="43">
        <v>24</v>
      </c>
      <c r="Q186" s="44">
        <v>22.52</v>
      </c>
      <c r="R186" s="45">
        <v>81</v>
      </c>
      <c r="S186" s="43">
        <v>2</v>
      </c>
      <c r="T186" s="46">
        <v>13.58</v>
      </c>
      <c r="U186" s="40">
        <v>4</v>
      </c>
      <c r="V186" s="47">
        <v>2703.44</v>
      </c>
      <c r="W186" s="48">
        <v>1980</v>
      </c>
      <c r="X186" s="40"/>
      <c r="Y186" s="52"/>
      <c r="Z186" s="40" t="s">
        <v>910</v>
      </c>
      <c r="AA186" s="49">
        <f t="shared" si="25"/>
        <v>0</v>
      </c>
      <c r="AB186" s="71">
        <f t="shared" si="26"/>
        <v>0.80</v>
      </c>
      <c r="AC186" s="49">
        <f t="shared" si="27"/>
        <v>0</v>
      </c>
      <c r="AD186" s="50">
        <f t="shared" si="28"/>
        <v>0</v>
      </c>
      <c r="AE186" s="50">
        <f t="shared" si="29"/>
        <v>0</v>
      </c>
      <c r="AF186" s="50">
        <f t="shared" si="30"/>
        <v>0</v>
      </c>
      <c r="AG186" s="199">
        <f t="shared" si="31"/>
        <v>0</v>
      </c>
      <c r="AH186" s="187"/>
      <c r="AI186" s="185" t="s">
        <v>1451</v>
      </c>
      <c r="AJ186" s="185"/>
      <c r="AK186" s="277">
        <f t="shared" si="24"/>
        <v>2703.44</v>
      </c>
      <c r="AL186" s="25">
        <f>(SUMIFS('T1 2019 Pipeline Data Lagasco'!$O:$O,'T1 2019 Pipeline Data Lagasco'!$A:$A,'Dec 31 2018 OFFS'!$AI186,'T1 2019 Pipeline Data Lagasco'!$Q:$Q,'Dec 31 2018 OFFS'!$AK186,'T1 2019 Pipeline Data Lagasco'!$E:$E,'Dec 31 2018 OFFS'!$U186,'T1 2019 Pipeline Data Lagasco'!$G:$G,'Dec 31 2018 OFFS'!$W186))/(MAX(COUNTIFS('T1 2019 Pipeline Data Lagasco'!$A:$A,'Dec 31 2018 OFFS'!$AI186,'T1 2019 Pipeline Data Lagasco'!$Q:$Q,'Dec 31 2018 OFFS'!$AK186,'T1 2019 Pipeline Data Lagasco'!$E:$E,'Dec 31 2018 OFFS'!$U186,'T1 2019 Pipeline Data Lagasco'!$G:$G,'Dec 31 2018 OFFS'!$W186),1))</f>
        <v>0</v>
      </c>
      <c r="AM186" s="274">
        <f t="shared" si="32"/>
        <v>0</v>
      </c>
    </row>
    <row r="187" spans="1:39" ht="12.7">
      <c r="A187" s="193" t="s">
        <v>909</v>
      </c>
      <c r="B187" s="40" t="s">
        <v>919</v>
      </c>
      <c r="C187" s="40" t="s">
        <v>920</v>
      </c>
      <c r="D187" s="40" t="s">
        <v>172</v>
      </c>
      <c r="E187" s="40" t="s">
        <v>1054</v>
      </c>
      <c r="F187" s="139" t="s">
        <v>1051</v>
      </c>
      <c r="G187" s="41" t="s">
        <v>1321</v>
      </c>
      <c r="H187" s="42" t="s">
        <v>78</v>
      </c>
      <c r="I187" s="43">
        <v>24</v>
      </c>
      <c r="J187" s="44">
        <v>10.476000000000001</v>
      </c>
      <c r="K187" s="45" t="s">
        <v>969</v>
      </c>
      <c r="L187" s="43">
        <v>0</v>
      </c>
      <c r="M187" s="46">
        <v>34.706000000000003</v>
      </c>
      <c r="N187" s="40" t="s">
        <v>173</v>
      </c>
      <c r="O187" s="42" t="s">
        <v>78</v>
      </c>
      <c r="P187" s="43">
        <v>23</v>
      </c>
      <c r="Q187" s="44">
        <v>53.317999999999998</v>
      </c>
      <c r="R187" s="45" t="s">
        <v>969</v>
      </c>
      <c r="S187" s="43">
        <v>0</v>
      </c>
      <c r="T187" s="46">
        <v>31.16</v>
      </c>
      <c r="U187" s="40">
        <v>4</v>
      </c>
      <c r="V187" s="47">
        <v>1755</v>
      </c>
      <c r="W187" s="48">
        <v>2001</v>
      </c>
      <c r="X187" s="40"/>
      <c r="Y187" s="52"/>
      <c r="Z187" s="40" t="s">
        <v>910</v>
      </c>
      <c r="AA187" s="49">
        <f t="shared" si="25"/>
        <v>0</v>
      </c>
      <c r="AB187" s="71">
        <f t="shared" si="26"/>
        <v>0.59</v>
      </c>
      <c r="AC187" s="49">
        <f t="shared" si="27"/>
        <v>0</v>
      </c>
      <c r="AD187" s="50">
        <f t="shared" si="28"/>
        <v>0</v>
      </c>
      <c r="AE187" s="50">
        <f t="shared" si="29"/>
        <v>0</v>
      </c>
      <c r="AF187" s="50">
        <f t="shared" si="30"/>
        <v>0</v>
      </c>
      <c r="AG187" s="199">
        <f t="shared" si="31"/>
        <v>0</v>
      </c>
      <c r="AH187" s="187"/>
      <c r="AI187" s="185" t="s">
        <v>1451</v>
      </c>
      <c r="AJ187" s="185"/>
      <c r="AK187" s="277">
        <f t="shared" si="24"/>
        <v>1755</v>
      </c>
      <c r="AL187" s="25">
        <f>(SUMIFS('T1 2019 Pipeline Data Lagasco'!$O:$O,'T1 2019 Pipeline Data Lagasco'!$A:$A,'Dec 31 2018 OFFS'!$AI187,'T1 2019 Pipeline Data Lagasco'!$Q:$Q,'Dec 31 2018 OFFS'!$AK187,'T1 2019 Pipeline Data Lagasco'!$E:$E,'Dec 31 2018 OFFS'!$U187,'T1 2019 Pipeline Data Lagasco'!$G:$G,'Dec 31 2018 OFFS'!$W187))/(MAX(COUNTIFS('T1 2019 Pipeline Data Lagasco'!$A:$A,'Dec 31 2018 OFFS'!$AI187,'T1 2019 Pipeline Data Lagasco'!$Q:$Q,'Dec 31 2018 OFFS'!$AK187,'T1 2019 Pipeline Data Lagasco'!$E:$E,'Dec 31 2018 OFFS'!$U187,'T1 2019 Pipeline Data Lagasco'!$G:$G,'Dec 31 2018 OFFS'!$W187),1))</f>
        <v>0</v>
      </c>
      <c r="AM187" s="274">
        <f t="shared" si="32"/>
        <v>0</v>
      </c>
    </row>
    <row r="188" spans="1:39" ht="12.7">
      <c r="A188" s="193" t="s">
        <v>909</v>
      </c>
      <c r="B188" s="40" t="s">
        <v>919</v>
      </c>
      <c r="C188" s="40" t="s">
        <v>920</v>
      </c>
      <c r="D188" s="40" t="s">
        <v>172</v>
      </c>
      <c r="E188" s="40" t="s">
        <v>1054</v>
      </c>
      <c r="F188" s="139" t="s">
        <v>1051</v>
      </c>
      <c r="G188" s="41" t="s">
        <v>173</v>
      </c>
      <c r="H188" s="42" t="s">
        <v>78</v>
      </c>
      <c r="I188" s="43" t="s">
        <v>1097</v>
      </c>
      <c r="J188" s="44" t="s">
        <v>1098</v>
      </c>
      <c r="K188" s="45" t="s">
        <v>969</v>
      </c>
      <c r="L188" s="43" t="s">
        <v>1099</v>
      </c>
      <c r="M188" s="46" t="s">
        <v>1100</v>
      </c>
      <c r="N188" s="40" t="s">
        <v>1305</v>
      </c>
      <c r="O188" s="42" t="s">
        <v>78</v>
      </c>
      <c r="P188" s="43" t="s">
        <v>983</v>
      </c>
      <c r="Q188" s="44" t="s">
        <v>1101</v>
      </c>
      <c r="R188" s="45" t="s">
        <v>1010</v>
      </c>
      <c r="S188" s="43" t="s">
        <v>1011</v>
      </c>
      <c r="T188" s="46" t="s">
        <v>1102</v>
      </c>
      <c r="U188" s="40">
        <v>4</v>
      </c>
      <c r="V188" s="47">
        <v>8280</v>
      </c>
      <c r="W188" s="48">
        <v>1994</v>
      </c>
      <c r="X188" s="40"/>
      <c r="Y188" s="52"/>
      <c r="Z188" s="40" t="s">
        <v>910</v>
      </c>
      <c r="AA188" s="49">
        <f t="shared" si="25"/>
        <v>0</v>
      </c>
      <c r="AB188" s="71">
        <f t="shared" si="26"/>
        <v>0.68</v>
      </c>
      <c r="AC188" s="49">
        <f t="shared" si="27"/>
        <v>0</v>
      </c>
      <c r="AD188" s="50">
        <f t="shared" si="28"/>
        <v>0</v>
      </c>
      <c r="AE188" s="50">
        <f t="shared" si="29"/>
        <v>0</v>
      </c>
      <c r="AF188" s="50">
        <f t="shared" si="30"/>
        <v>0</v>
      </c>
      <c r="AG188" s="199">
        <f t="shared" si="31"/>
        <v>0</v>
      </c>
      <c r="AH188" s="187"/>
      <c r="AI188" s="185" t="s">
        <v>1451</v>
      </c>
      <c r="AJ188" s="185"/>
      <c r="AK188" s="277">
        <f t="shared" si="24"/>
        <v>8280</v>
      </c>
      <c r="AL188" s="25">
        <f>(SUMIFS('T1 2019 Pipeline Data Lagasco'!$O:$O,'T1 2019 Pipeline Data Lagasco'!$A:$A,'Dec 31 2018 OFFS'!$AI188,'T1 2019 Pipeline Data Lagasco'!$Q:$Q,'Dec 31 2018 OFFS'!$AK188,'T1 2019 Pipeline Data Lagasco'!$E:$E,'Dec 31 2018 OFFS'!$U188,'T1 2019 Pipeline Data Lagasco'!$G:$G,'Dec 31 2018 OFFS'!$W188))/(MAX(COUNTIFS('T1 2019 Pipeline Data Lagasco'!$A:$A,'Dec 31 2018 OFFS'!$AI188,'T1 2019 Pipeline Data Lagasco'!$Q:$Q,'Dec 31 2018 OFFS'!$AK188,'T1 2019 Pipeline Data Lagasco'!$E:$E,'Dec 31 2018 OFFS'!$U188,'T1 2019 Pipeline Data Lagasco'!$G:$G,'Dec 31 2018 OFFS'!$W188),1))</f>
        <v>0</v>
      </c>
      <c r="AM188" s="274">
        <f t="shared" si="32"/>
        <v>0</v>
      </c>
    </row>
    <row r="189" spans="1:39" ht="12.7">
      <c r="A189" s="193" t="s">
        <v>909</v>
      </c>
      <c r="B189" s="40" t="s">
        <v>919</v>
      </c>
      <c r="C189" s="40" t="s">
        <v>920</v>
      </c>
      <c r="D189" s="40" t="s">
        <v>172</v>
      </c>
      <c r="E189" s="40" t="s">
        <v>1054</v>
      </c>
      <c r="F189" s="40"/>
      <c r="G189" s="41" t="s">
        <v>213</v>
      </c>
      <c r="H189" s="42">
        <v>42</v>
      </c>
      <c r="I189" s="43">
        <v>19</v>
      </c>
      <c r="J189" s="44">
        <f>0.565*60</f>
        <v>33.90</v>
      </c>
      <c r="K189" s="45">
        <v>81</v>
      </c>
      <c r="L189" s="43">
        <v>2</v>
      </c>
      <c r="M189" s="46">
        <f>0.045*60</f>
        <v>2.6999999999999997</v>
      </c>
      <c r="N189" s="40" t="s">
        <v>217</v>
      </c>
      <c r="O189" s="42">
        <v>42</v>
      </c>
      <c r="P189" s="43">
        <v>19</v>
      </c>
      <c r="Q189" s="44">
        <v>21.05</v>
      </c>
      <c r="R189" s="45">
        <v>81</v>
      </c>
      <c r="S189" s="43">
        <v>2</v>
      </c>
      <c r="T189" s="46">
        <v>17.56</v>
      </c>
      <c r="U189" s="40">
        <v>4</v>
      </c>
      <c r="V189" s="47">
        <v>1714.0419451120001</v>
      </c>
      <c r="W189" s="48">
        <v>1986</v>
      </c>
      <c r="X189" s="40"/>
      <c r="Y189" s="52"/>
      <c r="Z189" s="40" t="s">
        <v>910</v>
      </c>
      <c r="AA189" s="49">
        <f t="shared" si="25"/>
        <v>45336.409448212406</v>
      </c>
      <c r="AB189" s="71">
        <f t="shared" si="26"/>
        <v>0.79</v>
      </c>
      <c r="AC189" s="49">
        <f t="shared" si="27"/>
        <v>9520.65</v>
      </c>
      <c r="AD189" s="50">
        <f t="shared" si="28"/>
        <v>0</v>
      </c>
      <c r="AE189" s="50">
        <f t="shared" si="29"/>
        <v>0</v>
      </c>
      <c r="AF189" s="50">
        <f t="shared" si="30"/>
        <v>9520.65</v>
      </c>
      <c r="AG189" s="199">
        <f t="shared" si="31"/>
        <v>9520</v>
      </c>
      <c r="AH189" s="187"/>
      <c r="AI189" s="185" t="s">
        <v>1451</v>
      </c>
      <c r="AJ189" s="185"/>
      <c r="AK189" s="277">
        <f t="shared" si="24"/>
        <v>1714.04</v>
      </c>
      <c r="AL189" s="25">
        <f>(SUMIFS('T1 2019 Pipeline Data Lagasco'!$O:$O,'T1 2019 Pipeline Data Lagasco'!$A:$A,'Dec 31 2018 OFFS'!$AI189,'T1 2019 Pipeline Data Lagasco'!$Q:$Q,'Dec 31 2018 OFFS'!$AK189,'T1 2019 Pipeline Data Lagasco'!$E:$E,'Dec 31 2018 OFFS'!$U189,'T1 2019 Pipeline Data Lagasco'!$G:$G,'Dec 31 2018 OFFS'!$W189))/(MAX(COUNTIFS('T1 2019 Pipeline Data Lagasco'!$A:$A,'Dec 31 2018 OFFS'!$AI189,'T1 2019 Pipeline Data Lagasco'!$Q:$Q,'Dec 31 2018 OFFS'!$AK189,'T1 2019 Pipeline Data Lagasco'!$E:$E,'Dec 31 2018 OFFS'!$U189,'T1 2019 Pipeline Data Lagasco'!$G:$G,'Dec 31 2018 OFFS'!$W189),1))</f>
        <v>9520</v>
      </c>
      <c r="AM189" s="274">
        <f t="shared" si="32"/>
        <v>0</v>
      </c>
    </row>
    <row r="190" spans="1:39" ht="12.7">
      <c r="A190" s="193" t="s">
        <v>909</v>
      </c>
      <c r="B190" s="40" t="s">
        <v>919</v>
      </c>
      <c r="C190" s="40" t="s">
        <v>920</v>
      </c>
      <c r="D190" s="40" t="s">
        <v>172</v>
      </c>
      <c r="E190" s="40" t="s">
        <v>1054</v>
      </c>
      <c r="F190" s="40"/>
      <c r="G190" s="41" t="s">
        <v>1287</v>
      </c>
      <c r="H190" s="42">
        <v>42</v>
      </c>
      <c r="I190" s="43">
        <v>17</v>
      </c>
      <c r="J190" s="44">
        <v>18.66</v>
      </c>
      <c r="K190" s="45">
        <v>81</v>
      </c>
      <c r="L190" s="43">
        <v>0</v>
      </c>
      <c r="M190" s="46">
        <v>36.90</v>
      </c>
      <c r="N190" s="40" t="s">
        <v>197</v>
      </c>
      <c r="O190" s="42">
        <v>42</v>
      </c>
      <c r="P190" s="43">
        <v>16</v>
      </c>
      <c r="Q190" s="44">
        <v>36.36</v>
      </c>
      <c r="R190" s="45">
        <v>81</v>
      </c>
      <c r="S190" s="43">
        <v>1</v>
      </c>
      <c r="T190" s="46">
        <f>0.339*60</f>
        <v>20.34</v>
      </c>
      <c r="U190" s="40">
        <v>3</v>
      </c>
      <c r="V190" s="47">
        <v>5380</v>
      </c>
      <c r="W190" s="48">
        <v>2006</v>
      </c>
      <c r="X190" s="40"/>
      <c r="Y190" s="52"/>
      <c r="Z190" s="40" t="s">
        <v>910</v>
      </c>
      <c r="AA190" s="49">
        <f t="shared" si="25"/>
        <v>126914.20</v>
      </c>
      <c r="AB190" s="71">
        <f t="shared" si="26"/>
        <v>0.52</v>
      </c>
      <c r="AC190" s="49">
        <f t="shared" si="27"/>
        <v>60918.82</v>
      </c>
      <c r="AD190" s="50">
        <f t="shared" si="28"/>
        <v>0</v>
      </c>
      <c r="AE190" s="50">
        <f t="shared" si="29"/>
        <v>0</v>
      </c>
      <c r="AF190" s="50">
        <f t="shared" si="30"/>
        <v>60918.82</v>
      </c>
      <c r="AG190" s="199">
        <f t="shared" si="31"/>
        <v>60918</v>
      </c>
      <c r="AH190" s="187"/>
      <c r="AI190" s="185" t="s">
        <v>1451</v>
      </c>
      <c r="AJ190" s="185"/>
      <c r="AK190" s="277">
        <f t="shared" si="24"/>
        <v>5380</v>
      </c>
      <c r="AL190" s="25">
        <f>(SUMIFS('T1 2019 Pipeline Data Lagasco'!$O:$O,'T1 2019 Pipeline Data Lagasco'!$A:$A,'Dec 31 2018 OFFS'!$AI190,'T1 2019 Pipeline Data Lagasco'!$Q:$Q,'Dec 31 2018 OFFS'!$AK190,'T1 2019 Pipeline Data Lagasco'!$E:$E,'Dec 31 2018 OFFS'!$U190,'T1 2019 Pipeline Data Lagasco'!$G:$G,'Dec 31 2018 OFFS'!$W190))/(MAX(COUNTIFS('T1 2019 Pipeline Data Lagasco'!$A:$A,'Dec 31 2018 OFFS'!$AI190,'T1 2019 Pipeline Data Lagasco'!$Q:$Q,'Dec 31 2018 OFFS'!$AK190,'T1 2019 Pipeline Data Lagasco'!$E:$E,'Dec 31 2018 OFFS'!$U190,'T1 2019 Pipeline Data Lagasco'!$G:$G,'Dec 31 2018 OFFS'!$W190),1))</f>
        <v>60918</v>
      </c>
      <c r="AM190" s="274">
        <f t="shared" si="32"/>
        <v>0</v>
      </c>
    </row>
    <row r="191" spans="1:39" ht="12.7">
      <c r="A191" s="193" t="s">
        <v>909</v>
      </c>
      <c r="B191" s="40" t="s">
        <v>919</v>
      </c>
      <c r="C191" s="40" t="s">
        <v>920</v>
      </c>
      <c r="D191" s="40" t="s">
        <v>172</v>
      </c>
      <c r="E191" s="40" t="s">
        <v>1054</v>
      </c>
      <c r="F191" s="40"/>
      <c r="G191" s="41" t="s">
        <v>197</v>
      </c>
      <c r="H191" s="42">
        <v>42</v>
      </c>
      <c r="I191" s="43">
        <v>16</v>
      </c>
      <c r="J191" s="44">
        <v>36.60</v>
      </c>
      <c r="K191" s="45">
        <v>81</v>
      </c>
      <c r="L191" s="43">
        <v>1</v>
      </c>
      <c r="M191" s="46">
        <v>20.34</v>
      </c>
      <c r="N191" s="40" t="s">
        <v>216</v>
      </c>
      <c r="O191" s="42">
        <v>42</v>
      </c>
      <c r="P191" s="43">
        <v>17</v>
      </c>
      <c r="Q191" s="44">
        <v>7.88</v>
      </c>
      <c r="R191" s="45">
        <v>81</v>
      </c>
      <c r="S191" s="43">
        <v>2</v>
      </c>
      <c r="T191" s="46">
        <v>17.50</v>
      </c>
      <c r="U191" s="40">
        <v>4</v>
      </c>
      <c r="V191" s="47">
        <v>5325</v>
      </c>
      <c r="W191" s="48">
        <v>1980</v>
      </c>
      <c r="X191" s="40"/>
      <c r="Y191" s="52"/>
      <c r="Z191" s="40" t="s">
        <v>910</v>
      </c>
      <c r="AA191" s="49">
        <f t="shared" si="25"/>
        <v>140846.25</v>
      </c>
      <c r="AB191" s="71">
        <f t="shared" si="26"/>
        <v>0.80</v>
      </c>
      <c r="AC191" s="49">
        <f t="shared" si="27"/>
        <v>28169.25</v>
      </c>
      <c r="AD191" s="50">
        <f t="shared" si="28"/>
        <v>0</v>
      </c>
      <c r="AE191" s="50">
        <f t="shared" si="29"/>
        <v>0</v>
      </c>
      <c r="AF191" s="50">
        <f t="shared" si="30"/>
        <v>28169.25</v>
      </c>
      <c r="AG191" s="199">
        <f t="shared" si="31"/>
        <v>28169</v>
      </c>
      <c r="AH191" s="187"/>
      <c r="AI191" s="185" t="s">
        <v>1451</v>
      </c>
      <c r="AJ191" s="185"/>
      <c r="AK191" s="277">
        <f t="shared" si="24"/>
        <v>5325</v>
      </c>
      <c r="AL191" s="25">
        <f>(SUMIFS('T1 2019 Pipeline Data Lagasco'!$O:$O,'T1 2019 Pipeline Data Lagasco'!$A:$A,'Dec 31 2018 OFFS'!$AI191,'T1 2019 Pipeline Data Lagasco'!$Q:$Q,'Dec 31 2018 OFFS'!$AK191,'T1 2019 Pipeline Data Lagasco'!$E:$E,'Dec 31 2018 OFFS'!$U191,'T1 2019 Pipeline Data Lagasco'!$G:$G,'Dec 31 2018 OFFS'!$W191))/(MAX(COUNTIFS('T1 2019 Pipeline Data Lagasco'!$A:$A,'Dec 31 2018 OFFS'!$AI191,'T1 2019 Pipeline Data Lagasco'!$Q:$Q,'Dec 31 2018 OFFS'!$AK191,'T1 2019 Pipeline Data Lagasco'!$E:$E,'Dec 31 2018 OFFS'!$U191,'T1 2019 Pipeline Data Lagasco'!$G:$G,'Dec 31 2018 OFFS'!$W191),1))</f>
        <v>28169</v>
      </c>
      <c r="AM191" s="274">
        <f t="shared" si="32"/>
        <v>0</v>
      </c>
    </row>
    <row r="192" spans="1:39" ht="12.7">
      <c r="A192" s="193" t="s">
        <v>909</v>
      </c>
      <c r="B192" s="40" t="s">
        <v>919</v>
      </c>
      <c r="C192" s="40" t="s">
        <v>920</v>
      </c>
      <c r="D192" s="40" t="s">
        <v>172</v>
      </c>
      <c r="E192" s="40" t="s">
        <v>1054</v>
      </c>
      <c r="F192" s="40"/>
      <c r="G192" s="41" t="s">
        <v>196</v>
      </c>
      <c r="H192" s="42">
        <v>42</v>
      </c>
      <c r="I192" s="43">
        <v>15</v>
      </c>
      <c r="J192" s="44">
        <f>0.879*60</f>
        <v>52.74</v>
      </c>
      <c r="K192" s="45">
        <v>81</v>
      </c>
      <c r="L192" s="43">
        <v>1</v>
      </c>
      <c r="M192" s="46">
        <f>0.022*60</f>
        <v>1.3199999999999998</v>
      </c>
      <c r="N192" s="40" t="s">
        <v>197</v>
      </c>
      <c r="O192" s="42">
        <v>42</v>
      </c>
      <c r="P192" s="43">
        <v>16</v>
      </c>
      <c r="Q192" s="44">
        <f>0.61*60</f>
        <v>36.60</v>
      </c>
      <c r="R192" s="45">
        <v>81</v>
      </c>
      <c r="S192" s="43">
        <v>1</v>
      </c>
      <c r="T192" s="46">
        <f>0.339*60</f>
        <v>20.34</v>
      </c>
      <c r="U192" s="40">
        <v>2</v>
      </c>
      <c r="V192" s="47">
        <v>4664.36994366</v>
      </c>
      <c r="W192" s="48">
        <v>1985</v>
      </c>
      <c r="X192" s="40"/>
      <c r="Y192" s="52"/>
      <c r="Z192" s="40" t="s">
        <v>910</v>
      </c>
      <c r="AA192" s="49">
        <f t="shared" si="25"/>
        <v>75749.367885038388</v>
      </c>
      <c r="AB192" s="71">
        <f t="shared" si="26"/>
        <v>0.80</v>
      </c>
      <c r="AC192" s="49">
        <f t="shared" si="27"/>
        <v>15149.87</v>
      </c>
      <c r="AD192" s="50">
        <f t="shared" si="28"/>
        <v>0</v>
      </c>
      <c r="AE192" s="50">
        <f t="shared" si="29"/>
        <v>0</v>
      </c>
      <c r="AF192" s="50">
        <f t="shared" si="30"/>
        <v>15149.87</v>
      </c>
      <c r="AG192" s="199">
        <f t="shared" si="31"/>
        <v>15149</v>
      </c>
      <c r="AH192" s="187"/>
      <c r="AI192" s="185" t="s">
        <v>1451</v>
      </c>
      <c r="AJ192" s="185"/>
      <c r="AK192" s="277">
        <f t="shared" si="24"/>
        <v>4664.37</v>
      </c>
      <c r="AL192" s="25">
        <f>(SUMIFS('T1 2019 Pipeline Data Lagasco'!$O:$O,'T1 2019 Pipeline Data Lagasco'!$A:$A,'Dec 31 2018 OFFS'!$AI192,'T1 2019 Pipeline Data Lagasco'!$Q:$Q,'Dec 31 2018 OFFS'!$AK192,'T1 2019 Pipeline Data Lagasco'!$E:$E,'Dec 31 2018 OFFS'!$U192,'T1 2019 Pipeline Data Lagasco'!$G:$G,'Dec 31 2018 OFFS'!$W192))/(MAX(COUNTIFS('T1 2019 Pipeline Data Lagasco'!$A:$A,'Dec 31 2018 OFFS'!$AI192,'T1 2019 Pipeline Data Lagasco'!$Q:$Q,'Dec 31 2018 OFFS'!$AK192,'T1 2019 Pipeline Data Lagasco'!$E:$E,'Dec 31 2018 OFFS'!$U192,'T1 2019 Pipeline Data Lagasco'!$G:$G,'Dec 31 2018 OFFS'!$W192),1))</f>
        <v>15149</v>
      </c>
      <c r="AM192" s="274">
        <f t="shared" si="32"/>
        <v>0</v>
      </c>
    </row>
    <row r="193" spans="1:39" ht="12.7">
      <c r="A193" s="193" t="s">
        <v>909</v>
      </c>
      <c r="B193" s="40" t="s">
        <v>919</v>
      </c>
      <c r="C193" s="40" t="s">
        <v>920</v>
      </c>
      <c r="D193" s="40" t="s">
        <v>172</v>
      </c>
      <c r="E193" s="40" t="s">
        <v>1054</v>
      </c>
      <c r="F193" s="40" t="s">
        <v>1051</v>
      </c>
      <c r="G193" s="41" t="s">
        <v>1203</v>
      </c>
      <c r="H193" s="42">
        <v>42</v>
      </c>
      <c r="I193" s="43">
        <v>19</v>
      </c>
      <c r="J193" s="44">
        <v>23.16</v>
      </c>
      <c r="K193" s="45">
        <v>80</v>
      </c>
      <c r="L193" s="43">
        <v>57</v>
      </c>
      <c r="M193" s="46">
        <v>19.44</v>
      </c>
      <c r="N193" s="40" t="s">
        <v>218</v>
      </c>
      <c r="O193" s="42">
        <v>42</v>
      </c>
      <c r="P193" s="43">
        <v>18</v>
      </c>
      <c r="Q193" s="44">
        <v>54.18</v>
      </c>
      <c r="R193" s="45">
        <v>80</v>
      </c>
      <c r="S193" s="43">
        <v>55</v>
      </c>
      <c r="T193" s="46">
        <v>32.28</v>
      </c>
      <c r="U193" s="40">
        <v>3</v>
      </c>
      <c r="V193" s="47">
        <v>8546</v>
      </c>
      <c r="W193" s="48">
        <v>2004</v>
      </c>
      <c r="X193" s="40"/>
      <c r="Y193" s="52"/>
      <c r="Z193" s="40" t="s">
        <v>910</v>
      </c>
      <c r="AA193" s="49">
        <f t="shared" si="25"/>
        <v>0</v>
      </c>
      <c r="AB193" s="71">
        <f t="shared" si="26"/>
        <v>0.56000000000000005</v>
      </c>
      <c r="AC193" s="49">
        <f t="shared" si="27"/>
        <v>0</v>
      </c>
      <c r="AD193" s="50">
        <f t="shared" si="28"/>
        <v>0</v>
      </c>
      <c r="AE193" s="50">
        <f t="shared" si="29"/>
        <v>0</v>
      </c>
      <c r="AF193" s="50">
        <f t="shared" si="30"/>
        <v>0</v>
      </c>
      <c r="AG193" s="199">
        <f t="shared" si="31"/>
        <v>0</v>
      </c>
      <c r="AH193" s="187"/>
      <c r="AI193" s="185" t="s">
        <v>1451</v>
      </c>
      <c r="AJ193" s="185"/>
      <c r="AK193" s="277">
        <f t="shared" si="24"/>
        <v>8546</v>
      </c>
      <c r="AL193" s="25">
        <f>(SUMIFS('T1 2019 Pipeline Data Lagasco'!$O:$O,'T1 2019 Pipeline Data Lagasco'!$A:$A,'Dec 31 2018 OFFS'!$AI193,'T1 2019 Pipeline Data Lagasco'!$Q:$Q,'Dec 31 2018 OFFS'!$AK193,'T1 2019 Pipeline Data Lagasco'!$E:$E,'Dec 31 2018 OFFS'!$U193,'T1 2019 Pipeline Data Lagasco'!$G:$G,'Dec 31 2018 OFFS'!$W193))/(MAX(COUNTIFS('T1 2019 Pipeline Data Lagasco'!$A:$A,'Dec 31 2018 OFFS'!$AI193,'T1 2019 Pipeline Data Lagasco'!$Q:$Q,'Dec 31 2018 OFFS'!$AK193,'T1 2019 Pipeline Data Lagasco'!$E:$E,'Dec 31 2018 OFFS'!$U193,'T1 2019 Pipeline Data Lagasco'!$G:$G,'Dec 31 2018 OFFS'!$W193),1))</f>
        <v>0</v>
      </c>
      <c r="AM193" s="274">
        <f t="shared" si="32"/>
        <v>0</v>
      </c>
    </row>
    <row r="194" spans="1:39" ht="12.7">
      <c r="A194" s="193" t="s">
        <v>909</v>
      </c>
      <c r="B194" s="40" t="s">
        <v>919</v>
      </c>
      <c r="C194" s="40" t="s">
        <v>920</v>
      </c>
      <c r="D194" s="40" t="s">
        <v>172</v>
      </c>
      <c r="E194" s="40" t="s">
        <v>1054</v>
      </c>
      <c r="F194" s="40"/>
      <c r="G194" s="41" t="s">
        <v>218</v>
      </c>
      <c r="H194" s="42">
        <v>42</v>
      </c>
      <c r="I194" s="43">
        <v>18</v>
      </c>
      <c r="J194" s="44">
        <v>54.204974</v>
      </c>
      <c r="K194" s="45">
        <v>80</v>
      </c>
      <c r="L194" s="43">
        <v>55</v>
      </c>
      <c r="M194" s="46">
        <v>32.25891</v>
      </c>
      <c r="N194" s="41" t="s">
        <v>1308</v>
      </c>
      <c r="O194" s="42">
        <v>42</v>
      </c>
      <c r="P194" s="43">
        <v>18</v>
      </c>
      <c r="Q194" s="44">
        <v>54.26</v>
      </c>
      <c r="R194" s="45">
        <v>80</v>
      </c>
      <c r="S194" s="43">
        <v>55</v>
      </c>
      <c r="T194" s="46">
        <v>33.86</v>
      </c>
      <c r="U194" s="40">
        <v>2</v>
      </c>
      <c r="V194" s="47">
        <v>188</v>
      </c>
      <c r="W194" s="48">
        <v>1981</v>
      </c>
      <c r="X194" s="40"/>
      <c r="Y194" s="52"/>
      <c r="Z194" s="40" t="s">
        <v>910</v>
      </c>
      <c r="AA194" s="49">
        <f t="shared" si="25"/>
        <v>3053.12</v>
      </c>
      <c r="AB194" s="71">
        <f t="shared" si="26"/>
        <v>0.80</v>
      </c>
      <c r="AC194" s="49">
        <f t="shared" si="27"/>
        <v>610.62</v>
      </c>
      <c r="AD194" s="50">
        <f t="shared" si="28"/>
        <v>0</v>
      </c>
      <c r="AE194" s="50">
        <f t="shared" si="29"/>
        <v>0</v>
      </c>
      <c r="AF194" s="50">
        <f t="shared" si="30"/>
        <v>610.62</v>
      </c>
      <c r="AG194" s="199">
        <f t="shared" si="31"/>
        <v>610</v>
      </c>
      <c r="AH194" s="187"/>
      <c r="AI194" s="185" t="s">
        <v>1451</v>
      </c>
      <c r="AJ194" s="185"/>
      <c r="AK194" s="277">
        <f t="shared" si="24"/>
        <v>188</v>
      </c>
      <c r="AL194" s="25">
        <f>(SUMIFS('T1 2019 Pipeline Data Lagasco'!$O:$O,'T1 2019 Pipeline Data Lagasco'!$A:$A,'Dec 31 2018 OFFS'!$AI194,'T1 2019 Pipeline Data Lagasco'!$Q:$Q,'Dec 31 2018 OFFS'!$AK194,'T1 2019 Pipeline Data Lagasco'!$E:$E,'Dec 31 2018 OFFS'!$U194,'T1 2019 Pipeline Data Lagasco'!$G:$G,'Dec 31 2018 OFFS'!$W194))/(MAX(COUNTIFS('T1 2019 Pipeline Data Lagasco'!$A:$A,'Dec 31 2018 OFFS'!$AI194,'T1 2019 Pipeline Data Lagasco'!$Q:$Q,'Dec 31 2018 OFFS'!$AK194,'T1 2019 Pipeline Data Lagasco'!$E:$E,'Dec 31 2018 OFFS'!$U194,'T1 2019 Pipeline Data Lagasco'!$G:$G,'Dec 31 2018 OFFS'!$W194),1))</f>
        <v>610</v>
      </c>
      <c r="AM194" s="274">
        <f t="shared" si="32"/>
        <v>0</v>
      </c>
    </row>
    <row r="195" spans="1:39" ht="12.7">
      <c r="A195" s="193" t="s">
        <v>909</v>
      </c>
      <c r="B195" s="40" t="s">
        <v>919</v>
      </c>
      <c r="C195" s="40" t="s">
        <v>920</v>
      </c>
      <c r="D195" s="40" t="s">
        <v>172</v>
      </c>
      <c r="E195" s="40" t="s">
        <v>1054</v>
      </c>
      <c r="F195" s="40"/>
      <c r="G195" s="41" t="s">
        <v>218</v>
      </c>
      <c r="H195" s="42">
        <v>42</v>
      </c>
      <c r="I195" s="43">
        <v>18</v>
      </c>
      <c r="J195" s="44">
        <v>54.204974</v>
      </c>
      <c r="K195" s="45">
        <v>80</v>
      </c>
      <c r="L195" s="43">
        <v>55</v>
      </c>
      <c r="M195" s="46">
        <v>32.25891</v>
      </c>
      <c r="N195" s="41" t="s">
        <v>219</v>
      </c>
      <c r="O195" s="42">
        <v>42</v>
      </c>
      <c r="P195" s="43">
        <v>18</v>
      </c>
      <c r="Q195" s="44">
        <v>10.862</v>
      </c>
      <c r="R195" s="45">
        <v>80</v>
      </c>
      <c r="S195" s="43">
        <v>56</v>
      </c>
      <c r="T195" s="46">
        <v>5.5270000000000001</v>
      </c>
      <c r="U195" s="40">
        <v>4</v>
      </c>
      <c r="V195" s="47">
        <v>5049.5405361799994</v>
      </c>
      <c r="W195" s="48">
        <v>1981</v>
      </c>
      <c r="X195" s="40"/>
      <c r="Y195" s="52"/>
      <c r="Z195" s="40" t="s">
        <v>910</v>
      </c>
      <c r="AA195" s="49">
        <f t="shared" si="25"/>
        <v>133560.34718196097</v>
      </c>
      <c r="AB195" s="71">
        <f t="shared" si="26"/>
        <v>0.80</v>
      </c>
      <c r="AC195" s="49">
        <f t="shared" si="27"/>
        <v>26712.07</v>
      </c>
      <c r="AD195" s="50">
        <f t="shared" si="28"/>
        <v>0</v>
      </c>
      <c r="AE195" s="50">
        <f t="shared" si="29"/>
        <v>0</v>
      </c>
      <c r="AF195" s="50">
        <f t="shared" si="30"/>
        <v>26712.07</v>
      </c>
      <c r="AG195" s="199">
        <f t="shared" si="31"/>
        <v>26712</v>
      </c>
      <c r="AH195" s="187"/>
      <c r="AI195" s="185" t="s">
        <v>1451</v>
      </c>
      <c r="AJ195" s="185"/>
      <c r="AK195" s="277">
        <f t="shared" si="33" ref="AK195:AK258">ROUND(V195,2)</f>
        <v>5049.54</v>
      </c>
      <c r="AL195" s="25">
        <f>(SUMIFS('T1 2019 Pipeline Data Lagasco'!$O:$O,'T1 2019 Pipeline Data Lagasco'!$A:$A,'Dec 31 2018 OFFS'!$AI195,'T1 2019 Pipeline Data Lagasco'!$Q:$Q,'Dec 31 2018 OFFS'!$AK195,'T1 2019 Pipeline Data Lagasco'!$E:$E,'Dec 31 2018 OFFS'!$U195,'T1 2019 Pipeline Data Lagasco'!$G:$G,'Dec 31 2018 OFFS'!$W195))/(MAX(COUNTIFS('T1 2019 Pipeline Data Lagasco'!$A:$A,'Dec 31 2018 OFFS'!$AI195,'T1 2019 Pipeline Data Lagasco'!$Q:$Q,'Dec 31 2018 OFFS'!$AK195,'T1 2019 Pipeline Data Lagasco'!$E:$E,'Dec 31 2018 OFFS'!$U195,'T1 2019 Pipeline Data Lagasco'!$G:$G,'Dec 31 2018 OFFS'!$W195),1))</f>
        <v>26712</v>
      </c>
      <c r="AM195" s="274">
        <f t="shared" si="32"/>
        <v>0</v>
      </c>
    </row>
    <row r="196" spans="1:39" ht="12.7">
      <c r="A196" s="193" t="s">
        <v>909</v>
      </c>
      <c r="B196" s="40" t="s">
        <v>919</v>
      </c>
      <c r="C196" s="40" t="s">
        <v>920</v>
      </c>
      <c r="D196" s="40" t="s">
        <v>172</v>
      </c>
      <c r="E196" s="40" t="s">
        <v>1054</v>
      </c>
      <c r="F196" s="40"/>
      <c r="G196" s="41" t="s">
        <v>1242</v>
      </c>
      <c r="H196" s="42">
        <v>42</v>
      </c>
      <c r="I196" s="43">
        <v>17</v>
      </c>
      <c r="J196" s="44">
        <f>60*0.144</f>
        <v>8.6399999999999988</v>
      </c>
      <c r="K196" s="45">
        <v>80</v>
      </c>
      <c r="L196" s="43">
        <v>55</v>
      </c>
      <c r="M196" s="46">
        <f>60*0.79</f>
        <v>47.400000000000006</v>
      </c>
      <c r="N196" s="40" t="s">
        <v>1243</v>
      </c>
      <c r="O196" s="42">
        <v>42</v>
      </c>
      <c r="P196" s="43">
        <v>18</v>
      </c>
      <c r="Q196" s="44">
        <f>60*0.186</f>
        <v>11.16</v>
      </c>
      <c r="R196" s="45">
        <v>80</v>
      </c>
      <c r="S196" s="43">
        <v>56</v>
      </c>
      <c r="T196" s="46">
        <f>60*0.09</f>
        <v>5.40</v>
      </c>
      <c r="U196" s="40">
        <v>3</v>
      </c>
      <c r="V196" s="47">
        <v>6424</v>
      </c>
      <c r="W196" s="48">
        <v>2005</v>
      </c>
      <c r="X196" s="40"/>
      <c r="Y196" s="52"/>
      <c r="Z196" s="40" t="s">
        <v>910</v>
      </c>
      <c r="AA196" s="49">
        <f t="shared" si="34" ref="AA196:AA259">IF(F196="ABAND",0,(IF(Z196="steel",VLOOKUP(U196,steelrates,2,FALSE)*V196,VLOOKUP(U196,plasticrates,2,FALSE)*V196)))</f>
        <v>151542.16</v>
      </c>
      <c r="AB196" s="71">
        <f t="shared" si="35" ref="AB196:AB259">IF(W196=0,0,(VLOOKUP(W196,depreciation,2)))</f>
        <v>0.54</v>
      </c>
      <c r="AC196" s="49">
        <f t="shared" si="36" ref="AC196:AC259">ROUND(+AA196-(+AA196*AB196),2)</f>
        <v>69709.39</v>
      </c>
      <c r="AD196" s="50">
        <f t="shared" si="37" ref="AD196:AD259">(IF(X196="LOOP",AC196*0.25,0))</f>
        <v>0</v>
      </c>
      <c r="AE196" s="50">
        <f t="shared" si="38" ref="AE196:AE259">(IF(F196="SUSP",AC196*0.2,0))</f>
        <v>0</v>
      </c>
      <c r="AF196" s="50">
        <f t="shared" si="39" ref="AF196:AF259">+AC196-AD196-AE196</f>
        <v>69709.39</v>
      </c>
      <c r="AG196" s="199">
        <f t="shared" si="40" ref="AG196:AG259">ROUNDDOWN(AF196,0)</f>
        <v>69709</v>
      </c>
      <c r="AH196" s="187"/>
      <c r="AI196" s="185" t="s">
        <v>1451</v>
      </c>
      <c r="AJ196" s="185"/>
      <c r="AK196" s="277">
        <f t="shared" si="33"/>
        <v>6424</v>
      </c>
      <c r="AL196" s="25">
        <f>(SUMIFS('T1 2019 Pipeline Data Lagasco'!$O:$O,'T1 2019 Pipeline Data Lagasco'!$A:$A,'Dec 31 2018 OFFS'!$AI196,'T1 2019 Pipeline Data Lagasco'!$Q:$Q,'Dec 31 2018 OFFS'!$AK196,'T1 2019 Pipeline Data Lagasco'!$E:$E,'Dec 31 2018 OFFS'!$U196,'T1 2019 Pipeline Data Lagasco'!$G:$G,'Dec 31 2018 OFFS'!$W196))/(MAX(COUNTIFS('T1 2019 Pipeline Data Lagasco'!$A:$A,'Dec 31 2018 OFFS'!$AI196,'T1 2019 Pipeline Data Lagasco'!$Q:$Q,'Dec 31 2018 OFFS'!$AK196,'T1 2019 Pipeline Data Lagasco'!$E:$E,'Dec 31 2018 OFFS'!$U196,'T1 2019 Pipeline Data Lagasco'!$G:$G,'Dec 31 2018 OFFS'!$W196),1))</f>
        <v>69709</v>
      </c>
      <c r="AM196" s="274">
        <f t="shared" si="41" ref="AM196:AM259">AG196-AL196</f>
        <v>0</v>
      </c>
    </row>
    <row r="197" spans="1:39" ht="12.7">
      <c r="A197" s="193" t="s">
        <v>909</v>
      </c>
      <c r="B197" s="40" t="s">
        <v>919</v>
      </c>
      <c r="C197" s="40" t="s">
        <v>920</v>
      </c>
      <c r="D197" s="40" t="s">
        <v>172</v>
      </c>
      <c r="E197" s="40" t="s">
        <v>1054</v>
      </c>
      <c r="F197" s="40" t="s">
        <v>1051</v>
      </c>
      <c r="G197" s="41" t="s">
        <v>1154</v>
      </c>
      <c r="H197" s="42">
        <v>42</v>
      </c>
      <c r="I197" s="43">
        <v>37</v>
      </c>
      <c r="J197" s="44">
        <v>30</v>
      </c>
      <c r="K197" s="45" t="s">
        <v>969</v>
      </c>
      <c r="L197" s="43">
        <v>2</v>
      </c>
      <c r="M197" s="46">
        <v>1</v>
      </c>
      <c r="N197" s="41" t="s">
        <v>1153</v>
      </c>
      <c r="O197" s="42">
        <v>42</v>
      </c>
      <c r="P197" s="43">
        <v>38</v>
      </c>
      <c r="Q197" s="44">
        <v>21.84</v>
      </c>
      <c r="R197" s="45" t="s">
        <v>1010</v>
      </c>
      <c r="S197" s="43">
        <v>57</v>
      </c>
      <c r="T197" s="46">
        <v>27.30</v>
      </c>
      <c r="U197" s="40">
        <v>6</v>
      </c>
      <c r="V197" s="47">
        <v>21600</v>
      </c>
      <c r="W197" s="48">
        <v>1975</v>
      </c>
      <c r="X197" s="40"/>
      <c r="Y197" s="52" t="s">
        <v>1081</v>
      </c>
      <c r="Z197" s="40" t="s">
        <v>910</v>
      </c>
      <c r="AA197" s="49">
        <f t="shared" si="34"/>
        <v>0</v>
      </c>
      <c r="AB197" s="71">
        <f t="shared" si="35"/>
        <v>0.80</v>
      </c>
      <c r="AC197" s="49">
        <f t="shared" si="36"/>
        <v>0</v>
      </c>
      <c r="AD197" s="50">
        <f t="shared" si="37"/>
        <v>0</v>
      </c>
      <c r="AE197" s="50">
        <f t="shared" si="38"/>
        <v>0</v>
      </c>
      <c r="AF197" s="50">
        <f t="shared" si="39"/>
        <v>0</v>
      </c>
      <c r="AG197" s="199">
        <f t="shared" si="40"/>
        <v>0</v>
      </c>
      <c r="AH197" s="187"/>
      <c r="AI197" s="185" t="s">
        <v>1451</v>
      </c>
      <c r="AJ197" s="185"/>
      <c r="AK197" s="277">
        <f t="shared" si="33"/>
        <v>21600</v>
      </c>
      <c r="AL197" s="25">
        <f>(SUMIFS('T1 2019 Pipeline Data Lagasco'!$O:$O,'T1 2019 Pipeline Data Lagasco'!$A:$A,'Dec 31 2018 OFFS'!$AI197,'T1 2019 Pipeline Data Lagasco'!$Q:$Q,'Dec 31 2018 OFFS'!$AK197,'T1 2019 Pipeline Data Lagasco'!$E:$E,'Dec 31 2018 OFFS'!$U197,'T1 2019 Pipeline Data Lagasco'!$G:$G,'Dec 31 2018 OFFS'!$W197))/(MAX(COUNTIFS('T1 2019 Pipeline Data Lagasco'!$A:$A,'Dec 31 2018 OFFS'!$AI197,'T1 2019 Pipeline Data Lagasco'!$Q:$Q,'Dec 31 2018 OFFS'!$AK197,'T1 2019 Pipeline Data Lagasco'!$E:$E,'Dec 31 2018 OFFS'!$U197,'T1 2019 Pipeline Data Lagasco'!$G:$G,'Dec 31 2018 OFFS'!$W197),1))</f>
        <v>0</v>
      </c>
      <c r="AM197" s="274">
        <f t="shared" si="41"/>
        <v>0</v>
      </c>
    </row>
    <row r="198" spans="1:39" ht="12.7">
      <c r="A198" s="193" t="s">
        <v>909</v>
      </c>
      <c r="B198" s="40" t="s">
        <v>919</v>
      </c>
      <c r="C198" s="40" t="s">
        <v>920</v>
      </c>
      <c r="D198" s="40" t="s">
        <v>172</v>
      </c>
      <c r="E198" s="40" t="s">
        <v>1054</v>
      </c>
      <c r="F198" s="40" t="s">
        <v>1381</v>
      </c>
      <c r="G198" s="41" t="s">
        <v>1375</v>
      </c>
      <c r="H198" s="42">
        <v>42</v>
      </c>
      <c r="I198" s="43">
        <v>37</v>
      </c>
      <c r="J198" s="44">
        <v>50.58</v>
      </c>
      <c r="K198" s="45">
        <v>80</v>
      </c>
      <c r="L198" s="43">
        <v>55</v>
      </c>
      <c r="M198" s="46">
        <v>10.08</v>
      </c>
      <c r="N198" s="41" t="s">
        <v>1376</v>
      </c>
      <c r="O198" s="42">
        <v>42</v>
      </c>
      <c r="P198" s="43">
        <v>36</v>
      </c>
      <c r="Q198" s="44">
        <v>49.38</v>
      </c>
      <c r="R198" s="45">
        <v>80</v>
      </c>
      <c r="S198" s="43">
        <v>55</v>
      </c>
      <c r="T198" s="46">
        <v>25.02</v>
      </c>
      <c r="U198" s="40">
        <v>6</v>
      </c>
      <c r="V198" s="323">
        <v>6270</v>
      </c>
      <c r="W198" s="48">
        <v>2010</v>
      </c>
      <c r="X198" s="40"/>
      <c r="Y198" s="52" t="s">
        <v>1081</v>
      </c>
      <c r="Z198" s="40" t="s">
        <v>910</v>
      </c>
      <c r="AA198" s="49">
        <f t="shared" si="34"/>
        <v>217130.10</v>
      </c>
      <c r="AB198" s="71">
        <f t="shared" si="35"/>
        <v>0.39</v>
      </c>
      <c r="AC198" s="49">
        <f t="shared" si="36"/>
        <v>132449.35999999999</v>
      </c>
      <c r="AD198" s="50">
        <f t="shared" si="37"/>
        <v>0</v>
      </c>
      <c r="AE198" s="50">
        <f t="shared" si="38"/>
        <v>0</v>
      </c>
      <c r="AF198" s="50">
        <f t="shared" si="39"/>
        <v>132449.35999999999</v>
      </c>
      <c r="AG198" s="199">
        <f t="shared" si="40"/>
        <v>132449</v>
      </c>
      <c r="AH198" s="187"/>
      <c r="AI198" s="185" t="s">
        <v>1451</v>
      </c>
      <c r="AJ198" s="185"/>
      <c r="AK198" s="282">
        <f t="shared" si="33"/>
        <v>6270</v>
      </c>
      <c r="AL198" s="321">
        <f>(SUMIFS('T1 2019 Pipeline Data Lagasco'!$O:$O,'T1 2019 Pipeline Data Lagasco'!$A:$A,'Dec 31 2018 OFFS'!$AI198,'T1 2019 Pipeline Data Lagasco'!$Q:$Q,'Dec 31 2018 OFFS'!$AK198,'T1 2019 Pipeline Data Lagasco'!$E:$E,'Dec 31 2018 OFFS'!$U198,'T1 2019 Pipeline Data Lagasco'!$G:$G,'Dec 31 2018 OFFS'!$W198))/(MAX(COUNTIFS('T1 2019 Pipeline Data Lagasco'!$A:$A,'Dec 31 2018 OFFS'!$AI198,'T1 2019 Pipeline Data Lagasco'!$Q:$Q,'Dec 31 2018 OFFS'!$AK198,'T1 2019 Pipeline Data Lagasco'!$E:$E,'Dec 31 2018 OFFS'!$U198,'T1 2019 Pipeline Data Lagasco'!$G:$G,'Dec 31 2018 OFFS'!$W198),1))*2</f>
        <v>132449</v>
      </c>
      <c r="AM198" s="274">
        <f t="shared" si="41"/>
        <v>0</v>
      </c>
    </row>
    <row r="199" spans="1:39" ht="12.7">
      <c r="A199" s="193" t="s">
        <v>909</v>
      </c>
      <c r="B199" s="40" t="s">
        <v>919</v>
      </c>
      <c r="C199" s="40" t="s">
        <v>920</v>
      </c>
      <c r="D199" s="40" t="s">
        <v>172</v>
      </c>
      <c r="E199" s="40" t="s">
        <v>1054</v>
      </c>
      <c r="F199" s="40" t="s">
        <v>1381</v>
      </c>
      <c r="G199" s="41" t="s">
        <v>1376</v>
      </c>
      <c r="H199" s="42">
        <v>42</v>
      </c>
      <c r="I199" s="43">
        <v>36</v>
      </c>
      <c r="J199" s="44">
        <v>49.38</v>
      </c>
      <c r="K199" s="45">
        <v>80</v>
      </c>
      <c r="L199" s="43">
        <v>55</v>
      </c>
      <c r="M199" s="46">
        <v>25.02</v>
      </c>
      <c r="N199" s="41" t="s">
        <v>1377</v>
      </c>
      <c r="O199" s="42">
        <v>42</v>
      </c>
      <c r="P199" s="43">
        <v>35</v>
      </c>
      <c r="Q199" s="44">
        <v>17.10</v>
      </c>
      <c r="R199" s="45">
        <v>80</v>
      </c>
      <c r="S199" s="43">
        <v>55</v>
      </c>
      <c r="T199" s="46">
        <v>50.52</v>
      </c>
      <c r="U199" s="40">
        <v>6</v>
      </c>
      <c r="V199" s="281">
        <v>9600</v>
      </c>
      <c r="W199" s="48">
        <v>2001</v>
      </c>
      <c r="X199" s="40"/>
      <c r="Y199" s="52" t="s">
        <v>1081</v>
      </c>
      <c r="Z199" s="40" t="s">
        <v>910</v>
      </c>
      <c r="AA199" s="49">
        <f t="shared" si="34"/>
        <v>332448</v>
      </c>
      <c r="AB199" s="71">
        <f t="shared" si="35"/>
        <v>0.59</v>
      </c>
      <c r="AC199" s="49">
        <f t="shared" si="36"/>
        <v>136303.67999999999</v>
      </c>
      <c r="AD199" s="50">
        <f t="shared" si="37"/>
        <v>0</v>
      </c>
      <c r="AE199" s="50">
        <f t="shared" si="38"/>
        <v>0</v>
      </c>
      <c r="AF199" s="50">
        <f t="shared" si="39"/>
        <v>136303.67999999999</v>
      </c>
      <c r="AG199" s="199">
        <f t="shared" si="40"/>
        <v>136303</v>
      </c>
      <c r="AH199" s="187"/>
      <c r="AI199" s="185" t="s">
        <v>1451</v>
      </c>
      <c r="AJ199" s="185"/>
      <c r="AK199" s="277">
        <f t="shared" si="33"/>
        <v>9600</v>
      </c>
      <c r="AL199" s="25">
        <f>(SUMIFS('T1 2019 Pipeline Data Lagasco'!$O:$O,'T1 2019 Pipeline Data Lagasco'!$A:$A,'Dec 31 2018 OFFS'!$AI199,'T1 2019 Pipeline Data Lagasco'!$Q:$Q,'Dec 31 2018 OFFS'!$AK199,'T1 2019 Pipeline Data Lagasco'!$E:$E,'Dec 31 2018 OFFS'!$U199,'T1 2019 Pipeline Data Lagasco'!$G:$G,'Dec 31 2018 OFFS'!$W199))/(MAX(COUNTIFS('T1 2019 Pipeline Data Lagasco'!$A:$A,'Dec 31 2018 OFFS'!$AI199,'T1 2019 Pipeline Data Lagasco'!$Q:$Q,'Dec 31 2018 OFFS'!$AK199,'T1 2019 Pipeline Data Lagasco'!$E:$E,'Dec 31 2018 OFFS'!$U199,'T1 2019 Pipeline Data Lagasco'!$G:$G,'Dec 31 2018 OFFS'!$W199),1))</f>
        <v>136303</v>
      </c>
      <c r="AM199" s="274">
        <f t="shared" si="41"/>
        <v>0</v>
      </c>
    </row>
    <row r="200" spans="1:39" ht="12.7">
      <c r="A200" s="193" t="s">
        <v>909</v>
      </c>
      <c r="B200" s="40" t="s">
        <v>919</v>
      </c>
      <c r="C200" s="40" t="s">
        <v>920</v>
      </c>
      <c r="D200" s="40" t="s">
        <v>172</v>
      </c>
      <c r="E200" s="40" t="s">
        <v>1054</v>
      </c>
      <c r="F200" s="40" t="s">
        <v>1381</v>
      </c>
      <c r="G200" s="41" t="s">
        <v>1377</v>
      </c>
      <c r="H200" s="42">
        <v>42</v>
      </c>
      <c r="I200" s="43">
        <v>35</v>
      </c>
      <c r="J200" s="44">
        <v>17.10</v>
      </c>
      <c r="K200" s="45">
        <v>80</v>
      </c>
      <c r="L200" s="43">
        <v>55</v>
      </c>
      <c r="M200" s="46">
        <v>50.52</v>
      </c>
      <c r="N200" s="41" t="s">
        <v>1378</v>
      </c>
      <c r="O200" s="42">
        <v>42</v>
      </c>
      <c r="P200" s="43">
        <v>35</v>
      </c>
      <c r="Q200" s="44">
        <v>17.10</v>
      </c>
      <c r="R200" s="45">
        <v>80</v>
      </c>
      <c r="S200" s="43">
        <v>55</v>
      </c>
      <c r="T200" s="46">
        <v>50.52</v>
      </c>
      <c r="U200" s="40">
        <v>6</v>
      </c>
      <c r="V200" s="47">
        <v>17253</v>
      </c>
      <c r="W200" s="48">
        <v>2010</v>
      </c>
      <c r="X200" s="40"/>
      <c r="Y200" s="52" t="s">
        <v>1081</v>
      </c>
      <c r="Z200" s="40" t="s">
        <v>910</v>
      </c>
      <c r="AA200" s="49">
        <f t="shared" si="34"/>
        <v>597471.39</v>
      </c>
      <c r="AB200" s="71">
        <f t="shared" si="35"/>
        <v>0.39</v>
      </c>
      <c r="AC200" s="49">
        <f t="shared" si="36"/>
        <v>364457.55</v>
      </c>
      <c r="AD200" s="50">
        <f t="shared" si="37"/>
        <v>0</v>
      </c>
      <c r="AE200" s="50">
        <f t="shared" si="38"/>
        <v>0</v>
      </c>
      <c r="AF200" s="50">
        <f t="shared" si="39"/>
        <v>364457.55</v>
      </c>
      <c r="AG200" s="199">
        <f t="shared" si="40"/>
        <v>364457</v>
      </c>
      <c r="AH200" s="187"/>
      <c r="AI200" s="185" t="s">
        <v>1451</v>
      </c>
      <c r="AJ200" s="185"/>
      <c r="AK200" s="277">
        <f t="shared" si="33"/>
        <v>17253</v>
      </c>
      <c r="AL200" s="25">
        <f>(SUMIFS('T1 2019 Pipeline Data Lagasco'!$O:$O,'T1 2019 Pipeline Data Lagasco'!$A:$A,'Dec 31 2018 OFFS'!$AI200,'T1 2019 Pipeline Data Lagasco'!$Q:$Q,'Dec 31 2018 OFFS'!$AK200,'T1 2019 Pipeline Data Lagasco'!$E:$E,'Dec 31 2018 OFFS'!$U200,'T1 2019 Pipeline Data Lagasco'!$G:$G,'Dec 31 2018 OFFS'!$W200))/(MAX(COUNTIFS('T1 2019 Pipeline Data Lagasco'!$A:$A,'Dec 31 2018 OFFS'!$AI200,'T1 2019 Pipeline Data Lagasco'!$Q:$Q,'Dec 31 2018 OFFS'!$AK200,'T1 2019 Pipeline Data Lagasco'!$E:$E,'Dec 31 2018 OFFS'!$U200,'T1 2019 Pipeline Data Lagasco'!$G:$G,'Dec 31 2018 OFFS'!$W200),1))</f>
        <v>364457</v>
      </c>
      <c r="AM200" s="274">
        <f t="shared" si="41"/>
        <v>0</v>
      </c>
    </row>
    <row r="201" spans="1:39" ht="12.7">
      <c r="A201" s="193" t="s">
        <v>909</v>
      </c>
      <c r="B201" s="40" t="s">
        <v>919</v>
      </c>
      <c r="C201" s="40" t="s">
        <v>920</v>
      </c>
      <c r="D201" s="40" t="s">
        <v>172</v>
      </c>
      <c r="E201" s="40" t="s">
        <v>1054</v>
      </c>
      <c r="F201" s="40"/>
      <c r="G201" s="41" t="s">
        <v>1374</v>
      </c>
      <c r="H201" s="42">
        <v>42</v>
      </c>
      <c r="I201" s="43">
        <v>38</v>
      </c>
      <c r="J201" s="44">
        <v>48.84</v>
      </c>
      <c r="K201" s="45" t="s">
        <v>1010</v>
      </c>
      <c r="L201" s="43">
        <v>54</v>
      </c>
      <c r="M201" s="46">
        <v>54.36</v>
      </c>
      <c r="N201" s="41" t="s">
        <v>1155</v>
      </c>
      <c r="O201" s="42">
        <v>42</v>
      </c>
      <c r="P201" s="43">
        <v>39</v>
      </c>
      <c r="Q201" s="44">
        <v>35.799999999999997</v>
      </c>
      <c r="R201" s="45">
        <v>80</v>
      </c>
      <c r="S201" s="43">
        <v>54</v>
      </c>
      <c r="T201" s="46">
        <v>17.50</v>
      </c>
      <c r="U201" s="40">
        <v>6</v>
      </c>
      <c r="V201" s="47">
        <v>5805</v>
      </c>
      <c r="W201" s="48">
        <v>2002</v>
      </c>
      <c r="X201" s="40"/>
      <c r="Y201" s="52" t="s">
        <v>1081</v>
      </c>
      <c r="Z201" s="40" t="s">
        <v>910</v>
      </c>
      <c r="AA201" s="49">
        <f t="shared" si="34"/>
        <v>201027.15000000002</v>
      </c>
      <c r="AB201" s="71">
        <f t="shared" si="35"/>
        <v>0.56999999999999995</v>
      </c>
      <c r="AC201" s="49">
        <f t="shared" si="36"/>
        <v>86441.67</v>
      </c>
      <c r="AD201" s="50">
        <f t="shared" si="37"/>
        <v>0</v>
      </c>
      <c r="AE201" s="50">
        <f t="shared" si="38"/>
        <v>0</v>
      </c>
      <c r="AF201" s="50">
        <f t="shared" si="39"/>
        <v>86441.67</v>
      </c>
      <c r="AG201" s="199">
        <f t="shared" si="40"/>
        <v>86441</v>
      </c>
      <c r="AH201" s="187"/>
      <c r="AI201" s="185" t="s">
        <v>1451</v>
      </c>
      <c r="AJ201" s="185"/>
      <c r="AK201" s="277">
        <f t="shared" si="33"/>
        <v>5805</v>
      </c>
      <c r="AL201" s="25">
        <f>(SUMIFS('T1 2019 Pipeline Data Lagasco'!$O:$O,'T1 2019 Pipeline Data Lagasco'!$A:$A,'Dec 31 2018 OFFS'!$AI201,'T1 2019 Pipeline Data Lagasco'!$Q:$Q,'Dec 31 2018 OFFS'!$AK201,'T1 2019 Pipeline Data Lagasco'!$E:$E,'Dec 31 2018 OFFS'!$U201,'T1 2019 Pipeline Data Lagasco'!$G:$G,'Dec 31 2018 OFFS'!$W201))/(MAX(COUNTIFS('T1 2019 Pipeline Data Lagasco'!$A:$A,'Dec 31 2018 OFFS'!$AI201,'T1 2019 Pipeline Data Lagasco'!$Q:$Q,'Dec 31 2018 OFFS'!$AK201,'T1 2019 Pipeline Data Lagasco'!$E:$E,'Dec 31 2018 OFFS'!$U201,'T1 2019 Pipeline Data Lagasco'!$G:$G,'Dec 31 2018 OFFS'!$W201),1))</f>
        <v>86441</v>
      </c>
      <c r="AM201" s="274">
        <f t="shared" si="41"/>
        <v>0</v>
      </c>
    </row>
    <row r="202" spans="1:39" ht="12.7">
      <c r="A202" s="193" t="s">
        <v>909</v>
      </c>
      <c r="B202" s="40" t="s">
        <v>919</v>
      </c>
      <c r="C202" s="40" t="s">
        <v>920</v>
      </c>
      <c r="D202" s="40" t="s">
        <v>172</v>
      </c>
      <c r="E202" s="40" t="s">
        <v>1054</v>
      </c>
      <c r="F202" s="40" t="s">
        <v>1381</v>
      </c>
      <c r="G202" s="41" t="s">
        <v>1374</v>
      </c>
      <c r="H202" s="42">
        <v>42</v>
      </c>
      <c r="I202" s="43">
        <v>38</v>
      </c>
      <c r="J202" s="44">
        <v>48.84</v>
      </c>
      <c r="K202" s="45" t="s">
        <v>1010</v>
      </c>
      <c r="L202" s="43">
        <v>54</v>
      </c>
      <c r="M202" s="46">
        <v>54.36</v>
      </c>
      <c r="N202" s="41" t="s">
        <v>1375</v>
      </c>
      <c r="O202" s="42">
        <v>42</v>
      </c>
      <c r="P202" s="43">
        <v>37</v>
      </c>
      <c r="Q202" s="44">
        <v>50.58</v>
      </c>
      <c r="R202" s="45">
        <v>80</v>
      </c>
      <c r="S202" s="43">
        <v>55</v>
      </c>
      <c r="T202" s="46">
        <v>10.08</v>
      </c>
      <c r="U202" s="40">
        <v>6</v>
      </c>
      <c r="V202" s="47">
        <v>6105</v>
      </c>
      <c r="W202" s="48">
        <v>2001</v>
      </c>
      <c r="X202" s="40"/>
      <c r="Y202" s="52" t="s">
        <v>1081</v>
      </c>
      <c r="Z202" s="40" t="s">
        <v>910</v>
      </c>
      <c r="AA202" s="49">
        <f t="shared" si="34"/>
        <v>211416.15000000002</v>
      </c>
      <c r="AB202" s="71">
        <f t="shared" si="35"/>
        <v>0.59</v>
      </c>
      <c r="AC202" s="49">
        <f t="shared" si="36"/>
        <v>86680.62</v>
      </c>
      <c r="AD202" s="50">
        <f t="shared" si="37"/>
        <v>0</v>
      </c>
      <c r="AE202" s="50">
        <f t="shared" si="38"/>
        <v>0</v>
      </c>
      <c r="AF202" s="50">
        <f t="shared" si="39"/>
        <v>86680.62</v>
      </c>
      <c r="AG202" s="199">
        <f t="shared" si="40"/>
        <v>86680</v>
      </c>
      <c r="AH202" s="187"/>
      <c r="AI202" s="185" t="s">
        <v>1451</v>
      </c>
      <c r="AJ202" s="185"/>
      <c r="AK202" s="277">
        <f t="shared" si="33"/>
        <v>6105</v>
      </c>
      <c r="AL202" s="25">
        <f>(SUMIFS('T1 2019 Pipeline Data Lagasco'!$O:$O,'T1 2019 Pipeline Data Lagasco'!$A:$A,'Dec 31 2018 OFFS'!$AI202,'T1 2019 Pipeline Data Lagasco'!$Q:$Q,'Dec 31 2018 OFFS'!$AK202,'T1 2019 Pipeline Data Lagasco'!$E:$E,'Dec 31 2018 OFFS'!$U202,'T1 2019 Pipeline Data Lagasco'!$G:$G,'Dec 31 2018 OFFS'!$W202))/(MAX(COUNTIFS('T1 2019 Pipeline Data Lagasco'!$A:$A,'Dec 31 2018 OFFS'!$AI202,'T1 2019 Pipeline Data Lagasco'!$Q:$Q,'Dec 31 2018 OFFS'!$AK202,'T1 2019 Pipeline Data Lagasco'!$E:$E,'Dec 31 2018 OFFS'!$U202,'T1 2019 Pipeline Data Lagasco'!$G:$G,'Dec 31 2018 OFFS'!$W202),1))</f>
        <v>86680</v>
      </c>
      <c r="AM202" s="274">
        <f t="shared" si="41"/>
        <v>0</v>
      </c>
    </row>
    <row r="203" spans="1:39" ht="12.7">
      <c r="A203" s="193" t="s">
        <v>909</v>
      </c>
      <c r="B203" s="40" t="s">
        <v>919</v>
      </c>
      <c r="C203" s="40" t="s">
        <v>920</v>
      </c>
      <c r="D203" s="40" t="s">
        <v>172</v>
      </c>
      <c r="E203" s="40" t="s">
        <v>1054</v>
      </c>
      <c r="F203" s="139" t="s">
        <v>1051</v>
      </c>
      <c r="G203" s="41" t="s">
        <v>1374</v>
      </c>
      <c r="H203" s="42">
        <v>42</v>
      </c>
      <c r="I203" s="43">
        <v>38</v>
      </c>
      <c r="J203" s="44">
        <v>48.84</v>
      </c>
      <c r="K203" s="45" t="s">
        <v>1010</v>
      </c>
      <c r="L203" s="43">
        <v>54</v>
      </c>
      <c r="M203" s="46">
        <v>54.36</v>
      </c>
      <c r="N203" s="41" t="s">
        <v>1153</v>
      </c>
      <c r="O203" s="42">
        <v>42</v>
      </c>
      <c r="P203" s="43">
        <v>38</v>
      </c>
      <c r="Q203" s="44">
        <v>21.84</v>
      </c>
      <c r="R203" s="45" t="s">
        <v>1010</v>
      </c>
      <c r="S203" s="43">
        <v>57</v>
      </c>
      <c r="T203" s="46">
        <v>27.30</v>
      </c>
      <c r="U203" s="40">
        <v>6</v>
      </c>
      <c r="V203" s="47">
        <v>11745</v>
      </c>
      <c r="W203" s="48">
        <v>2002</v>
      </c>
      <c r="X203" s="40"/>
      <c r="Y203" s="52" t="s">
        <v>1081</v>
      </c>
      <c r="Z203" s="40" t="s">
        <v>910</v>
      </c>
      <c r="AA203" s="49">
        <f t="shared" si="34"/>
        <v>0</v>
      </c>
      <c r="AB203" s="71">
        <f t="shared" si="35"/>
        <v>0.56999999999999995</v>
      </c>
      <c r="AC203" s="49">
        <f t="shared" si="36"/>
        <v>0</v>
      </c>
      <c r="AD203" s="50">
        <f t="shared" si="37"/>
        <v>0</v>
      </c>
      <c r="AE203" s="50">
        <f t="shared" si="38"/>
        <v>0</v>
      </c>
      <c r="AF203" s="50">
        <f t="shared" si="39"/>
        <v>0</v>
      </c>
      <c r="AG203" s="199">
        <f t="shared" si="40"/>
        <v>0</v>
      </c>
      <c r="AH203" s="187"/>
      <c r="AI203" s="185" t="s">
        <v>1451</v>
      </c>
      <c r="AJ203" s="185"/>
      <c r="AK203" s="277">
        <f t="shared" si="33"/>
        <v>11745</v>
      </c>
      <c r="AL203" s="25">
        <f>(SUMIFS('T1 2019 Pipeline Data Lagasco'!$O:$O,'T1 2019 Pipeline Data Lagasco'!$A:$A,'Dec 31 2018 OFFS'!$AI203,'T1 2019 Pipeline Data Lagasco'!$Q:$Q,'Dec 31 2018 OFFS'!$AK203,'T1 2019 Pipeline Data Lagasco'!$E:$E,'Dec 31 2018 OFFS'!$U203,'T1 2019 Pipeline Data Lagasco'!$G:$G,'Dec 31 2018 OFFS'!$W203))/(MAX(COUNTIFS('T1 2019 Pipeline Data Lagasco'!$A:$A,'Dec 31 2018 OFFS'!$AI203,'T1 2019 Pipeline Data Lagasco'!$Q:$Q,'Dec 31 2018 OFFS'!$AK203,'T1 2019 Pipeline Data Lagasco'!$E:$E,'Dec 31 2018 OFFS'!$U203,'T1 2019 Pipeline Data Lagasco'!$G:$G,'Dec 31 2018 OFFS'!$W203),1))</f>
        <v>0</v>
      </c>
      <c r="AM203" s="274">
        <f t="shared" si="41"/>
        <v>0</v>
      </c>
    </row>
    <row r="204" spans="1:39" ht="12.7">
      <c r="A204" s="193" t="s">
        <v>909</v>
      </c>
      <c r="B204" s="40" t="s">
        <v>919</v>
      </c>
      <c r="C204" s="40" t="s">
        <v>920</v>
      </c>
      <c r="D204" s="40" t="s">
        <v>172</v>
      </c>
      <c r="E204" s="40" t="s">
        <v>1054</v>
      </c>
      <c r="F204" s="139" t="s">
        <v>1051</v>
      </c>
      <c r="G204" s="41" t="s">
        <v>1153</v>
      </c>
      <c r="H204" s="42">
        <v>42</v>
      </c>
      <c r="I204" s="43">
        <v>38</v>
      </c>
      <c r="J204" s="44">
        <v>21.84</v>
      </c>
      <c r="K204" s="45" t="s">
        <v>1010</v>
      </c>
      <c r="L204" s="43">
        <v>57</v>
      </c>
      <c r="M204" s="46">
        <v>27.30</v>
      </c>
      <c r="N204" s="41" t="s">
        <v>1155</v>
      </c>
      <c r="O204" s="42">
        <v>42</v>
      </c>
      <c r="P204" s="43">
        <v>39</v>
      </c>
      <c r="Q204" s="44">
        <v>35.799999999999997</v>
      </c>
      <c r="R204" s="45">
        <v>80</v>
      </c>
      <c r="S204" s="43">
        <v>54</v>
      </c>
      <c r="T204" s="46">
        <v>17.50</v>
      </c>
      <c r="U204" s="40">
        <v>6</v>
      </c>
      <c r="V204" s="47">
        <v>17550</v>
      </c>
      <c r="W204" s="48">
        <v>2002</v>
      </c>
      <c r="X204" s="40"/>
      <c r="Y204" s="52" t="s">
        <v>1081</v>
      </c>
      <c r="Z204" s="40" t="s">
        <v>910</v>
      </c>
      <c r="AA204" s="49">
        <f t="shared" si="34"/>
        <v>0</v>
      </c>
      <c r="AB204" s="71">
        <f t="shared" si="35"/>
        <v>0.56999999999999995</v>
      </c>
      <c r="AC204" s="49">
        <f t="shared" si="36"/>
        <v>0</v>
      </c>
      <c r="AD204" s="50">
        <f t="shared" si="37"/>
        <v>0</v>
      </c>
      <c r="AE204" s="50">
        <f t="shared" si="38"/>
        <v>0</v>
      </c>
      <c r="AF204" s="50">
        <f t="shared" si="39"/>
        <v>0</v>
      </c>
      <c r="AG204" s="199">
        <f t="shared" si="40"/>
        <v>0</v>
      </c>
      <c r="AH204" s="187"/>
      <c r="AI204" s="185" t="s">
        <v>1451</v>
      </c>
      <c r="AJ204" s="185"/>
      <c r="AK204" s="277">
        <f t="shared" si="33"/>
        <v>17550</v>
      </c>
      <c r="AL204" s="25">
        <f>(SUMIFS('T1 2019 Pipeline Data Lagasco'!$O:$O,'T1 2019 Pipeline Data Lagasco'!$A:$A,'Dec 31 2018 OFFS'!$AI204,'T1 2019 Pipeline Data Lagasco'!$Q:$Q,'Dec 31 2018 OFFS'!$AK204,'T1 2019 Pipeline Data Lagasco'!$E:$E,'Dec 31 2018 OFFS'!$U204,'T1 2019 Pipeline Data Lagasco'!$G:$G,'Dec 31 2018 OFFS'!$W204))/(MAX(COUNTIFS('T1 2019 Pipeline Data Lagasco'!$A:$A,'Dec 31 2018 OFFS'!$AI204,'T1 2019 Pipeline Data Lagasco'!$Q:$Q,'Dec 31 2018 OFFS'!$AK204,'T1 2019 Pipeline Data Lagasco'!$E:$E,'Dec 31 2018 OFFS'!$U204,'T1 2019 Pipeline Data Lagasco'!$G:$G,'Dec 31 2018 OFFS'!$W204),1))</f>
        <v>0</v>
      </c>
      <c r="AM204" s="274">
        <f t="shared" si="41"/>
        <v>0</v>
      </c>
    </row>
    <row r="205" spans="1:39" ht="12.7">
      <c r="A205" s="193" t="s">
        <v>909</v>
      </c>
      <c r="B205" s="40" t="s">
        <v>919</v>
      </c>
      <c r="C205" s="40" t="s">
        <v>920</v>
      </c>
      <c r="D205" s="40" t="s">
        <v>172</v>
      </c>
      <c r="E205" s="40" t="s">
        <v>1054</v>
      </c>
      <c r="F205" s="40" t="s">
        <v>1051</v>
      </c>
      <c r="G205" s="41" t="s">
        <v>1178</v>
      </c>
      <c r="H205" s="42">
        <v>42</v>
      </c>
      <c r="I205" s="43">
        <v>37</v>
      </c>
      <c r="J205" s="44">
        <v>55.74</v>
      </c>
      <c r="K205" s="45">
        <v>80</v>
      </c>
      <c r="L205" s="43">
        <v>56</v>
      </c>
      <c r="M205" s="46">
        <v>5.22</v>
      </c>
      <c r="N205" s="40" t="s">
        <v>1179</v>
      </c>
      <c r="O205" s="42">
        <v>42</v>
      </c>
      <c r="P205" s="43">
        <v>37</v>
      </c>
      <c r="Q205" s="44">
        <v>8.0459999999999994</v>
      </c>
      <c r="R205" s="45">
        <v>80</v>
      </c>
      <c r="S205" s="43">
        <v>56</v>
      </c>
      <c r="T205" s="46">
        <v>58.56</v>
      </c>
      <c r="U205" s="40">
        <v>3</v>
      </c>
      <c r="V205" s="47">
        <v>320</v>
      </c>
      <c r="W205" s="48">
        <v>2003</v>
      </c>
      <c r="X205" s="40"/>
      <c r="Y205" s="52"/>
      <c r="Z205" s="40" t="s">
        <v>910</v>
      </c>
      <c r="AA205" s="49">
        <f t="shared" si="34"/>
        <v>0</v>
      </c>
      <c r="AB205" s="71">
        <f t="shared" si="35"/>
        <v>0.56999999999999995</v>
      </c>
      <c r="AC205" s="49">
        <f t="shared" si="36"/>
        <v>0</v>
      </c>
      <c r="AD205" s="50">
        <f t="shared" si="37"/>
        <v>0</v>
      </c>
      <c r="AE205" s="50">
        <f t="shared" si="38"/>
        <v>0</v>
      </c>
      <c r="AF205" s="50">
        <f t="shared" si="39"/>
        <v>0</v>
      </c>
      <c r="AG205" s="199">
        <f t="shared" si="40"/>
        <v>0</v>
      </c>
      <c r="AH205" s="187"/>
      <c r="AI205" s="185" t="s">
        <v>1451</v>
      </c>
      <c r="AJ205" s="185"/>
      <c r="AK205" s="277">
        <f t="shared" si="33"/>
        <v>320</v>
      </c>
      <c r="AL205" s="25">
        <f>(SUMIFS('T1 2019 Pipeline Data Lagasco'!$O:$O,'T1 2019 Pipeline Data Lagasco'!$A:$A,'Dec 31 2018 OFFS'!$AI205,'T1 2019 Pipeline Data Lagasco'!$Q:$Q,'Dec 31 2018 OFFS'!$AK205,'T1 2019 Pipeline Data Lagasco'!$E:$E,'Dec 31 2018 OFFS'!$U205,'T1 2019 Pipeline Data Lagasco'!$G:$G,'Dec 31 2018 OFFS'!$W205))/(MAX(COUNTIFS('T1 2019 Pipeline Data Lagasco'!$A:$A,'Dec 31 2018 OFFS'!$AI205,'T1 2019 Pipeline Data Lagasco'!$Q:$Q,'Dec 31 2018 OFFS'!$AK205,'T1 2019 Pipeline Data Lagasco'!$E:$E,'Dec 31 2018 OFFS'!$U205,'T1 2019 Pipeline Data Lagasco'!$G:$G,'Dec 31 2018 OFFS'!$W205),1))</f>
        <v>0</v>
      </c>
      <c r="AM205" s="274">
        <f t="shared" si="41"/>
        <v>0</v>
      </c>
    </row>
    <row r="206" spans="1:39" ht="12.7">
      <c r="A206" s="193" t="s">
        <v>909</v>
      </c>
      <c r="B206" s="40" t="s">
        <v>919</v>
      </c>
      <c r="C206" s="40" t="s">
        <v>920</v>
      </c>
      <c r="D206" s="40" t="s">
        <v>172</v>
      </c>
      <c r="E206" s="40" t="s">
        <v>1054</v>
      </c>
      <c r="F206" s="40" t="s">
        <v>1051</v>
      </c>
      <c r="G206" s="41" t="s">
        <v>1178</v>
      </c>
      <c r="H206" s="42">
        <v>42</v>
      </c>
      <c r="I206" s="43">
        <v>37</v>
      </c>
      <c r="J206" s="44">
        <v>55.74</v>
      </c>
      <c r="K206" s="45">
        <v>80</v>
      </c>
      <c r="L206" s="43">
        <v>56</v>
      </c>
      <c r="M206" s="46">
        <v>5.22</v>
      </c>
      <c r="N206" s="40" t="s">
        <v>1179</v>
      </c>
      <c r="O206" s="42">
        <v>42</v>
      </c>
      <c r="P206" s="43">
        <v>37</v>
      </c>
      <c r="Q206" s="44">
        <v>8.0459999999999994</v>
      </c>
      <c r="R206" s="45">
        <v>80</v>
      </c>
      <c r="S206" s="43">
        <v>56</v>
      </c>
      <c r="T206" s="46">
        <v>58.56</v>
      </c>
      <c r="U206" s="40">
        <v>3</v>
      </c>
      <c r="V206" s="47">
        <v>5936</v>
      </c>
      <c r="W206" s="48">
        <v>2001</v>
      </c>
      <c r="X206" s="40"/>
      <c r="Y206" s="52"/>
      <c r="Z206" s="40" t="s">
        <v>910</v>
      </c>
      <c r="AA206" s="49">
        <f t="shared" si="34"/>
        <v>0</v>
      </c>
      <c r="AB206" s="71">
        <f t="shared" si="35"/>
        <v>0.59</v>
      </c>
      <c r="AC206" s="49">
        <f t="shared" si="36"/>
        <v>0</v>
      </c>
      <c r="AD206" s="50">
        <f t="shared" si="37"/>
        <v>0</v>
      </c>
      <c r="AE206" s="50">
        <f t="shared" si="38"/>
        <v>0</v>
      </c>
      <c r="AF206" s="50">
        <f t="shared" si="39"/>
        <v>0</v>
      </c>
      <c r="AG206" s="199">
        <f t="shared" si="40"/>
        <v>0</v>
      </c>
      <c r="AH206" s="187"/>
      <c r="AI206" s="185" t="s">
        <v>1451</v>
      </c>
      <c r="AJ206" s="185"/>
      <c r="AK206" s="277">
        <f t="shared" si="33"/>
        <v>5936</v>
      </c>
      <c r="AL206" s="25">
        <f>(SUMIFS('T1 2019 Pipeline Data Lagasco'!$O:$O,'T1 2019 Pipeline Data Lagasco'!$A:$A,'Dec 31 2018 OFFS'!$AI206,'T1 2019 Pipeline Data Lagasco'!$Q:$Q,'Dec 31 2018 OFFS'!$AK206,'T1 2019 Pipeline Data Lagasco'!$E:$E,'Dec 31 2018 OFFS'!$U206,'T1 2019 Pipeline Data Lagasco'!$G:$G,'Dec 31 2018 OFFS'!$W206))/(MAX(COUNTIFS('T1 2019 Pipeline Data Lagasco'!$A:$A,'Dec 31 2018 OFFS'!$AI206,'T1 2019 Pipeline Data Lagasco'!$Q:$Q,'Dec 31 2018 OFFS'!$AK206,'T1 2019 Pipeline Data Lagasco'!$E:$E,'Dec 31 2018 OFFS'!$U206,'T1 2019 Pipeline Data Lagasco'!$G:$G,'Dec 31 2018 OFFS'!$W206),1))</f>
        <v>0</v>
      </c>
      <c r="AM206" s="274">
        <f t="shared" si="41"/>
        <v>0</v>
      </c>
    </row>
    <row r="207" spans="1:39" ht="12.7">
      <c r="A207" s="193" t="s">
        <v>909</v>
      </c>
      <c r="B207" s="40" t="s">
        <v>919</v>
      </c>
      <c r="C207" s="40" t="s">
        <v>920</v>
      </c>
      <c r="D207" s="40" t="s">
        <v>172</v>
      </c>
      <c r="E207" s="40" t="s">
        <v>1054</v>
      </c>
      <c r="F207" s="40" t="s">
        <v>1051</v>
      </c>
      <c r="G207" s="41" t="s">
        <v>1241</v>
      </c>
      <c r="H207" s="42">
        <v>42</v>
      </c>
      <c r="I207" s="43">
        <v>36</v>
      </c>
      <c r="J207" s="44">
        <f>60*0.84</f>
        <v>50.40</v>
      </c>
      <c r="K207" s="45">
        <v>80</v>
      </c>
      <c r="L207" s="43">
        <v>56</v>
      </c>
      <c r="M207" s="46">
        <f>60*0.387</f>
        <v>23.22</v>
      </c>
      <c r="N207" s="40" t="s">
        <v>1219</v>
      </c>
      <c r="O207" s="42">
        <v>42</v>
      </c>
      <c r="P207" s="43">
        <v>36</v>
      </c>
      <c r="Q207" s="44">
        <f>60*0.907</f>
        <v>54.42</v>
      </c>
      <c r="R207" s="45">
        <v>80</v>
      </c>
      <c r="S207" s="43">
        <v>55</v>
      </c>
      <c r="T207" s="46">
        <f>60*0.925</f>
        <v>55.50</v>
      </c>
      <c r="U207" s="40">
        <v>3</v>
      </c>
      <c r="V207" s="47">
        <v>2488</v>
      </c>
      <c r="W207" s="48">
        <v>2005</v>
      </c>
      <c r="X207" s="40"/>
      <c r="Y207" s="52"/>
      <c r="Z207" s="40" t="s">
        <v>910</v>
      </c>
      <c r="AA207" s="49">
        <f t="shared" si="34"/>
        <v>0</v>
      </c>
      <c r="AB207" s="71">
        <f t="shared" si="35"/>
        <v>0.54</v>
      </c>
      <c r="AC207" s="49">
        <f t="shared" si="36"/>
        <v>0</v>
      </c>
      <c r="AD207" s="50">
        <f t="shared" si="37"/>
        <v>0</v>
      </c>
      <c r="AE207" s="50">
        <f t="shared" si="38"/>
        <v>0</v>
      </c>
      <c r="AF207" s="50">
        <f t="shared" si="39"/>
        <v>0</v>
      </c>
      <c r="AG207" s="199">
        <f t="shared" si="40"/>
        <v>0</v>
      </c>
      <c r="AH207" s="187"/>
      <c r="AI207" s="185" t="s">
        <v>1451</v>
      </c>
      <c r="AJ207" s="185"/>
      <c r="AK207" s="277">
        <f t="shared" si="33"/>
        <v>2488</v>
      </c>
      <c r="AL207" s="25">
        <f>(SUMIFS('T1 2019 Pipeline Data Lagasco'!$O:$O,'T1 2019 Pipeline Data Lagasco'!$A:$A,'Dec 31 2018 OFFS'!$AI207,'T1 2019 Pipeline Data Lagasco'!$Q:$Q,'Dec 31 2018 OFFS'!$AK207,'T1 2019 Pipeline Data Lagasco'!$E:$E,'Dec 31 2018 OFFS'!$U207,'T1 2019 Pipeline Data Lagasco'!$G:$G,'Dec 31 2018 OFFS'!$W207))/(MAX(COUNTIFS('T1 2019 Pipeline Data Lagasco'!$A:$A,'Dec 31 2018 OFFS'!$AI207,'T1 2019 Pipeline Data Lagasco'!$Q:$Q,'Dec 31 2018 OFFS'!$AK207,'T1 2019 Pipeline Data Lagasco'!$E:$E,'Dec 31 2018 OFFS'!$U207,'T1 2019 Pipeline Data Lagasco'!$G:$G,'Dec 31 2018 OFFS'!$W207),1))</f>
        <v>0</v>
      </c>
      <c r="AM207" s="274">
        <f t="shared" si="41"/>
        <v>0</v>
      </c>
    </row>
    <row r="208" spans="1:39" ht="12.7">
      <c r="A208" s="193" t="s">
        <v>909</v>
      </c>
      <c r="B208" s="40" t="s">
        <v>919</v>
      </c>
      <c r="C208" s="40" t="s">
        <v>920</v>
      </c>
      <c r="D208" s="40" t="s">
        <v>172</v>
      </c>
      <c r="E208" s="40" t="s">
        <v>1054</v>
      </c>
      <c r="F208" s="40" t="s">
        <v>1051</v>
      </c>
      <c r="G208" s="41" t="s">
        <v>1218</v>
      </c>
      <c r="H208" s="42">
        <v>42</v>
      </c>
      <c r="I208" s="43">
        <v>36</v>
      </c>
      <c r="J208" s="44">
        <v>54.42</v>
      </c>
      <c r="K208" s="45">
        <v>80</v>
      </c>
      <c r="L208" s="43">
        <v>55</v>
      </c>
      <c r="M208" s="46">
        <v>55.50</v>
      </c>
      <c r="N208" s="40" t="s">
        <v>1219</v>
      </c>
      <c r="O208" s="42">
        <v>42</v>
      </c>
      <c r="P208" s="43">
        <v>36</v>
      </c>
      <c r="Q208" s="44">
        <v>54.18</v>
      </c>
      <c r="R208" s="45">
        <v>80</v>
      </c>
      <c r="S208" s="43">
        <v>55</v>
      </c>
      <c r="T208" s="46">
        <v>49.56</v>
      </c>
      <c r="U208" s="40">
        <v>3</v>
      </c>
      <c r="V208" s="47">
        <v>400</v>
      </c>
      <c r="W208" s="48">
        <v>2001</v>
      </c>
      <c r="X208" s="40"/>
      <c r="Y208" s="52"/>
      <c r="Z208" s="40" t="s">
        <v>910</v>
      </c>
      <c r="AA208" s="49">
        <f t="shared" si="34"/>
        <v>0</v>
      </c>
      <c r="AB208" s="71">
        <f t="shared" si="35"/>
        <v>0.59</v>
      </c>
      <c r="AC208" s="49">
        <f t="shared" si="36"/>
        <v>0</v>
      </c>
      <c r="AD208" s="50">
        <f t="shared" si="37"/>
        <v>0</v>
      </c>
      <c r="AE208" s="50">
        <f t="shared" si="38"/>
        <v>0</v>
      </c>
      <c r="AF208" s="50">
        <f t="shared" si="39"/>
        <v>0</v>
      </c>
      <c r="AG208" s="199">
        <f t="shared" si="40"/>
        <v>0</v>
      </c>
      <c r="AH208" s="187"/>
      <c r="AI208" s="185" t="s">
        <v>1451</v>
      </c>
      <c r="AJ208" s="185"/>
      <c r="AK208" s="277">
        <f t="shared" si="33"/>
        <v>400</v>
      </c>
      <c r="AL208" s="25">
        <f>(SUMIFS('T1 2019 Pipeline Data Lagasco'!$O:$O,'T1 2019 Pipeline Data Lagasco'!$A:$A,'Dec 31 2018 OFFS'!$AI208,'T1 2019 Pipeline Data Lagasco'!$Q:$Q,'Dec 31 2018 OFFS'!$AK208,'T1 2019 Pipeline Data Lagasco'!$E:$E,'Dec 31 2018 OFFS'!$U208,'T1 2019 Pipeline Data Lagasco'!$G:$G,'Dec 31 2018 OFFS'!$W208))/(MAX(COUNTIFS('T1 2019 Pipeline Data Lagasco'!$A:$A,'Dec 31 2018 OFFS'!$AI208,'T1 2019 Pipeline Data Lagasco'!$Q:$Q,'Dec 31 2018 OFFS'!$AK208,'T1 2019 Pipeline Data Lagasco'!$E:$E,'Dec 31 2018 OFFS'!$U208,'T1 2019 Pipeline Data Lagasco'!$G:$G,'Dec 31 2018 OFFS'!$W208),1))</f>
        <v>0</v>
      </c>
      <c r="AM208" s="274">
        <f t="shared" si="41"/>
        <v>0</v>
      </c>
    </row>
    <row r="209" spans="1:39" ht="12.7">
      <c r="A209" s="193" t="s">
        <v>909</v>
      </c>
      <c r="B209" s="40" t="s">
        <v>919</v>
      </c>
      <c r="C209" s="40" t="s">
        <v>920</v>
      </c>
      <c r="D209" s="40" t="s">
        <v>172</v>
      </c>
      <c r="E209" s="40" t="s">
        <v>1054</v>
      </c>
      <c r="F209" s="40" t="s">
        <v>1051</v>
      </c>
      <c r="G209" s="41" t="s">
        <v>1218</v>
      </c>
      <c r="H209" s="42">
        <v>42</v>
      </c>
      <c r="I209" s="43">
        <v>36</v>
      </c>
      <c r="J209" s="44">
        <v>54.42</v>
      </c>
      <c r="K209" s="45">
        <v>80</v>
      </c>
      <c r="L209" s="43">
        <v>55</v>
      </c>
      <c r="M209" s="46">
        <v>54.90</v>
      </c>
      <c r="N209" s="40" t="s">
        <v>1124</v>
      </c>
      <c r="O209" s="42">
        <v>42</v>
      </c>
      <c r="P209" s="43">
        <v>36</v>
      </c>
      <c r="Q209" s="44">
        <v>51.90</v>
      </c>
      <c r="R209" s="45">
        <v>80</v>
      </c>
      <c r="S209" s="43">
        <v>55</v>
      </c>
      <c r="T209" s="46">
        <v>34.56</v>
      </c>
      <c r="U209" s="40">
        <v>3</v>
      </c>
      <c r="V209" s="47">
        <v>1537</v>
      </c>
      <c r="W209" s="48">
        <v>2006</v>
      </c>
      <c r="X209" s="40"/>
      <c r="Y209" s="52"/>
      <c r="Z209" s="40" t="s">
        <v>910</v>
      </c>
      <c r="AA209" s="49">
        <f t="shared" si="34"/>
        <v>0</v>
      </c>
      <c r="AB209" s="71">
        <f t="shared" si="35"/>
        <v>0.52</v>
      </c>
      <c r="AC209" s="49">
        <f t="shared" si="36"/>
        <v>0</v>
      </c>
      <c r="AD209" s="50">
        <f t="shared" si="37"/>
        <v>0</v>
      </c>
      <c r="AE209" s="50">
        <f t="shared" si="38"/>
        <v>0</v>
      </c>
      <c r="AF209" s="50">
        <f t="shared" si="39"/>
        <v>0</v>
      </c>
      <c r="AG209" s="199">
        <f t="shared" si="40"/>
        <v>0</v>
      </c>
      <c r="AH209" s="187"/>
      <c r="AI209" s="185" t="s">
        <v>1451</v>
      </c>
      <c r="AJ209" s="185"/>
      <c r="AK209" s="277">
        <f t="shared" si="33"/>
        <v>1537</v>
      </c>
      <c r="AL209" s="25">
        <f>(SUMIFS('T1 2019 Pipeline Data Lagasco'!$O:$O,'T1 2019 Pipeline Data Lagasco'!$A:$A,'Dec 31 2018 OFFS'!$AI209,'T1 2019 Pipeline Data Lagasco'!$Q:$Q,'Dec 31 2018 OFFS'!$AK209,'T1 2019 Pipeline Data Lagasco'!$E:$E,'Dec 31 2018 OFFS'!$U209,'T1 2019 Pipeline Data Lagasco'!$G:$G,'Dec 31 2018 OFFS'!$W209))/(MAX(COUNTIFS('T1 2019 Pipeline Data Lagasco'!$A:$A,'Dec 31 2018 OFFS'!$AI209,'T1 2019 Pipeline Data Lagasco'!$Q:$Q,'Dec 31 2018 OFFS'!$AK209,'T1 2019 Pipeline Data Lagasco'!$E:$E,'Dec 31 2018 OFFS'!$U209,'T1 2019 Pipeline Data Lagasco'!$G:$G,'Dec 31 2018 OFFS'!$W209),1))</f>
        <v>0</v>
      </c>
      <c r="AM209" s="274">
        <f t="shared" si="41"/>
        <v>0</v>
      </c>
    </row>
    <row r="210" spans="1:39" ht="12.7">
      <c r="A210" s="193" t="s">
        <v>909</v>
      </c>
      <c r="B210" s="40" t="s">
        <v>919</v>
      </c>
      <c r="C210" s="40" t="s">
        <v>920</v>
      </c>
      <c r="D210" s="40" t="s">
        <v>172</v>
      </c>
      <c r="E210" s="40" t="s">
        <v>1054</v>
      </c>
      <c r="F210" s="40" t="s">
        <v>1051</v>
      </c>
      <c r="G210" s="41" t="s">
        <v>1124</v>
      </c>
      <c r="H210" s="42" t="s">
        <v>78</v>
      </c>
      <c r="I210" s="43">
        <v>36</v>
      </c>
      <c r="J210" s="44">
        <v>51.90</v>
      </c>
      <c r="K210" s="45" t="s">
        <v>1010</v>
      </c>
      <c r="L210" s="43">
        <v>55</v>
      </c>
      <c r="M210" s="46">
        <v>34.26</v>
      </c>
      <c r="N210" s="41" t="s">
        <v>1124</v>
      </c>
      <c r="O210" s="42" t="s">
        <v>78</v>
      </c>
      <c r="P210" s="43">
        <v>36</v>
      </c>
      <c r="Q210" s="44">
        <v>51.90</v>
      </c>
      <c r="R210" s="45" t="s">
        <v>1010</v>
      </c>
      <c r="S210" s="43">
        <v>55</v>
      </c>
      <c r="T210" s="46">
        <v>34.26</v>
      </c>
      <c r="U210" s="40">
        <v>3</v>
      </c>
      <c r="V210" s="47">
        <v>20</v>
      </c>
      <c r="W210" s="48">
        <v>2001</v>
      </c>
      <c r="X210" s="40"/>
      <c r="Y210" s="52"/>
      <c r="Z210" s="40" t="s">
        <v>910</v>
      </c>
      <c r="AA210" s="49">
        <f t="shared" si="34"/>
        <v>0</v>
      </c>
      <c r="AB210" s="71">
        <f t="shared" si="35"/>
        <v>0.59</v>
      </c>
      <c r="AC210" s="49">
        <f t="shared" si="36"/>
        <v>0</v>
      </c>
      <c r="AD210" s="50">
        <f t="shared" si="37"/>
        <v>0</v>
      </c>
      <c r="AE210" s="50">
        <f t="shared" si="38"/>
        <v>0</v>
      </c>
      <c r="AF210" s="50">
        <f t="shared" si="39"/>
        <v>0</v>
      </c>
      <c r="AG210" s="199">
        <f t="shared" si="40"/>
        <v>0</v>
      </c>
      <c r="AH210" s="187"/>
      <c r="AI210" s="185" t="s">
        <v>1451</v>
      </c>
      <c r="AJ210" s="185"/>
      <c r="AK210" s="277">
        <f t="shared" si="33"/>
        <v>20</v>
      </c>
      <c r="AL210" s="25">
        <f>(SUMIFS('T1 2019 Pipeline Data Lagasco'!$O:$O,'T1 2019 Pipeline Data Lagasco'!$A:$A,'Dec 31 2018 OFFS'!$AI210,'T1 2019 Pipeline Data Lagasco'!$Q:$Q,'Dec 31 2018 OFFS'!$AK210,'T1 2019 Pipeline Data Lagasco'!$E:$E,'Dec 31 2018 OFFS'!$U210,'T1 2019 Pipeline Data Lagasco'!$G:$G,'Dec 31 2018 OFFS'!$W210))/(MAX(COUNTIFS('T1 2019 Pipeline Data Lagasco'!$A:$A,'Dec 31 2018 OFFS'!$AI210,'T1 2019 Pipeline Data Lagasco'!$Q:$Q,'Dec 31 2018 OFFS'!$AK210,'T1 2019 Pipeline Data Lagasco'!$E:$E,'Dec 31 2018 OFFS'!$U210,'T1 2019 Pipeline Data Lagasco'!$G:$G,'Dec 31 2018 OFFS'!$W210),1))</f>
        <v>0</v>
      </c>
      <c r="AM210" s="274">
        <f t="shared" si="41"/>
        <v>0</v>
      </c>
    </row>
    <row r="211" spans="1:39" ht="12.7">
      <c r="A211" s="193" t="s">
        <v>909</v>
      </c>
      <c r="B211" s="40" t="s">
        <v>919</v>
      </c>
      <c r="C211" s="40" t="s">
        <v>920</v>
      </c>
      <c r="D211" s="40" t="s">
        <v>172</v>
      </c>
      <c r="E211" s="40" t="s">
        <v>1054</v>
      </c>
      <c r="F211" s="40" t="s">
        <v>1051</v>
      </c>
      <c r="G211" s="40" t="s">
        <v>1124</v>
      </c>
      <c r="H211" s="42">
        <v>42</v>
      </c>
      <c r="I211" s="43">
        <v>36</v>
      </c>
      <c r="J211" s="44">
        <v>51.90</v>
      </c>
      <c r="K211" s="45">
        <v>80</v>
      </c>
      <c r="L211" s="43">
        <v>55</v>
      </c>
      <c r="M211" s="46">
        <v>34.56</v>
      </c>
      <c r="N211" s="40" t="s">
        <v>1156</v>
      </c>
      <c r="O211" s="42">
        <v>42</v>
      </c>
      <c r="P211" s="43">
        <v>36</v>
      </c>
      <c r="Q211" s="44">
        <v>45.54</v>
      </c>
      <c r="R211" s="45">
        <v>80</v>
      </c>
      <c r="S211" s="43">
        <v>54</v>
      </c>
      <c r="T211" s="46">
        <v>49.14</v>
      </c>
      <c r="U211" s="40">
        <v>3</v>
      </c>
      <c r="V211" s="47">
        <v>3446</v>
      </c>
      <c r="W211" s="48">
        <v>2006</v>
      </c>
      <c r="X211" s="40"/>
      <c r="Y211" s="52"/>
      <c r="Z211" s="40" t="s">
        <v>910</v>
      </c>
      <c r="AA211" s="49">
        <f t="shared" si="34"/>
        <v>0</v>
      </c>
      <c r="AB211" s="71">
        <f t="shared" si="35"/>
        <v>0.52</v>
      </c>
      <c r="AC211" s="49">
        <f t="shared" si="36"/>
        <v>0</v>
      </c>
      <c r="AD211" s="50">
        <f t="shared" si="37"/>
        <v>0</v>
      </c>
      <c r="AE211" s="50">
        <f t="shared" si="38"/>
        <v>0</v>
      </c>
      <c r="AF211" s="50">
        <f t="shared" si="39"/>
        <v>0</v>
      </c>
      <c r="AG211" s="199">
        <f t="shared" si="40"/>
        <v>0</v>
      </c>
      <c r="AH211" s="187"/>
      <c r="AI211" s="185" t="s">
        <v>1451</v>
      </c>
      <c r="AJ211" s="185"/>
      <c r="AK211" s="277">
        <f t="shared" si="33"/>
        <v>3446</v>
      </c>
      <c r="AL211" s="25">
        <f>(SUMIFS('T1 2019 Pipeline Data Lagasco'!$O:$O,'T1 2019 Pipeline Data Lagasco'!$A:$A,'Dec 31 2018 OFFS'!$AI211,'T1 2019 Pipeline Data Lagasco'!$Q:$Q,'Dec 31 2018 OFFS'!$AK211,'T1 2019 Pipeline Data Lagasco'!$E:$E,'Dec 31 2018 OFFS'!$U211,'T1 2019 Pipeline Data Lagasco'!$G:$G,'Dec 31 2018 OFFS'!$W211))/(MAX(COUNTIFS('T1 2019 Pipeline Data Lagasco'!$A:$A,'Dec 31 2018 OFFS'!$AI211,'T1 2019 Pipeline Data Lagasco'!$Q:$Q,'Dec 31 2018 OFFS'!$AK211,'T1 2019 Pipeline Data Lagasco'!$E:$E,'Dec 31 2018 OFFS'!$U211,'T1 2019 Pipeline Data Lagasco'!$G:$G,'Dec 31 2018 OFFS'!$W211),1))</f>
        <v>0</v>
      </c>
      <c r="AM211" s="274">
        <f t="shared" si="41"/>
        <v>0</v>
      </c>
    </row>
    <row r="212" spans="1:39" ht="12.7">
      <c r="A212" s="193" t="s">
        <v>909</v>
      </c>
      <c r="B212" s="40" t="s">
        <v>919</v>
      </c>
      <c r="C212" s="40" t="s">
        <v>920</v>
      </c>
      <c r="D212" s="40" t="s">
        <v>172</v>
      </c>
      <c r="E212" s="40" t="s">
        <v>1054</v>
      </c>
      <c r="F212" s="139" t="s">
        <v>1051</v>
      </c>
      <c r="G212" s="41" t="s">
        <v>1013</v>
      </c>
      <c r="H212" s="42" t="s">
        <v>78</v>
      </c>
      <c r="I212" s="43" t="s">
        <v>1014</v>
      </c>
      <c r="J212" s="44" t="s">
        <v>1015</v>
      </c>
      <c r="K212" s="45" t="s">
        <v>1010</v>
      </c>
      <c r="L212" s="43" t="s">
        <v>1016</v>
      </c>
      <c r="M212" s="46" t="s">
        <v>1017</v>
      </c>
      <c r="N212" s="41" t="s">
        <v>1018</v>
      </c>
      <c r="O212" s="42" t="s">
        <v>78</v>
      </c>
      <c r="P212" s="43" t="s">
        <v>1019</v>
      </c>
      <c r="Q212" s="44" t="s">
        <v>1020</v>
      </c>
      <c r="R212" s="45" t="s">
        <v>1010</v>
      </c>
      <c r="S212" s="43" t="s">
        <v>1021</v>
      </c>
      <c r="T212" s="46" t="s">
        <v>1022</v>
      </c>
      <c r="U212" s="40">
        <v>4</v>
      </c>
      <c r="V212" s="47">
        <v>5298.56</v>
      </c>
      <c r="W212" s="48">
        <v>1999</v>
      </c>
      <c r="X212" s="40"/>
      <c r="Y212" s="52"/>
      <c r="Z212" s="40" t="s">
        <v>910</v>
      </c>
      <c r="AA212" s="49">
        <f t="shared" si="34"/>
        <v>0</v>
      </c>
      <c r="AB212" s="71">
        <f t="shared" si="35"/>
        <v>0.62</v>
      </c>
      <c r="AC212" s="49">
        <f t="shared" si="36"/>
        <v>0</v>
      </c>
      <c r="AD212" s="50">
        <f t="shared" si="37"/>
        <v>0</v>
      </c>
      <c r="AE212" s="50">
        <f t="shared" si="38"/>
        <v>0</v>
      </c>
      <c r="AF212" s="50">
        <f t="shared" si="39"/>
        <v>0</v>
      </c>
      <c r="AG212" s="199">
        <f t="shared" si="40"/>
        <v>0</v>
      </c>
      <c r="AH212" s="187"/>
      <c r="AI212" s="185" t="s">
        <v>1451</v>
      </c>
      <c r="AJ212" s="185"/>
      <c r="AK212" s="277">
        <f t="shared" si="33"/>
        <v>5298.56</v>
      </c>
      <c r="AL212" s="25">
        <f>(SUMIFS('T1 2019 Pipeline Data Lagasco'!$O:$O,'T1 2019 Pipeline Data Lagasco'!$A:$A,'Dec 31 2018 OFFS'!$AI212,'T1 2019 Pipeline Data Lagasco'!$Q:$Q,'Dec 31 2018 OFFS'!$AK212,'T1 2019 Pipeline Data Lagasco'!$E:$E,'Dec 31 2018 OFFS'!$U212,'T1 2019 Pipeline Data Lagasco'!$G:$G,'Dec 31 2018 OFFS'!$W212))/(MAX(COUNTIFS('T1 2019 Pipeline Data Lagasco'!$A:$A,'Dec 31 2018 OFFS'!$AI212,'T1 2019 Pipeline Data Lagasco'!$Q:$Q,'Dec 31 2018 OFFS'!$AK212,'T1 2019 Pipeline Data Lagasco'!$E:$E,'Dec 31 2018 OFFS'!$U212,'T1 2019 Pipeline Data Lagasco'!$G:$G,'Dec 31 2018 OFFS'!$W212),1))</f>
        <v>0</v>
      </c>
      <c r="AM212" s="274">
        <f t="shared" si="41"/>
        <v>0</v>
      </c>
    </row>
    <row r="213" spans="1:39" ht="12.7">
      <c r="A213" s="193" t="s">
        <v>909</v>
      </c>
      <c r="B213" s="40" t="s">
        <v>919</v>
      </c>
      <c r="C213" s="40" t="s">
        <v>920</v>
      </c>
      <c r="D213" s="40" t="s">
        <v>172</v>
      </c>
      <c r="E213" s="40" t="s">
        <v>1054</v>
      </c>
      <c r="F213" s="139" t="s">
        <v>1051</v>
      </c>
      <c r="G213" s="41" t="s">
        <v>1156</v>
      </c>
      <c r="H213" s="42">
        <v>42</v>
      </c>
      <c r="I213" s="43">
        <v>36</v>
      </c>
      <c r="J213" s="44">
        <v>45.10</v>
      </c>
      <c r="K213" s="45">
        <v>80</v>
      </c>
      <c r="L213" s="43">
        <v>54</v>
      </c>
      <c r="M213" s="46">
        <v>49.50</v>
      </c>
      <c r="N213" s="41" t="s">
        <v>1155</v>
      </c>
      <c r="O213" s="42">
        <v>42</v>
      </c>
      <c r="P213" s="43">
        <v>39</v>
      </c>
      <c r="Q213" s="44">
        <v>35.799999999999997</v>
      </c>
      <c r="R213" s="45">
        <v>80</v>
      </c>
      <c r="S213" s="43">
        <v>54</v>
      </c>
      <c r="T213" s="46">
        <v>17.50</v>
      </c>
      <c r="U213" s="40">
        <v>4</v>
      </c>
      <c r="V213" s="47">
        <v>17470</v>
      </c>
      <c r="W213" s="48">
        <v>2002</v>
      </c>
      <c r="X213" s="40"/>
      <c r="Y213" s="52"/>
      <c r="Z213" s="40" t="s">
        <v>910</v>
      </c>
      <c r="AA213" s="49">
        <f t="shared" si="34"/>
        <v>0</v>
      </c>
      <c r="AB213" s="71">
        <f t="shared" si="35"/>
        <v>0.56999999999999995</v>
      </c>
      <c r="AC213" s="49">
        <f t="shared" si="36"/>
        <v>0</v>
      </c>
      <c r="AD213" s="50">
        <f t="shared" si="37"/>
        <v>0</v>
      </c>
      <c r="AE213" s="50">
        <f t="shared" si="38"/>
        <v>0</v>
      </c>
      <c r="AF213" s="50">
        <f t="shared" si="39"/>
        <v>0</v>
      </c>
      <c r="AG213" s="199">
        <f t="shared" si="40"/>
        <v>0</v>
      </c>
      <c r="AH213" s="187"/>
      <c r="AI213" s="185" t="s">
        <v>1451</v>
      </c>
      <c r="AJ213" s="185"/>
      <c r="AK213" s="277">
        <f t="shared" si="33"/>
        <v>17470</v>
      </c>
      <c r="AL213" s="25">
        <f>(SUMIFS('T1 2019 Pipeline Data Lagasco'!$O:$O,'T1 2019 Pipeline Data Lagasco'!$A:$A,'Dec 31 2018 OFFS'!$AI213,'T1 2019 Pipeline Data Lagasco'!$Q:$Q,'Dec 31 2018 OFFS'!$AK213,'T1 2019 Pipeline Data Lagasco'!$E:$E,'Dec 31 2018 OFFS'!$U213,'T1 2019 Pipeline Data Lagasco'!$G:$G,'Dec 31 2018 OFFS'!$W213))/(MAX(COUNTIFS('T1 2019 Pipeline Data Lagasco'!$A:$A,'Dec 31 2018 OFFS'!$AI213,'T1 2019 Pipeline Data Lagasco'!$Q:$Q,'Dec 31 2018 OFFS'!$AK213,'T1 2019 Pipeline Data Lagasco'!$E:$E,'Dec 31 2018 OFFS'!$U213,'T1 2019 Pipeline Data Lagasco'!$G:$G,'Dec 31 2018 OFFS'!$W213),1))</f>
        <v>0</v>
      </c>
      <c r="AM213" s="274">
        <f t="shared" si="41"/>
        <v>0</v>
      </c>
    </row>
    <row r="214" spans="1:39" ht="12.7">
      <c r="A214" s="193" t="s">
        <v>909</v>
      </c>
      <c r="B214" s="40" t="s">
        <v>919</v>
      </c>
      <c r="C214" s="40" t="s">
        <v>920</v>
      </c>
      <c r="D214" s="40" t="s">
        <v>172</v>
      </c>
      <c r="E214" s="40" t="s">
        <v>1054</v>
      </c>
      <c r="F214" s="40" t="s">
        <v>1051</v>
      </c>
      <c r="G214" s="41" t="s">
        <v>1156</v>
      </c>
      <c r="H214" s="42">
        <v>42</v>
      </c>
      <c r="I214" s="43">
        <v>36</v>
      </c>
      <c r="J214" s="44">
        <v>45.47</v>
      </c>
      <c r="K214" s="45">
        <v>80</v>
      </c>
      <c r="L214" s="43">
        <v>54</v>
      </c>
      <c r="M214" s="46">
        <v>49.43</v>
      </c>
      <c r="N214" s="40" t="s">
        <v>1179</v>
      </c>
      <c r="O214" s="42">
        <v>42</v>
      </c>
      <c r="P214" s="43">
        <v>37</v>
      </c>
      <c r="Q214" s="44">
        <v>8.0459999999999994</v>
      </c>
      <c r="R214" s="45">
        <v>80</v>
      </c>
      <c r="S214" s="43">
        <v>56</v>
      </c>
      <c r="T214" s="46">
        <v>58.56</v>
      </c>
      <c r="U214" s="40">
        <v>3</v>
      </c>
      <c r="V214" s="47">
        <v>9913</v>
      </c>
      <c r="W214" s="48">
        <v>1999</v>
      </c>
      <c r="X214" s="40"/>
      <c r="Y214" s="52"/>
      <c r="Z214" s="40" t="s">
        <v>910</v>
      </c>
      <c r="AA214" s="49">
        <f t="shared" si="34"/>
        <v>0</v>
      </c>
      <c r="AB214" s="71">
        <f t="shared" si="35"/>
        <v>0.62</v>
      </c>
      <c r="AC214" s="49">
        <f t="shared" si="36"/>
        <v>0</v>
      </c>
      <c r="AD214" s="50">
        <f t="shared" si="37"/>
        <v>0</v>
      </c>
      <c r="AE214" s="50">
        <f t="shared" si="38"/>
        <v>0</v>
      </c>
      <c r="AF214" s="50">
        <f t="shared" si="39"/>
        <v>0</v>
      </c>
      <c r="AG214" s="199">
        <f t="shared" si="40"/>
        <v>0</v>
      </c>
      <c r="AH214" s="187"/>
      <c r="AI214" s="185" t="s">
        <v>1451</v>
      </c>
      <c r="AJ214" s="185"/>
      <c r="AK214" s="277">
        <f t="shared" si="33"/>
        <v>9913</v>
      </c>
      <c r="AL214" s="25">
        <f>(SUMIFS('T1 2019 Pipeline Data Lagasco'!$O:$O,'T1 2019 Pipeline Data Lagasco'!$A:$A,'Dec 31 2018 OFFS'!$AI214,'T1 2019 Pipeline Data Lagasco'!$Q:$Q,'Dec 31 2018 OFFS'!$AK214,'T1 2019 Pipeline Data Lagasco'!$E:$E,'Dec 31 2018 OFFS'!$U214,'T1 2019 Pipeline Data Lagasco'!$G:$G,'Dec 31 2018 OFFS'!$W214))/(MAX(COUNTIFS('T1 2019 Pipeline Data Lagasco'!$A:$A,'Dec 31 2018 OFFS'!$AI214,'T1 2019 Pipeline Data Lagasco'!$Q:$Q,'Dec 31 2018 OFFS'!$AK214,'T1 2019 Pipeline Data Lagasco'!$E:$E,'Dec 31 2018 OFFS'!$U214,'T1 2019 Pipeline Data Lagasco'!$G:$G,'Dec 31 2018 OFFS'!$W214),1))</f>
        <v>0</v>
      </c>
      <c r="AM214" s="274">
        <f t="shared" si="41"/>
        <v>0</v>
      </c>
    </row>
    <row r="215" spans="1:39" ht="12.7">
      <c r="A215" s="193" t="s">
        <v>909</v>
      </c>
      <c r="B215" s="40" t="s">
        <v>919</v>
      </c>
      <c r="C215" s="40" t="s">
        <v>920</v>
      </c>
      <c r="D215" s="40" t="s">
        <v>172</v>
      </c>
      <c r="E215" s="40" t="s">
        <v>1054</v>
      </c>
      <c r="F215" s="40"/>
      <c r="G215" s="41" t="s">
        <v>1157</v>
      </c>
      <c r="H215" s="42">
        <v>42</v>
      </c>
      <c r="I215" s="43">
        <v>36</v>
      </c>
      <c r="J215" s="44">
        <v>45.10</v>
      </c>
      <c r="K215" s="45">
        <v>80</v>
      </c>
      <c r="L215" s="43">
        <v>54</v>
      </c>
      <c r="M215" s="46">
        <v>49.50</v>
      </c>
      <c r="N215" s="41" t="s">
        <v>1155</v>
      </c>
      <c r="O215" s="42">
        <v>42</v>
      </c>
      <c r="P215" s="43">
        <v>39</v>
      </c>
      <c r="Q215" s="44">
        <v>35.799999999999997</v>
      </c>
      <c r="R215" s="45">
        <v>80</v>
      </c>
      <c r="S215" s="43">
        <v>54</v>
      </c>
      <c r="T215" s="46">
        <v>17.50</v>
      </c>
      <c r="U215" s="40">
        <v>8</v>
      </c>
      <c r="V215" s="47">
        <v>17500</v>
      </c>
      <c r="W215" s="48">
        <v>2002</v>
      </c>
      <c r="X215" s="40"/>
      <c r="Y215" s="52"/>
      <c r="Z215" s="40" t="s">
        <v>910</v>
      </c>
      <c r="AA215" s="49">
        <f t="shared" si="34"/>
        <v>862750</v>
      </c>
      <c r="AB215" s="71">
        <f t="shared" si="35"/>
        <v>0.56999999999999995</v>
      </c>
      <c r="AC215" s="49">
        <f t="shared" si="36"/>
        <v>370982.50</v>
      </c>
      <c r="AD215" s="50">
        <f t="shared" si="37"/>
        <v>0</v>
      </c>
      <c r="AE215" s="50">
        <f t="shared" si="38"/>
        <v>0</v>
      </c>
      <c r="AF215" s="50">
        <f t="shared" si="39"/>
        <v>370982.50</v>
      </c>
      <c r="AG215" s="199">
        <f t="shared" si="40"/>
        <v>370982</v>
      </c>
      <c r="AH215" s="187"/>
      <c r="AI215" s="185" t="s">
        <v>1451</v>
      </c>
      <c r="AJ215" s="185"/>
      <c r="AK215" s="277">
        <f t="shared" si="33"/>
        <v>17500</v>
      </c>
      <c r="AL215" s="25">
        <f>(SUMIFS('T1 2019 Pipeline Data Lagasco'!$O:$O,'T1 2019 Pipeline Data Lagasco'!$A:$A,'Dec 31 2018 OFFS'!$AI215,'T1 2019 Pipeline Data Lagasco'!$Q:$Q,'Dec 31 2018 OFFS'!$AK215,'T1 2019 Pipeline Data Lagasco'!$E:$E,'Dec 31 2018 OFFS'!$U215,'T1 2019 Pipeline Data Lagasco'!$G:$G,'Dec 31 2018 OFFS'!$W215))/(MAX(COUNTIFS('T1 2019 Pipeline Data Lagasco'!$A:$A,'Dec 31 2018 OFFS'!$AI215,'T1 2019 Pipeline Data Lagasco'!$Q:$Q,'Dec 31 2018 OFFS'!$AK215,'T1 2019 Pipeline Data Lagasco'!$E:$E,'Dec 31 2018 OFFS'!$U215,'T1 2019 Pipeline Data Lagasco'!$G:$G,'Dec 31 2018 OFFS'!$W215),1))</f>
        <v>370982</v>
      </c>
      <c r="AM215" s="274">
        <f t="shared" si="41"/>
        <v>0</v>
      </c>
    </row>
    <row r="216" spans="1:39" ht="12.7">
      <c r="A216" s="193" t="s">
        <v>909</v>
      </c>
      <c r="B216" s="40" t="s">
        <v>919</v>
      </c>
      <c r="C216" s="40" t="s">
        <v>920</v>
      </c>
      <c r="D216" s="40" t="s">
        <v>172</v>
      </c>
      <c r="E216" s="40" t="s">
        <v>1054</v>
      </c>
      <c r="F216" s="40" t="s">
        <v>1051</v>
      </c>
      <c r="G216" s="41" t="s">
        <v>1166</v>
      </c>
      <c r="H216" s="42">
        <v>42</v>
      </c>
      <c r="I216" s="43">
        <v>36</v>
      </c>
      <c r="J216" s="44">
        <v>21.40</v>
      </c>
      <c r="K216" s="45">
        <v>80</v>
      </c>
      <c r="L216" s="43">
        <v>54</v>
      </c>
      <c r="M216" s="46">
        <v>51.50</v>
      </c>
      <c r="N216" s="41" t="s">
        <v>1156</v>
      </c>
      <c r="O216" s="42">
        <v>42</v>
      </c>
      <c r="P216" s="43">
        <v>36</v>
      </c>
      <c r="Q216" s="44">
        <v>45.40</v>
      </c>
      <c r="R216" s="45">
        <v>80</v>
      </c>
      <c r="S216" s="43">
        <v>54</v>
      </c>
      <c r="T216" s="46">
        <v>49.38</v>
      </c>
      <c r="U216" s="40">
        <v>3</v>
      </c>
      <c r="V216" s="47">
        <v>2400</v>
      </c>
      <c r="W216" s="48">
        <v>2002</v>
      </c>
      <c r="X216" s="40"/>
      <c r="Y216" s="52"/>
      <c r="Z216" s="40" t="s">
        <v>910</v>
      </c>
      <c r="AA216" s="49">
        <f t="shared" si="34"/>
        <v>0</v>
      </c>
      <c r="AB216" s="71">
        <f t="shared" si="35"/>
        <v>0.56999999999999995</v>
      </c>
      <c r="AC216" s="49">
        <f t="shared" si="36"/>
        <v>0</v>
      </c>
      <c r="AD216" s="50">
        <f t="shared" si="37"/>
        <v>0</v>
      </c>
      <c r="AE216" s="50">
        <f t="shared" si="38"/>
        <v>0</v>
      </c>
      <c r="AF216" s="50">
        <f t="shared" si="39"/>
        <v>0</v>
      </c>
      <c r="AG216" s="199">
        <f t="shared" si="40"/>
        <v>0</v>
      </c>
      <c r="AH216" s="187"/>
      <c r="AI216" s="185" t="s">
        <v>1451</v>
      </c>
      <c r="AJ216" s="185"/>
      <c r="AK216" s="277">
        <f t="shared" si="33"/>
        <v>2400</v>
      </c>
      <c r="AL216" s="25">
        <f>(SUMIFS('T1 2019 Pipeline Data Lagasco'!$O:$O,'T1 2019 Pipeline Data Lagasco'!$A:$A,'Dec 31 2018 OFFS'!$AI216,'T1 2019 Pipeline Data Lagasco'!$Q:$Q,'Dec 31 2018 OFFS'!$AK216,'T1 2019 Pipeline Data Lagasco'!$E:$E,'Dec 31 2018 OFFS'!$U216,'T1 2019 Pipeline Data Lagasco'!$G:$G,'Dec 31 2018 OFFS'!$W216))/(MAX(COUNTIFS('T1 2019 Pipeline Data Lagasco'!$A:$A,'Dec 31 2018 OFFS'!$AI216,'T1 2019 Pipeline Data Lagasco'!$Q:$Q,'Dec 31 2018 OFFS'!$AK216,'T1 2019 Pipeline Data Lagasco'!$E:$E,'Dec 31 2018 OFFS'!$U216,'T1 2019 Pipeline Data Lagasco'!$G:$G,'Dec 31 2018 OFFS'!$W216),1))</f>
        <v>0</v>
      </c>
      <c r="AM216" s="274">
        <f t="shared" si="41"/>
        <v>0</v>
      </c>
    </row>
    <row r="217" spans="1:39" ht="12.7">
      <c r="A217" s="193" t="s">
        <v>909</v>
      </c>
      <c r="B217" s="40" t="s">
        <v>919</v>
      </c>
      <c r="C217" s="40" t="s">
        <v>920</v>
      </c>
      <c r="D217" s="40" t="s">
        <v>172</v>
      </c>
      <c r="E217" s="40" t="s">
        <v>1054</v>
      </c>
      <c r="F217" s="40" t="s">
        <v>1051</v>
      </c>
      <c r="G217" s="41" t="s">
        <v>1166</v>
      </c>
      <c r="H217" s="42">
        <v>42</v>
      </c>
      <c r="I217" s="43">
        <v>36</v>
      </c>
      <c r="J217" s="44">
        <f>60*0.365</f>
        <v>21.90</v>
      </c>
      <c r="K217" s="45">
        <v>80</v>
      </c>
      <c r="L217" s="43">
        <v>54</v>
      </c>
      <c r="M217" s="46">
        <f>60*0.859</f>
        <v>51.54</v>
      </c>
      <c r="N217" s="41" t="s">
        <v>1157</v>
      </c>
      <c r="O217" s="42">
        <v>42</v>
      </c>
      <c r="P217" s="43">
        <v>36</v>
      </c>
      <c r="Q217" s="44">
        <f>60*0.764</f>
        <v>45.84</v>
      </c>
      <c r="R217" s="45">
        <v>80</v>
      </c>
      <c r="S217" s="43">
        <v>54</v>
      </c>
      <c r="T217" s="46">
        <f>60*0.832</f>
        <v>49.919999999999995</v>
      </c>
      <c r="U217" s="40">
        <v>3</v>
      </c>
      <c r="V217" s="47">
        <v>2432</v>
      </c>
      <c r="W217" s="48">
        <v>2005</v>
      </c>
      <c r="X217" s="40"/>
      <c r="Y217" s="52"/>
      <c r="Z217" s="40" t="s">
        <v>910</v>
      </c>
      <c r="AA217" s="49">
        <f t="shared" si="34"/>
        <v>0</v>
      </c>
      <c r="AB217" s="71">
        <f t="shared" si="35"/>
        <v>0.54</v>
      </c>
      <c r="AC217" s="49">
        <f t="shared" si="36"/>
        <v>0</v>
      </c>
      <c r="AD217" s="50">
        <f t="shared" si="37"/>
        <v>0</v>
      </c>
      <c r="AE217" s="50">
        <f t="shared" si="38"/>
        <v>0</v>
      </c>
      <c r="AF217" s="50">
        <f t="shared" si="39"/>
        <v>0</v>
      </c>
      <c r="AG217" s="199">
        <f t="shared" si="40"/>
        <v>0</v>
      </c>
      <c r="AH217" s="187"/>
      <c r="AI217" s="185" t="s">
        <v>1451</v>
      </c>
      <c r="AJ217" s="185"/>
      <c r="AK217" s="277">
        <f t="shared" si="33"/>
        <v>2432</v>
      </c>
      <c r="AL217" s="25">
        <f>(SUMIFS('T1 2019 Pipeline Data Lagasco'!$O:$O,'T1 2019 Pipeline Data Lagasco'!$A:$A,'Dec 31 2018 OFFS'!$AI217,'T1 2019 Pipeline Data Lagasco'!$Q:$Q,'Dec 31 2018 OFFS'!$AK217,'T1 2019 Pipeline Data Lagasco'!$E:$E,'Dec 31 2018 OFFS'!$U217,'T1 2019 Pipeline Data Lagasco'!$G:$G,'Dec 31 2018 OFFS'!$W217))/(MAX(COUNTIFS('T1 2019 Pipeline Data Lagasco'!$A:$A,'Dec 31 2018 OFFS'!$AI217,'T1 2019 Pipeline Data Lagasco'!$Q:$Q,'Dec 31 2018 OFFS'!$AK217,'T1 2019 Pipeline Data Lagasco'!$E:$E,'Dec 31 2018 OFFS'!$U217,'T1 2019 Pipeline Data Lagasco'!$G:$G,'Dec 31 2018 OFFS'!$W217),1))</f>
        <v>0</v>
      </c>
      <c r="AM217" s="274">
        <f t="shared" si="41"/>
        <v>0</v>
      </c>
    </row>
    <row r="218" spans="1:39" ht="12.7">
      <c r="A218" s="193" t="s">
        <v>909</v>
      </c>
      <c r="B218" s="40" t="s">
        <v>919</v>
      </c>
      <c r="C218" s="40" t="s">
        <v>920</v>
      </c>
      <c r="D218" s="40" t="s">
        <v>172</v>
      </c>
      <c r="E218" s="40" t="s">
        <v>1054</v>
      </c>
      <c r="F218" s="40"/>
      <c r="G218" s="40" t="s">
        <v>1260</v>
      </c>
      <c r="H218" s="42">
        <v>42</v>
      </c>
      <c r="I218" s="43">
        <v>33</v>
      </c>
      <c r="J218" s="44">
        <f>60*0.097</f>
        <v>5.82</v>
      </c>
      <c r="K218" s="45">
        <v>80</v>
      </c>
      <c r="L218" s="43">
        <v>54</v>
      </c>
      <c r="M218" s="46">
        <f>60*0.294</f>
        <v>17.64</v>
      </c>
      <c r="N218" s="40" t="s">
        <v>1261</v>
      </c>
      <c r="O218" s="42">
        <v>42</v>
      </c>
      <c r="P218" s="43">
        <v>33</v>
      </c>
      <c r="Q218" s="44">
        <f>60*0.426</f>
        <v>25.56</v>
      </c>
      <c r="R218" s="45">
        <v>80</v>
      </c>
      <c r="S218" s="43">
        <v>55</v>
      </c>
      <c r="T218" s="46">
        <f>60*0.924</f>
        <v>55.440000000000005</v>
      </c>
      <c r="U218" s="40">
        <v>4</v>
      </c>
      <c r="V218" s="47">
        <v>7578</v>
      </c>
      <c r="W218" s="48">
        <v>2005</v>
      </c>
      <c r="X218" s="139"/>
      <c r="Y218" s="52"/>
      <c r="Z218" s="40" t="s">
        <v>910</v>
      </c>
      <c r="AA218" s="49">
        <f t="shared" si="34"/>
        <v>200438.10</v>
      </c>
      <c r="AB218" s="71">
        <f t="shared" si="35"/>
        <v>0.54</v>
      </c>
      <c r="AC218" s="49">
        <f t="shared" si="36"/>
        <v>92201.53</v>
      </c>
      <c r="AD218" s="50">
        <f t="shared" si="37"/>
        <v>0</v>
      </c>
      <c r="AE218" s="50">
        <f t="shared" si="38"/>
        <v>0</v>
      </c>
      <c r="AF218" s="50">
        <f t="shared" si="39"/>
        <v>92201.53</v>
      </c>
      <c r="AG218" s="199">
        <f t="shared" si="40"/>
        <v>92201</v>
      </c>
      <c r="AH218" s="187"/>
      <c r="AI218" s="185" t="s">
        <v>1451</v>
      </c>
      <c r="AJ218" s="185"/>
      <c r="AK218" s="277">
        <f t="shared" si="33"/>
        <v>7578</v>
      </c>
      <c r="AL218" s="25">
        <f>(SUMIFS('T1 2019 Pipeline Data Lagasco'!$O:$O,'T1 2019 Pipeline Data Lagasco'!$A:$A,'Dec 31 2018 OFFS'!$AI218,'T1 2019 Pipeline Data Lagasco'!$Q:$Q,'Dec 31 2018 OFFS'!$AK218,'T1 2019 Pipeline Data Lagasco'!$E:$E,'Dec 31 2018 OFFS'!$U218,'T1 2019 Pipeline Data Lagasco'!$G:$G,'Dec 31 2018 OFFS'!$W218))/(MAX(COUNTIFS('T1 2019 Pipeline Data Lagasco'!$A:$A,'Dec 31 2018 OFFS'!$AI218,'T1 2019 Pipeline Data Lagasco'!$Q:$Q,'Dec 31 2018 OFFS'!$AK218,'T1 2019 Pipeline Data Lagasco'!$E:$E,'Dec 31 2018 OFFS'!$U218,'T1 2019 Pipeline Data Lagasco'!$G:$G,'Dec 31 2018 OFFS'!$W218),1))</f>
        <v>92201</v>
      </c>
      <c r="AM218" s="274">
        <f t="shared" si="41"/>
        <v>0</v>
      </c>
    </row>
    <row r="219" spans="1:39" ht="12.7">
      <c r="A219" s="193" t="s">
        <v>909</v>
      </c>
      <c r="B219" s="40" t="s">
        <v>919</v>
      </c>
      <c r="C219" s="40" t="s">
        <v>920</v>
      </c>
      <c r="D219" s="40" t="s">
        <v>172</v>
      </c>
      <c r="E219" s="40" t="s">
        <v>1054</v>
      </c>
      <c r="F219" s="40"/>
      <c r="G219" s="40" t="s">
        <v>1259</v>
      </c>
      <c r="H219" s="42">
        <v>42</v>
      </c>
      <c r="I219" s="43">
        <v>32</v>
      </c>
      <c r="J219" s="44">
        <f>60*0.782</f>
        <v>46.92</v>
      </c>
      <c r="K219" s="45">
        <v>80</v>
      </c>
      <c r="L219" s="43">
        <v>52</v>
      </c>
      <c r="M219" s="46">
        <f>60*0.686</f>
        <v>41.16</v>
      </c>
      <c r="N219" s="40" t="s">
        <v>1260</v>
      </c>
      <c r="O219" s="42">
        <v>42</v>
      </c>
      <c r="P219" s="43">
        <v>33</v>
      </c>
      <c r="Q219" s="44">
        <f>60*0.097</f>
        <v>5.82</v>
      </c>
      <c r="R219" s="45">
        <v>80</v>
      </c>
      <c r="S219" s="43">
        <v>54</v>
      </c>
      <c r="T219" s="46">
        <f>60*0.294</f>
        <v>17.64</v>
      </c>
      <c r="U219" s="40">
        <v>4</v>
      </c>
      <c r="V219" s="47">
        <v>7480</v>
      </c>
      <c r="W219" s="48">
        <v>2005</v>
      </c>
      <c r="X219" s="139"/>
      <c r="Y219" s="52"/>
      <c r="Z219" s="40" t="s">
        <v>910</v>
      </c>
      <c r="AA219" s="49">
        <f t="shared" si="34"/>
        <v>197846</v>
      </c>
      <c r="AB219" s="71">
        <f t="shared" si="35"/>
        <v>0.54</v>
      </c>
      <c r="AC219" s="49">
        <f t="shared" si="36"/>
        <v>91009.16</v>
      </c>
      <c r="AD219" s="50">
        <f t="shared" si="37"/>
        <v>0</v>
      </c>
      <c r="AE219" s="50">
        <f t="shared" si="38"/>
        <v>0</v>
      </c>
      <c r="AF219" s="50">
        <f t="shared" si="39"/>
        <v>91009.16</v>
      </c>
      <c r="AG219" s="199">
        <f t="shared" si="40"/>
        <v>91009</v>
      </c>
      <c r="AH219" s="187"/>
      <c r="AI219" s="185" t="s">
        <v>1451</v>
      </c>
      <c r="AJ219" s="185"/>
      <c r="AK219" s="282">
        <f t="shared" si="33"/>
        <v>7480</v>
      </c>
      <c r="AL219" s="25">
        <f>(SUMIFS('T1 2019 Pipeline Data Lagasco'!$O:$O,'T1 2019 Pipeline Data Lagasco'!$A:$A,'Dec 31 2018 OFFS'!$AI219,'T1 2019 Pipeline Data Lagasco'!$Q:$Q,'Dec 31 2018 OFFS'!$AK219,'T1 2019 Pipeline Data Lagasco'!$E:$E,'Dec 31 2018 OFFS'!$U219,'T1 2019 Pipeline Data Lagasco'!$G:$G,'Dec 31 2018 OFFS'!$W219))/(MAX(COUNTIFS('T1 2019 Pipeline Data Lagasco'!$A:$A,'Dec 31 2018 OFFS'!$AI219,'T1 2019 Pipeline Data Lagasco'!$Q:$Q,'Dec 31 2018 OFFS'!$AK219,'T1 2019 Pipeline Data Lagasco'!$E:$E,'Dec 31 2018 OFFS'!$U219,'T1 2019 Pipeline Data Lagasco'!$G:$G,'Dec 31 2018 OFFS'!$W219),1))</f>
        <v>91009</v>
      </c>
      <c r="AM219" s="274">
        <f t="shared" si="41"/>
        <v>0</v>
      </c>
    </row>
    <row r="220" spans="1:39" ht="12.7">
      <c r="A220" s="193" t="s">
        <v>909</v>
      </c>
      <c r="B220" s="40" t="s">
        <v>919</v>
      </c>
      <c r="C220" s="40" t="s">
        <v>920</v>
      </c>
      <c r="D220" s="40" t="s">
        <v>172</v>
      </c>
      <c r="E220" s="40" t="s">
        <v>1054</v>
      </c>
      <c r="F220" s="40"/>
      <c r="G220" s="139" t="s">
        <v>1403</v>
      </c>
      <c r="H220" s="42">
        <v>42</v>
      </c>
      <c r="I220" s="43">
        <v>32</v>
      </c>
      <c r="J220" s="44">
        <f>60*0.515</f>
        <v>30.90</v>
      </c>
      <c r="K220" s="45">
        <v>80</v>
      </c>
      <c r="L220" s="43">
        <v>51</v>
      </c>
      <c r="M220" s="46">
        <f>60*0.825</f>
        <v>49.50</v>
      </c>
      <c r="N220" s="40" t="s">
        <v>1259</v>
      </c>
      <c r="O220" s="42">
        <v>42</v>
      </c>
      <c r="P220" s="43">
        <v>32</v>
      </c>
      <c r="Q220" s="44">
        <f>60*0.782</f>
        <v>46.92</v>
      </c>
      <c r="R220" s="45">
        <v>80</v>
      </c>
      <c r="S220" s="43">
        <v>52</v>
      </c>
      <c r="T220" s="46">
        <f>60*0.686</f>
        <v>41.16</v>
      </c>
      <c r="U220" s="40">
        <v>4</v>
      </c>
      <c r="V220" s="47">
        <v>7480</v>
      </c>
      <c r="W220" s="48">
        <v>2005</v>
      </c>
      <c r="X220" s="139"/>
      <c r="Y220" s="52"/>
      <c r="Z220" s="40" t="s">
        <v>910</v>
      </c>
      <c r="AA220" s="49">
        <f t="shared" si="34"/>
        <v>197846</v>
      </c>
      <c r="AB220" s="71">
        <f t="shared" si="35"/>
        <v>0.54</v>
      </c>
      <c r="AC220" s="49">
        <f t="shared" si="36"/>
        <v>91009.16</v>
      </c>
      <c r="AD220" s="50">
        <f t="shared" si="37"/>
        <v>0</v>
      </c>
      <c r="AE220" s="50">
        <f t="shared" si="38"/>
        <v>0</v>
      </c>
      <c r="AF220" s="50">
        <f t="shared" si="39"/>
        <v>91009.16</v>
      </c>
      <c r="AG220" s="199">
        <f t="shared" si="40"/>
        <v>91009</v>
      </c>
      <c r="AH220" s="187">
        <f>SUM(AF94:AF220)</f>
        <v>6083930.392500001</v>
      </c>
      <c r="AI220" s="185" t="s">
        <v>1451</v>
      </c>
      <c r="AJ220" s="185"/>
      <c r="AK220" s="282">
        <f t="shared" si="33"/>
        <v>7480</v>
      </c>
      <c r="AL220" s="25">
        <f>(SUMIFS('T1 2019 Pipeline Data Lagasco'!$O:$O,'T1 2019 Pipeline Data Lagasco'!$A:$A,'Dec 31 2018 OFFS'!$AI220,'T1 2019 Pipeline Data Lagasco'!$Q:$Q,'Dec 31 2018 OFFS'!$AK220,'T1 2019 Pipeline Data Lagasco'!$E:$E,'Dec 31 2018 OFFS'!$U220,'T1 2019 Pipeline Data Lagasco'!$G:$G,'Dec 31 2018 OFFS'!$W220))/(MAX(COUNTIFS('T1 2019 Pipeline Data Lagasco'!$A:$A,'Dec 31 2018 OFFS'!$AI220,'T1 2019 Pipeline Data Lagasco'!$Q:$Q,'Dec 31 2018 OFFS'!$AK220,'T1 2019 Pipeline Data Lagasco'!$E:$E,'Dec 31 2018 OFFS'!$U220,'T1 2019 Pipeline Data Lagasco'!$G:$G,'Dec 31 2018 OFFS'!$W220),1))</f>
        <v>91009</v>
      </c>
      <c r="AM220" s="274">
        <f t="shared" si="41"/>
        <v>0</v>
      </c>
    </row>
    <row r="221" spans="1:39" ht="12.7">
      <c r="A221" s="193" t="s">
        <v>909</v>
      </c>
      <c r="B221" s="40" t="s">
        <v>919</v>
      </c>
      <c r="C221" s="40" t="s">
        <v>920</v>
      </c>
      <c r="D221" s="40" t="s">
        <v>728</v>
      </c>
      <c r="E221" s="40" t="s">
        <v>1054</v>
      </c>
      <c r="F221" s="40" t="s">
        <v>1051</v>
      </c>
      <c r="G221" s="41" t="s">
        <v>726</v>
      </c>
      <c r="H221" s="42">
        <v>42</v>
      </c>
      <c r="I221" s="43">
        <v>39</v>
      </c>
      <c r="J221" s="44">
        <v>19.565</v>
      </c>
      <c r="K221" s="45">
        <v>81</v>
      </c>
      <c r="L221" s="43">
        <v>13</v>
      </c>
      <c r="M221" s="46">
        <v>49.029000000000003</v>
      </c>
      <c r="N221" s="40" t="s">
        <v>727</v>
      </c>
      <c r="O221" s="42">
        <v>42</v>
      </c>
      <c r="P221" s="43">
        <v>37</v>
      </c>
      <c r="Q221" s="44">
        <v>47.845</v>
      </c>
      <c r="R221" s="45">
        <v>81</v>
      </c>
      <c r="S221" s="43">
        <v>12</v>
      </c>
      <c r="T221" s="46">
        <v>50.162999999999997</v>
      </c>
      <c r="U221" s="40">
        <v>6</v>
      </c>
      <c r="V221" s="47">
        <v>10274.638810057999</v>
      </c>
      <c r="W221" s="48">
        <v>1971</v>
      </c>
      <c r="X221" s="40" t="s">
        <v>2</v>
      </c>
      <c r="Y221" s="52"/>
      <c r="Z221" s="40" t="s">
        <v>910</v>
      </c>
      <c r="AA221" s="49">
        <f t="shared" si="34"/>
        <v>0</v>
      </c>
      <c r="AB221" s="71">
        <f t="shared" si="35"/>
        <v>0.80</v>
      </c>
      <c r="AC221" s="49">
        <f t="shared" si="36"/>
        <v>0</v>
      </c>
      <c r="AD221" s="50">
        <f t="shared" si="37"/>
        <v>0</v>
      </c>
      <c r="AE221" s="50">
        <f t="shared" si="38"/>
        <v>0</v>
      </c>
      <c r="AF221" s="50">
        <f t="shared" si="39"/>
        <v>0</v>
      </c>
      <c r="AG221" s="199">
        <f t="shared" si="40"/>
        <v>0</v>
      </c>
      <c r="AH221" s="187"/>
      <c r="AI221" s="185" t="s">
        <v>1452</v>
      </c>
      <c r="AJ221" s="185"/>
      <c r="AK221" s="277">
        <f t="shared" si="33"/>
        <v>10274.64</v>
      </c>
      <c r="AL221" s="25">
        <f>(SUMIFS('T1 2019 Pipeline Data Lagasco'!$O:$O,'T1 2019 Pipeline Data Lagasco'!$A:$A,'Dec 31 2018 OFFS'!$AI221,'T1 2019 Pipeline Data Lagasco'!$Q:$Q,'Dec 31 2018 OFFS'!$AK221,'T1 2019 Pipeline Data Lagasco'!$E:$E,'Dec 31 2018 OFFS'!$U221,'T1 2019 Pipeline Data Lagasco'!$G:$G,'Dec 31 2018 OFFS'!$W221))/(MAX(COUNTIFS('T1 2019 Pipeline Data Lagasco'!$A:$A,'Dec 31 2018 OFFS'!$AI221,'T1 2019 Pipeline Data Lagasco'!$Q:$Q,'Dec 31 2018 OFFS'!$AK221,'T1 2019 Pipeline Data Lagasco'!$E:$E,'Dec 31 2018 OFFS'!$U221,'T1 2019 Pipeline Data Lagasco'!$G:$G,'Dec 31 2018 OFFS'!$W221),1))</f>
        <v>0</v>
      </c>
      <c r="AM221" s="274">
        <f t="shared" si="41"/>
        <v>0</v>
      </c>
    </row>
    <row r="222" spans="1:39" ht="12.7">
      <c r="A222" s="193" t="s">
        <v>909</v>
      </c>
      <c r="B222" s="40" t="s">
        <v>919</v>
      </c>
      <c r="C222" s="40" t="s">
        <v>920</v>
      </c>
      <c r="D222" s="40" t="s">
        <v>728</v>
      </c>
      <c r="E222" s="40" t="s">
        <v>1054</v>
      </c>
      <c r="F222" s="40" t="s">
        <v>1051</v>
      </c>
      <c r="G222" s="41" t="s">
        <v>729</v>
      </c>
      <c r="H222" s="42">
        <v>42</v>
      </c>
      <c r="I222" s="43">
        <v>39</v>
      </c>
      <c r="J222" s="44">
        <v>19.495</v>
      </c>
      <c r="K222" s="45">
        <v>81</v>
      </c>
      <c r="L222" s="43">
        <v>13</v>
      </c>
      <c r="M222" s="46">
        <v>44.640999999999998</v>
      </c>
      <c r="N222" s="40" t="s">
        <v>730</v>
      </c>
      <c r="O222" s="42">
        <v>42</v>
      </c>
      <c r="P222" s="43">
        <v>37</v>
      </c>
      <c r="Q222" s="44">
        <v>58.075</v>
      </c>
      <c r="R222" s="45">
        <v>81</v>
      </c>
      <c r="S222" s="43">
        <v>12</v>
      </c>
      <c r="T222" s="46">
        <v>49.921999999999997</v>
      </c>
      <c r="U222" s="40">
        <v>6</v>
      </c>
      <c r="V222" s="47">
        <v>9201.082410701998</v>
      </c>
      <c r="W222" s="48">
        <v>1975</v>
      </c>
      <c r="X222" s="40"/>
      <c r="Y222" s="52"/>
      <c r="Z222" s="40" t="s">
        <v>910</v>
      </c>
      <c r="AA222" s="49">
        <f t="shared" si="34"/>
        <v>0</v>
      </c>
      <c r="AB222" s="71">
        <f t="shared" si="35"/>
        <v>0.80</v>
      </c>
      <c r="AC222" s="49">
        <f t="shared" si="36"/>
        <v>0</v>
      </c>
      <c r="AD222" s="50">
        <f t="shared" si="37"/>
        <v>0</v>
      </c>
      <c r="AE222" s="50">
        <f t="shared" si="38"/>
        <v>0</v>
      </c>
      <c r="AF222" s="50">
        <f t="shared" si="39"/>
        <v>0</v>
      </c>
      <c r="AG222" s="199">
        <f t="shared" si="40"/>
        <v>0</v>
      </c>
      <c r="AH222" s="187"/>
      <c r="AI222" s="185" t="s">
        <v>1452</v>
      </c>
      <c r="AJ222" s="185"/>
      <c r="AK222" s="277">
        <f t="shared" si="33"/>
        <v>9201.08</v>
      </c>
      <c r="AL222" s="25">
        <f>(SUMIFS('T1 2019 Pipeline Data Lagasco'!$O:$O,'T1 2019 Pipeline Data Lagasco'!$A:$A,'Dec 31 2018 OFFS'!$AI222,'T1 2019 Pipeline Data Lagasco'!$Q:$Q,'Dec 31 2018 OFFS'!$AK222,'T1 2019 Pipeline Data Lagasco'!$E:$E,'Dec 31 2018 OFFS'!$U222,'T1 2019 Pipeline Data Lagasco'!$G:$G,'Dec 31 2018 OFFS'!$W222))/(MAX(COUNTIFS('T1 2019 Pipeline Data Lagasco'!$A:$A,'Dec 31 2018 OFFS'!$AI222,'T1 2019 Pipeline Data Lagasco'!$Q:$Q,'Dec 31 2018 OFFS'!$AK222,'T1 2019 Pipeline Data Lagasco'!$E:$E,'Dec 31 2018 OFFS'!$U222,'T1 2019 Pipeline Data Lagasco'!$G:$G,'Dec 31 2018 OFFS'!$W222),1))</f>
        <v>0</v>
      </c>
      <c r="AM222" s="274">
        <f t="shared" si="41"/>
        <v>0</v>
      </c>
    </row>
    <row r="223" spans="1:39" ht="12.7">
      <c r="A223" s="193" t="s">
        <v>909</v>
      </c>
      <c r="B223" s="40" t="s">
        <v>919</v>
      </c>
      <c r="C223" s="40" t="s">
        <v>920</v>
      </c>
      <c r="D223" s="40" t="s">
        <v>728</v>
      </c>
      <c r="E223" s="40" t="s">
        <v>1054</v>
      </c>
      <c r="F223" s="40" t="s">
        <v>1051</v>
      </c>
      <c r="G223" s="41" t="s">
        <v>948</v>
      </c>
      <c r="H223" s="42">
        <v>42</v>
      </c>
      <c r="I223" s="43">
        <v>39</v>
      </c>
      <c r="J223" s="44">
        <v>18.80</v>
      </c>
      <c r="K223" s="45">
        <v>81</v>
      </c>
      <c r="L223" s="43">
        <v>13</v>
      </c>
      <c r="M223" s="46">
        <v>54.19</v>
      </c>
      <c r="N223" s="40" t="s">
        <v>731</v>
      </c>
      <c r="O223" s="42">
        <v>42</v>
      </c>
      <c r="P223" s="43">
        <v>37</v>
      </c>
      <c r="Q223" s="44">
        <v>34.700000000000003</v>
      </c>
      <c r="R223" s="45">
        <v>81</v>
      </c>
      <c r="S223" s="43">
        <v>12</v>
      </c>
      <c r="T223" s="46">
        <v>50.003999999999998</v>
      </c>
      <c r="U223" s="40">
        <v>6</v>
      </c>
      <c r="V223" s="47">
        <v>11567</v>
      </c>
      <c r="W223" s="48">
        <v>1975</v>
      </c>
      <c r="X223" s="40" t="s">
        <v>2</v>
      </c>
      <c r="Y223" s="52"/>
      <c r="Z223" s="40" t="s">
        <v>910</v>
      </c>
      <c r="AA223" s="49">
        <f t="shared" si="34"/>
        <v>0</v>
      </c>
      <c r="AB223" s="71">
        <f t="shared" si="35"/>
        <v>0.80</v>
      </c>
      <c r="AC223" s="49">
        <f t="shared" si="36"/>
        <v>0</v>
      </c>
      <c r="AD223" s="50">
        <f t="shared" si="37"/>
        <v>0</v>
      </c>
      <c r="AE223" s="50">
        <f t="shared" si="38"/>
        <v>0</v>
      </c>
      <c r="AF223" s="50">
        <f t="shared" si="39"/>
        <v>0</v>
      </c>
      <c r="AG223" s="199">
        <f t="shared" si="40"/>
        <v>0</v>
      </c>
      <c r="AH223" s="187"/>
      <c r="AI223" s="185" t="s">
        <v>1452</v>
      </c>
      <c r="AJ223" s="185"/>
      <c r="AK223" s="277">
        <f t="shared" si="33"/>
        <v>11567</v>
      </c>
      <c r="AL223" s="25">
        <f>(SUMIFS('T1 2019 Pipeline Data Lagasco'!$O:$O,'T1 2019 Pipeline Data Lagasco'!$A:$A,'Dec 31 2018 OFFS'!$AI223,'T1 2019 Pipeline Data Lagasco'!$Q:$Q,'Dec 31 2018 OFFS'!$AK223,'T1 2019 Pipeline Data Lagasco'!$E:$E,'Dec 31 2018 OFFS'!$U223,'T1 2019 Pipeline Data Lagasco'!$G:$G,'Dec 31 2018 OFFS'!$W223))/(MAX(COUNTIFS('T1 2019 Pipeline Data Lagasco'!$A:$A,'Dec 31 2018 OFFS'!$AI223,'T1 2019 Pipeline Data Lagasco'!$Q:$Q,'Dec 31 2018 OFFS'!$AK223,'T1 2019 Pipeline Data Lagasco'!$E:$E,'Dec 31 2018 OFFS'!$U223,'T1 2019 Pipeline Data Lagasco'!$G:$G,'Dec 31 2018 OFFS'!$W223),1))</f>
        <v>0</v>
      </c>
      <c r="AM223" s="274">
        <f t="shared" si="41"/>
        <v>0</v>
      </c>
    </row>
    <row r="224" spans="1:39" ht="12.7">
      <c r="A224" s="193" t="s">
        <v>909</v>
      </c>
      <c r="B224" s="40" t="s">
        <v>919</v>
      </c>
      <c r="C224" s="40" t="s">
        <v>920</v>
      </c>
      <c r="D224" s="40" t="s">
        <v>728</v>
      </c>
      <c r="E224" s="40" t="s">
        <v>1054</v>
      </c>
      <c r="F224" s="40" t="s">
        <v>1051</v>
      </c>
      <c r="G224" s="41" t="s">
        <v>732</v>
      </c>
      <c r="H224" s="42">
        <v>42</v>
      </c>
      <c r="I224" s="43">
        <v>39</v>
      </c>
      <c r="J224" s="44">
        <v>54</v>
      </c>
      <c r="K224" s="45">
        <v>81</v>
      </c>
      <c r="L224" s="43">
        <v>13</v>
      </c>
      <c r="M224" s="46">
        <v>43</v>
      </c>
      <c r="N224" s="41" t="s">
        <v>729</v>
      </c>
      <c r="O224" s="42">
        <v>42</v>
      </c>
      <c r="P224" s="43">
        <v>39</v>
      </c>
      <c r="Q224" s="44">
        <v>19.495</v>
      </c>
      <c r="R224" s="45">
        <v>81</v>
      </c>
      <c r="S224" s="43">
        <v>13</v>
      </c>
      <c r="T224" s="46">
        <v>44.640999999999998</v>
      </c>
      <c r="U224" s="40">
        <v>6</v>
      </c>
      <c r="V224" s="47">
        <v>3495.2098725319997</v>
      </c>
      <c r="W224" s="48">
        <v>1975</v>
      </c>
      <c r="X224" s="40"/>
      <c r="Y224" s="52"/>
      <c r="Z224" s="40" t="s">
        <v>910</v>
      </c>
      <c r="AA224" s="49">
        <f t="shared" si="34"/>
        <v>0</v>
      </c>
      <c r="AB224" s="71">
        <f t="shared" si="35"/>
        <v>0.80</v>
      </c>
      <c r="AC224" s="49">
        <f t="shared" si="36"/>
        <v>0</v>
      </c>
      <c r="AD224" s="50">
        <f t="shared" si="37"/>
        <v>0</v>
      </c>
      <c r="AE224" s="50">
        <f t="shared" si="38"/>
        <v>0</v>
      </c>
      <c r="AF224" s="50">
        <f t="shared" si="39"/>
        <v>0</v>
      </c>
      <c r="AG224" s="199">
        <f t="shared" si="40"/>
        <v>0</v>
      </c>
      <c r="AH224" s="187"/>
      <c r="AI224" s="185" t="s">
        <v>1452</v>
      </c>
      <c r="AJ224" s="185"/>
      <c r="AK224" s="277">
        <f t="shared" si="33"/>
        <v>3495.21</v>
      </c>
      <c r="AL224" s="25">
        <f>(SUMIFS('T1 2019 Pipeline Data Lagasco'!$O:$O,'T1 2019 Pipeline Data Lagasco'!$A:$A,'Dec 31 2018 OFFS'!$AI224,'T1 2019 Pipeline Data Lagasco'!$Q:$Q,'Dec 31 2018 OFFS'!$AK224,'T1 2019 Pipeline Data Lagasco'!$E:$E,'Dec 31 2018 OFFS'!$U224,'T1 2019 Pipeline Data Lagasco'!$G:$G,'Dec 31 2018 OFFS'!$W224))/(MAX(COUNTIFS('T1 2019 Pipeline Data Lagasco'!$A:$A,'Dec 31 2018 OFFS'!$AI224,'T1 2019 Pipeline Data Lagasco'!$Q:$Q,'Dec 31 2018 OFFS'!$AK224,'T1 2019 Pipeline Data Lagasco'!$E:$E,'Dec 31 2018 OFFS'!$U224,'T1 2019 Pipeline Data Lagasco'!$G:$G,'Dec 31 2018 OFFS'!$W224),1))</f>
        <v>0</v>
      </c>
      <c r="AM224" s="274">
        <f t="shared" si="41"/>
        <v>0</v>
      </c>
    </row>
    <row r="225" spans="1:39" ht="12.7">
      <c r="A225" s="193" t="s">
        <v>909</v>
      </c>
      <c r="B225" s="40" t="s">
        <v>919</v>
      </c>
      <c r="C225" s="40" t="s">
        <v>920</v>
      </c>
      <c r="D225" s="40" t="s">
        <v>728</v>
      </c>
      <c r="E225" s="40" t="s">
        <v>1054</v>
      </c>
      <c r="F225" s="40" t="s">
        <v>1051</v>
      </c>
      <c r="G225" s="41" t="s">
        <v>732</v>
      </c>
      <c r="H225" s="42">
        <v>42</v>
      </c>
      <c r="I225" s="43">
        <v>39</v>
      </c>
      <c r="J225" s="44">
        <v>54</v>
      </c>
      <c r="K225" s="45">
        <v>81</v>
      </c>
      <c r="L225" s="43">
        <v>13</v>
      </c>
      <c r="M225" s="46">
        <v>43</v>
      </c>
      <c r="N225" s="41" t="s">
        <v>726</v>
      </c>
      <c r="O225" s="42">
        <v>42</v>
      </c>
      <c r="P225" s="43">
        <v>39</v>
      </c>
      <c r="Q225" s="44">
        <v>19.565</v>
      </c>
      <c r="R225" s="45">
        <v>81</v>
      </c>
      <c r="S225" s="43">
        <v>13</v>
      </c>
      <c r="T225" s="46">
        <v>49.029000000000003</v>
      </c>
      <c r="U225" s="40">
        <v>6</v>
      </c>
      <c r="V225" s="47">
        <v>3514.9277197299994</v>
      </c>
      <c r="W225" s="48">
        <v>1971</v>
      </c>
      <c r="X225" s="40" t="s">
        <v>2</v>
      </c>
      <c r="Y225" s="52"/>
      <c r="Z225" s="40" t="s">
        <v>910</v>
      </c>
      <c r="AA225" s="49">
        <f t="shared" si="34"/>
        <v>0</v>
      </c>
      <c r="AB225" s="71">
        <f t="shared" si="35"/>
        <v>0.80</v>
      </c>
      <c r="AC225" s="49">
        <f t="shared" si="36"/>
        <v>0</v>
      </c>
      <c r="AD225" s="50">
        <f t="shared" si="37"/>
        <v>0</v>
      </c>
      <c r="AE225" s="157">
        <f t="shared" si="38"/>
        <v>0</v>
      </c>
      <c r="AF225" s="157">
        <f t="shared" si="39"/>
        <v>0</v>
      </c>
      <c r="AG225" s="199">
        <f t="shared" si="40"/>
        <v>0</v>
      </c>
      <c r="AH225" s="187"/>
      <c r="AI225" s="185" t="s">
        <v>1452</v>
      </c>
      <c r="AJ225" s="185"/>
      <c r="AK225" s="277">
        <f t="shared" si="33"/>
        <v>3514.93</v>
      </c>
      <c r="AL225" s="25">
        <f>(SUMIFS('T1 2019 Pipeline Data Lagasco'!$O:$O,'T1 2019 Pipeline Data Lagasco'!$A:$A,'Dec 31 2018 OFFS'!$AI225,'T1 2019 Pipeline Data Lagasco'!$Q:$Q,'Dec 31 2018 OFFS'!$AK225,'T1 2019 Pipeline Data Lagasco'!$E:$E,'Dec 31 2018 OFFS'!$U225,'T1 2019 Pipeline Data Lagasco'!$G:$G,'Dec 31 2018 OFFS'!$W225))/(MAX(COUNTIFS('T1 2019 Pipeline Data Lagasco'!$A:$A,'Dec 31 2018 OFFS'!$AI225,'T1 2019 Pipeline Data Lagasco'!$Q:$Q,'Dec 31 2018 OFFS'!$AK225,'T1 2019 Pipeline Data Lagasco'!$E:$E,'Dec 31 2018 OFFS'!$U225,'T1 2019 Pipeline Data Lagasco'!$G:$G,'Dec 31 2018 OFFS'!$W225),1))</f>
        <v>0</v>
      </c>
      <c r="AM225" s="274">
        <f t="shared" si="41"/>
        <v>0</v>
      </c>
    </row>
    <row r="226" spans="1:39" ht="12.7">
      <c r="A226" s="193" t="s">
        <v>909</v>
      </c>
      <c r="B226" s="40" t="s">
        <v>919</v>
      </c>
      <c r="C226" s="40" t="s">
        <v>920</v>
      </c>
      <c r="D226" s="40" t="s">
        <v>728</v>
      </c>
      <c r="E226" s="40" t="s">
        <v>1054</v>
      </c>
      <c r="F226" s="40" t="s">
        <v>1051</v>
      </c>
      <c r="G226" s="41" t="s">
        <v>732</v>
      </c>
      <c r="H226" s="42">
        <v>42</v>
      </c>
      <c r="I226" s="43">
        <v>39</v>
      </c>
      <c r="J226" s="44">
        <v>54</v>
      </c>
      <c r="K226" s="45">
        <v>81</v>
      </c>
      <c r="L226" s="43">
        <v>13</v>
      </c>
      <c r="M226" s="46">
        <v>43</v>
      </c>
      <c r="N226" s="41" t="s">
        <v>733</v>
      </c>
      <c r="O226" s="42">
        <v>42</v>
      </c>
      <c r="P226" s="43">
        <v>39</v>
      </c>
      <c r="Q226" s="44">
        <v>18.80</v>
      </c>
      <c r="R226" s="45">
        <v>81</v>
      </c>
      <c r="S226" s="43">
        <v>13</v>
      </c>
      <c r="T226" s="46">
        <v>54.19</v>
      </c>
      <c r="U226" s="40">
        <v>6</v>
      </c>
      <c r="V226" s="47">
        <v>3656</v>
      </c>
      <c r="W226" s="48">
        <v>1975</v>
      </c>
      <c r="X226" s="40" t="s">
        <v>2</v>
      </c>
      <c r="Y226" s="52"/>
      <c r="Z226" s="40" t="s">
        <v>910</v>
      </c>
      <c r="AA226" s="49">
        <f t="shared" si="34"/>
        <v>0</v>
      </c>
      <c r="AB226" s="71">
        <f t="shared" si="35"/>
        <v>0.80</v>
      </c>
      <c r="AC226" s="49">
        <f t="shared" si="36"/>
        <v>0</v>
      </c>
      <c r="AD226" s="160">
        <f t="shared" si="37"/>
        <v>0</v>
      </c>
      <c r="AE226" s="50">
        <f t="shared" si="38"/>
        <v>0</v>
      </c>
      <c r="AF226" s="50">
        <f t="shared" si="39"/>
        <v>0</v>
      </c>
      <c r="AG226" s="199">
        <f t="shared" si="40"/>
        <v>0</v>
      </c>
      <c r="AH226" s="187">
        <f>SUM(AF221:AF226)</f>
        <v>0</v>
      </c>
      <c r="AI226" s="185" t="s">
        <v>1452</v>
      </c>
      <c r="AJ226" s="185"/>
      <c r="AK226" s="277">
        <f t="shared" si="33"/>
        <v>3656</v>
      </c>
      <c r="AL226" s="25">
        <f>(SUMIFS('T1 2019 Pipeline Data Lagasco'!$O:$O,'T1 2019 Pipeline Data Lagasco'!$A:$A,'Dec 31 2018 OFFS'!$AI226,'T1 2019 Pipeline Data Lagasco'!$Q:$Q,'Dec 31 2018 OFFS'!$AK226,'T1 2019 Pipeline Data Lagasco'!$E:$E,'Dec 31 2018 OFFS'!$U226,'T1 2019 Pipeline Data Lagasco'!$G:$G,'Dec 31 2018 OFFS'!$W226))/(MAX(COUNTIFS('T1 2019 Pipeline Data Lagasco'!$A:$A,'Dec 31 2018 OFFS'!$AI226,'T1 2019 Pipeline Data Lagasco'!$Q:$Q,'Dec 31 2018 OFFS'!$AK226,'T1 2019 Pipeline Data Lagasco'!$E:$E,'Dec 31 2018 OFFS'!$U226,'T1 2019 Pipeline Data Lagasco'!$G:$G,'Dec 31 2018 OFFS'!$W226),1))</f>
        <v>0</v>
      </c>
      <c r="AM226" s="274">
        <f t="shared" si="41"/>
        <v>0</v>
      </c>
    </row>
    <row r="227" spans="1:39" ht="12.7">
      <c r="A227" s="193" t="s">
        <v>909</v>
      </c>
      <c r="B227" s="40" t="s">
        <v>919</v>
      </c>
      <c r="C227" s="40" t="s">
        <v>920</v>
      </c>
      <c r="D227" s="40" t="s">
        <v>736</v>
      </c>
      <c r="E227" s="40" t="s">
        <v>1054</v>
      </c>
      <c r="F227" s="40"/>
      <c r="G227" s="41" t="s">
        <v>982</v>
      </c>
      <c r="H227" s="42" t="s">
        <v>78</v>
      </c>
      <c r="I227" s="43" t="s">
        <v>983</v>
      </c>
      <c r="J227" s="44" t="s">
        <v>984</v>
      </c>
      <c r="K227" s="45" t="s">
        <v>969</v>
      </c>
      <c r="L227" s="43" t="s">
        <v>985</v>
      </c>
      <c r="M227" s="46" t="s">
        <v>986</v>
      </c>
      <c r="N227" s="41" t="s">
        <v>987</v>
      </c>
      <c r="O227" s="42" t="s">
        <v>78</v>
      </c>
      <c r="P227" s="43" t="s">
        <v>983</v>
      </c>
      <c r="Q227" s="44" t="s">
        <v>988</v>
      </c>
      <c r="R227" s="45" t="s">
        <v>969</v>
      </c>
      <c r="S227" s="43" t="s">
        <v>650</v>
      </c>
      <c r="T227" s="46">
        <v>20.22</v>
      </c>
      <c r="U227" s="40">
        <v>6</v>
      </c>
      <c r="V227" s="47">
        <v>12084.87</v>
      </c>
      <c r="W227" s="48">
        <v>1999</v>
      </c>
      <c r="X227" s="40"/>
      <c r="Y227" s="52"/>
      <c r="Z227" s="40" t="s">
        <v>910</v>
      </c>
      <c r="AA227" s="49">
        <f t="shared" si="34"/>
        <v>418499.04810000007</v>
      </c>
      <c r="AB227" s="71">
        <f t="shared" si="35"/>
        <v>0.62</v>
      </c>
      <c r="AC227" s="49">
        <f t="shared" si="36"/>
        <v>159029.64000000001</v>
      </c>
      <c r="AD227" s="50">
        <f t="shared" si="37"/>
        <v>0</v>
      </c>
      <c r="AE227" s="158">
        <f t="shared" si="38"/>
        <v>0</v>
      </c>
      <c r="AF227" s="158">
        <f t="shared" si="39"/>
        <v>159029.64000000001</v>
      </c>
      <c r="AG227" s="199">
        <f t="shared" si="40"/>
        <v>159029</v>
      </c>
      <c r="AH227" s="187"/>
      <c r="AI227" s="185" t="s">
        <v>1453</v>
      </c>
      <c r="AJ227" s="185"/>
      <c r="AK227" s="277">
        <f t="shared" si="33"/>
        <v>12084.87</v>
      </c>
      <c r="AL227" s="25">
        <f>(SUMIFS('T1 2019 Pipeline Data Lagasco'!$O:$O,'T1 2019 Pipeline Data Lagasco'!$A:$A,'Dec 31 2018 OFFS'!$AI227,'T1 2019 Pipeline Data Lagasco'!$Q:$Q,'Dec 31 2018 OFFS'!$AK227,'T1 2019 Pipeline Data Lagasco'!$E:$E,'Dec 31 2018 OFFS'!$U227,'T1 2019 Pipeline Data Lagasco'!$G:$G,'Dec 31 2018 OFFS'!$W227))/(MAX(COUNTIFS('T1 2019 Pipeline Data Lagasco'!$A:$A,'Dec 31 2018 OFFS'!$AI227,'T1 2019 Pipeline Data Lagasco'!$Q:$Q,'Dec 31 2018 OFFS'!$AK227,'T1 2019 Pipeline Data Lagasco'!$E:$E,'Dec 31 2018 OFFS'!$U227,'T1 2019 Pipeline Data Lagasco'!$G:$G,'Dec 31 2018 OFFS'!$W227),1))</f>
        <v>159029</v>
      </c>
      <c r="AM227" s="274">
        <f t="shared" si="41"/>
        <v>0</v>
      </c>
    </row>
    <row r="228" spans="1:39" ht="12.7">
      <c r="A228" s="193" t="s">
        <v>909</v>
      </c>
      <c r="B228" s="40" t="s">
        <v>919</v>
      </c>
      <c r="C228" s="40" t="s">
        <v>920</v>
      </c>
      <c r="D228" s="40" t="s">
        <v>736</v>
      </c>
      <c r="E228" s="40" t="s">
        <v>1054</v>
      </c>
      <c r="F228" s="40"/>
      <c r="G228" s="41" t="s">
        <v>987</v>
      </c>
      <c r="H228" s="42" t="s">
        <v>78</v>
      </c>
      <c r="I228" s="43" t="s">
        <v>983</v>
      </c>
      <c r="J228" s="44" t="s">
        <v>988</v>
      </c>
      <c r="K228" s="45" t="s">
        <v>969</v>
      </c>
      <c r="L228" s="43" t="s">
        <v>650</v>
      </c>
      <c r="M228" s="46">
        <v>20.22</v>
      </c>
      <c r="N228" s="41" t="s">
        <v>989</v>
      </c>
      <c r="O228" s="42" t="s">
        <v>78</v>
      </c>
      <c r="P228" s="43" t="s">
        <v>983</v>
      </c>
      <c r="Q228" s="44" t="s">
        <v>990</v>
      </c>
      <c r="R228" s="45" t="s">
        <v>969</v>
      </c>
      <c r="S228" s="43" t="s">
        <v>991</v>
      </c>
      <c r="T228" s="46" t="s">
        <v>992</v>
      </c>
      <c r="U228" s="40">
        <v>6</v>
      </c>
      <c r="V228" s="47">
        <v>11751.05</v>
      </c>
      <c r="W228" s="48">
        <v>1999</v>
      </c>
      <c r="X228" s="40"/>
      <c r="Y228" s="52"/>
      <c r="Z228" s="40" t="s">
        <v>910</v>
      </c>
      <c r="AA228" s="49">
        <f t="shared" si="34"/>
        <v>406938.8615</v>
      </c>
      <c r="AB228" s="71">
        <f t="shared" si="35"/>
        <v>0.62</v>
      </c>
      <c r="AC228" s="49">
        <f t="shared" si="36"/>
        <v>154636.76999999999</v>
      </c>
      <c r="AD228" s="50">
        <f t="shared" si="37"/>
        <v>0</v>
      </c>
      <c r="AE228" s="50">
        <f t="shared" si="38"/>
        <v>0</v>
      </c>
      <c r="AF228" s="50">
        <f t="shared" si="39"/>
        <v>154636.76999999999</v>
      </c>
      <c r="AG228" s="199">
        <f t="shared" si="40"/>
        <v>154636</v>
      </c>
      <c r="AH228" s="187"/>
      <c r="AI228" s="185" t="s">
        <v>1453</v>
      </c>
      <c r="AJ228" s="185"/>
      <c r="AK228" s="277">
        <f t="shared" si="33"/>
        <v>11751.05</v>
      </c>
      <c r="AL228" s="25">
        <f>(SUMIFS('T1 2019 Pipeline Data Lagasco'!$O:$O,'T1 2019 Pipeline Data Lagasco'!$A:$A,'Dec 31 2018 OFFS'!$AI228,'T1 2019 Pipeline Data Lagasco'!$Q:$Q,'Dec 31 2018 OFFS'!$AK228,'T1 2019 Pipeline Data Lagasco'!$E:$E,'Dec 31 2018 OFFS'!$U228,'T1 2019 Pipeline Data Lagasco'!$G:$G,'Dec 31 2018 OFFS'!$W228))/(MAX(COUNTIFS('T1 2019 Pipeline Data Lagasco'!$A:$A,'Dec 31 2018 OFFS'!$AI228,'T1 2019 Pipeline Data Lagasco'!$Q:$Q,'Dec 31 2018 OFFS'!$AK228,'T1 2019 Pipeline Data Lagasco'!$E:$E,'Dec 31 2018 OFFS'!$U228,'T1 2019 Pipeline Data Lagasco'!$G:$G,'Dec 31 2018 OFFS'!$W228),1))</f>
        <v>154636</v>
      </c>
      <c r="AM228" s="274">
        <f t="shared" si="41"/>
        <v>0</v>
      </c>
    </row>
    <row r="229" spans="1:39" ht="12.7">
      <c r="A229" s="193" t="s">
        <v>909</v>
      </c>
      <c r="B229" s="40" t="s">
        <v>919</v>
      </c>
      <c r="C229" s="40" t="s">
        <v>920</v>
      </c>
      <c r="D229" s="40" t="s">
        <v>736</v>
      </c>
      <c r="E229" s="40" t="s">
        <v>1054</v>
      </c>
      <c r="F229" s="40"/>
      <c r="G229" s="41" t="s">
        <v>989</v>
      </c>
      <c r="H229" s="42" t="s">
        <v>78</v>
      </c>
      <c r="I229" s="43" t="s">
        <v>983</v>
      </c>
      <c r="J229" s="44" t="s">
        <v>990</v>
      </c>
      <c r="K229" s="45" t="s">
        <v>969</v>
      </c>
      <c r="L229" s="43" t="s">
        <v>991</v>
      </c>
      <c r="M229" s="46" t="s">
        <v>992</v>
      </c>
      <c r="N229" s="41" t="s">
        <v>993</v>
      </c>
      <c r="O229" s="42" t="s">
        <v>78</v>
      </c>
      <c r="P229" s="43" t="s">
        <v>983</v>
      </c>
      <c r="Q229" s="44" t="s">
        <v>994</v>
      </c>
      <c r="R229" s="45" t="s">
        <v>969</v>
      </c>
      <c r="S229" s="43" t="s">
        <v>995</v>
      </c>
      <c r="T229" s="46" t="s">
        <v>996</v>
      </c>
      <c r="U229" s="40">
        <v>6</v>
      </c>
      <c r="V229" s="47">
        <v>11425.13</v>
      </c>
      <c r="W229" s="48">
        <v>1999</v>
      </c>
      <c r="X229" s="40"/>
      <c r="Y229" s="52"/>
      <c r="Z229" s="40" t="s">
        <v>910</v>
      </c>
      <c r="AA229" s="49">
        <f t="shared" si="34"/>
        <v>395652.25189999997</v>
      </c>
      <c r="AB229" s="71">
        <f t="shared" si="35"/>
        <v>0.62</v>
      </c>
      <c r="AC229" s="49">
        <f t="shared" si="36"/>
        <v>150347.85999999999</v>
      </c>
      <c r="AD229" s="50">
        <f t="shared" si="37"/>
        <v>0</v>
      </c>
      <c r="AE229" s="50">
        <f t="shared" si="38"/>
        <v>0</v>
      </c>
      <c r="AF229" s="50">
        <f t="shared" si="39"/>
        <v>150347.85999999999</v>
      </c>
      <c r="AG229" s="199">
        <f t="shared" si="40"/>
        <v>150347</v>
      </c>
      <c r="AH229" s="187"/>
      <c r="AI229" s="185" t="s">
        <v>1453</v>
      </c>
      <c r="AJ229" s="185"/>
      <c r="AK229" s="277">
        <f t="shared" si="33"/>
        <v>11425.13</v>
      </c>
      <c r="AL229" s="25">
        <f>(SUMIFS('T1 2019 Pipeline Data Lagasco'!$O:$O,'T1 2019 Pipeline Data Lagasco'!$A:$A,'Dec 31 2018 OFFS'!$AI229,'T1 2019 Pipeline Data Lagasco'!$Q:$Q,'Dec 31 2018 OFFS'!$AK229,'T1 2019 Pipeline Data Lagasco'!$E:$E,'Dec 31 2018 OFFS'!$U229,'T1 2019 Pipeline Data Lagasco'!$G:$G,'Dec 31 2018 OFFS'!$W229))/(MAX(COUNTIFS('T1 2019 Pipeline Data Lagasco'!$A:$A,'Dec 31 2018 OFFS'!$AI229,'T1 2019 Pipeline Data Lagasco'!$Q:$Q,'Dec 31 2018 OFFS'!$AK229,'T1 2019 Pipeline Data Lagasco'!$E:$E,'Dec 31 2018 OFFS'!$U229,'T1 2019 Pipeline Data Lagasco'!$G:$G,'Dec 31 2018 OFFS'!$W229),1))</f>
        <v>150347</v>
      </c>
      <c r="AM229" s="274">
        <f t="shared" si="41"/>
        <v>0</v>
      </c>
    </row>
    <row r="230" spans="1:39" ht="12.7">
      <c r="A230" s="200" t="s">
        <v>909</v>
      </c>
      <c r="B230" s="201" t="s">
        <v>919</v>
      </c>
      <c r="C230" s="201" t="s">
        <v>920</v>
      </c>
      <c r="D230" s="201" t="s">
        <v>736</v>
      </c>
      <c r="E230" s="201" t="s">
        <v>1054</v>
      </c>
      <c r="F230" s="202" t="s">
        <v>1051</v>
      </c>
      <c r="G230" s="208" t="s">
        <v>737</v>
      </c>
      <c r="H230" s="203">
        <v>42</v>
      </c>
      <c r="I230" s="204">
        <v>24</v>
      </c>
      <c r="J230" s="205">
        <v>27.90</v>
      </c>
      <c r="K230" s="206">
        <v>81</v>
      </c>
      <c r="L230" s="204">
        <v>2</v>
      </c>
      <c r="M230" s="207">
        <v>44.58</v>
      </c>
      <c r="N230" s="201" t="s">
        <v>1217</v>
      </c>
      <c r="O230" s="203">
        <v>42</v>
      </c>
      <c r="P230" s="204">
        <v>24</v>
      </c>
      <c r="Q230" s="205">
        <v>26.52</v>
      </c>
      <c r="R230" s="206">
        <v>81</v>
      </c>
      <c r="S230" s="204">
        <v>2</v>
      </c>
      <c r="T230" s="207">
        <v>46.02</v>
      </c>
      <c r="U230" s="201">
        <v>3</v>
      </c>
      <c r="V230" s="209">
        <v>176</v>
      </c>
      <c r="W230" s="210">
        <v>2001</v>
      </c>
      <c r="X230" s="201"/>
      <c r="Y230" s="52" t="s">
        <v>1081</v>
      </c>
      <c r="Z230" s="201" t="s">
        <v>910</v>
      </c>
      <c r="AA230" s="211">
        <f t="shared" si="34"/>
        <v>0</v>
      </c>
      <c r="AB230" s="212">
        <f t="shared" si="35"/>
        <v>0.59</v>
      </c>
      <c r="AC230" s="211">
        <f t="shared" si="36"/>
        <v>0</v>
      </c>
      <c r="AD230" s="213">
        <f t="shared" si="37"/>
        <v>0</v>
      </c>
      <c r="AE230" s="213">
        <f t="shared" si="38"/>
        <v>0</v>
      </c>
      <c r="AF230" s="213">
        <f t="shared" si="39"/>
        <v>0</v>
      </c>
      <c r="AG230" s="214">
        <f t="shared" si="40"/>
        <v>0</v>
      </c>
      <c r="AH230" s="215"/>
      <c r="AI230" s="216" t="s">
        <v>1453</v>
      </c>
      <c r="AJ230" s="216" t="s">
        <v>1560</v>
      </c>
      <c r="AK230" s="283">
        <f t="shared" si="33"/>
        <v>176</v>
      </c>
      <c r="AL230" s="25">
        <f>(SUMIFS('T1 2019 Pipeline Data Lagasco'!$O:$O,'T1 2019 Pipeline Data Lagasco'!$A:$A,'Dec 31 2018 OFFS'!$AI230,'T1 2019 Pipeline Data Lagasco'!$Q:$Q,'Dec 31 2018 OFFS'!$AK230,'T1 2019 Pipeline Data Lagasco'!$E:$E,'Dec 31 2018 OFFS'!$U230,'T1 2019 Pipeline Data Lagasco'!$G:$G,'Dec 31 2018 OFFS'!$W230))/(MAX(COUNTIFS('T1 2019 Pipeline Data Lagasco'!$A:$A,'Dec 31 2018 OFFS'!$AI230,'T1 2019 Pipeline Data Lagasco'!$Q:$Q,'Dec 31 2018 OFFS'!$AK230,'T1 2019 Pipeline Data Lagasco'!$E:$E,'Dec 31 2018 OFFS'!$U230,'T1 2019 Pipeline Data Lagasco'!$G:$G,'Dec 31 2018 OFFS'!$W230),1))</f>
        <v>0</v>
      </c>
      <c r="AM230" s="285">
        <f t="shared" si="41"/>
        <v>0</v>
      </c>
    </row>
    <row r="231" spans="1:39" ht="12.7">
      <c r="A231" s="193" t="s">
        <v>909</v>
      </c>
      <c r="B231" s="40" t="s">
        <v>919</v>
      </c>
      <c r="C231" s="40" t="s">
        <v>920</v>
      </c>
      <c r="D231" s="40" t="s">
        <v>736</v>
      </c>
      <c r="E231" s="40" t="s">
        <v>1054</v>
      </c>
      <c r="F231" s="40" t="s">
        <v>1051</v>
      </c>
      <c r="G231" s="40" t="s">
        <v>215</v>
      </c>
      <c r="H231" s="42">
        <v>42</v>
      </c>
      <c r="I231" s="43">
        <v>24</v>
      </c>
      <c r="J231" s="44">
        <v>22.52</v>
      </c>
      <c r="K231" s="45">
        <v>81</v>
      </c>
      <c r="L231" s="43">
        <v>2</v>
      </c>
      <c r="M231" s="46">
        <v>13.58</v>
      </c>
      <c r="N231" s="41" t="s">
        <v>737</v>
      </c>
      <c r="O231" s="42">
        <v>42</v>
      </c>
      <c r="P231" s="43">
        <v>24</v>
      </c>
      <c r="Q231" s="44">
        <f>0.46*60</f>
        <v>27.60</v>
      </c>
      <c r="R231" s="45">
        <v>81</v>
      </c>
      <c r="S231" s="43">
        <v>2</v>
      </c>
      <c r="T231" s="46">
        <f>0.743*60</f>
        <v>44.58</v>
      </c>
      <c r="U231" s="40">
        <v>4</v>
      </c>
      <c r="V231" s="47">
        <v>2384.7600000000002</v>
      </c>
      <c r="W231" s="48">
        <v>1980</v>
      </c>
      <c r="X231" s="40"/>
      <c r="Y231" s="52"/>
      <c r="Z231" s="40" t="s">
        <v>910</v>
      </c>
      <c r="AA231" s="49">
        <f t="shared" si="34"/>
        <v>0</v>
      </c>
      <c r="AB231" s="71">
        <f t="shared" si="35"/>
        <v>0.80</v>
      </c>
      <c r="AC231" s="49">
        <f t="shared" si="36"/>
        <v>0</v>
      </c>
      <c r="AD231" s="50">
        <f t="shared" si="37"/>
        <v>0</v>
      </c>
      <c r="AE231" s="50">
        <f t="shared" si="38"/>
        <v>0</v>
      </c>
      <c r="AF231" s="50">
        <f t="shared" si="39"/>
        <v>0</v>
      </c>
      <c r="AG231" s="199">
        <f t="shared" si="40"/>
        <v>0</v>
      </c>
      <c r="AH231" s="187"/>
      <c r="AI231" s="185" t="s">
        <v>1453</v>
      </c>
      <c r="AJ231" s="185"/>
      <c r="AK231" s="277">
        <f t="shared" si="33"/>
        <v>2384.7600000000002</v>
      </c>
      <c r="AL231" s="25">
        <f>(SUMIFS('T1 2019 Pipeline Data Lagasco'!$O:$O,'T1 2019 Pipeline Data Lagasco'!$A:$A,'Dec 31 2018 OFFS'!$AI231,'T1 2019 Pipeline Data Lagasco'!$Q:$Q,'Dec 31 2018 OFFS'!$AK231,'T1 2019 Pipeline Data Lagasco'!$E:$E,'Dec 31 2018 OFFS'!$U231,'T1 2019 Pipeline Data Lagasco'!$G:$G,'Dec 31 2018 OFFS'!$W231))/(MAX(COUNTIFS('T1 2019 Pipeline Data Lagasco'!$A:$A,'Dec 31 2018 OFFS'!$AI231,'T1 2019 Pipeline Data Lagasco'!$Q:$Q,'Dec 31 2018 OFFS'!$AK231,'T1 2019 Pipeline Data Lagasco'!$E:$E,'Dec 31 2018 OFFS'!$U231,'T1 2019 Pipeline Data Lagasco'!$G:$G,'Dec 31 2018 OFFS'!$W231),1))</f>
        <v>0</v>
      </c>
      <c r="AM231" s="274">
        <f t="shared" si="41"/>
        <v>0</v>
      </c>
    </row>
    <row r="232" spans="1:39" ht="12.7">
      <c r="A232" s="193" t="s">
        <v>909</v>
      </c>
      <c r="B232" s="40" t="s">
        <v>919</v>
      </c>
      <c r="C232" s="40" t="s">
        <v>920</v>
      </c>
      <c r="D232" s="40" t="s">
        <v>736</v>
      </c>
      <c r="E232" s="40" t="s">
        <v>1054</v>
      </c>
      <c r="F232" s="40"/>
      <c r="G232" s="41" t="s">
        <v>997</v>
      </c>
      <c r="H232" s="42" t="s">
        <v>78</v>
      </c>
      <c r="I232" s="43" t="s">
        <v>998</v>
      </c>
      <c r="J232" s="44" t="s">
        <v>999</v>
      </c>
      <c r="K232" s="45" t="s">
        <v>969</v>
      </c>
      <c r="L232" s="43" t="s">
        <v>1000</v>
      </c>
      <c r="M232" s="46" t="s">
        <v>1001</v>
      </c>
      <c r="N232" s="41" t="s">
        <v>982</v>
      </c>
      <c r="O232" s="42" t="s">
        <v>78</v>
      </c>
      <c r="P232" s="43" t="s">
        <v>983</v>
      </c>
      <c r="Q232" s="44" t="s">
        <v>984</v>
      </c>
      <c r="R232" s="45" t="s">
        <v>969</v>
      </c>
      <c r="S232" s="43" t="s">
        <v>985</v>
      </c>
      <c r="T232" s="46" t="s">
        <v>986</v>
      </c>
      <c r="U232" s="40">
        <v>6</v>
      </c>
      <c r="V232" s="47">
        <v>11970.90</v>
      </c>
      <c r="W232" s="48">
        <v>1999</v>
      </c>
      <c r="X232" s="40"/>
      <c r="Y232" s="52"/>
      <c r="Z232" s="40" t="s">
        <v>910</v>
      </c>
      <c r="AA232" s="49">
        <f t="shared" si="34"/>
        <v>414552.26699999999</v>
      </c>
      <c r="AB232" s="71">
        <f t="shared" si="35"/>
        <v>0.62</v>
      </c>
      <c r="AC232" s="49">
        <f t="shared" si="36"/>
        <v>157529.85999999999</v>
      </c>
      <c r="AD232" s="50">
        <f t="shared" si="37"/>
        <v>0</v>
      </c>
      <c r="AE232" s="50">
        <f t="shared" si="38"/>
        <v>0</v>
      </c>
      <c r="AF232" s="50">
        <f t="shared" si="39"/>
        <v>157529.85999999999</v>
      </c>
      <c r="AG232" s="199">
        <f t="shared" si="40"/>
        <v>157529</v>
      </c>
      <c r="AH232" s="187"/>
      <c r="AI232" s="185" t="s">
        <v>1453</v>
      </c>
      <c r="AJ232" s="185"/>
      <c r="AK232" s="277">
        <f t="shared" si="33"/>
        <v>11970.90</v>
      </c>
      <c r="AL232" s="25">
        <f>(SUMIFS('T1 2019 Pipeline Data Lagasco'!$O:$O,'T1 2019 Pipeline Data Lagasco'!$A:$A,'Dec 31 2018 OFFS'!$AI232,'T1 2019 Pipeline Data Lagasco'!$Q:$Q,'Dec 31 2018 OFFS'!$AK232,'T1 2019 Pipeline Data Lagasco'!$E:$E,'Dec 31 2018 OFFS'!$U232,'T1 2019 Pipeline Data Lagasco'!$G:$G,'Dec 31 2018 OFFS'!$W232))/(MAX(COUNTIFS('T1 2019 Pipeline Data Lagasco'!$A:$A,'Dec 31 2018 OFFS'!$AI232,'T1 2019 Pipeline Data Lagasco'!$Q:$Q,'Dec 31 2018 OFFS'!$AK232,'T1 2019 Pipeline Data Lagasco'!$E:$E,'Dec 31 2018 OFFS'!$U232,'T1 2019 Pipeline Data Lagasco'!$G:$G,'Dec 31 2018 OFFS'!$W232),1))</f>
        <v>157529</v>
      </c>
      <c r="AM232" s="274">
        <f t="shared" si="41"/>
        <v>0</v>
      </c>
    </row>
    <row r="233" spans="1:39" ht="12.7">
      <c r="A233" s="193" t="s">
        <v>909</v>
      </c>
      <c r="B233" s="40" t="s">
        <v>919</v>
      </c>
      <c r="C233" s="40" t="s">
        <v>920</v>
      </c>
      <c r="D233" s="40" t="s">
        <v>736</v>
      </c>
      <c r="E233" s="40" t="s">
        <v>1054</v>
      </c>
      <c r="F233" s="40"/>
      <c r="G233" s="41" t="s">
        <v>1002</v>
      </c>
      <c r="H233" s="42" t="s">
        <v>78</v>
      </c>
      <c r="I233" s="43" t="s">
        <v>998</v>
      </c>
      <c r="J233" s="44" t="s">
        <v>1003</v>
      </c>
      <c r="K233" s="45" t="s">
        <v>969</v>
      </c>
      <c r="L233" s="43" t="s">
        <v>1004</v>
      </c>
      <c r="M233" s="46" t="s">
        <v>1005</v>
      </c>
      <c r="N233" s="41" t="s">
        <v>997</v>
      </c>
      <c r="O233" s="42" t="s">
        <v>78</v>
      </c>
      <c r="P233" s="43" t="s">
        <v>998</v>
      </c>
      <c r="Q233" s="44" t="s">
        <v>999</v>
      </c>
      <c r="R233" s="45" t="s">
        <v>969</v>
      </c>
      <c r="S233" s="43" t="s">
        <v>1000</v>
      </c>
      <c r="T233" s="46" t="s">
        <v>1001</v>
      </c>
      <c r="U233" s="40">
        <v>6</v>
      </c>
      <c r="V233" s="47">
        <v>1726.90</v>
      </c>
      <c r="W233" s="48">
        <v>1999</v>
      </c>
      <c r="X233" s="40"/>
      <c r="Y233" s="52"/>
      <c r="Z233" s="40" t="s">
        <v>910</v>
      </c>
      <c r="AA233" s="49">
        <f t="shared" si="34"/>
        <v>59802.547000000006</v>
      </c>
      <c r="AB233" s="71">
        <f t="shared" si="35"/>
        <v>0.62</v>
      </c>
      <c r="AC233" s="49">
        <f t="shared" si="36"/>
        <v>22724.97</v>
      </c>
      <c r="AD233" s="50">
        <f t="shared" si="37"/>
        <v>0</v>
      </c>
      <c r="AE233" s="50">
        <f t="shared" si="38"/>
        <v>0</v>
      </c>
      <c r="AF233" s="50">
        <f t="shared" si="39"/>
        <v>22724.97</v>
      </c>
      <c r="AG233" s="199">
        <f t="shared" si="40"/>
        <v>22724</v>
      </c>
      <c r="AH233" s="187"/>
      <c r="AI233" s="185" t="s">
        <v>1453</v>
      </c>
      <c r="AJ233" s="185"/>
      <c r="AK233" s="277">
        <f t="shared" si="33"/>
        <v>1726.90</v>
      </c>
      <c r="AL233" s="25">
        <f>(SUMIFS('T1 2019 Pipeline Data Lagasco'!$O:$O,'T1 2019 Pipeline Data Lagasco'!$A:$A,'Dec 31 2018 OFFS'!$AI233,'T1 2019 Pipeline Data Lagasco'!$Q:$Q,'Dec 31 2018 OFFS'!$AK233,'T1 2019 Pipeline Data Lagasco'!$E:$E,'Dec 31 2018 OFFS'!$U233,'T1 2019 Pipeline Data Lagasco'!$G:$G,'Dec 31 2018 OFFS'!$W233))/(MAX(COUNTIFS('T1 2019 Pipeline Data Lagasco'!$A:$A,'Dec 31 2018 OFFS'!$AI233,'T1 2019 Pipeline Data Lagasco'!$Q:$Q,'Dec 31 2018 OFFS'!$AK233,'T1 2019 Pipeline Data Lagasco'!$E:$E,'Dec 31 2018 OFFS'!$U233,'T1 2019 Pipeline Data Lagasco'!$G:$G,'Dec 31 2018 OFFS'!$W233),1))</f>
        <v>22724</v>
      </c>
      <c r="AM233" s="274">
        <f t="shared" si="41"/>
        <v>0</v>
      </c>
    </row>
    <row r="234" spans="1:39" ht="12.7">
      <c r="A234" s="193" t="s">
        <v>909</v>
      </c>
      <c r="B234" s="40" t="s">
        <v>919</v>
      </c>
      <c r="C234" s="40" t="s">
        <v>920</v>
      </c>
      <c r="D234" s="40" t="s">
        <v>736</v>
      </c>
      <c r="E234" s="40" t="s">
        <v>1054</v>
      </c>
      <c r="F234" s="40" t="s">
        <v>1051</v>
      </c>
      <c r="G234" s="41" t="s">
        <v>734</v>
      </c>
      <c r="H234" s="42">
        <v>42</v>
      </c>
      <c r="I234" s="43">
        <v>15</v>
      </c>
      <c r="J234" s="44">
        <v>45.72</v>
      </c>
      <c r="K234" s="45">
        <v>81</v>
      </c>
      <c r="L234" s="43">
        <v>10</v>
      </c>
      <c r="M234" s="46">
        <v>40.799999999999997</v>
      </c>
      <c r="N234" s="40" t="s">
        <v>735</v>
      </c>
      <c r="O234" s="42">
        <v>42</v>
      </c>
      <c r="P234" s="43">
        <v>14</v>
      </c>
      <c r="Q234" s="44">
        <v>55.311</v>
      </c>
      <c r="R234" s="45">
        <v>81</v>
      </c>
      <c r="S234" s="43">
        <v>6</v>
      </c>
      <c r="T234" s="46">
        <v>4.7510000000000003</v>
      </c>
      <c r="U234" s="40">
        <v>3</v>
      </c>
      <c r="V234" s="47">
        <v>21376.54</v>
      </c>
      <c r="W234" s="48">
        <v>1995</v>
      </c>
      <c r="X234" s="40"/>
      <c r="Y234" s="52"/>
      <c r="Z234" s="40" t="s">
        <v>910</v>
      </c>
      <c r="AA234" s="49">
        <f t="shared" si="34"/>
        <v>0</v>
      </c>
      <c r="AB234" s="71">
        <f t="shared" si="35"/>
        <v>0.67</v>
      </c>
      <c r="AC234" s="49">
        <f t="shared" si="36"/>
        <v>0</v>
      </c>
      <c r="AD234" s="50">
        <f t="shared" si="37"/>
        <v>0</v>
      </c>
      <c r="AE234" s="50">
        <f t="shared" si="38"/>
        <v>0</v>
      </c>
      <c r="AF234" s="50">
        <f t="shared" si="39"/>
        <v>0</v>
      </c>
      <c r="AG234" s="199">
        <f t="shared" si="40"/>
        <v>0</v>
      </c>
      <c r="AH234" s="187"/>
      <c r="AI234" s="185" t="s">
        <v>1453</v>
      </c>
      <c r="AJ234" s="185"/>
      <c r="AK234" s="277">
        <f t="shared" si="33"/>
        <v>21376.54</v>
      </c>
      <c r="AL234" s="25">
        <f>(SUMIFS('T1 2019 Pipeline Data Lagasco'!$O:$O,'T1 2019 Pipeline Data Lagasco'!$A:$A,'Dec 31 2018 OFFS'!$AI234,'T1 2019 Pipeline Data Lagasco'!$Q:$Q,'Dec 31 2018 OFFS'!$AK234,'T1 2019 Pipeline Data Lagasco'!$E:$E,'Dec 31 2018 OFFS'!$U234,'T1 2019 Pipeline Data Lagasco'!$G:$G,'Dec 31 2018 OFFS'!$W234))/(MAX(COUNTIFS('T1 2019 Pipeline Data Lagasco'!$A:$A,'Dec 31 2018 OFFS'!$AI234,'T1 2019 Pipeline Data Lagasco'!$Q:$Q,'Dec 31 2018 OFFS'!$AK234,'T1 2019 Pipeline Data Lagasco'!$E:$E,'Dec 31 2018 OFFS'!$U234,'T1 2019 Pipeline Data Lagasco'!$G:$G,'Dec 31 2018 OFFS'!$W234),1))</f>
        <v>0</v>
      </c>
      <c r="AM234" s="274">
        <f t="shared" si="41"/>
        <v>0</v>
      </c>
    </row>
    <row r="235" spans="1:39" ht="12.7">
      <c r="A235" s="193" t="s">
        <v>909</v>
      </c>
      <c r="B235" s="40" t="s">
        <v>919</v>
      </c>
      <c r="C235" s="40" t="s">
        <v>920</v>
      </c>
      <c r="D235" s="40" t="s">
        <v>736</v>
      </c>
      <c r="E235" s="40" t="s">
        <v>1054</v>
      </c>
      <c r="F235" s="40" t="s">
        <v>1051</v>
      </c>
      <c r="G235" s="41" t="s">
        <v>738</v>
      </c>
      <c r="H235" s="42">
        <v>42</v>
      </c>
      <c r="I235" s="43">
        <v>15</v>
      </c>
      <c r="J235" s="44">
        <v>22.908000000000001</v>
      </c>
      <c r="K235" s="45">
        <v>81</v>
      </c>
      <c r="L235" s="43">
        <v>5</v>
      </c>
      <c r="M235" s="46">
        <v>15.981</v>
      </c>
      <c r="N235" s="40" t="s">
        <v>1144</v>
      </c>
      <c r="O235" s="42" t="s">
        <v>78</v>
      </c>
      <c r="P235" s="43">
        <v>16</v>
      </c>
      <c r="Q235" s="44">
        <v>47.82</v>
      </c>
      <c r="R235" s="45" t="s">
        <v>969</v>
      </c>
      <c r="S235" s="43">
        <v>4</v>
      </c>
      <c r="T235" s="46">
        <v>32.82</v>
      </c>
      <c r="U235" s="40">
        <v>4</v>
      </c>
      <c r="V235" s="47">
        <v>9174</v>
      </c>
      <c r="W235" s="48">
        <v>1986</v>
      </c>
      <c r="X235" s="40"/>
      <c r="Y235" s="52"/>
      <c r="Z235" s="40" t="s">
        <v>910</v>
      </c>
      <c r="AA235" s="49">
        <f t="shared" si="34"/>
        <v>0</v>
      </c>
      <c r="AB235" s="71">
        <f t="shared" si="35"/>
        <v>0.79</v>
      </c>
      <c r="AC235" s="49">
        <f t="shared" si="36"/>
        <v>0</v>
      </c>
      <c r="AD235" s="50">
        <f t="shared" si="37"/>
        <v>0</v>
      </c>
      <c r="AE235" s="50">
        <f t="shared" si="38"/>
        <v>0</v>
      </c>
      <c r="AF235" s="50">
        <f t="shared" si="39"/>
        <v>0</v>
      </c>
      <c r="AG235" s="199">
        <f t="shared" si="40"/>
        <v>0</v>
      </c>
      <c r="AH235" s="187"/>
      <c r="AI235" s="185" t="s">
        <v>1453</v>
      </c>
      <c r="AJ235" s="185"/>
      <c r="AK235" s="277">
        <f t="shared" si="33"/>
        <v>9174</v>
      </c>
      <c r="AL235" s="25">
        <f>(SUMIFS('T1 2019 Pipeline Data Lagasco'!$O:$O,'T1 2019 Pipeline Data Lagasco'!$A:$A,'Dec 31 2018 OFFS'!$AI235,'T1 2019 Pipeline Data Lagasco'!$Q:$Q,'Dec 31 2018 OFFS'!$AK235,'T1 2019 Pipeline Data Lagasco'!$E:$E,'Dec 31 2018 OFFS'!$U235,'T1 2019 Pipeline Data Lagasco'!$G:$G,'Dec 31 2018 OFFS'!$W235))/(MAX(COUNTIFS('T1 2019 Pipeline Data Lagasco'!$A:$A,'Dec 31 2018 OFFS'!$AI235,'T1 2019 Pipeline Data Lagasco'!$Q:$Q,'Dec 31 2018 OFFS'!$AK235,'T1 2019 Pipeline Data Lagasco'!$E:$E,'Dec 31 2018 OFFS'!$U235,'T1 2019 Pipeline Data Lagasco'!$G:$G,'Dec 31 2018 OFFS'!$W235),1))</f>
        <v>0</v>
      </c>
      <c r="AM235" s="274">
        <f t="shared" si="41"/>
        <v>0</v>
      </c>
    </row>
    <row r="236" spans="1:39" ht="12.7">
      <c r="A236" s="193" t="s">
        <v>909</v>
      </c>
      <c r="B236" s="40" t="s">
        <v>919</v>
      </c>
      <c r="C236" s="40" t="s">
        <v>920</v>
      </c>
      <c r="D236" s="40" t="s">
        <v>736</v>
      </c>
      <c r="E236" s="40" t="s">
        <v>1054</v>
      </c>
      <c r="F236" s="40"/>
      <c r="G236" s="41" t="s">
        <v>1299</v>
      </c>
      <c r="H236" s="42">
        <v>42</v>
      </c>
      <c r="I236" s="43">
        <v>17</v>
      </c>
      <c r="J236" s="44">
        <v>24.655999999999999</v>
      </c>
      <c r="K236" s="45">
        <v>81</v>
      </c>
      <c r="L236" s="43">
        <v>3</v>
      </c>
      <c r="M236" s="46">
        <v>55.216000000000001</v>
      </c>
      <c r="N236" s="40" t="s">
        <v>1298</v>
      </c>
      <c r="O236" s="42">
        <v>42</v>
      </c>
      <c r="P236" s="43">
        <v>17</v>
      </c>
      <c r="Q236" s="44">
        <v>31.32</v>
      </c>
      <c r="R236" s="45">
        <v>81</v>
      </c>
      <c r="S236" s="43">
        <v>4</v>
      </c>
      <c r="T236" s="46">
        <v>6.24</v>
      </c>
      <c r="U236" s="40">
        <v>3</v>
      </c>
      <c r="V236" s="47">
        <v>1050</v>
      </c>
      <c r="W236" s="48">
        <v>2006</v>
      </c>
      <c r="X236" s="40"/>
      <c r="Y236" s="52" t="s">
        <v>1081</v>
      </c>
      <c r="Z236" s="40" t="s">
        <v>910</v>
      </c>
      <c r="AA236" s="49">
        <f t="shared" si="34"/>
        <v>24769.50</v>
      </c>
      <c r="AB236" s="71">
        <f t="shared" si="35"/>
        <v>0.52</v>
      </c>
      <c r="AC236" s="49">
        <f t="shared" si="36"/>
        <v>11889.36</v>
      </c>
      <c r="AD236" s="50">
        <f t="shared" si="37"/>
        <v>0</v>
      </c>
      <c r="AE236" s="50">
        <f t="shared" si="38"/>
        <v>0</v>
      </c>
      <c r="AF236" s="50">
        <f t="shared" si="39"/>
        <v>11889.36</v>
      </c>
      <c r="AG236" s="199">
        <f t="shared" si="40"/>
        <v>11889</v>
      </c>
      <c r="AH236" s="187"/>
      <c r="AI236" s="185" t="s">
        <v>1453</v>
      </c>
      <c r="AJ236" s="185"/>
      <c r="AK236" s="277">
        <f t="shared" si="33"/>
        <v>1050</v>
      </c>
      <c r="AL236" s="25">
        <f>(SUMIFS('T1 2019 Pipeline Data Lagasco'!$O:$O,'T1 2019 Pipeline Data Lagasco'!$A:$A,'Dec 31 2018 OFFS'!$AI236,'T1 2019 Pipeline Data Lagasco'!$Q:$Q,'Dec 31 2018 OFFS'!$AK236,'T1 2019 Pipeline Data Lagasco'!$E:$E,'Dec 31 2018 OFFS'!$U236,'T1 2019 Pipeline Data Lagasco'!$G:$G,'Dec 31 2018 OFFS'!$W236))/(MAX(COUNTIFS('T1 2019 Pipeline Data Lagasco'!$A:$A,'Dec 31 2018 OFFS'!$AI236,'T1 2019 Pipeline Data Lagasco'!$Q:$Q,'Dec 31 2018 OFFS'!$AK236,'T1 2019 Pipeline Data Lagasco'!$E:$E,'Dec 31 2018 OFFS'!$U236,'T1 2019 Pipeline Data Lagasco'!$G:$G,'Dec 31 2018 OFFS'!$W236),1))</f>
        <v>11889</v>
      </c>
      <c r="AM236" s="274">
        <f t="shared" si="41"/>
        <v>0</v>
      </c>
    </row>
    <row r="237" spans="1:39" ht="12.7">
      <c r="A237" s="193" t="s">
        <v>909</v>
      </c>
      <c r="B237" s="40" t="s">
        <v>919</v>
      </c>
      <c r="C237" s="40" t="s">
        <v>920</v>
      </c>
      <c r="D237" s="40" t="s">
        <v>736</v>
      </c>
      <c r="E237" s="40" t="s">
        <v>1054</v>
      </c>
      <c r="F237" s="40"/>
      <c r="G237" s="41" t="s">
        <v>740</v>
      </c>
      <c r="H237" s="42">
        <v>42</v>
      </c>
      <c r="I237" s="43">
        <v>18</v>
      </c>
      <c r="J237" s="44">
        <v>2.40</v>
      </c>
      <c r="K237" s="45">
        <v>81</v>
      </c>
      <c r="L237" s="43">
        <v>3</v>
      </c>
      <c r="M237" s="46">
        <v>43.32</v>
      </c>
      <c r="N237" s="40" t="s">
        <v>216</v>
      </c>
      <c r="O237" s="42">
        <v>42</v>
      </c>
      <c r="P237" s="43">
        <v>17</v>
      </c>
      <c r="Q237" s="44">
        <v>7.88</v>
      </c>
      <c r="R237" s="45">
        <v>81</v>
      </c>
      <c r="S237" s="43">
        <v>2</v>
      </c>
      <c r="T237" s="46">
        <v>17.50</v>
      </c>
      <c r="U237" s="40">
        <v>4</v>
      </c>
      <c r="V237" s="47">
        <v>8488.6480481319995</v>
      </c>
      <c r="W237" s="48">
        <v>1985</v>
      </c>
      <c r="X237" s="40"/>
      <c r="Y237" s="52"/>
      <c r="Z237" s="40" t="s">
        <v>910</v>
      </c>
      <c r="AA237" s="49">
        <f t="shared" si="34"/>
        <v>224524.74087309139</v>
      </c>
      <c r="AB237" s="71">
        <f t="shared" si="35"/>
        <v>0.80</v>
      </c>
      <c r="AC237" s="49">
        <f t="shared" si="36"/>
        <v>44904.95</v>
      </c>
      <c r="AD237" s="50">
        <f t="shared" si="37"/>
        <v>0</v>
      </c>
      <c r="AE237" s="50">
        <f t="shared" si="38"/>
        <v>0</v>
      </c>
      <c r="AF237" s="50">
        <f t="shared" si="39"/>
        <v>44904.95</v>
      </c>
      <c r="AG237" s="199">
        <f t="shared" si="40"/>
        <v>44904</v>
      </c>
      <c r="AH237" s="187"/>
      <c r="AI237" s="185" t="s">
        <v>1453</v>
      </c>
      <c r="AJ237" s="185"/>
      <c r="AK237" s="277">
        <f t="shared" si="33"/>
        <v>8488.65</v>
      </c>
      <c r="AL237" s="25">
        <f>(SUMIFS('T1 2019 Pipeline Data Lagasco'!$O:$O,'T1 2019 Pipeline Data Lagasco'!$A:$A,'Dec 31 2018 OFFS'!$AI237,'T1 2019 Pipeline Data Lagasco'!$Q:$Q,'Dec 31 2018 OFFS'!$AK237,'T1 2019 Pipeline Data Lagasco'!$E:$E,'Dec 31 2018 OFFS'!$U237,'T1 2019 Pipeline Data Lagasco'!$G:$G,'Dec 31 2018 OFFS'!$W237))/(MAX(COUNTIFS('T1 2019 Pipeline Data Lagasco'!$A:$A,'Dec 31 2018 OFFS'!$AI237,'T1 2019 Pipeline Data Lagasco'!$Q:$Q,'Dec 31 2018 OFFS'!$AK237,'T1 2019 Pipeline Data Lagasco'!$E:$E,'Dec 31 2018 OFFS'!$U237,'T1 2019 Pipeline Data Lagasco'!$G:$G,'Dec 31 2018 OFFS'!$W237),1))</f>
        <v>44904</v>
      </c>
      <c r="AM237" s="274">
        <f t="shared" si="41"/>
        <v>0</v>
      </c>
    </row>
    <row r="238" spans="1:39" ht="12.7">
      <c r="A238" s="193" t="s">
        <v>909</v>
      </c>
      <c r="B238" s="40" t="s">
        <v>919</v>
      </c>
      <c r="C238" s="40" t="s">
        <v>920</v>
      </c>
      <c r="D238" s="40" t="s">
        <v>736</v>
      </c>
      <c r="E238" s="40" t="s">
        <v>1054</v>
      </c>
      <c r="F238" s="40"/>
      <c r="G238" s="41" t="s">
        <v>739</v>
      </c>
      <c r="H238" s="42">
        <v>42</v>
      </c>
      <c r="I238" s="43">
        <v>18</v>
      </c>
      <c r="J238" s="44">
        <f>0.683*60</f>
        <v>40.98</v>
      </c>
      <c r="K238" s="45">
        <v>81</v>
      </c>
      <c r="L238" s="43">
        <v>2</v>
      </c>
      <c r="M238" s="46">
        <f>0.978*60</f>
        <v>58.68</v>
      </c>
      <c r="N238" s="40" t="s">
        <v>217</v>
      </c>
      <c r="O238" s="42">
        <v>42</v>
      </c>
      <c r="P238" s="43">
        <v>19</v>
      </c>
      <c r="Q238" s="44">
        <v>21.05</v>
      </c>
      <c r="R238" s="45">
        <v>81</v>
      </c>
      <c r="S238" s="43">
        <v>2</v>
      </c>
      <c r="T238" s="46">
        <v>17.56</v>
      </c>
      <c r="U238" s="40">
        <v>4</v>
      </c>
      <c r="V238" s="47">
        <v>5098.5562827919994</v>
      </c>
      <c r="W238" s="48">
        <v>1985</v>
      </c>
      <c r="X238" s="40"/>
      <c r="Y238" s="52"/>
      <c r="Z238" s="40" t="s">
        <v>910</v>
      </c>
      <c r="AA238" s="49">
        <f t="shared" si="34"/>
        <v>134856.81367984839</v>
      </c>
      <c r="AB238" s="71">
        <f t="shared" si="35"/>
        <v>0.80</v>
      </c>
      <c r="AC238" s="49">
        <f t="shared" si="36"/>
        <v>26971.36</v>
      </c>
      <c r="AD238" s="50">
        <f t="shared" si="37"/>
        <v>0</v>
      </c>
      <c r="AE238" s="50">
        <f t="shared" si="38"/>
        <v>0</v>
      </c>
      <c r="AF238" s="50">
        <f t="shared" si="39"/>
        <v>26971.36</v>
      </c>
      <c r="AG238" s="199">
        <f t="shared" si="40"/>
        <v>26971</v>
      </c>
      <c r="AH238" s="187"/>
      <c r="AI238" s="185" t="s">
        <v>1453</v>
      </c>
      <c r="AJ238" s="185"/>
      <c r="AK238" s="277">
        <f t="shared" si="33"/>
        <v>5098.5600000000004</v>
      </c>
      <c r="AL238" s="25">
        <f>(SUMIFS('T1 2019 Pipeline Data Lagasco'!$O:$O,'T1 2019 Pipeline Data Lagasco'!$A:$A,'Dec 31 2018 OFFS'!$AI238,'T1 2019 Pipeline Data Lagasco'!$Q:$Q,'Dec 31 2018 OFFS'!$AK238,'T1 2019 Pipeline Data Lagasco'!$E:$E,'Dec 31 2018 OFFS'!$U238,'T1 2019 Pipeline Data Lagasco'!$G:$G,'Dec 31 2018 OFFS'!$W238))/(MAX(COUNTIFS('T1 2019 Pipeline Data Lagasco'!$A:$A,'Dec 31 2018 OFFS'!$AI238,'T1 2019 Pipeline Data Lagasco'!$Q:$Q,'Dec 31 2018 OFFS'!$AK238,'T1 2019 Pipeline Data Lagasco'!$E:$E,'Dec 31 2018 OFFS'!$U238,'T1 2019 Pipeline Data Lagasco'!$G:$G,'Dec 31 2018 OFFS'!$W238),1))</f>
        <v>26971</v>
      </c>
      <c r="AM238" s="274">
        <f t="shared" si="41"/>
        <v>0</v>
      </c>
    </row>
    <row r="239" spans="1:39" ht="12.7">
      <c r="A239" s="193" t="s">
        <v>909</v>
      </c>
      <c r="B239" s="40" t="s">
        <v>919</v>
      </c>
      <c r="C239" s="40" t="s">
        <v>920</v>
      </c>
      <c r="D239" s="40" t="s">
        <v>736</v>
      </c>
      <c r="E239" s="40" t="s">
        <v>1054</v>
      </c>
      <c r="F239" s="40"/>
      <c r="G239" s="41" t="s">
        <v>739</v>
      </c>
      <c r="H239" s="42">
        <v>42</v>
      </c>
      <c r="I239" s="43">
        <v>18</v>
      </c>
      <c r="J239" s="44">
        <f>0.683*60</f>
        <v>40.98</v>
      </c>
      <c r="K239" s="45">
        <v>81</v>
      </c>
      <c r="L239" s="43">
        <v>2</v>
      </c>
      <c r="M239" s="46">
        <f>0.978*60</f>
        <v>58.68</v>
      </c>
      <c r="N239" s="40" t="s">
        <v>741</v>
      </c>
      <c r="O239" s="42">
        <v>42</v>
      </c>
      <c r="P239" s="43">
        <v>21</v>
      </c>
      <c r="Q239" s="44">
        <f>0.054*60</f>
        <v>3.24</v>
      </c>
      <c r="R239" s="45">
        <v>81</v>
      </c>
      <c r="S239" s="43">
        <v>7</v>
      </c>
      <c r="T239" s="46">
        <f>0.157*60</f>
        <v>9.42</v>
      </c>
      <c r="U239" s="40">
        <v>4</v>
      </c>
      <c r="V239" s="47">
        <v>23707.643670382</v>
      </c>
      <c r="W239" s="48">
        <v>1985</v>
      </c>
      <c r="X239" s="40"/>
      <c r="Y239" s="52"/>
      <c r="Z239" s="40" t="s">
        <v>910</v>
      </c>
      <c r="AA239" s="49">
        <f t="shared" si="34"/>
        <v>627067.17508160393</v>
      </c>
      <c r="AB239" s="71">
        <f t="shared" si="35"/>
        <v>0.80</v>
      </c>
      <c r="AC239" s="49">
        <f t="shared" si="36"/>
        <v>125413.44</v>
      </c>
      <c r="AD239" s="50">
        <f t="shared" si="37"/>
        <v>0</v>
      </c>
      <c r="AE239" s="50">
        <f t="shared" si="38"/>
        <v>0</v>
      </c>
      <c r="AF239" s="50">
        <f t="shared" si="39"/>
        <v>125413.44</v>
      </c>
      <c r="AG239" s="199">
        <f t="shared" si="40"/>
        <v>125413</v>
      </c>
      <c r="AH239" s="187"/>
      <c r="AI239" s="185" t="s">
        <v>1453</v>
      </c>
      <c r="AJ239" s="185"/>
      <c r="AK239" s="277">
        <f t="shared" si="33"/>
        <v>23707.64</v>
      </c>
      <c r="AL239" s="25">
        <f>(SUMIFS('T1 2019 Pipeline Data Lagasco'!$O:$O,'T1 2019 Pipeline Data Lagasco'!$A:$A,'Dec 31 2018 OFFS'!$AI239,'T1 2019 Pipeline Data Lagasco'!$Q:$Q,'Dec 31 2018 OFFS'!$AK239,'T1 2019 Pipeline Data Lagasco'!$E:$E,'Dec 31 2018 OFFS'!$U239,'T1 2019 Pipeline Data Lagasco'!$G:$G,'Dec 31 2018 OFFS'!$W239))/(MAX(COUNTIFS('T1 2019 Pipeline Data Lagasco'!$A:$A,'Dec 31 2018 OFFS'!$AI239,'T1 2019 Pipeline Data Lagasco'!$Q:$Q,'Dec 31 2018 OFFS'!$AK239,'T1 2019 Pipeline Data Lagasco'!$E:$E,'Dec 31 2018 OFFS'!$U239,'T1 2019 Pipeline Data Lagasco'!$G:$G,'Dec 31 2018 OFFS'!$W239),1))</f>
        <v>125413</v>
      </c>
      <c r="AM239" s="274">
        <f t="shared" si="41"/>
        <v>0</v>
      </c>
    </row>
    <row r="240" spans="1:39" ht="12.7">
      <c r="A240" s="288" t="s">
        <v>909</v>
      </c>
      <c r="B240" s="290" t="s">
        <v>919</v>
      </c>
      <c r="C240" s="290" t="s">
        <v>920</v>
      </c>
      <c r="D240" s="290" t="s">
        <v>736</v>
      </c>
      <c r="E240" s="290" t="s">
        <v>1054</v>
      </c>
      <c r="F240" s="290" t="s">
        <v>1445</v>
      </c>
      <c r="G240" s="291" t="s">
        <v>739</v>
      </c>
      <c r="H240" s="292">
        <v>42</v>
      </c>
      <c r="I240" s="293">
        <v>18</v>
      </c>
      <c r="J240" s="294">
        <f>0.683*60</f>
        <v>40.98</v>
      </c>
      <c r="K240" s="295">
        <v>81</v>
      </c>
      <c r="L240" s="293">
        <v>2</v>
      </c>
      <c r="M240" s="296">
        <f>0.978*60</f>
        <v>58.68</v>
      </c>
      <c r="N240" s="290" t="s">
        <v>1298</v>
      </c>
      <c r="O240" s="292">
        <v>42</v>
      </c>
      <c r="P240" s="304" t="s">
        <v>1444</v>
      </c>
      <c r="Q240" s="294">
        <v>24.576000000000001</v>
      </c>
      <c r="R240" s="295">
        <v>81</v>
      </c>
      <c r="S240" s="304" t="s">
        <v>991</v>
      </c>
      <c r="T240" s="296">
        <v>2.3159999999999998</v>
      </c>
      <c r="U240" s="289">
        <v>4</v>
      </c>
      <c r="V240" s="184">
        <v>8998</v>
      </c>
      <c r="W240" s="298">
        <v>1986</v>
      </c>
      <c r="X240" s="289"/>
      <c r="Y240" s="305"/>
      <c r="Z240" s="290" t="s">
        <v>910</v>
      </c>
      <c r="AA240" s="299">
        <f t="shared" si="34"/>
        <v>237997.10</v>
      </c>
      <c r="AB240" s="300">
        <f t="shared" si="35"/>
        <v>0.79</v>
      </c>
      <c r="AC240" s="299">
        <f t="shared" si="36"/>
        <v>49979.39</v>
      </c>
      <c r="AD240" s="301">
        <f t="shared" si="37"/>
        <v>0</v>
      </c>
      <c r="AE240" s="301">
        <f t="shared" si="38"/>
        <v>0</v>
      </c>
      <c r="AF240" s="301">
        <f t="shared" si="39"/>
        <v>49979.39</v>
      </c>
      <c r="AG240" s="302">
        <f t="shared" si="40"/>
        <v>49979</v>
      </c>
      <c r="AH240" s="303"/>
      <c r="AI240" s="186" t="s">
        <v>1453</v>
      </c>
      <c r="AJ240" s="186" t="s">
        <v>1559</v>
      </c>
      <c r="AK240" s="277">
        <f t="shared" si="33"/>
        <v>8998</v>
      </c>
      <c r="AL240" s="25">
        <f>(SUMIFS('T1 2019 Pipeline Data Lagasco'!$O:$O,'T1 2019 Pipeline Data Lagasco'!$A:$A,'Dec 31 2018 OFFS'!$AI240,'T1 2019 Pipeline Data Lagasco'!$Q:$Q,'Dec 31 2018 OFFS'!$AK240,'T1 2019 Pipeline Data Lagasco'!$E:$E,'Dec 31 2018 OFFS'!$U240,'T1 2019 Pipeline Data Lagasco'!$G:$G,'Dec 31 2018 OFFS'!$W240))/(MAX(COUNTIFS('T1 2019 Pipeline Data Lagasco'!$A:$A,'Dec 31 2018 OFFS'!$AI240,'T1 2019 Pipeline Data Lagasco'!$Q:$Q,'Dec 31 2018 OFFS'!$AK240,'T1 2019 Pipeline Data Lagasco'!$E:$E,'Dec 31 2018 OFFS'!$U240,'T1 2019 Pipeline Data Lagasco'!$G:$G,'Dec 31 2018 OFFS'!$W240),1))</f>
        <v>49979</v>
      </c>
      <c r="AM240" s="274">
        <f t="shared" si="41"/>
        <v>0</v>
      </c>
    </row>
    <row r="241" spans="1:39" ht="12.7">
      <c r="A241" s="288" t="s">
        <v>909</v>
      </c>
      <c r="B241" s="289" t="s">
        <v>919</v>
      </c>
      <c r="C241" s="289" t="s">
        <v>920</v>
      </c>
      <c r="D241" s="289" t="s">
        <v>736</v>
      </c>
      <c r="E241" s="289" t="s">
        <v>1054</v>
      </c>
      <c r="F241" s="290" t="s">
        <v>1051</v>
      </c>
      <c r="G241" s="289" t="s">
        <v>1144</v>
      </c>
      <c r="H241" s="292" t="s">
        <v>78</v>
      </c>
      <c r="I241" s="293">
        <v>16</v>
      </c>
      <c r="J241" s="294">
        <v>47.82</v>
      </c>
      <c r="K241" s="295" t="s">
        <v>969</v>
      </c>
      <c r="L241" s="293">
        <v>4</v>
      </c>
      <c r="M241" s="296">
        <v>32.82</v>
      </c>
      <c r="N241" s="290" t="s">
        <v>1298</v>
      </c>
      <c r="O241" s="292">
        <v>42</v>
      </c>
      <c r="P241" s="304" t="s">
        <v>1444</v>
      </c>
      <c r="Q241" s="294">
        <v>24.576000000000001</v>
      </c>
      <c r="R241" s="295">
        <v>81</v>
      </c>
      <c r="S241" s="304" t="s">
        <v>991</v>
      </c>
      <c r="T241" s="296">
        <v>2.3159999999999998</v>
      </c>
      <c r="U241" s="289">
        <v>4</v>
      </c>
      <c r="V241" s="184">
        <v>4442</v>
      </c>
      <c r="W241" s="298">
        <v>1986</v>
      </c>
      <c r="X241" s="289"/>
      <c r="Y241" s="52"/>
      <c r="Z241" s="289" t="s">
        <v>910</v>
      </c>
      <c r="AA241" s="299">
        <f t="shared" si="34"/>
        <v>0</v>
      </c>
      <c r="AB241" s="300">
        <f t="shared" si="35"/>
        <v>0.79</v>
      </c>
      <c r="AC241" s="299">
        <f t="shared" si="36"/>
        <v>0</v>
      </c>
      <c r="AD241" s="301">
        <f t="shared" si="37"/>
        <v>0</v>
      </c>
      <c r="AE241" s="301">
        <f t="shared" si="38"/>
        <v>0</v>
      </c>
      <c r="AF241" s="301">
        <f t="shared" si="39"/>
        <v>0</v>
      </c>
      <c r="AG241" s="302">
        <f t="shared" si="40"/>
        <v>0</v>
      </c>
      <c r="AH241" s="303"/>
      <c r="AI241" s="186" t="s">
        <v>1453</v>
      </c>
      <c r="AJ241" s="186" t="s">
        <v>1558</v>
      </c>
      <c r="AK241" s="277">
        <f t="shared" si="33"/>
        <v>4442</v>
      </c>
      <c r="AL241" s="25">
        <f>(SUMIFS('T1 2019 Pipeline Data Lagasco'!$O:$O,'T1 2019 Pipeline Data Lagasco'!$A:$A,'Dec 31 2018 OFFS'!$AI241,'T1 2019 Pipeline Data Lagasco'!$Q:$Q,'Dec 31 2018 OFFS'!$AK241,'T1 2019 Pipeline Data Lagasco'!$E:$E,'Dec 31 2018 OFFS'!$U241,'T1 2019 Pipeline Data Lagasco'!$G:$G,'Dec 31 2018 OFFS'!$W241))/(MAX(COUNTIFS('T1 2019 Pipeline Data Lagasco'!$A:$A,'Dec 31 2018 OFFS'!$AI241,'T1 2019 Pipeline Data Lagasco'!$Q:$Q,'Dec 31 2018 OFFS'!$AK241,'T1 2019 Pipeline Data Lagasco'!$E:$E,'Dec 31 2018 OFFS'!$U241,'T1 2019 Pipeline Data Lagasco'!$G:$G,'Dec 31 2018 OFFS'!$W241),1))</f>
        <v>0</v>
      </c>
      <c r="AM241" s="274">
        <f t="shared" si="41"/>
        <v>0</v>
      </c>
    </row>
    <row r="242" spans="1:39" ht="12.7">
      <c r="A242" s="193" t="s">
        <v>909</v>
      </c>
      <c r="B242" s="40" t="s">
        <v>919</v>
      </c>
      <c r="C242" s="40" t="s">
        <v>920</v>
      </c>
      <c r="D242" s="40" t="s">
        <v>736</v>
      </c>
      <c r="E242" s="40" t="s">
        <v>1054</v>
      </c>
      <c r="F242" s="40" t="s">
        <v>1051</v>
      </c>
      <c r="G242" s="41" t="s">
        <v>735</v>
      </c>
      <c r="H242" s="42">
        <v>42</v>
      </c>
      <c r="I242" s="43">
        <v>14</v>
      </c>
      <c r="J242" s="44">
        <v>55.311</v>
      </c>
      <c r="K242" s="45">
        <v>81</v>
      </c>
      <c r="L242" s="43">
        <v>6</v>
      </c>
      <c r="M242" s="46">
        <v>4.7510000000000003</v>
      </c>
      <c r="N242" s="40" t="s">
        <v>738</v>
      </c>
      <c r="O242" s="42">
        <v>42</v>
      </c>
      <c r="P242" s="43">
        <v>15</v>
      </c>
      <c r="Q242" s="44">
        <v>22.908000000000001</v>
      </c>
      <c r="R242" s="45">
        <v>81</v>
      </c>
      <c r="S242" s="43">
        <v>5</v>
      </c>
      <c r="T242" s="46">
        <v>15.981</v>
      </c>
      <c r="U242" s="40">
        <v>4</v>
      </c>
      <c r="V242" s="47">
        <v>4610.33</v>
      </c>
      <c r="W242" s="48">
        <v>1985</v>
      </c>
      <c r="X242" s="40"/>
      <c r="Y242" s="52"/>
      <c r="Z242" s="40" t="s">
        <v>910</v>
      </c>
      <c r="AA242" s="49">
        <f t="shared" si="34"/>
        <v>0</v>
      </c>
      <c r="AB242" s="71">
        <f t="shared" si="35"/>
        <v>0.80</v>
      </c>
      <c r="AC242" s="49">
        <f t="shared" si="36"/>
        <v>0</v>
      </c>
      <c r="AD242" s="50">
        <f t="shared" si="37"/>
        <v>0</v>
      </c>
      <c r="AE242" s="50">
        <f t="shared" si="38"/>
        <v>0</v>
      </c>
      <c r="AF242" s="50">
        <f t="shared" si="39"/>
        <v>0</v>
      </c>
      <c r="AG242" s="199">
        <f t="shared" si="40"/>
        <v>0</v>
      </c>
      <c r="AH242" s="187"/>
      <c r="AI242" s="185" t="s">
        <v>1453</v>
      </c>
      <c r="AJ242" s="185"/>
      <c r="AK242" s="277">
        <f t="shared" si="33"/>
        <v>4610.33</v>
      </c>
      <c r="AL242" s="25">
        <f>(SUMIFS('T1 2019 Pipeline Data Lagasco'!$O:$O,'T1 2019 Pipeline Data Lagasco'!$A:$A,'Dec 31 2018 OFFS'!$AI242,'T1 2019 Pipeline Data Lagasco'!$Q:$Q,'Dec 31 2018 OFFS'!$AK242,'T1 2019 Pipeline Data Lagasco'!$E:$E,'Dec 31 2018 OFFS'!$U242,'T1 2019 Pipeline Data Lagasco'!$G:$G,'Dec 31 2018 OFFS'!$W242))/(MAX(COUNTIFS('T1 2019 Pipeline Data Lagasco'!$A:$A,'Dec 31 2018 OFFS'!$AI242,'T1 2019 Pipeline Data Lagasco'!$Q:$Q,'Dec 31 2018 OFFS'!$AK242,'T1 2019 Pipeline Data Lagasco'!$E:$E,'Dec 31 2018 OFFS'!$U242,'T1 2019 Pipeline Data Lagasco'!$G:$G,'Dec 31 2018 OFFS'!$W242),1))</f>
        <v>0</v>
      </c>
      <c r="AM242" s="274">
        <f t="shared" si="41"/>
        <v>0</v>
      </c>
    </row>
    <row r="243" spans="1:39" ht="12.7">
      <c r="A243" s="193" t="s">
        <v>909</v>
      </c>
      <c r="B243" s="40" t="s">
        <v>919</v>
      </c>
      <c r="C243" s="40" t="s">
        <v>920</v>
      </c>
      <c r="D243" s="40" t="s">
        <v>736</v>
      </c>
      <c r="E243" s="40" t="s">
        <v>1054</v>
      </c>
      <c r="F243" s="40" t="s">
        <v>1051</v>
      </c>
      <c r="G243" s="41" t="s">
        <v>742</v>
      </c>
      <c r="H243" s="42">
        <v>42</v>
      </c>
      <c r="I243" s="43">
        <v>37</v>
      </c>
      <c r="J243" s="44">
        <v>39.213999999999999</v>
      </c>
      <c r="K243" s="45">
        <v>81</v>
      </c>
      <c r="L243" s="43">
        <v>12</v>
      </c>
      <c r="M243" s="46">
        <v>44.633000000000003</v>
      </c>
      <c r="N243" s="41" t="s">
        <v>743</v>
      </c>
      <c r="O243" s="42">
        <v>42</v>
      </c>
      <c r="P243" s="43">
        <v>36</v>
      </c>
      <c r="Q243" s="44">
        <f>0.776*60</f>
        <v>46.56</v>
      </c>
      <c r="R243" s="45">
        <v>81</v>
      </c>
      <c r="S243" s="43">
        <v>9</v>
      </c>
      <c r="T243" s="46">
        <f>0.809*60</f>
        <v>48.540000000000006</v>
      </c>
      <c r="U243" s="40">
        <v>6</v>
      </c>
      <c r="V243" s="47">
        <v>14203.608512548</v>
      </c>
      <c r="W243" s="48">
        <v>1971</v>
      </c>
      <c r="X243" s="40" t="s">
        <v>2</v>
      </c>
      <c r="Y243" s="52"/>
      <c r="Z243" s="40" t="s">
        <v>910</v>
      </c>
      <c r="AA243" s="49">
        <f t="shared" si="34"/>
        <v>0</v>
      </c>
      <c r="AB243" s="71">
        <f t="shared" si="35"/>
        <v>0.80</v>
      </c>
      <c r="AC243" s="49">
        <f t="shared" si="36"/>
        <v>0</v>
      </c>
      <c r="AD243" s="50">
        <f t="shared" si="37"/>
        <v>0</v>
      </c>
      <c r="AE243" s="50">
        <f t="shared" si="38"/>
        <v>0</v>
      </c>
      <c r="AF243" s="50">
        <f t="shared" si="39"/>
        <v>0</v>
      </c>
      <c r="AG243" s="199">
        <f t="shared" si="40"/>
        <v>0</v>
      </c>
      <c r="AH243" s="187"/>
      <c r="AI243" s="185" t="s">
        <v>1453</v>
      </c>
      <c r="AJ243" s="185"/>
      <c r="AK243" s="277">
        <f t="shared" si="33"/>
        <v>14203.61</v>
      </c>
      <c r="AL243" s="25">
        <f>(SUMIFS('T1 2019 Pipeline Data Lagasco'!$O:$O,'T1 2019 Pipeline Data Lagasco'!$A:$A,'Dec 31 2018 OFFS'!$AI243,'T1 2019 Pipeline Data Lagasco'!$Q:$Q,'Dec 31 2018 OFFS'!$AK243,'T1 2019 Pipeline Data Lagasco'!$E:$E,'Dec 31 2018 OFFS'!$U243,'T1 2019 Pipeline Data Lagasco'!$G:$G,'Dec 31 2018 OFFS'!$W243))/(MAX(COUNTIFS('T1 2019 Pipeline Data Lagasco'!$A:$A,'Dec 31 2018 OFFS'!$AI243,'T1 2019 Pipeline Data Lagasco'!$Q:$Q,'Dec 31 2018 OFFS'!$AK243,'T1 2019 Pipeline Data Lagasco'!$E:$E,'Dec 31 2018 OFFS'!$U243,'T1 2019 Pipeline Data Lagasco'!$G:$G,'Dec 31 2018 OFFS'!$W243),1))</f>
        <v>0</v>
      </c>
      <c r="AM243" s="274">
        <f t="shared" si="41"/>
        <v>0</v>
      </c>
    </row>
    <row r="244" spans="1:39" ht="12.7">
      <c r="A244" s="193" t="s">
        <v>909</v>
      </c>
      <c r="B244" s="40" t="s">
        <v>919</v>
      </c>
      <c r="C244" s="40" t="s">
        <v>920</v>
      </c>
      <c r="D244" s="40" t="s">
        <v>736</v>
      </c>
      <c r="E244" s="40" t="s">
        <v>1054</v>
      </c>
      <c r="F244" s="40" t="s">
        <v>1051</v>
      </c>
      <c r="G244" s="41" t="s">
        <v>744</v>
      </c>
      <c r="H244" s="42">
        <v>42</v>
      </c>
      <c r="I244" s="43">
        <v>37</v>
      </c>
      <c r="J244" s="44">
        <v>43.595</v>
      </c>
      <c r="K244" s="45">
        <v>81</v>
      </c>
      <c r="L244" s="43">
        <v>12</v>
      </c>
      <c r="M244" s="46">
        <v>39.90</v>
      </c>
      <c r="N244" s="41" t="s">
        <v>745</v>
      </c>
      <c r="O244" s="42">
        <v>42</v>
      </c>
      <c r="P244" s="43">
        <v>36</v>
      </c>
      <c r="Q244" s="44">
        <v>50.38</v>
      </c>
      <c r="R244" s="45">
        <v>81</v>
      </c>
      <c r="S244" s="43">
        <v>9</v>
      </c>
      <c r="T244" s="46">
        <v>46.94</v>
      </c>
      <c r="U244" s="40">
        <v>6</v>
      </c>
      <c r="V244" s="47">
        <v>14008.267310856001</v>
      </c>
      <c r="W244" s="48">
        <v>1975</v>
      </c>
      <c r="X244" s="40"/>
      <c r="Y244" s="52"/>
      <c r="Z244" s="40" t="s">
        <v>910</v>
      </c>
      <c r="AA244" s="49">
        <f t="shared" si="34"/>
        <v>0</v>
      </c>
      <c r="AB244" s="71">
        <f t="shared" si="35"/>
        <v>0.80</v>
      </c>
      <c r="AC244" s="49">
        <f t="shared" si="36"/>
        <v>0</v>
      </c>
      <c r="AD244" s="50">
        <f t="shared" si="37"/>
        <v>0</v>
      </c>
      <c r="AE244" s="50">
        <f t="shared" si="38"/>
        <v>0</v>
      </c>
      <c r="AF244" s="50">
        <f t="shared" si="39"/>
        <v>0</v>
      </c>
      <c r="AG244" s="199">
        <f t="shared" si="40"/>
        <v>0</v>
      </c>
      <c r="AH244" s="187"/>
      <c r="AI244" s="185" t="s">
        <v>1453</v>
      </c>
      <c r="AJ244" s="185"/>
      <c r="AK244" s="277">
        <f t="shared" si="33"/>
        <v>14008.27</v>
      </c>
      <c r="AL244" s="25">
        <f>(SUMIFS('T1 2019 Pipeline Data Lagasco'!$O:$O,'T1 2019 Pipeline Data Lagasco'!$A:$A,'Dec 31 2018 OFFS'!$AI244,'T1 2019 Pipeline Data Lagasco'!$Q:$Q,'Dec 31 2018 OFFS'!$AK244,'T1 2019 Pipeline Data Lagasco'!$E:$E,'Dec 31 2018 OFFS'!$U244,'T1 2019 Pipeline Data Lagasco'!$G:$G,'Dec 31 2018 OFFS'!$W244))/(MAX(COUNTIFS('T1 2019 Pipeline Data Lagasco'!$A:$A,'Dec 31 2018 OFFS'!$AI244,'T1 2019 Pipeline Data Lagasco'!$Q:$Q,'Dec 31 2018 OFFS'!$AK244,'T1 2019 Pipeline Data Lagasco'!$E:$E,'Dec 31 2018 OFFS'!$U244,'T1 2019 Pipeline Data Lagasco'!$G:$G,'Dec 31 2018 OFFS'!$W244),1))</f>
        <v>0</v>
      </c>
      <c r="AM244" s="274">
        <f t="shared" si="41"/>
        <v>0</v>
      </c>
    </row>
    <row r="245" spans="1:39" ht="12.7">
      <c r="A245" s="193" t="s">
        <v>909</v>
      </c>
      <c r="B245" s="40" t="s">
        <v>919</v>
      </c>
      <c r="C245" s="40" t="s">
        <v>920</v>
      </c>
      <c r="D245" s="40" t="s">
        <v>736</v>
      </c>
      <c r="E245" s="40" t="s">
        <v>1054</v>
      </c>
      <c r="F245" s="40" t="s">
        <v>1051</v>
      </c>
      <c r="G245" s="41" t="s">
        <v>949</v>
      </c>
      <c r="H245" s="42">
        <v>42</v>
      </c>
      <c r="I245" s="43">
        <v>37</v>
      </c>
      <c r="J245" s="44">
        <v>33.939</v>
      </c>
      <c r="K245" s="45">
        <v>81</v>
      </c>
      <c r="L245" s="43">
        <v>12</v>
      </c>
      <c r="M245" s="46">
        <v>48.628</v>
      </c>
      <c r="N245" s="41" t="s">
        <v>746</v>
      </c>
      <c r="O245" s="42">
        <v>42</v>
      </c>
      <c r="P245" s="43">
        <v>36</v>
      </c>
      <c r="Q245" s="44">
        <v>42.94</v>
      </c>
      <c r="R245" s="45">
        <v>81</v>
      </c>
      <c r="S245" s="43">
        <v>9</v>
      </c>
      <c r="T245" s="46">
        <v>51.27</v>
      </c>
      <c r="U245" s="40">
        <v>6</v>
      </c>
      <c r="V245" s="47">
        <v>14218</v>
      </c>
      <c r="W245" s="48">
        <v>1975</v>
      </c>
      <c r="X245" s="40" t="s">
        <v>2</v>
      </c>
      <c r="Y245" s="52"/>
      <c r="Z245" s="40" t="s">
        <v>910</v>
      </c>
      <c r="AA245" s="49">
        <f t="shared" si="34"/>
        <v>0</v>
      </c>
      <c r="AB245" s="71">
        <f t="shared" si="35"/>
        <v>0.80</v>
      </c>
      <c r="AC245" s="49">
        <f t="shared" si="36"/>
        <v>0</v>
      </c>
      <c r="AD245" s="50">
        <f t="shared" si="37"/>
        <v>0</v>
      </c>
      <c r="AE245" s="50">
        <f t="shared" si="38"/>
        <v>0</v>
      </c>
      <c r="AF245" s="50">
        <f t="shared" si="39"/>
        <v>0</v>
      </c>
      <c r="AG245" s="199">
        <f t="shared" si="40"/>
        <v>0</v>
      </c>
      <c r="AH245" s="187"/>
      <c r="AI245" s="185" t="s">
        <v>1453</v>
      </c>
      <c r="AJ245" s="185"/>
      <c r="AK245" s="277">
        <f t="shared" si="33"/>
        <v>14218</v>
      </c>
      <c r="AL245" s="25">
        <f>(SUMIFS('T1 2019 Pipeline Data Lagasco'!$O:$O,'T1 2019 Pipeline Data Lagasco'!$A:$A,'Dec 31 2018 OFFS'!$AI245,'T1 2019 Pipeline Data Lagasco'!$Q:$Q,'Dec 31 2018 OFFS'!$AK245,'T1 2019 Pipeline Data Lagasco'!$E:$E,'Dec 31 2018 OFFS'!$U245,'T1 2019 Pipeline Data Lagasco'!$G:$G,'Dec 31 2018 OFFS'!$W245))/(MAX(COUNTIFS('T1 2019 Pipeline Data Lagasco'!$A:$A,'Dec 31 2018 OFFS'!$AI245,'T1 2019 Pipeline Data Lagasco'!$Q:$Q,'Dec 31 2018 OFFS'!$AK245,'T1 2019 Pipeline Data Lagasco'!$E:$E,'Dec 31 2018 OFFS'!$U245,'T1 2019 Pipeline Data Lagasco'!$G:$G,'Dec 31 2018 OFFS'!$W245),1))</f>
        <v>0</v>
      </c>
      <c r="AM245" s="274">
        <f t="shared" si="41"/>
        <v>0</v>
      </c>
    </row>
    <row r="246" spans="1:39" ht="12.7">
      <c r="A246" s="193" t="s">
        <v>909</v>
      </c>
      <c r="B246" s="40" t="s">
        <v>919</v>
      </c>
      <c r="C246" s="40" t="s">
        <v>920</v>
      </c>
      <c r="D246" s="40" t="s">
        <v>736</v>
      </c>
      <c r="E246" s="40" t="s">
        <v>1054</v>
      </c>
      <c r="F246" s="40" t="s">
        <v>1051</v>
      </c>
      <c r="G246" s="40" t="s">
        <v>727</v>
      </c>
      <c r="H246" s="42">
        <v>42</v>
      </c>
      <c r="I246" s="43">
        <v>37</v>
      </c>
      <c r="J246" s="44">
        <v>47.845</v>
      </c>
      <c r="K246" s="45">
        <v>81</v>
      </c>
      <c r="L246" s="43">
        <v>12</v>
      </c>
      <c r="M246" s="46">
        <v>50.162999999999997</v>
      </c>
      <c r="N246" s="41" t="s">
        <v>742</v>
      </c>
      <c r="O246" s="42">
        <v>42</v>
      </c>
      <c r="P246" s="43">
        <v>37</v>
      </c>
      <c r="Q246" s="44">
        <v>39.213999999999999</v>
      </c>
      <c r="R246" s="45">
        <v>81</v>
      </c>
      <c r="S246" s="43">
        <v>12</v>
      </c>
      <c r="T246" s="46">
        <v>44.633000000000003</v>
      </c>
      <c r="U246" s="40">
        <v>6</v>
      </c>
      <c r="V246" s="47">
        <v>966.601021876</v>
      </c>
      <c r="W246" s="48">
        <v>1971</v>
      </c>
      <c r="X246" s="40" t="s">
        <v>2</v>
      </c>
      <c r="Y246" s="52"/>
      <c r="Z246" s="40" t="s">
        <v>910</v>
      </c>
      <c r="AA246" s="49">
        <f t="shared" si="34"/>
        <v>0</v>
      </c>
      <c r="AB246" s="71">
        <f t="shared" si="35"/>
        <v>0.80</v>
      </c>
      <c r="AC246" s="49">
        <f t="shared" si="36"/>
        <v>0</v>
      </c>
      <c r="AD246" s="50">
        <f t="shared" si="37"/>
        <v>0</v>
      </c>
      <c r="AE246" s="50">
        <f t="shared" si="38"/>
        <v>0</v>
      </c>
      <c r="AF246" s="50">
        <f t="shared" si="39"/>
        <v>0</v>
      </c>
      <c r="AG246" s="199">
        <f t="shared" si="40"/>
        <v>0</v>
      </c>
      <c r="AH246" s="187"/>
      <c r="AI246" s="185" t="s">
        <v>1453</v>
      </c>
      <c r="AJ246" s="185"/>
      <c r="AK246" s="277">
        <f t="shared" si="33"/>
        <v>966.60</v>
      </c>
      <c r="AL246" s="25">
        <f>(SUMIFS('T1 2019 Pipeline Data Lagasco'!$O:$O,'T1 2019 Pipeline Data Lagasco'!$A:$A,'Dec 31 2018 OFFS'!$AI246,'T1 2019 Pipeline Data Lagasco'!$Q:$Q,'Dec 31 2018 OFFS'!$AK246,'T1 2019 Pipeline Data Lagasco'!$E:$E,'Dec 31 2018 OFFS'!$U246,'T1 2019 Pipeline Data Lagasco'!$G:$G,'Dec 31 2018 OFFS'!$W246))/(MAX(COUNTIFS('T1 2019 Pipeline Data Lagasco'!$A:$A,'Dec 31 2018 OFFS'!$AI246,'T1 2019 Pipeline Data Lagasco'!$Q:$Q,'Dec 31 2018 OFFS'!$AK246,'T1 2019 Pipeline Data Lagasco'!$E:$E,'Dec 31 2018 OFFS'!$U246,'T1 2019 Pipeline Data Lagasco'!$G:$G,'Dec 31 2018 OFFS'!$W246),1))</f>
        <v>0</v>
      </c>
      <c r="AM246" s="274">
        <f t="shared" si="41"/>
        <v>0</v>
      </c>
    </row>
    <row r="247" spans="1:39" ht="12.7">
      <c r="A247" s="193" t="s">
        <v>909</v>
      </c>
      <c r="B247" s="40" t="s">
        <v>919</v>
      </c>
      <c r="C247" s="40" t="s">
        <v>920</v>
      </c>
      <c r="D247" s="40" t="s">
        <v>736</v>
      </c>
      <c r="E247" s="40" t="s">
        <v>1054</v>
      </c>
      <c r="F247" s="40" t="s">
        <v>1051</v>
      </c>
      <c r="G247" s="40" t="s">
        <v>730</v>
      </c>
      <c r="H247" s="42">
        <v>42</v>
      </c>
      <c r="I247" s="43">
        <v>37</v>
      </c>
      <c r="J247" s="44">
        <v>58.075</v>
      </c>
      <c r="K247" s="45">
        <v>81</v>
      </c>
      <c r="L247" s="43">
        <v>12</v>
      </c>
      <c r="M247" s="46">
        <v>49.921999999999997</v>
      </c>
      <c r="N247" s="41" t="s">
        <v>744</v>
      </c>
      <c r="O247" s="42">
        <v>42</v>
      </c>
      <c r="P247" s="43">
        <v>37</v>
      </c>
      <c r="Q247" s="44">
        <v>43.595</v>
      </c>
      <c r="R247" s="45">
        <v>81</v>
      </c>
      <c r="S247" s="43">
        <v>12</v>
      </c>
      <c r="T247" s="46">
        <v>39.90</v>
      </c>
      <c r="U247" s="40">
        <v>6</v>
      </c>
      <c r="V247" s="47">
        <v>1646.1941780479999</v>
      </c>
      <c r="W247" s="48">
        <v>1975</v>
      </c>
      <c r="X247" s="40"/>
      <c r="Y247" s="52"/>
      <c r="Z247" s="40" t="s">
        <v>910</v>
      </c>
      <c r="AA247" s="49">
        <f t="shared" si="34"/>
        <v>0</v>
      </c>
      <c r="AB247" s="71">
        <f t="shared" si="35"/>
        <v>0.80</v>
      </c>
      <c r="AC247" s="49">
        <f t="shared" si="36"/>
        <v>0</v>
      </c>
      <c r="AD247" s="50">
        <f t="shared" si="37"/>
        <v>0</v>
      </c>
      <c r="AE247" s="50">
        <f t="shared" si="38"/>
        <v>0</v>
      </c>
      <c r="AF247" s="50">
        <f t="shared" si="39"/>
        <v>0</v>
      </c>
      <c r="AG247" s="199">
        <f t="shared" si="40"/>
        <v>0</v>
      </c>
      <c r="AH247" s="187"/>
      <c r="AI247" s="185" t="s">
        <v>1453</v>
      </c>
      <c r="AJ247" s="185"/>
      <c r="AK247" s="277">
        <f t="shared" si="33"/>
        <v>1646.19</v>
      </c>
      <c r="AL247" s="25">
        <f>(SUMIFS('T1 2019 Pipeline Data Lagasco'!$O:$O,'T1 2019 Pipeline Data Lagasco'!$A:$A,'Dec 31 2018 OFFS'!$AI247,'T1 2019 Pipeline Data Lagasco'!$Q:$Q,'Dec 31 2018 OFFS'!$AK247,'T1 2019 Pipeline Data Lagasco'!$E:$E,'Dec 31 2018 OFFS'!$U247,'T1 2019 Pipeline Data Lagasco'!$G:$G,'Dec 31 2018 OFFS'!$W247))/(MAX(COUNTIFS('T1 2019 Pipeline Data Lagasco'!$A:$A,'Dec 31 2018 OFFS'!$AI247,'T1 2019 Pipeline Data Lagasco'!$Q:$Q,'Dec 31 2018 OFFS'!$AK247,'T1 2019 Pipeline Data Lagasco'!$E:$E,'Dec 31 2018 OFFS'!$U247,'T1 2019 Pipeline Data Lagasco'!$G:$G,'Dec 31 2018 OFFS'!$W247),1))</f>
        <v>0</v>
      </c>
      <c r="AM247" s="274">
        <f t="shared" si="41"/>
        <v>0</v>
      </c>
    </row>
    <row r="248" spans="1:39" ht="12.7">
      <c r="A248" s="193" t="s">
        <v>909</v>
      </c>
      <c r="B248" s="40" t="s">
        <v>919</v>
      </c>
      <c r="C248" s="40" t="s">
        <v>920</v>
      </c>
      <c r="D248" s="40" t="s">
        <v>736</v>
      </c>
      <c r="E248" s="40" t="s">
        <v>1054</v>
      </c>
      <c r="F248" s="40" t="s">
        <v>1051</v>
      </c>
      <c r="G248" s="40" t="s">
        <v>731</v>
      </c>
      <c r="H248" s="42">
        <v>42</v>
      </c>
      <c r="I248" s="43">
        <v>37</v>
      </c>
      <c r="J248" s="44">
        <v>34.700000000000003</v>
      </c>
      <c r="K248" s="45">
        <v>81</v>
      </c>
      <c r="L248" s="43">
        <v>12</v>
      </c>
      <c r="M248" s="46">
        <v>50.003999999999998</v>
      </c>
      <c r="N248" s="41" t="s">
        <v>747</v>
      </c>
      <c r="O248" s="42">
        <v>42</v>
      </c>
      <c r="P248" s="43">
        <v>37</v>
      </c>
      <c r="Q248" s="44">
        <v>33.939</v>
      </c>
      <c r="R248" s="45">
        <v>81</v>
      </c>
      <c r="S248" s="43">
        <v>12</v>
      </c>
      <c r="T248" s="46">
        <v>48.628</v>
      </c>
      <c r="U248" s="40">
        <v>6</v>
      </c>
      <c r="V248" s="47">
        <v>128</v>
      </c>
      <c r="W248" s="48">
        <v>1975</v>
      </c>
      <c r="X248" s="40"/>
      <c r="Y248" s="52"/>
      <c r="Z248" s="40" t="s">
        <v>910</v>
      </c>
      <c r="AA248" s="49">
        <f t="shared" si="34"/>
        <v>0</v>
      </c>
      <c r="AB248" s="71">
        <f t="shared" si="35"/>
        <v>0.80</v>
      </c>
      <c r="AC248" s="49">
        <f t="shared" si="36"/>
        <v>0</v>
      </c>
      <c r="AD248" s="50">
        <f t="shared" si="37"/>
        <v>0</v>
      </c>
      <c r="AE248" s="50">
        <f t="shared" si="38"/>
        <v>0</v>
      </c>
      <c r="AF248" s="50">
        <f t="shared" si="39"/>
        <v>0</v>
      </c>
      <c r="AG248" s="199">
        <f t="shared" si="40"/>
        <v>0</v>
      </c>
      <c r="AH248" s="187"/>
      <c r="AI248" s="185" t="s">
        <v>1453</v>
      </c>
      <c r="AJ248" s="185"/>
      <c r="AK248" s="277">
        <f t="shared" si="33"/>
        <v>128</v>
      </c>
      <c r="AL248" s="25">
        <f>(SUMIFS('T1 2019 Pipeline Data Lagasco'!$O:$O,'T1 2019 Pipeline Data Lagasco'!$A:$A,'Dec 31 2018 OFFS'!$AI248,'T1 2019 Pipeline Data Lagasco'!$Q:$Q,'Dec 31 2018 OFFS'!$AK248,'T1 2019 Pipeline Data Lagasco'!$E:$E,'Dec 31 2018 OFFS'!$U248,'T1 2019 Pipeline Data Lagasco'!$G:$G,'Dec 31 2018 OFFS'!$W248))/(MAX(COUNTIFS('T1 2019 Pipeline Data Lagasco'!$A:$A,'Dec 31 2018 OFFS'!$AI248,'T1 2019 Pipeline Data Lagasco'!$Q:$Q,'Dec 31 2018 OFFS'!$AK248,'T1 2019 Pipeline Data Lagasco'!$E:$E,'Dec 31 2018 OFFS'!$U248,'T1 2019 Pipeline Data Lagasco'!$G:$G,'Dec 31 2018 OFFS'!$W248),1))</f>
        <v>0</v>
      </c>
      <c r="AM248" s="274">
        <f t="shared" si="41"/>
        <v>0</v>
      </c>
    </row>
    <row r="249" spans="1:39" ht="12.7">
      <c r="A249" s="193" t="s">
        <v>909</v>
      </c>
      <c r="B249" s="40" t="s">
        <v>919</v>
      </c>
      <c r="C249" s="40" t="s">
        <v>920</v>
      </c>
      <c r="D249" s="40" t="s">
        <v>736</v>
      </c>
      <c r="E249" s="40" t="s">
        <v>1054</v>
      </c>
      <c r="F249" s="40" t="s">
        <v>1051</v>
      </c>
      <c r="G249" s="41" t="s">
        <v>743</v>
      </c>
      <c r="H249" s="42">
        <v>42</v>
      </c>
      <c r="I249" s="43">
        <v>36</v>
      </c>
      <c r="J249" s="44">
        <f>0.776*60</f>
        <v>46.56</v>
      </c>
      <c r="K249" s="45">
        <v>81</v>
      </c>
      <c r="L249" s="43">
        <v>9</v>
      </c>
      <c r="M249" s="46">
        <f>0.809*60</f>
        <v>48.540000000000006</v>
      </c>
      <c r="N249" s="41" t="s">
        <v>748</v>
      </c>
      <c r="O249" s="42">
        <v>42</v>
      </c>
      <c r="P249" s="43">
        <v>36</v>
      </c>
      <c r="Q249" s="44">
        <f>0.478*60</f>
        <v>28.68</v>
      </c>
      <c r="R249" s="45">
        <v>81</v>
      </c>
      <c r="S249" s="43">
        <v>8</v>
      </c>
      <c r="T249" s="46">
        <f>0.234*60</f>
        <v>14.04</v>
      </c>
      <c r="U249" s="40">
        <v>6</v>
      </c>
      <c r="V249" s="47">
        <v>7294.4879777280003</v>
      </c>
      <c r="W249" s="48">
        <v>1971</v>
      </c>
      <c r="X249" s="40" t="s">
        <v>2</v>
      </c>
      <c r="Y249" s="52"/>
      <c r="Z249" s="40" t="s">
        <v>910</v>
      </c>
      <c r="AA249" s="49">
        <f t="shared" si="34"/>
        <v>0</v>
      </c>
      <c r="AB249" s="71">
        <f t="shared" si="35"/>
        <v>0.80</v>
      </c>
      <c r="AC249" s="49">
        <f t="shared" si="36"/>
        <v>0</v>
      </c>
      <c r="AD249" s="50">
        <f t="shared" si="37"/>
        <v>0</v>
      </c>
      <c r="AE249" s="50">
        <f t="shared" si="38"/>
        <v>0</v>
      </c>
      <c r="AF249" s="50">
        <f t="shared" si="39"/>
        <v>0</v>
      </c>
      <c r="AG249" s="199">
        <f t="shared" si="40"/>
        <v>0</v>
      </c>
      <c r="AH249" s="187"/>
      <c r="AI249" s="185" t="s">
        <v>1453</v>
      </c>
      <c r="AJ249" s="185"/>
      <c r="AK249" s="277">
        <f t="shared" si="33"/>
        <v>7294.49</v>
      </c>
      <c r="AL249" s="25">
        <f>(SUMIFS('T1 2019 Pipeline Data Lagasco'!$O:$O,'T1 2019 Pipeline Data Lagasco'!$A:$A,'Dec 31 2018 OFFS'!$AI249,'T1 2019 Pipeline Data Lagasco'!$Q:$Q,'Dec 31 2018 OFFS'!$AK249,'T1 2019 Pipeline Data Lagasco'!$E:$E,'Dec 31 2018 OFFS'!$U249,'T1 2019 Pipeline Data Lagasco'!$G:$G,'Dec 31 2018 OFFS'!$W249))/(MAX(COUNTIFS('T1 2019 Pipeline Data Lagasco'!$A:$A,'Dec 31 2018 OFFS'!$AI249,'T1 2019 Pipeline Data Lagasco'!$Q:$Q,'Dec 31 2018 OFFS'!$AK249,'T1 2019 Pipeline Data Lagasco'!$E:$E,'Dec 31 2018 OFFS'!$U249,'T1 2019 Pipeline Data Lagasco'!$G:$G,'Dec 31 2018 OFFS'!$W249),1))</f>
        <v>0</v>
      </c>
      <c r="AM249" s="274">
        <f t="shared" si="41"/>
        <v>0</v>
      </c>
    </row>
    <row r="250" spans="1:39" ht="12.7">
      <c r="A250" s="193" t="s">
        <v>909</v>
      </c>
      <c r="B250" s="40" t="s">
        <v>919</v>
      </c>
      <c r="C250" s="40" t="s">
        <v>920</v>
      </c>
      <c r="D250" s="40" t="s">
        <v>736</v>
      </c>
      <c r="E250" s="40" t="s">
        <v>1054</v>
      </c>
      <c r="F250" s="40" t="s">
        <v>1051</v>
      </c>
      <c r="G250" s="41" t="s">
        <v>745</v>
      </c>
      <c r="H250" s="42">
        <v>42</v>
      </c>
      <c r="I250" s="43">
        <v>36</v>
      </c>
      <c r="J250" s="44">
        <v>50.38</v>
      </c>
      <c r="K250" s="45">
        <v>81</v>
      </c>
      <c r="L250" s="43">
        <v>9</v>
      </c>
      <c r="M250" s="46">
        <v>46.94</v>
      </c>
      <c r="N250" s="41" t="s">
        <v>749</v>
      </c>
      <c r="O250" s="42">
        <v>42</v>
      </c>
      <c r="P250" s="43">
        <v>36</v>
      </c>
      <c r="Q250" s="44">
        <v>33.79</v>
      </c>
      <c r="R250" s="45">
        <v>81</v>
      </c>
      <c r="S250" s="43">
        <v>8</v>
      </c>
      <c r="T250" s="46">
        <v>12.76</v>
      </c>
      <c r="U250" s="40">
        <v>6</v>
      </c>
      <c r="V250" s="47">
        <v>7239.7307614660003</v>
      </c>
      <c r="W250" s="48">
        <v>1975</v>
      </c>
      <c r="X250" s="40"/>
      <c r="Y250" s="52"/>
      <c r="Z250" s="40" t="s">
        <v>910</v>
      </c>
      <c r="AA250" s="49">
        <f t="shared" si="34"/>
        <v>0</v>
      </c>
      <c r="AB250" s="71">
        <f t="shared" si="35"/>
        <v>0.80</v>
      </c>
      <c r="AC250" s="49">
        <f t="shared" si="36"/>
        <v>0</v>
      </c>
      <c r="AD250" s="50">
        <f t="shared" si="37"/>
        <v>0</v>
      </c>
      <c r="AE250" s="50">
        <f t="shared" si="38"/>
        <v>0</v>
      </c>
      <c r="AF250" s="50">
        <f t="shared" si="39"/>
        <v>0</v>
      </c>
      <c r="AG250" s="199">
        <f t="shared" si="40"/>
        <v>0</v>
      </c>
      <c r="AH250" s="187"/>
      <c r="AI250" s="185" t="s">
        <v>1453</v>
      </c>
      <c r="AJ250" s="185"/>
      <c r="AK250" s="277">
        <f t="shared" si="33"/>
        <v>7239.73</v>
      </c>
      <c r="AL250" s="25">
        <f>(SUMIFS('T1 2019 Pipeline Data Lagasco'!$O:$O,'T1 2019 Pipeline Data Lagasco'!$A:$A,'Dec 31 2018 OFFS'!$AI250,'T1 2019 Pipeline Data Lagasco'!$Q:$Q,'Dec 31 2018 OFFS'!$AK250,'T1 2019 Pipeline Data Lagasco'!$E:$E,'Dec 31 2018 OFFS'!$U250,'T1 2019 Pipeline Data Lagasco'!$G:$G,'Dec 31 2018 OFFS'!$W250))/(MAX(COUNTIFS('T1 2019 Pipeline Data Lagasco'!$A:$A,'Dec 31 2018 OFFS'!$AI250,'T1 2019 Pipeline Data Lagasco'!$Q:$Q,'Dec 31 2018 OFFS'!$AK250,'T1 2019 Pipeline Data Lagasco'!$E:$E,'Dec 31 2018 OFFS'!$U250,'T1 2019 Pipeline Data Lagasco'!$G:$G,'Dec 31 2018 OFFS'!$W250),1))</f>
        <v>0</v>
      </c>
      <c r="AM250" s="274">
        <f t="shared" si="41"/>
        <v>0</v>
      </c>
    </row>
    <row r="251" spans="1:39" ht="12.7">
      <c r="A251" s="193" t="s">
        <v>909</v>
      </c>
      <c r="B251" s="40" t="s">
        <v>919</v>
      </c>
      <c r="C251" s="40" t="s">
        <v>920</v>
      </c>
      <c r="D251" s="40" t="s">
        <v>736</v>
      </c>
      <c r="E251" s="40" t="s">
        <v>1054</v>
      </c>
      <c r="F251" s="40" t="s">
        <v>1051</v>
      </c>
      <c r="G251" s="41" t="s">
        <v>950</v>
      </c>
      <c r="H251" s="42">
        <v>42</v>
      </c>
      <c r="I251" s="43">
        <v>36</v>
      </c>
      <c r="J251" s="44">
        <v>42.94</v>
      </c>
      <c r="K251" s="45">
        <v>81</v>
      </c>
      <c r="L251" s="43">
        <v>9</v>
      </c>
      <c r="M251" s="46">
        <v>51.27</v>
      </c>
      <c r="N251" s="41" t="s">
        <v>750</v>
      </c>
      <c r="O251" s="42">
        <v>42</v>
      </c>
      <c r="P251" s="43">
        <v>36</v>
      </c>
      <c r="Q251" s="44">
        <v>23.69</v>
      </c>
      <c r="R251" s="45">
        <v>81</v>
      </c>
      <c r="S251" s="43">
        <v>8</v>
      </c>
      <c r="T251" s="46">
        <v>17.10</v>
      </c>
      <c r="U251" s="40">
        <v>6</v>
      </c>
      <c r="V251" s="47">
        <v>7300</v>
      </c>
      <c r="W251" s="48">
        <v>1975</v>
      </c>
      <c r="X251" s="40" t="s">
        <v>2</v>
      </c>
      <c r="Y251" s="52"/>
      <c r="Z251" s="40" t="s">
        <v>910</v>
      </c>
      <c r="AA251" s="49">
        <f t="shared" si="34"/>
        <v>0</v>
      </c>
      <c r="AB251" s="71">
        <f t="shared" si="35"/>
        <v>0.80</v>
      </c>
      <c r="AC251" s="49">
        <f t="shared" si="36"/>
        <v>0</v>
      </c>
      <c r="AD251" s="50">
        <f t="shared" si="37"/>
        <v>0</v>
      </c>
      <c r="AE251" s="50">
        <f t="shared" si="38"/>
        <v>0</v>
      </c>
      <c r="AF251" s="50">
        <f t="shared" si="39"/>
        <v>0</v>
      </c>
      <c r="AG251" s="199">
        <f t="shared" si="40"/>
        <v>0</v>
      </c>
      <c r="AH251" s="187"/>
      <c r="AI251" s="185" t="s">
        <v>1453</v>
      </c>
      <c r="AJ251" s="185"/>
      <c r="AK251" s="277">
        <f t="shared" si="33"/>
        <v>7300</v>
      </c>
      <c r="AL251" s="25">
        <f>(SUMIFS('T1 2019 Pipeline Data Lagasco'!$O:$O,'T1 2019 Pipeline Data Lagasco'!$A:$A,'Dec 31 2018 OFFS'!$AI251,'T1 2019 Pipeline Data Lagasco'!$Q:$Q,'Dec 31 2018 OFFS'!$AK251,'T1 2019 Pipeline Data Lagasco'!$E:$E,'Dec 31 2018 OFFS'!$U251,'T1 2019 Pipeline Data Lagasco'!$G:$G,'Dec 31 2018 OFFS'!$W251))/(MAX(COUNTIFS('T1 2019 Pipeline Data Lagasco'!$A:$A,'Dec 31 2018 OFFS'!$AI251,'T1 2019 Pipeline Data Lagasco'!$Q:$Q,'Dec 31 2018 OFFS'!$AK251,'T1 2019 Pipeline Data Lagasco'!$E:$E,'Dec 31 2018 OFFS'!$U251,'T1 2019 Pipeline Data Lagasco'!$G:$G,'Dec 31 2018 OFFS'!$W251),1))</f>
        <v>0</v>
      </c>
      <c r="AM251" s="274">
        <f t="shared" si="41"/>
        <v>0</v>
      </c>
    </row>
    <row r="252" spans="1:39" ht="12.7">
      <c r="A252" s="193" t="s">
        <v>909</v>
      </c>
      <c r="B252" s="40" t="s">
        <v>919</v>
      </c>
      <c r="C252" s="40" t="s">
        <v>920</v>
      </c>
      <c r="D252" s="40" t="s">
        <v>736</v>
      </c>
      <c r="E252" s="40" t="s">
        <v>1054</v>
      </c>
      <c r="F252" s="40" t="s">
        <v>1051</v>
      </c>
      <c r="G252" s="41" t="s">
        <v>748</v>
      </c>
      <c r="H252" s="42">
        <v>42</v>
      </c>
      <c r="I252" s="43">
        <v>36</v>
      </c>
      <c r="J252" s="44">
        <f>0.478*60</f>
        <v>28.68</v>
      </c>
      <c r="K252" s="45">
        <v>81</v>
      </c>
      <c r="L252" s="43">
        <v>8</v>
      </c>
      <c r="M252" s="46">
        <f>0.234*60</f>
        <v>14.04</v>
      </c>
      <c r="N252" s="41" t="s">
        <v>751</v>
      </c>
      <c r="O252" s="42">
        <v>42</v>
      </c>
      <c r="P252" s="43">
        <v>36</v>
      </c>
      <c r="Q252" s="44">
        <f>0.059*60</f>
        <v>3.54</v>
      </c>
      <c r="R252" s="45">
        <v>81</v>
      </c>
      <c r="S252" s="43">
        <v>6</v>
      </c>
      <c r="T252" s="46">
        <f>0.866*60</f>
        <v>51.96</v>
      </c>
      <c r="U252" s="40">
        <v>6</v>
      </c>
      <c r="V252" s="47">
        <v>6639</v>
      </c>
      <c r="W252" s="48">
        <v>1971</v>
      </c>
      <c r="X252" s="40" t="s">
        <v>2</v>
      </c>
      <c r="Y252" s="52"/>
      <c r="Z252" s="40" t="s">
        <v>910</v>
      </c>
      <c r="AA252" s="49">
        <f t="shared" si="34"/>
        <v>0</v>
      </c>
      <c r="AB252" s="71">
        <f t="shared" si="35"/>
        <v>0.80</v>
      </c>
      <c r="AC252" s="49">
        <f t="shared" si="36"/>
        <v>0</v>
      </c>
      <c r="AD252" s="50">
        <f t="shared" si="37"/>
        <v>0</v>
      </c>
      <c r="AE252" s="50">
        <f t="shared" si="38"/>
        <v>0</v>
      </c>
      <c r="AF252" s="50">
        <f t="shared" si="39"/>
        <v>0</v>
      </c>
      <c r="AG252" s="199">
        <f t="shared" si="40"/>
        <v>0</v>
      </c>
      <c r="AH252" s="187"/>
      <c r="AI252" s="185" t="s">
        <v>1453</v>
      </c>
      <c r="AJ252" s="185"/>
      <c r="AK252" s="277">
        <f t="shared" si="33"/>
        <v>6639</v>
      </c>
      <c r="AL252" s="25">
        <f>(SUMIFS('T1 2019 Pipeline Data Lagasco'!$O:$O,'T1 2019 Pipeline Data Lagasco'!$A:$A,'Dec 31 2018 OFFS'!$AI252,'T1 2019 Pipeline Data Lagasco'!$Q:$Q,'Dec 31 2018 OFFS'!$AK252,'T1 2019 Pipeline Data Lagasco'!$E:$E,'Dec 31 2018 OFFS'!$U252,'T1 2019 Pipeline Data Lagasco'!$G:$G,'Dec 31 2018 OFFS'!$W252))/(MAX(COUNTIFS('T1 2019 Pipeline Data Lagasco'!$A:$A,'Dec 31 2018 OFFS'!$AI252,'T1 2019 Pipeline Data Lagasco'!$Q:$Q,'Dec 31 2018 OFFS'!$AK252,'T1 2019 Pipeline Data Lagasco'!$E:$E,'Dec 31 2018 OFFS'!$U252,'T1 2019 Pipeline Data Lagasco'!$G:$G,'Dec 31 2018 OFFS'!$W252),1))</f>
        <v>0</v>
      </c>
      <c r="AM252" s="274">
        <f t="shared" si="41"/>
        <v>0</v>
      </c>
    </row>
    <row r="253" spans="1:39" ht="12.7">
      <c r="A253" s="193" t="s">
        <v>909</v>
      </c>
      <c r="B253" s="40" t="s">
        <v>919</v>
      </c>
      <c r="C253" s="40" t="s">
        <v>920</v>
      </c>
      <c r="D253" s="40" t="s">
        <v>736</v>
      </c>
      <c r="E253" s="40" t="s">
        <v>1054</v>
      </c>
      <c r="F253" s="40" t="s">
        <v>1051</v>
      </c>
      <c r="G253" s="41" t="s">
        <v>749</v>
      </c>
      <c r="H253" s="42">
        <v>42</v>
      </c>
      <c r="I253" s="43">
        <v>36</v>
      </c>
      <c r="J253" s="44">
        <v>33.79</v>
      </c>
      <c r="K253" s="45">
        <v>81</v>
      </c>
      <c r="L253" s="43">
        <v>8</v>
      </c>
      <c r="M253" s="46">
        <v>12.76</v>
      </c>
      <c r="N253" s="41" t="s">
        <v>752</v>
      </c>
      <c r="O253" s="42">
        <v>42</v>
      </c>
      <c r="P253" s="43">
        <v>36</v>
      </c>
      <c r="Q253" s="44">
        <v>7.15</v>
      </c>
      <c r="R253" s="45">
        <v>81</v>
      </c>
      <c r="S253" s="43">
        <v>6</v>
      </c>
      <c r="T253" s="46">
        <v>50.36</v>
      </c>
      <c r="U253" s="40">
        <v>6</v>
      </c>
      <c r="V253" s="47">
        <v>6720</v>
      </c>
      <c r="W253" s="48">
        <v>1975</v>
      </c>
      <c r="X253" s="40"/>
      <c r="Y253" s="52"/>
      <c r="Z253" s="40" t="s">
        <v>910</v>
      </c>
      <c r="AA253" s="49">
        <f t="shared" si="34"/>
        <v>0</v>
      </c>
      <c r="AB253" s="71">
        <f t="shared" si="35"/>
        <v>0.80</v>
      </c>
      <c r="AC253" s="49">
        <f t="shared" si="36"/>
        <v>0</v>
      </c>
      <c r="AD253" s="50">
        <f t="shared" si="37"/>
        <v>0</v>
      </c>
      <c r="AE253" s="50">
        <f t="shared" si="38"/>
        <v>0</v>
      </c>
      <c r="AF253" s="50">
        <f t="shared" si="39"/>
        <v>0</v>
      </c>
      <c r="AG253" s="199">
        <f t="shared" si="40"/>
        <v>0</v>
      </c>
      <c r="AH253" s="187"/>
      <c r="AI253" s="185" t="s">
        <v>1453</v>
      </c>
      <c r="AJ253" s="185"/>
      <c r="AK253" s="277">
        <f t="shared" si="33"/>
        <v>6720</v>
      </c>
      <c r="AL253" s="25">
        <f>(SUMIFS('T1 2019 Pipeline Data Lagasco'!$O:$O,'T1 2019 Pipeline Data Lagasco'!$A:$A,'Dec 31 2018 OFFS'!$AI253,'T1 2019 Pipeline Data Lagasco'!$Q:$Q,'Dec 31 2018 OFFS'!$AK253,'T1 2019 Pipeline Data Lagasco'!$E:$E,'Dec 31 2018 OFFS'!$U253,'T1 2019 Pipeline Data Lagasco'!$G:$G,'Dec 31 2018 OFFS'!$W253))/(MAX(COUNTIFS('T1 2019 Pipeline Data Lagasco'!$A:$A,'Dec 31 2018 OFFS'!$AI253,'T1 2019 Pipeline Data Lagasco'!$Q:$Q,'Dec 31 2018 OFFS'!$AK253,'T1 2019 Pipeline Data Lagasco'!$E:$E,'Dec 31 2018 OFFS'!$U253,'T1 2019 Pipeline Data Lagasco'!$G:$G,'Dec 31 2018 OFFS'!$W253),1))</f>
        <v>0</v>
      </c>
      <c r="AM253" s="274">
        <f t="shared" si="41"/>
        <v>0</v>
      </c>
    </row>
    <row r="254" spans="1:39" ht="12.7">
      <c r="A254" s="193" t="s">
        <v>909</v>
      </c>
      <c r="B254" s="40" t="s">
        <v>919</v>
      </c>
      <c r="C254" s="40" t="s">
        <v>920</v>
      </c>
      <c r="D254" s="40" t="s">
        <v>736</v>
      </c>
      <c r="E254" s="40" t="s">
        <v>1054</v>
      </c>
      <c r="F254" s="40" t="s">
        <v>1051</v>
      </c>
      <c r="G254" s="41" t="s">
        <v>749</v>
      </c>
      <c r="H254" s="42">
        <v>42</v>
      </c>
      <c r="I254" s="43">
        <v>36</v>
      </c>
      <c r="J254" s="44">
        <v>33.79</v>
      </c>
      <c r="K254" s="45">
        <v>81</v>
      </c>
      <c r="L254" s="43">
        <v>8</v>
      </c>
      <c r="M254" s="46">
        <v>12.76</v>
      </c>
      <c r="N254" s="41" t="s">
        <v>1154</v>
      </c>
      <c r="O254" s="42">
        <v>42</v>
      </c>
      <c r="P254" s="43">
        <v>37</v>
      </c>
      <c r="Q254" s="44">
        <v>30</v>
      </c>
      <c r="R254" s="45" t="s">
        <v>969</v>
      </c>
      <c r="S254" s="43">
        <v>2</v>
      </c>
      <c r="T254" s="46">
        <v>1</v>
      </c>
      <c r="U254" s="40">
        <v>6</v>
      </c>
      <c r="V254" s="47">
        <v>28350</v>
      </c>
      <c r="W254" s="48">
        <v>1975</v>
      </c>
      <c r="X254" s="40"/>
      <c r="Y254" s="52" t="s">
        <v>1081</v>
      </c>
      <c r="Z254" s="40" t="s">
        <v>910</v>
      </c>
      <c r="AA254" s="49">
        <f t="shared" si="34"/>
        <v>0</v>
      </c>
      <c r="AB254" s="71">
        <f t="shared" si="35"/>
        <v>0.80</v>
      </c>
      <c r="AC254" s="49">
        <f t="shared" si="36"/>
        <v>0</v>
      </c>
      <c r="AD254" s="50">
        <f t="shared" si="37"/>
        <v>0</v>
      </c>
      <c r="AE254" s="50">
        <f t="shared" si="38"/>
        <v>0</v>
      </c>
      <c r="AF254" s="50">
        <f t="shared" si="39"/>
        <v>0</v>
      </c>
      <c r="AG254" s="199">
        <f t="shared" si="40"/>
        <v>0</v>
      </c>
      <c r="AH254" s="187"/>
      <c r="AI254" s="185" t="s">
        <v>1453</v>
      </c>
      <c r="AJ254" s="185"/>
      <c r="AK254" s="277">
        <f t="shared" si="33"/>
        <v>28350</v>
      </c>
      <c r="AL254" s="25">
        <f>(SUMIFS('T1 2019 Pipeline Data Lagasco'!$O:$O,'T1 2019 Pipeline Data Lagasco'!$A:$A,'Dec 31 2018 OFFS'!$AI254,'T1 2019 Pipeline Data Lagasco'!$Q:$Q,'Dec 31 2018 OFFS'!$AK254,'T1 2019 Pipeline Data Lagasco'!$E:$E,'Dec 31 2018 OFFS'!$U254,'T1 2019 Pipeline Data Lagasco'!$G:$G,'Dec 31 2018 OFFS'!$W254))/(MAX(COUNTIFS('T1 2019 Pipeline Data Lagasco'!$A:$A,'Dec 31 2018 OFFS'!$AI254,'T1 2019 Pipeline Data Lagasco'!$Q:$Q,'Dec 31 2018 OFFS'!$AK254,'T1 2019 Pipeline Data Lagasco'!$E:$E,'Dec 31 2018 OFFS'!$U254,'T1 2019 Pipeline Data Lagasco'!$G:$G,'Dec 31 2018 OFFS'!$W254),1))</f>
        <v>0</v>
      </c>
      <c r="AM254" s="274">
        <f t="shared" si="41"/>
        <v>0</v>
      </c>
    </row>
    <row r="255" spans="1:39" ht="12.7">
      <c r="A255" s="193" t="s">
        <v>909</v>
      </c>
      <c r="B255" s="40" t="s">
        <v>919</v>
      </c>
      <c r="C255" s="40" t="s">
        <v>920</v>
      </c>
      <c r="D255" s="40" t="s">
        <v>736</v>
      </c>
      <c r="E255" s="40" t="s">
        <v>1054</v>
      </c>
      <c r="F255" s="40" t="s">
        <v>1051</v>
      </c>
      <c r="G255" s="41" t="s">
        <v>750</v>
      </c>
      <c r="H255" s="42">
        <v>42</v>
      </c>
      <c r="I255" s="43">
        <v>36</v>
      </c>
      <c r="J255" s="44">
        <v>23.69</v>
      </c>
      <c r="K255" s="45">
        <v>81</v>
      </c>
      <c r="L255" s="43">
        <v>8</v>
      </c>
      <c r="M255" s="46">
        <v>17.10</v>
      </c>
      <c r="N255" s="41" t="s">
        <v>753</v>
      </c>
      <c r="O255" s="42">
        <v>42</v>
      </c>
      <c r="P255" s="43">
        <v>35</v>
      </c>
      <c r="Q255" s="44">
        <v>59.12</v>
      </c>
      <c r="R255" s="45">
        <v>81</v>
      </c>
      <c r="S255" s="43">
        <v>6</v>
      </c>
      <c r="T255" s="46">
        <v>55.18</v>
      </c>
      <c r="U255" s="40">
        <v>6</v>
      </c>
      <c r="V255" s="47">
        <v>6606</v>
      </c>
      <c r="W255" s="48">
        <v>1975</v>
      </c>
      <c r="X255" s="40" t="s">
        <v>2</v>
      </c>
      <c r="Y255" s="52"/>
      <c r="Z255" s="40" t="s">
        <v>910</v>
      </c>
      <c r="AA255" s="49">
        <f t="shared" si="34"/>
        <v>0</v>
      </c>
      <c r="AB255" s="71">
        <f t="shared" si="35"/>
        <v>0.80</v>
      </c>
      <c r="AC255" s="49">
        <f t="shared" si="36"/>
        <v>0</v>
      </c>
      <c r="AD255" s="50">
        <f t="shared" si="37"/>
        <v>0</v>
      </c>
      <c r="AE255" s="50">
        <f t="shared" si="38"/>
        <v>0</v>
      </c>
      <c r="AF255" s="50">
        <f t="shared" si="39"/>
        <v>0</v>
      </c>
      <c r="AG255" s="199">
        <f t="shared" si="40"/>
        <v>0</v>
      </c>
      <c r="AH255" s="187"/>
      <c r="AI255" s="185" t="s">
        <v>1453</v>
      </c>
      <c r="AJ255" s="185"/>
      <c r="AK255" s="277">
        <f t="shared" si="33"/>
        <v>6606</v>
      </c>
      <c r="AL255" s="25">
        <f>(SUMIFS('T1 2019 Pipeline Data Lagasco'!$O:$O,'T1 2019 Pipeline Data Lagasco'!$A:$A,'Dec 31 2018 OFFS'!$AI255,'T1 2019 Pipeline Data Lagasco'!$Q:$Q,'Dec 31 2018 OFFS'!$AK255,'T1 2019 Pipeline Data Lagasco'!$E:$E,'Dec 31 2018 OFFS'!$U255,'T1 2019 Pipeline Data Lagasco'!$G:$G,'Dec 31 2018 OFFS'!$W255))/(MAX(COUNTIFS('T1 2019 Pipeline Data Lagasco'!$A:$A,'Dec 31 2018 OFFS'!$AI255,'T1 2019 Pipeline Data Lagasco'!$Q:$Q,'Dec 31 2018 OFFS'!$AK255,'T1 2019 Pipeline Data Lagasco'!$E:$E,'Dec 31 2018 OFFS'!$U255,'T1 2019 Pipeline Data Lagasco'!$G:$G,'Dec 31 2018 OFFS'!$W255),1))</f>
        <v>0</v>
      </c>
      <c r="AM255" s="274">
        <f t="shared" si="41"/>
        <v>0</v>
      </c>
    </row>
    <row r="256" spans="1:39" ht="12.7">
      <c r="A256" s="193" t="s">
        <v>909</v>
      </c>
      <c r="B256" s="40" t="s">
        <v>919</v>
      </c>
      <c r="C256" s="40" t="s">
        <v>920</v>
      </c>
      <c r="D256" s="40" t="s">
        <v>736</v>
      </c>
      <c r="E256" s="40" t="s">
        <v>1054</v>
      </c>
      <c r="F256" s="40" t="s">
        <v>1051</v>
      </c>
      <c r="G256" s="41" t="s">
        <v>751</v>
      </c>
      <c r="H256" s="42">
        <v>42</v>
      </c>
      <c r="I256" s="43">
        <v>36</v>
      </c>
      <c r="J256" s="44">
        <f>0.059*60</f>
        <v>3.54</v>
      </c>
      <c r="K256" s="45">
        <v>81</v>
      </c>
      <c r="L256" s="43">
        <v>6</v>
      </c>
      <c r="M256" s="46">
        <f>0.866*60</f>
        <v>51.96</v>
      </c>
      <c r="N256" s="41" t="s">
        <v>754</v>
      </c>
      <c r="O256" s="42">
        <v>42</v>
      </c>
      <c r="P256" s="43">
        <v>35</v>
      </c>
      <c r="Q256" s="44">
        <f>0.024*60</f>
        <v>1.44</v>
      </c>
      <c r="R256" s="45">
        <v>81</v>
      </c>
      <c r="S256" s="43">
        <v>4</v>
      </c>
      <c r="T256" s="46">
        <f>0.056*60</f>
        <v>3.36</v>
      </c>
      <c r="U256" s="40">
        <v>6</v>
      </c>
      <c r="V256" s="47">
        <v>14077</v>
      </c>
      <c r="W256" s="48">
        <v>1971</v>
      </c>
      <c r="X256" s="40"/>
      <c r="Y256" s="52"/>
      <c r="Z256" s="40" t="s">
        <v>910</v>
      </c>
      <c r="AA256" s="49">
        <f t="shared" si="34"/>
        <v>0</v>
      </c>
      <c r="AB256" s="71">
        <f t="shared" si="35"/>
        <v>0.80</v>
      </c>
      <c r="AC256" s="49">
        <f t="shared" si="36"/>
        <v>0</v>
      </c>
      <c r="AD256" s="50">
        <f t="shared" si="37"/>
        <v>0</v>
      </c>
      <c r="AE256" s="50">
        <f t="shared" si="38"/>
        <v>0</v>
      </c>
      <c r="AF256" s="50">
        <f t="shared" si="39"/>
        <v>0</v>
      </c>
      <c r="AG256" s="199">
        <f t="shared" si="40"/>
        <v>0</v>
      </c>
      <c r="AH256" s="187"/>
      <c r="AI256" s="185" t="s">
        <v>1453</v>
      </c>
      <c r="AJ256" s="185"/>
      <c r="AK256" s="277">
        <f t="shared" si="33"/>
        <v>14077</v>
      </c>
      <c r="AL256" s="25">
        <f>(SUMIFS('T1 2019 Pipeline Data Lagasco'!$O:$O,'T1 2019 Pipeline Data Lagasco'!$A:$A,'Dec 31 2018 OFFS'!$AI256,'T1 2019 Pipeline Data Lagasco'!$Q:$Q,'Dec 31 2018 OFFS'!$AK256,'T1 2019 Pipeline Data Lagasco'!$E:$E,'Dec 31 2018 OFFS'!$U256,'T1 2019 Pipeline Data Lagasco'!$G:$G,'Dec 31 2018 OFFS'!$W256))/(MAX(COUNTIFS('T1 2019 Pipeline Data Lagasco'!$A:$A,'Dec 31 2018 OFFS'!$AI256,'T1 2019 Pipeline Data Lagasco'!$Q:$Q,'Dec 31 2018 OFFS'!$AK256,'T1 2019 Pipeline Data Lagasco'!$E:$E,'Dec 31 2018 OFFS'!$U256,'T1 2019 Pipeline Data Lagasco'!$G:$G,'Dec 31 2018 OFFS'!$W256),1))</f>
        <v>0</v>
      </c>
      <c r="AM256" s="274">
        <f t="shared" si="41"/>
        <v>0</v>
      </c>
    </row>
    <row r="257" spans="1:39" ht="12.7">
      <c r="A257" s="193" t="s">
        <v>909</v>
      </c>
      <c r="B257" s="40" t="s">
        <v>919</v>
      </c>
      <c r="C257" s="40" t="s">
        <v>920</v>
      </c>
      <c r="D257" s="40" t="s">
        <v>736</v>
      </c>
      <c r="E257" s="40" t="s">
        <v>1054</v>
      </c>
      <c r="F257" s="40" t="s">
        <v>1051</v>
      </c>
      <c r="G257" s="41" t="s">
        <v>752</v>
      </c>
      <c r="H257" s="42">
        <v>42</v>
      </c>
      <c r="I257" s="43">
        <v>36</v>
      </c>
      <c r="J257" s="44">
        <v>7.15</v>
      </c>
      <c r="K257" s="45">
        <v>81</v>
      </c>
      <c r="L257" s="43">
        <v>6</v>
      </c>
      <c r="M257" s="46">
        <v>50.36</v>
      </c>
      <c r="N257" s="41" t="s">
        <v>755</v>
      </c>
      <c r="O257" s="42">
        <v>42</v>
      </c>
      <c r="P257" s="43">
        <v>35</v>
      </c>
      <c r="Q257" s="44">
        <v>5.0199999999999996</v>
      </c>
      <c r="R257" s="45">
        <v>81</v>
      </c>
      <c r="S257" s="43">
        <v>4</v>
      </c>
      <c r="T257" s="46">
        <v>1.02</v>
      </c>
      <c r="U257" s="40">
        <v>6</v>
      </c>
      <c r="V257" s="47">
        <v>14127</v>
      </c>
      <c r="W257" s="48">
        <v>1975</v>
      </c>
      <c r="X257" s="40"/>
      <c r="Y257" s="52"/>
      <c r="Z257" s="40" t="s">
        <v>910</v>
      </c>
      <c r="AA257" s="49">
        <f t="shared" si="34"/>
        <v>0</v>
      </c>
      <c r="AB257" s="71">
        <f t="shared" si="35"/>
        <v>0.80</v>
      </c>
      <c r="AC257" s="49">
        <f t="shared" si="36"/>
        <v>0</v>
      </c>
      <c r="AD257" s="50">
        <f t="shared" si="37"/>
        <v>0</v>
      </c>
      <c r="AE257" s="50">
        <f t="shared" si="38"/>
        <v>0</v>
      </c>
      <c r="AF257" s="50">
        <f t="shared" si="39"/>
        <v>0</v>
      </c>
      <c r="AG257" s="199">
        <f t="shared" si="40"/>
        <v>0</v>
      </c>
      <c r="AH257" s="187"/>
      <c r="AI257" s="185" t="s">
        <v>1453</v>
      </c>
      <c r="AJ257" s="185"/>
      <c r="AK257" s="277">
        <f t="shared" si="33"/>
        <v>14127</v>
      </c>
      <c r="AL257" s="25">
        <f>(SUMIFS('T1 2019 Pipeline Data Lagasco'!$O:$O,'T1 2019 Pipeline Data Lagasco'!$A:$A,'Dec 31 2018 OFFS'!$AI257,'T1 2019 Pipeline Data Lagasco'!$Q:$Q,'Dec 31 2018 OFFS'!$AK257,'T1 2019 Pipeline Data Lagasco'!$E:$E,'Dec 31 2018 OFFS'!$U257,'T1 2019 Pipeline Data Lagasco'!$G:$G,'Dec 31 2018 OFFS'!$W257))/(MAX(COUNTIFS('T1 2019 Pipeline Data Lagasco'!$A:$A,'Dec 31 2018 OFFS'!$AI257,'T1 2019 Pipeline Data Lagasco'!$Q:$Q,'Dec 31 2018 OFFS'!$AK257,'T1 2019 Pipeline Data Lagasco'!$E:$E,'Dec 31 2018 OFFS'!$U257,'T1 2019 Pipeline Data Lagasco'!$G:$G,'Dec 31 2018 OFFS'!$W257),1))</f>
        <v>0</v>
      </c>
      <c r="AM257" s="274">
        <f t="shared" si="41"/>
        <v>0</v>
      </c>
    </row>
    <row r="258" spans="1:39" ht="12.7">
      <c r="A258" s="193" t="s">
        <v>909</v>
      </c>
      <c r="B258" s="40" t="s">
        <v>919</v>
      </c>
      <c r="C258" s="40" t="s">
        <v>920</v>
      </c>
      <c r="D258" s="40" t="s">
        <v>736</v>
      </c>
      <c r="E258" s="40" t="s">
        <v>1054</v>
      </c>
      <c r="F258" s="40" t="s">
        <v>1051</v>
      </c>
      <c r="G258" s="41" t="s">
        <v>753</v>
      </c>
      <c r="H258" s="42">
        <v>42</v>
      </c>
      <c r="I258" s="43">
        <v>35</v>
      </c>
      <c r="J258" s="44">
        <v>59.12</v>
      </c>
      <c r="K258" s="45">
        <v>81</v>
      </c>
      <c r="L258" s="43">
        <v>6</v>
      </c>
      <c r="M258" s="46">
        <v>55.18</v>
      </c>
      <c r="N258" s="41" t="s">
        <v>756</v>
      </c>
      <c r="O258" s="42">
        <v>42</v>
      </c>
      <c r="P258" s="43">
        <v>34</v>
      </c>
      <c r="Q258" s="44">
        <v>58.29</v>
      </c>
      <c r="R258" s="45">
        <v>81</v>
      </c>
      <c r="S258" s="43">
        <v>4</v>
      </c>
      <c r="T258" s="46">
        <v>5.27</v>
      </c>
      <c r="U258" s="40">
        <v>6</v>
      </c>
      <c r="V258" s="47">
        <v>14108</v>
      </c>
      <c r="W258" s="147">
        <v>1970</v>
      </c>
      <c r="X258" s="40"/>
      <c r="Y258" s="52"/>
      <c r="Z258" s="40" t="s">
        <v>910</v>
      </c>
      <c r="AA258" s="49">
        <f t="shared" si="34"/>
        <v>0</v>
      </c>
      <c r="AB258" s="71">
        <f t="shared" si="35"/>
        <v>0.80</v>
      </c>
      <c r="AC258" s="49">
        <f t="shared" si="36"/>
        <v>0</v>
      </c>
      <c r="AD258" s="50">
        <f t="shared" si="37"/>
        <v>0</v>
      </c>
      <c r="AE258" s="50">
        <f t="shared" si="38"/>
        <v>0</v>
      </c>
      <c r="AF258" s="50">
        <f t="shared" si="39"/>
        <v>0</v>
      </c>
      <c r="AG258" s="199">
        <f t="shared" si="40"/>
        <v>0</v>
      </c>
      <c r="AH258" s="187"/>
      <c r="AI258" s="185" t="s">
        <v>1453</v>
      </c>
      <c r="AJ258" s="185"/>
      <c r="AK258" s="277">
        <f t="shared" si="33"/>
        <v>14108</v>
      </c>
      <c r="AL258" s="25">
        <f>(SUMIFS('T1 2019 Pipeline Data Lagasco'!$O:$O,'T1 2019 Pipeline Data Lagasco'!$A:$A,'Dec 31 2018 OFFS'!$AI258,'T1 2019 Pipeline Data Lagasco'!$Q:$Q,'Dec 31 2018 OFFS'!$AK258,'T1 2019 Pipeline Data Lagasco'!$E:$E,'Dec 31 2018 OFFS'!$U258,'T1 2019 Pipeline Data Lagasco'!$G:$G,'Dec 31 2018 OFFS'!$W258))/(MAX(COUNTIFS('T1 2019 Pipeline Data Lagasco'!$A:$A,'Dec 31 2018 OFFS'!$AI258,'T1 2019 Pipeline Data Lagasco'!$Q:$Q,'Dec 31 2018 OFFS'!$AK258,'T1 2019 Pipeline Data Lagasco'!$E:$E,'Dec 31 2018 OFFS'!$U258,'T1 2019 Pipeline Data Lagasco'!$G:$G,'Dec 31 2018 OFFS'!$W258),1))</f>
        <v>0</v>
      </c>
      <c r="AM258" s="274">
        <f t="shared" si="41"/>
        <v>0</v>
      </c>
    </row>
    <row r="259" spans="1:39" ht="12.7">
      <c r="A259" s="193" t="s">
        <v>909</v>
      </c>
      <c r="B259" s="40" t="s">
        <v>919</v>
      </c>
      <c r="C259" s="40" t="s">
        <v>920</v>
      </c>
      <c r="D259" s="40" t="s">
        <v>736</v>
      </c>
      <c r="E259" s="40" t="s">
        <v>1054</v>
      </c>
      <c r="F259" s="40" t="s">
        <v>1051</v>
      </c>
      <c r="G259" s="41" t="s">
        <v>754</v>
      </c>
      <c r="H259" s="42">
        <v>42</v>
      </c>
      <c r="I259" s="43">
        <v>35</v>
      </c>
      <c r="J259" s="44">
        <f>0.024*60</f>
        <v>1.44</v>
      </c>
      <c r="K259" s="45">
        <v>81</v>
      </c>
      <c r="L259" s="43">
        <v>4</v>
      </c>
      <c r="M259" s="46">
        <f>0.056*60</f>
        <v>3.36</v>
      </c>
      <c r="N259" s="40" t="s">
        <v>224</v>
      </c>
      <c r="O259" s="42">
        <v>42</v>
      </c>
      <c r="P259" s="43">
        <v>34</v>
      </c>
      <c r="Q259" s="44">
        <v>22.59</v>
      </c>
      <c r="R259" s="45">
        <v>81</v>
      </c>
      <c r="S259" s="43">
        <v>2</v>
      </c>
      <c r="T259" s="46">
        <v>9.64</v>
      </c>
      <c r="U259" s="40">
        <v>6</v>
      </c>
      <c r="V259" s="47">
        <v>9363</v>
      </c>
      <c r="W259" s="48">
        <v>1971</v>
      </c>
      <c r="X259" s="40" t="s">
        <v>2</v>
      </c>
      <c r="Y259" s="52"/>
      <c r="Z259" s="40" t="s">
        <v>910</v>
      </c>
      <c r="AA259" s="49">
        <f t="shared" si="34"/>
        <v>0</v>
      </c>
      <c r="AB259" s="71">
        <f t="shared" si="35"/>
        <v>0.80</v>
      </c>
      <c r="AC259" s="49">
        <f t="shared" si="36"/>
        <v>0</v>
      </c>
      <c r="AD259" s="50">
        <f t="shared" si="37"/>
        <v>0</v>
      </c>
      <c r="AE259" s="50">
        <f t="shared" si="38"/>
        <v>0</v>
      </c>
      <c r="AF259" s="50">
        <f t="shared" si="39"/>
        <v>0</v>
      </c>
      <c r="AG259" s="199">
        <f t="shared" si="40"/>
        <v>0</v>
      </c>
      <c r="AH259" s="187"/>
      <c r="AI259" s="185" t="s">
        <v>1453</v>
      </c>
      <c r="AJ259" s="185"/>
      <c r="AK259" s="277">
        <f t="shared" si="42" ref="AK259:AK322">ROUND(V259,2)</f>
        <v>9363</v>
      </c>
      <c r="AL259" s="25">
        <f>(SUMIFS('T1 2019 Pipeline Data Lagasco'!$O:$O,'T1 2019 Pipeline Data Lagasco'!$A:$A,'Dec 31 2018 OFFS'!$AI259,'T1 2019 Pipeline Data Lagasco'!$Q:$Q,'Dec 31 2018 OFFS'!$AK259,'T1 2019 Pipeline Data Lagasco'!$E:$E,'Dec 31 2018 OFFS'!$U259,'T1 2019 Pipeline Data Lagasco'!$G:$G,'Dec 31 2018 OFFS'!$W259))/(MAX(COUNTIFS('T1 2019 Pipeline Data Lagasco'!$A:$A,'Dec 31 2018 OFFS'!$AI259,'T1 2019 Pipeline Data Lagasco'!$Q:$Q,'Dec 31 2018 OFFS'!$AK259,'T1 2019 Pipeline Data Lagasco'!$E:$E,'Dec 31 2018 OFFS'!$U259,'T1 2019 Pipeline Data Lagasco'!$G:$G,'Dec 31 2018 OFFS'!$W259),1))</f>
        <v>0</v>
      </c>
      <c r="AM259" s="274">
        <f t="shared" si="41"/>
        <v>0</v>
      </c>
    </row>
    <row r="260" spans="1:39" ht="12.7">
      <c r="A260" s="193" t="s">
        <v>909</v>
      </c>
      <c r="B260" s="40" t="s">
        <v>919</v>
      </c>
      <c r="C260" s="40" t="s">
        <v>920</v>
      </c>
      <c r="D260" s="40" t="s">
        <v>736</v>
      </c>
      <c r="E260" s="40" t="s">
        <v>1054</v>
      </c>
      <c r="F260" s="40" t="s">
        <v>1051</v>
      </c>
      <c r="G260" s="41" t="s">
        <v>755</v>
      </c>
      <c r="H260" s="42">
        <v>42</v>
      </c>
      <c r="I260" s="43">
        <v>35</v>
      </c>
      <c r="J260" s="44">
        <v>5.0199999999999996</v>
      </c>
      <c r="K260" s="45">
        <v>81</v>
      </c>
      <c r="L260" s="43">
        <v>4</v>
      </c>
      <c r="M260" s="46">
        <v>1.02</v>
      </c>
      <c r="N260" s="40" t="s">
        <v>225</v>
      </c>
      <c r="O260" s="42">
        <v>42</v>
      </c>
      <c r="P260" s="43">
        <v>34</v>
      </c>
      <c r="Q260" s="44">
        <v>27.35</v>
      </c>
      <c r="R260" s="45">
        <v>81</v>
      </c>
      <c r="S260" s="43">
        <v>2</v>
      </c>
      <c r="T260" s="46">
        <v>8.2799999999999994</v>
      </c>
      <c r="U260" s="40">
        <v>6</v>
      </c>
      <c r="V260" s="47">
        <v>9247</v>
      </c>
      <c r="W260" s="48">
        <v>1975</v>
      </c>
      <c r="X260" s="40"/>
      <c r="Y260" s="52"/>
      <c r="Z260" s="40" t="s">
        <v>910</v>
      </c>
      <c r="AA260" s="49">
        <f t="shared" si="43" ref="AA260:AA323">IF(F260="ABAND",0,(IF(Z260="steel",VLOOKUP(U260,steelrates,2,FALSE)*V260,VLOOKUP(U260,plasticrates,2,FALSE)*V260)))</f>
        <v>0</v>
      </c>
      <c r="AB260" s="71">
        <f t="shared" si="44" ref="AB260:AB323">IF(W260=0,0,(VLOOKUP(W260,depreciation,2)))</f>
        <v>0.80</v>
      </c>
      <c r="AC260" s="49">
        <f t="shared" si="45" ref="AC260:AC323">ROUND(+AA260-(+AA260*AB260),2)</f>
        <v>0</v>
      </c>
      <c r="AD260" s="50">
        <f t="shared" si="46" ref="AD260:AD323">(IF(X260="LOOP",AC260*0.25,0))</f>
        <v>0</v>
      </c>
      <c r="AE260" s="50">
        <f t="shared" si="47" ref="AE260:AE323">(IF(F260="SUSP",AC260*0.2,0))</f>
        <v>0</v>
      </c>
      <c r="AF260" s="50">
        <f t="shared" si="48" ref="AF260:AF323">+AC260-AD260-AE260</f>
        <v>0</v>
      </c>
      <c r="AG260" s="199">
        <f t="shared" si="49" ref="AG260:AG323">ROUNDDOWN(AF260,0)</f>
        <v>0</v>
      </c>
      <c r="AH260" s="187"/>
      <c r="AI260" s="185" t="s">
        <v>1453</v>
      </c>
      <c r="AJ260" s="185"/>
      <c r="AK260" s="277">
        <f t="shared" si="42"/>
        <v>9247</v>
      </c>
      <c r="AL260" s="25">
        <f>(SUMIFS('T1 2019 Pipeline Data Lagasco'!$O:$O,'T1 2019 Pipeline Data Lagasco'!$A:$A,'Dec 31 2018 OFFS'!$AI260,'T1 2019 Pipeline Data Lagasco'!$Q:$Q,'Dec 31 2018 OFFS'!$AK260,'T1 2019 Pipeline Data Lagasco'!$E:$E,'Dec 31 2018 OFFS'!$U260,'T1 2019 Pipeline Data Lagasco'!$G:$G,'Dec 31 2018 OFFS'!$W260))/(MAX(COUNTIFS('T1 2019 Pipeline Data Lagasco'!$A:$A,'Dec 31 2018 OFFS'!$AI260,'T1 2019 Pipeline Data Lagasco'!$Q:$Q,'Dec 31 2018 OFFS'!$AK260,'T1 2019 Pipeline Data Lagasco'!$E:$E,'Dec 31 2018 OFFS'!$U260,'T1 2019 Pipeline Data Lagasco'!$G:$G,'Dec 31 2018 OFFS'!$W260),1))</f>
        <v>0</v>
      </c>
      <c r="AM260" s="274">
        <f t="shared" si="50" ref="AM260:AM323">AG260-AL260</f>
        <v>0</v>
      </c>
    </row>
    <row r="261" spans="1:39" ht="12.7">
      <c r="A261" s="193" t="s">
        <v>909</v>
      </c>
      <c r="B261" s="40" t="s">
        <v>919</v>
      </c>
      <c r="C261" s="40" t="s">
        <v>920</v>
      </c>
      <c r="D261" s="40" t="s">
        <v>736</v>
      </c>
      <c r="E261" s="40" t="s">
        <v>1054</v>
      </c>
      <c r="F261" s="40" t="s">
        <v>1051</v>
      </c>
      <c r="G261" s="41" t="s">
        <v>756</v>
      </c>
      <c r="H261" s="42">
        <v>42</v>
      </c>
      <c r="I261" s="43">
        <v>34</v>
      </c>
      <c r="J261" s="44">
        <v>58.29</v>
      </c>
      <c r="K261" s="45">
        <v>81</v>
      </c>
      <c r="L261" s="43">
        <v>4</v>
      </c>
      <c r="M261" s="46">
        <v>5.27</v>
      </c>
      <c r="N261" s="40" t="s">
        <v>757</v>
      </c>
      <c r="O261" s="42">
        <v>42</v>
      </c>
      <c r="P261" s="43">
        <v>34</v>
      </c>
      <c r="Q261" s="44">
        <v>18.32</v>
      </c>
      <c r="R261" s="45">
        <v>81</v>
      </c>
      <c r="S261" s="43">
        <v>2</v>
      </c>
      <c r="T261" s="46">
        <v>16.13</v>
      </c>
      <c r="U261" s="40">
        <v>6</v>
      </c>
      <c r="V261" s="47">
        <v>9103</v>
      </c>
      <c r="W261" s="147">
        <v>1970</v>
      </c>
      <c r="X261" s="40"/>
      <c r="Y261" s="52"/>
      <c r="Z261" s="40" t="s">
        <v>910</v>
      </c>
      <c r="AA261" s="49">
        <f t="shared" si="43"/>
        <v>0</v>
      </c>
      <c r="AB261" s="71">
        <f t="shared" si="44"/>
        <v>0.80</v>
      </c>
      <c r="AC261" s="49">
        <f t="shared" si="45"/>
        <v>0</v>
      </c>
      <c r="AD261" s="50">
        <f t="shared" si="46"/>
        <v>0</v>
      </c>
      <c r="AE261" s="50">
        <f t="shared" si="47"/>
        <v>0</v>
      </c>
      <c r="AF261" s="50">
        <f t="shared" si="48"/>
        <v>0</v>
      </c>
      <c r="AG261" s="199">
        <f t="shared" si="49"/>
        <v>0</v>
      </c>
      <c r="AH261" s="187">
        <f>SUM(AF227:AF261)</f>
        <v>903427.60</v>
      </c>
      <c r="AI261" s="185" t="s">
        <v>1453</v>
      </c>
      <c r="AJ261" s="185"/>
      <c r="AK261" s="277">
        <f t="shared" si="42"/>
        <v>9103</v>
      </c>
      <c r="AL261" s="25">
        <f>(SUMIFS('T1 2019 Pipeline Data Lagasco'!$O:$O,'T1 2019 Pipeline Data Lagasco'!$A:$A,'Dec 31 2018 OFFS'!$AI261,'T1 2019 Pipeline Data Lagasco'!$Q:$Q,'Dec 31 2018 OFFS'!$AK261,'T1 2019 Pipeline Data Lagasco'!$E:$E,'Dec 31 2018 OFFS'!$U261,'T1 2019 Pipeline Data Lagasco'!$G:$G,'Dec 31 2018 OFFS'!$W261))/(MAX(COUNTIFS('T1 2019 Pipeline Data Lagasco'!$A:$A,'Dec 31 2018 OFFS'!$AI261,'T1 2019 Pipeline Data Lagasco'!$Q:$Q,'Dec 31 2018 OFFS'!$AK261,'T1 2019 Pipeline Data Lagasco'!$E:$E,'Dec 31 2018 OFFS'!$U261,'T1 2019 Pipeline Data Lagasco'!$G:$G,'Dec 31 2018 OFFS'!$W261),1))</f>
        <v>0</v>
      </c>
      <c r="AM261" s="274">
        <f t="shared" si="50"/>
        <v>0</v>
      </c>
    </row>
    <row r="262" spans="1:39" ht="12.7">
      <c r="A262" s="193" t="s">
        <v>909</v>
      </c>
      <c r="B262" s="40" t="s">
        <v>918</v>
      </c>
      <c r="C262" s="40" t="s">
        <v>1266</v>
      </c>
      <c r="D262" s="40" t="s">
        <v>641</v>
      </c>
      <c r="E262" s="40" t="s">
        <v>1055</v>
      </c>
      <c r="F262" s="40" t="s">
        <v>1051</v>
      </c>
      <c r="G262" s="41" t="s">
        <v>642</v>
      </c>
      <c r="H262" s="42">
        <v>42</v>
      </c>
      <c r="I262" s="43">
        <v>43</v>
      </c>
      <c r="J262" s="44">
        <v>2.04</v>
      </c>
      <c r="K262" s="45">
        <v>80</v>
      </c>
      <c r="L262" s="43">
        <v>16</v>
      </c>
      <c r="M262" s="46">
        <v>22.86</v>
      </c>
      <c r="N262" s="40" t="s">
        <v>296</v>
      </c>
      <c r="O262" s="42">
        <v>42</v>
      </c>
      <c r="P262" s="43">
        <v>44</v>
      </c>
      <c r="Q262" s="44">
        <v>4.5199999999999996</v>
      </c>
      <c r="R262" s="45">
        <v>80</v>
      </c>
      <c r="S262" s="43">
        <v>15</v>
      </c>
      <c r="T262" s="46">
        <v>33.950000000000003</v>
      </c>
      <c r="U262" s="40">
        <v>3</v>
      </c>
      <c r="V262" s="47">
        <v>7296</v>
      </c>
      <c r="W262" s="48">
        <v>1967</v>
      </c>
      <c r="X262" s="40"/>
      <c r="Y262" s="52" t="s">
        <v>1081</v>
      </c>
      <c r="Z262" s="40" t="s">
        <v>910</v>
      </c>
      <c r="AA262" s="49">
        <f t="shared" si="43"/>
        <v>0</v>
      </c>
      <c r="AB262" s="71">
        <f t="shared" si="44"/>
        <v>0.80</v>
      </c>
      <c r="AC262" s="49">
        <f t="shared" si="45"/>
        <v>0</v>
      </c>
      <c r="AD262" s="50">
        <f t="shared" si="46"/>
        <v>0</v>
      </c>
      <c r="AE262" s="50">
        <f t="shared" si="47"/>
        <v>0</v>
      </c>
      <c r="AF262" s="50">
        <f t="shared" si="48"/>
        <v>0</v>
      </c>
      <c r="AG262" s="199">
        <f t="shared" si="49"/>
        <v>0</v>
      </c>
      <c r="AH262" s="187"/>
      <c r="AI262" s="185" t="s">
        <v>1454</v>
      </c>
      <c r="AJ262" s="185"/>
      <c r="AK262" s="277">
        <f t="shared" si="42"/>
        <v>7296</v>
      </c>
      <c r="AL262" s="25">
        <f>(SUMIFS('T1 2019 Pipeline Data Lagasco'!$O:$O,'T1 2019 Pipeline Data Lagasco'!$A:$A,'Dec 31 2018 OFFS'!$AI262,'T1 2019 Pipeline Data Lagasco'!$Q:$Q,'Dec 31 2018 OFFS'!$AK262,'T1 2019 Pipeline Data Lagasco'!$E:$E,'Dec 31 2018 OFFS'!$U262,'T1 2019 Pipeline Data Lagasco'!$G:$G,'Dec 31 2018 OFFS'!$W262))/(MAX(COUNTIFS('T1 2019 Pipeline Data Lagasco'!$A:$A,'Dec 31 2018 OFFS'!$AI262,'T1 2019 Pipeline Data Lagasco'!$Q:$Q,'Dec 31 2018 OFFS'!$AK262,'T1 2019 Pipeline Data Lagasco'!$E:$E,'Dec 31 2018 OFFS'!$U262,'T1 2019 Pipeline Data Lagasco'!$G:$G,'Dec 31 2018 OFFS'!$W262),1))</f>
        <v>0</v>
      </c>
      <c r="AM262" s="274">
        <f t="shared" si="50"/>
        <v>0</v>
      </c>
    </row>
    <row r="263" spans="1:39" ht="12.7">
      <c r="A263" s="193" t="s">
        <v>909</v>
      </c>
      <c r="B263" s="40" t="s">
        <v>918</v>
      </c>
      <c r="C263" s="40" t="s">
        <v>1266</v>
      </c>
      <c r="D263" s="40" t="s">
        <v>641</v>
      </c>
      <c r="E263" s="40" t="s">
        <v>1055</v>
      </c>
      <c r="F263" s="40" t="s">
        <v>1051</v>
      </c>
      <c r="G263" s="41" t="s">
        <v>642</v>
      </c>
      <c r="H263" s="42">
        <v>42</v>
      </c>
      <c r="I263" s="43">
        <v>43</v>
      </c>
      <c r="J263" s="44">
        <v>2.04</v>
      </c>
      <c r="K263" s="45">
        <v>80</v>
      </c>
      <c r="L263" s="43">
        <v>16</v>
      </c>
      <c r="M263" s="46">
        <v>22.86</v>
      </c>
      <c r="N263" s="40" t="s">
        <v>643</v>
      </c>
      <c r="O263" s="42">
        <v>42</v>
      </c>
      <c r="P263" s="43">
        <v>42</v>
      </c>
      <c r="Q263" s="44">
        <v>17.82</v>
      </c>
      <c r="R263" s="45">
        <v>80</v>
      </c>
      <c r="S263" s="43">
        <v>17</v>
      </c>
      <c r="T263" s="46">
        <v>52.02</v>
      </c>
      <c r="U263" s="40">
        <v>3</v>
      </c>
      <c r="V263" s="47">
        <v>8021.9157781839995</v>
      </c>
      <c r="W263" s="48">
        <v>1967</v>
      </c>
      <c r="X263" s="40"/>
      <c r="Y263" s="52" t="s">
        <v>1081</v>
      </c>
      <c r="Z263" s="40" t="s">
        <v>910</v>
      </c>
      <c r="AA263" s="49">
        <f t="shared" si="43"/>
        <v>0</v>
      </c>
      <c r="AB263" s="71">
        <f t="shared" si="44"/>
        <v>0.80</v>
      </c>
      <c r="AC263" s="49">
        <f t="shared" si="45"/>
        <v>0</v>
      </c>
      <c r="AD263" s="50">
        <f t="shared" si="46"/>
        <v>0</v>
      </c>
      <c r="AE263" s="50">
        <f t="shared" si="47"/>
        <v>0</v>
      </c>
      <c r="AF263" s="50">
        <f t="shared" si="48"/>
        <v>0</v>
      </c>
      <c r="AG263" s="199">
        <f t="shared" si="49"/>
        <v>0</v>
      </c>
      <c r="AH263" s="187"/>
      <c r="AI263" s="185" t="s">
        <v>1454</v>
      </c>
      <c r="AJ263" s="185"/>
      <c r="AK263" s="277">
        <f t="shared" si="42"/>
        <v>8021.92</v>
      </c>
      <c r="AL263" s="25">
        <f>(SUMIFS('T1 2019 Pipeline Data Lagasco'!$O:$O,'T1 2019 Pipeline Data Lagasco'!$A:$A,'Dec 31 2018 OFFS'!$AI263,'T1 2019 Pipeline Data Lagasco'!$Q:$Q,'Dec 31 2018 OFFS'!$AK263,'T1 2019 Pipeline Data Lagasco'!$E:$E,'Dec 31 2018 OFFS'!$U263,'T1 2019 Pipeline Data Lagasco'!$G:$G,'Dec 31 2018 OFFS'!$W263))/(MAX(COUNTIFS('T1 2019 Pipeline Data Lagasco'!$A:$A,'Dec 31 2018 OFFS'!$AI263,'T1 2019 Pipeline Data Lagasco'!$Q:$Q,'Dec 31 2018 OFFS'!$AK263,'T1 2019 Pipeline Data Lagasco'!$E:$E,'Dec 31 2018 OFFS'!$U263,'T1 2019 Pipeline Data Lagasco'!$G:$G,'Dec 31 2018 OFFS'!$W263),1))</f>
        <v>0</v>
      </c>
      <c r="AM263" s="274">
        <f t="shared" si="50"/>
        <v>0</v>
      </c>
    </row>
    <row r="264" spans="1:39" ht="12.7">
      <c r="A264" s="193" t="s">
        <v>909</v>
      </c>
      <c r="B264" s="40" t="s">
        <v>918</v>
      </c>
      <c r="C264" s="40" t="s">
        <v>1266</v>
      </c>
      <c r="D264" s="40" t="s">
        <v>641</v>
      </c>
      <c r="E264" s="40" t="s">
        <v>1055</v>
      </c>
      <c r="F264" s="40" t="s">
        <v>1051</v>
      </c>
      <c r="G264" s="41" t="s">
        <v>642</v>
      </c>
      <c r="H264" s="42">
        <v>42</v>
      </c>
      <c r="I264" s="43">
        <v>43</v>
      </c>
      <c r="J264" s="44">
        <v>2.04</v>
      </c>
      <c r="K264" s="45">
        <v>80</v>
      </c>
      <c r="L264" s="43">
        <v>16</v>
      </c>
      <c r="M264" s="46">
        <v>22.86</v>
      </c>
      <c r="N264" s="41" t="s">
        <v>644</v>
      </c>
      <c r="O264" s="42">
        <v>42</v>
      </c>
      <c r="P264" s="43">
        <v>41</v>
      </c>
      <c r="Q264" s="44">
        <v>19.145</v>
      </c>
      <c r="R264" s="45">
        <v>80</v>
      </c>
      <c r="S264" s="43">
        <v>15</v>
      </c>
      <c r="T264" s="46">
        <v>43.69</v>
      </c>
      <c r="U264" s="40">
        <v>3</v>
      </c>
      <c r="V264" s="47">
        <v>10808</v>
      </c>
      <c r="W264" s="48">
        <v>1967</v>
      </c>
      <c r="X264" s="40"/>
      <c r="Y264" s="52" t="s">
        <v>1081</v>
      </c>
      <c r="Z264" s="40" t="s">
        <v>910</v>
      </c>
      <c r="AA264" s="49">
        <f t="shared" si="43"/>
        <v>0</v>
      </c>
      <c r="AB264" s="71">
        <f t="shared" si="44"/>
        <v>0.80</v>
      </c>
      <c r="AC264" s="49">
        <f t="shared" si="45"/>
        <v>0</v>
      </c>
      <c r="AD264" s="50">
        <f t="shared" si="46"/>
        <v>0</v>
      </c>
      <c r="AE264" s="50">
        <f t="shared" si="47"/>
        <v>0</v>
      </c>
      <c r="AF264" s="50">
        <f t="shared" si="48"/>
        <v>0</v>
      </c>
      <c r="AG264" s="199">
        <f t="shared" si="49"/>
        <v>0</v>
      </c>
      <c r="AH264" s="187"/>
      <c r="AI264" s="185" t="s">
        <v>1454</v>
      </c>
      <c r="AJ264" s="185"/>
      <c r="AK264" s="277">
        <f t="shared" si="42"/>
        <v>10808</v>
      </c>
      <c r="AL264" s="25">
        <f>(SUMIFS('T1 2019 Pipeline Data Lagasco'!$O:$O,'T1 2019 Pipeline Data Lagasco'!$A:$A,'Dec 31 2018 OFFS'!$AI264,'T1 2019 Pipeline Data Lagasco'!$Q:$Q,'Dec 31 2018 OFFS'!$AK264,'T1 2019 Pipeline Data Lagasco'!$E:$E,'Dec 31 2018 OFFS'!$U264,'T1 2019 Pipeline Data Lagasco'!$G:$G,'Dec 31 2018 OFFS'!$W264))/(MAX(COUNTIFS('T1 2019 Pipeline Data Lagasco'!$A:$A,'Dec 31 2018 OFFS'!$AI264,'T1 2019 Pipeline Data Lagasco'!$Q:$Q,'Dec 31 2018 OFFS'!$AK264,'T1 2019 Pipeline Data Lagasco'!$E:$E,'Dec 31 2018 OFFS'!$U264,'T1 2019 Pipeline Data Lagasco'!$G:$G,'Dec 31 2018 OFFS'!$W264),1))</f>
        <v>0</v>
      </c>
      <c r="AM264" s="274">
        <f t="shared" si="50"/>
        <v>0</v>
      </c>
    </row>
    <row r="265" spans="1:39" ht="12.7">
      <c r="A265" s="193" t="s">
        <v>909</v>
      </c>
      <c r="B265" s="40" t="s">
        <v>918</v>
      </c>
      <c r="C265" s="40" t="s">
        <v>1266</v>
      </c>
      <c r="D265" s="40" t="s">
        <v>641</v>
      </c>
      <c r="E265" s="40" t="s">
        <v>1055</v>
      </c>
      <c r="F265" s="40"/>
      <c r="G265" s="41" t="s">
        <v>644</v>
      </c>
      <c r="H265" s="42">
        <v>42</v>
      </c>
      <c r="I265" s="43">
        <v>41</v>
      </c>
      <c r="J265" s="44">
        <v>23.40</v>
      </c>
      <c r="K265" s="45">
        <v>80</v>
      </c>
      <c r="L265" s="43">
        <v>15</v>
      </c>
      <c r="M265" s="46">
        <v>16.80</v>
      </c>
      <c r="N265" s="40" t="s">
        <v>645</v>
      </c>
      <c r="O265" s="42">
        <v>42</v>
      </c>
      <c r="P265" s="43">
        <v>41</v>
      </c>
      <c r="Q265" s="44">
        <v>15.391</v>
      </c>
      <c r="R265" s="45">
        <v>80</v>
      </c>
      <c r="S265" s="43">
        <v>16</v>
      </c>
      <c r="T265" s="46">
        <v>15.003</v>
      </c>
      <c r="U265" s="40">
        <v>3</v>
      </c>
      <c r="V265" s="47">
        <v>4421.8830740419999</v>
      </c>
      <c r="W265" s="48">
        <v>1967</v>
      </c>
      <c r="X265" s="40"/>
      <c r="Y265" s="52" t="s">
        <v>1081</v>
      </c>
      <c r="Z265" s="40" t="s">
        <v>910</v>
      </c>
      <c r="AA265" s="49">
        <f t="shared" si="43"/>
        <v>104312.22171665078</v>
      </c>
      <c r="AB265" s="71">
        <f t="shared" si="44"/>
        <v>0.80</v>
      </c>
      <c r="AC265" s="49">
        <f t="shared" si="45"/>
        <v>20862.44</v>
      </c>
      <c r="AD265" s="50">
        <f t="shared" si="46"/>
        <v>0</v>
      </c>
      <c r="AE265" s="50">
        <f t="shared" si="47"/>
        <v>0</v>
      </c>
      <c r="AF265" s="50">
        <f t="shared" si="48"/>
        <v>20862.44</v>
      </c>
      <c r="AG265" s="199">
        <f t="shared" si="49"/>
        <v>20862</v>
      </c>
      <c r="AH265" s="187"/>
      <c r="AI265" s="185" t="s">
        <v>1454</v>
      </c>
      <c r="AJ265" s="185"/>
      <c r="AK265" s="277">
        <f t="shared" si="42"/>
        <v>4421.88</v>
      </c>
      <c r="AL265" s="25">
        <f>(SUMIFS('T1 2019 Pipeline Data Lagasco'!$O:$O,'T1 2019 Pipeline Data Lagasco'!$A:$A,'Dec 31 2018 OFFS'!$AI265,'T1 2019 Pipeline Data Lagasco'!$Q:$Q,'Dec 31 2018 OFFS'!$AK265,'T1 2019 Pipeline Data Lagasco'!$E:$E,'Dec 31 2018 OFFS'!$U265,'T1 2019 Pipeline Data Lagasco'!$G:$G,'Dec 31 2018 OFFS'!$W265))/(MAX(COUNTIFS('T1 2019 Pipeline Data Lagasco'!$A:$A,'Dec 31 2018 OFFS'!$AI265,'T1 2019 Pipeline Data Lagasco'!$Q:$Q,'Dec 31 2018 OFFS'!$AK265,'T1 2019 Pipeline Data Lagasco'!$E:$E,'Dec 31 2018 OFFS'!$U265,'T1 2019 Pipeline Data Lagasco'!$G:$G,'Dec 31 2018 OFFS'!$W265),1))</f>
        <v>20862</v>
      </c>
      <c r="AM265" s="274">
        <f t="shared" si="50"/>
        <v>0</v>
      </c>
    </row>
    <row r="266" spans="1:39" ht="12.7">
      <c r="A266" s="193" t="s">
        <v>909</v>
      </c>
      <c r="B266" s="40" t="s">
        <v>918</v>
      </c>
      <c r="C266" s="40" t="s">
        <v>1266</v>
      </c>
      <c r="D266" s="40" t="s">
        <v>641</v>
      </c>
      <c r="E266" s="40" t="s">
        <v>1055</v>
      </c>
      <c r="F266" s="139" t="s">
        <v>1051</v>
      </c>
      <c r="G266" s="41" t="s">
        <v>646</v>
      </c>
      <c r="H266" s="42">
        <v>42</v>
      </c>
      <c r="I266" s="43">
        <v>40</v>
      </c>
      <c r="J266" s="44">
        <v>48.642000000000003</v>
      </c>
      <c r="K266" s="45">
        <v>80</v>
      </c>
      <c r="L266" s="43">
        <v>15</v>
      </c>
      <c r="M266" s="46">
        <v>32.164000000000001</v>
      </c>
      <c r="N266" s="41" t="s">
        <v>647</v>
      </c>
      <c r="O266" s="42">
        <v>42</v>
      </c>
      <c r="P266" s="43">
        <v>40</v>
      </c>
      <c r="Q266" s="44">
        <v>49.98</v>
      </c>
      <c r="R266" s="45">
        <v>80</v>
      </c>
      <c r="S266" s="43">
        <v>15</v>
      </c>
      <c r="T266" s="46">
        <v>19.98</v>
      </c>
      <c r="U266" s="40">
        <v>3</v>
      </c>
      <c r="V266" s="47">
        <v>920</v>
      </c>
      <c r="W266" s="48">
        <v>1967</v>
      </c>
      <c r="X266" s="40"/>
      <c r="Y266" s="52"/>
      <c r="Z266" s="40" t="s">
        <v>910</v>
      </c>
      <c r="AA266" s="49">
        <f t="shared" si="43"/>
        <v>0</v>
      </c>
      <c r="AB266" s="71">
        <f t="shared" si="44"/>
        <v>0.80</v>
      </c>
      <c r="AC266" s="49">
        <f t="shared" si="45"/>
        <v>0</v>
      </c>
      <c r="AD266" s="50">
        <f t="shared" si="46"/>
        <v>0</v>
      </c>
      <c r="AE266" s="50">
        <f t="shared" si="47"/>
        <v>0</v>
      </c>
      <c r="AF266" s="50">
        <f t="shared" si="48"/>
        <v>0</v>
      </c>
      <c r="AG266" s="199">
        <f t="shared" si="49"/>
        <v>0</v>
      </c>
      <c r="AH266" s="187"/>
      <c r="AI266" s="185" t="s">
        <v>1454</v>
      </c>
      <c r="AJ266" s="185"/>
      <c r="AK266" s="277">
        <f t="shared" si="42"/>
        <v>920</v>
      </c>
      <c r="AL266" s="25">
        <f>(SUMIFS('T1 2019 Pipeline Data Lagasco'!$O:$O,'T1 2019 Pipeline Data Lagasco'!$A:$A,'Dec 31 2018 OFFS'!$AI266,'T1 2019 Pipeline Data Lagasco'!$Q:$Q,'Dec 31 2018 OFFS'!$AK266,'T1 2019 Pipeline Data Lagasco'!$E:$E,'Dec 31 2018 OFFS'!$U266,'T1 2019 Pipeline Data Lagasco'!$G:$G,'Dec 31 2018 OFFS'!$W266))/(MAX(COUNTIFS('T1 2019 Pipeline Data Lagasco'!$A:$A,'Dec 31 2018 OFFS'!$AI266,'T1 2019 Pipeline Data Lagasco'!$Q:$Q,'Dec 31 2018 OFFS'!$AK266,'T1 2019 Pipeline Data Lagasco'!$E:$E,'Dec 31 2018 OFFS'!$U266,'T1 2019 Pipeline Data Lagasco'!$G:$G,'Dec 31 2018 OFFS'!$W266),1))</f>
        <v>0</v>
      </c>
      <c r="AM266" s="274">
        <f t="shared" si="50"/>
        <v>0</v>
      </c>
    </row>
    <row r="267" spans="1:39" ht="12.7">
      <c r="A267" s="193" t="s">
        <v>909</v>
      </c>
      <c r="B267" s="40" t="s">
        <v>918</v>
      </c>
      <c r="C267" s="40" t="s">
        <v>1266</v>
      </c>
      <c r="D267" s="40" t="s">
        <v>641</v>
      </c>
      <c r="E267" s="40" t="s">
        <v>1055</v>
      </c>
      <c r="F267" s="40"/>
      <c r="G267" s="40" t="s">
        <v>396</v>
      </c>
      <c r="H267" s="42">
        <v>42</v>
      </c>
      <c r="I267" s="43">
        <v>38</v>
      </c>
      <c r="J267" s="44">
        <v>32.68</v>
      </c>
      <c r="K267" s="45">
        <v>80</v>
      </c>
      <c r="L267" s="43">
        <v>15</v>
      </c>
      <c r="M267" s="46">
        <v>41.97</v>
      </c>
      <c r="N267" s="41" t="s">
        <v>640</v>
      </c>
      <c r="O267" s="42">
        <v>42</v>
      </c>
      <c r="P267" s="43">
        <v>38</v>
      </c>
      <c r="Q267" s="44">
        <v>43.32</v>
      </c>
      <c r="R267" s="45">
        <v>80</v>
      </c>
      <c r="S267" s="43">
        <v>16</v>
      </c>
      <c r="T267" s="46">
        <v>3.12</v>
      </c>
      <c r="U267" s="40">
        <v>2</v>
      </c>
      <c r="V267" s="47">
        <v>1912.8280285939998</v>
      </c>
      <c r="W267" s="48">
        <v>1988</v>
      </c>
      <c r="X267" s="40"/>
      <c r="Y267" s="52" t="s">
        <v>1081</v>
      </c>
      <c r="Z267" s="40" t="s">
        <v>910</v>
      </c>
      <c r="AA267" s="49">
        <f t="shared" si="43"/>
        <v>31064.327184366553</v>
      </c>
      <c r="AB267" s="71">
        <f t="shared" si="44"/>
        <v>0.76</v>
      </c>
      <c r="AC267" s="49">
        <f t="shared" si="45"/>
        <v>7455.44</v>
      </c>
      <c r="AD267" s="50">
        <f t="shared" si="46"/>
        <v>0</v>
      </c>
      <c r="AE267" s="50">
        <f t="shared" si="47"/>
        <v>0</v>
      </c>
      <c r="AF267" s="50">
        <f t="shared" si="48"/>
        <v>7455.44</v>
      </c>
      <c r="AG267" s="199">
        <f t="shared" si="49"/>
        <v>7455</v>
      </c>
      <c r="AH267" s="187"/>
      <c r="AI267" s="185" t="s">
        <v>1454</v>
      </c>
      <c r="AJ267" s="185"/>
      <c r="AK267" s="277">
        <f t="shared" si="42"/>
        <v>1912.83</v>
      </c>
      <c r="AL267" s="25">
        <f>(SUMIFS('T1 2019 Pipeline Data Lagasco'!$O:$O,'T1 2019 Pipeline Data Lagasco'!$A:$A,'Dec 31 2018 OFFS'!$AI267,'T1 2019 Pipeline Data Lagasco'!$Q:$Q,'Dec 31 2018 OFFS'!$AK267,'T1 2019 Pipeline Data Lagasco'!$E:$E,'Dec 31 2018 OFFS'!$U267,'T1 2019 Pipeline Data Lagasco'!$G:$G,'Dec 31 2018 OFFS'!$W267))/(MAX(COUNTIFS('T1 2019 Pipeline Data Lagasco'!$A:$A,'Dec 31 2018 OFFS'!$AI267,'T1 2019 Pipeline Data Lagasco'!$Q:$Q,'Dec 31 2018 OFFS'!$AK267,'T1 2019 Pipeline Data Lagasco'!$E:$E,'Dec 31 2018 OFFS'!$U267,'T1 2019 Pipeline Data Lagasco'!$G:$G,'Dec 31 2018 OFFS'!$W267),1))</f>
        <v>7455</v>
      </c>
      <c r="AM267" s="274">
        <f t="shared" si="50"/>
        <v>0</v>
      </c>
    </row>
    <row r="268" spans="1:39" ht="12.7">
      <c r="A268" s="193" t="s">
        <v>909</v>
      </c>
      <c r="B268" s="40" t="s">
        <v>918</v>
      </c>
      <c r="C268" s="40" t="s">
        <v>1266</v>
      </c>
      <c r="D268" s="40" t="s">
        <v>641</v>
      </c>
      <c r="E268" s="40" t="s">
        <v>1055</v>
      </c>
      <c r="F268" s="40"/>
      <c r="G268" s="41" t="s">
        <v>648</v>
      </c>
      <c r="H268" s="42">
        <v>42</v>
      </c>
      <c r="I268" s="43">
        <v>38</v>
      </c>
      <c r="J268" s="44">
        <v>51.30</v>
      </c>
      <c r="K268" s="45">
        <v>80</v>
      </c>
      <c r="L268" s="43">
        <v>14</v>
      </c>
      <c r="M268" s="46">
        <v>48.48</v>
      </c>
      <c r="N268" s="41" t="s">
        <v>644</v>
      </c>
      <c r="O268" s="42">
        <v>42</v>
      </c>
      <c r="P268" s="43">
        <v>41</v>
      </c>
      <c r="Q268" s="44">
        <v>19.145</v>
      </c>
      <c r="R268" s="45">
        <v>80</v>
      </c>
      <c r="S268" s="43">
        <v>15</v>
      </c>
      <c r="T268" s="46">
        <v>43.69</v>
      </c>
      <c r="U268" s="40">
        <v>3</v>
      </c>
      <c r="V268" s="47">
        <v>15508</v>
      </c>
      <c r="W268" s="48">
        <v>1967</v>
      </c>
      <c r="X268" s="40"/>
      <c r="Y268" s="52" t="s">
        <v>1081</v>
      </c>
      <c r="Z268" s="40" t="s">
        <v>910</v>
      </c>
      <c r="AA268" s="49">
        <f t="shared" si="43"/>
        <v>365833.72</v>
      </c>
      <c r="AB268" s="71">
        <f t="shared" si="44"/>
        <v>0.80</v>
      </c>
      <c r="AC268" s="49">
        <f t="shared" si="45"/>
        <v>73166.740000000005</v>
      </c>
      <c r="AD268" s="50">
        <f t="shared" si="46"/>
        <v>0</v>
      </c>
      <c r="AE268" s="50">
        <f t="shared" si="47"/>
        <v>0</v>
      </c>
      <c r="AF268" s="50">
        <f t="shared" si="48"/>
        <v>73166.740000000005</v>
      </c>
      <c r="AG268" s="199">
        <f t="shared" si="49"/>
        <v>73166</v>
      </c>
      <c r="AH268" s="187"/>
      <c r="AI268" s="185" t="s">
        <v>1454</v>
      </c>
      <c r="AJ268" s="185"/>
      <c r="AK268" s="277">
        <f t="shared" si="42"/>
        <v>15508</v>
      </c>
      <c r="AL268" s="25">
        <f>(SUMIFS('T1 2019 Pipeline Data Lagasco'!$O:$O,'T1 2019 Pipeline Data Lagasco'!$A:$A,'Dec 31 2018 OFFS'!$AI268,'T1 2019 Pipeline Data Lagasco'!$Q:$Q,'Dec 31 2018 OFFS'!$AK268,'T1 2019 Pipeline Data Lagasco'!$E:$E,'Dec 31 2018 OFFS'!$U268,'T1 2019 Pipeline Data Lagasco'!$G:$G,'Dec 31 2018 OFFS'!$W268))/(MAX(COUNTIFS('T1 2019 Pipeline Data Lagasco'!$A:$A,'Dec 31 2018 OFFS'!$AI268,'T1 2019 Pipeline Data Lagasco'!$Q:$Q,'Dec 31 2018 OFFS'!$AK268,'T1 2019 Pipeline Data Lagasco'!$E:$E,'Dec 31 2018 OFFS'!$U268,'T1 2019 Pipeline Data Lagasco'!$G:$G,'Dec 31 2018 OFFS'!$W268),1))</f>
        <v>73166</v>
      </c>
      <c r="AM268" s="274">
        <f t="shared" si="50"/>
        <v>0</v>
      </c>
    </row>
    <row r="269" spans="1:39" ht="12.7">
      <c r="A269" s="193" t="s">
        <v>909</v>
      </c>
      <c r="B269" s="40" t="s">
        <v>918</v>
      </c>
      <c r="C269" s="40" t="s">
        <v>1266</v>
      </c>
      <c r="D269" s="40" t="s">
        <v>641</v>
      </c>
      <c r="E269" s="40" t="s">
        <v>1055</v>
      </c>
      <c r="F269" s="40"/>
      <c r="G269" s="40" t="s">
        <v>426</v>
      </c>
      <c r="H269" s="42">
        <v>42</v>
      </c>
      <c r="I269" s="43">
        <v>38</v>
      </c>
      <c r="J269" s="44">
        <v>46.39</v>
      </c>
      <c r="K269" s="45">
        <v>80</v>
      </c>
      <c r="L269" s="43">
        <v>14</v>
      </c>
      <c r="M269" s="46">
        <v>50.11</v>
      </c>
      <c r="N269" s="41" t="s">
        <v>648</v>
      </c>
      <c r="O269" s="42">
        <v>42</v>
      </c>
      <c r="P269" s="43">
        <v>38</v>
      </c>
      <c r="Q269" s="44">
        <v>51.30</v>
      </c>
      <c r="R269" s="45">
        <v>80</v>
      </c>
      <c r="S269" s="43">
        <v>14</v>
      </c>
      <c r="T269" s="46">
        <v>48.48</v>
      </c>
      <c r="U269" s="40">
        <v>3</v>
      </c>
      <c r="V269" s="47">
        <v>511.77820040199998</v>
      </c>
      <c r="W269" s="48">
        <v>1967</v>
      </c>
      <c r="X269" s="40"/>
      <c r="Y269" s="52" t="s">
        <v>1081</v>
      </c>
      <c r="Z269" s="40" t="s">
        <v>910</v>
      </c>
      <c r="AA269" s="49">
        <f t="shared" si="43"/>
        <v>12072.84774748318</v>
      </c>
      <c r="AB269" s="71">
        <f t="shared" si="44"/>
        <v>0.80</v>
      </c>
      <c r="AC269" s="49">
        <f t="shared" si="45"/>
        <v>2414.5700000000002</v>
      </c>
      <c r="AD269" s="50">
        <f t="shared" si="46"/>
        <v>0</v>
      </c>
      <c r="AE269" s="50">
        <f t="shared" si="47"/>
        <v>0</v>
      </c>
      <c r="AF269" s="50">
        <f t="shared" si="48"/>
        <v>2414.5700000000002</v>
      </c>
      <c r="AG269" s="199">
        <f t="shared" si="49"/>
        <v>2414</v>
      </c>
      <c r="AH269" s="187">
        <f>SUM(AF262:AF269)</f>
        <v>103899.19</v>
      </c>
      <c r="AI269" s="185" t="s">
        <v>1454</v>
      </c>
      <c r="AJ269" s="185"/>
      <c r="AK269" s="277">
        <f t="shared" si="42"/>
        <v>511.78</v>
      </c>
      <c r="AL269" s="25">
        <f>(SUMIFS('T1 2019 Pipeline Data Lagasco'!$O:$O,'T1 2019 Pipeline Data Lagasco'!$A:$A,'Dec 31 2018 OFFS'!$AI269,'T1 2019 Pipeline Data Lagasco'!$Q:$Q,'Dec 31 2018 OFFS'!$AK269,'T1 2019 Pipeline Data Lagasco'!$E:$E,'Dec 31 2018 OFFS'!$U269,'T1 2019 Pipeline Data Lagasco'!$G:$G,'Dec 31 2018 OFFS'!$W269))/(MAX(COUNTIFS('T1 2019 Pipeline Data Lagasco'!$A:$A,'Dec 31 2018 OFFS'!$AI269,'T1 2019 Pipeline Data Lagasco'!$Q:$Q,'Dec 31 2018 OFFS'!$AK269,'T1 2019 Pipeline Data Lagasco'!$E:$E,'Dec 31 2018 OFFS'!$U269,'T1 2019 Pipeline Data Lagasco'!$G:$G,'Dec 31 2018 OFFS'!$W269),1))</f>
        <v>2414</v>
      </c>
      <c r="AM269" s="274">
        <f t="shared" si="50"/>
        <v>0</v>
      </c>
    </row>
    <row r="270" spans="1:39" ht="12.7">
      <c r="A270" s="193" t="s">
        <v>909</v>
      </c>
      <c r="B270" s="40" t="s">
        <v>918</v>
      </c>
      <c r="C270" s="40" t="s">
        <v>1266</v>
      </c>
      <c r="D270" s="40" t="s">
        <v>1077</v>
      </c>
      <c r="E270" s="40" t="s">
        <v>138</v>
      </c>
      <c r="F270" s="40"/>
      <c r="G270" s="41" t="s">
        <v>624</v>
      </c>
      <c r="H270" s="42">
        <v>42</v>
      </c>
      <c r="I270" s="43">
        <v>39</v>
      </c>
      <c r="J270" s="44">
        <v>5.16</v>
      </c>
      <c r="K270" s="45">
        <v>79</v>
      </c>
      <c r="L270" s="43">
        <v>29</v>
      </c>
      <c r="M270" s="46">
        <v>49.50</v>
      </c>
      <c r="N270" s="40" t="s">
        <v>620</v>
      </c>
      <c r="O270" s="42">
        <v>42</v>
      </c>
      <c r="P270" s="43">
        <v>40</v>
      </c>
      <c r="Q270" s="44">
        <v>45.18</v>
      </c>
      <c r="R270" s="45">
        <v>79</v>
      </c>
      <c r="S270" s="43">
        <v>29</v>
      </c>
      <c r="T270" s="46">
        <v>44.34</v>
      </c>
      <c r="U270" s="40">
        <v>4</v>
      </c>
      <c r="V270" s="47">
        <v>10134.5141422</v>
      </c>
      <c r="W270" s="48">
        <v>1965</v>
      </c>
      <c r="X270" s="40"/>
      <c r="Y270" s="52" t="s">
        <v>1081</v>
      </c>
      <c r="Z270" s="40" t="s">
        <v>910</v>
      </c>
      <c r="AA270" s="49">
        <f t="shared" si="43"/>
        <v>268057.89906118996</v>
      </c>
      <c r="AB270" s="71">
        <f t="shared" si="44"/>
        <v>0.80</v>
      </c>
      <c r="AC270" s="49">
        <f t="shared" si="45"/>
        <v>53611.58</v>
      </c>
      <c r="AD270" s="50">
        <f t="shared" si="46"/>
        <v>0</v>
      </c>
      <c r="AE270" s="50">
        <f t="shared" si="47"/>
        <v>0</v>
      </c>
      <c r="AF270" s="50">
        <f t="shared" si="48"/>
        <v>53611.58</v>
      </c>
      <c r="AG270" s="199">
        <f t="shared" si="49"/>
        <v>53611</v>
      </c>
      <c r="AH270" s="187"/>
      <c r="AI270" s="185" t="s">
        <v>1455</v>
      </c>
      <c r="AJ270" s="185"/>
      <c r="AK270" s="277">
        <f t="shared" si="42"/>
        <v>10134.51</v>
      </c>
      <c r="AL270" s="25">
        <f>(SUMIFS('T1 2019 Pipeline Data Lagasco'!$O:$O,'T1 2019 Pipeline Data Lagasco'!$A:$A,'Dec 31 2018 OFFS'!$AI270,'T1 2019 Pipeline Data Lagasco'!$Q:$Q,'Dec 31 2018 OFFS'!$AK270,'T1 2019 Pipeline Data Lagasco'!$E:$E,'Dec 31 2018 OFFS'!$U270,'T1 2019 Pipeline Data Lagasco'!$G:$G,'Dec 31 2018 OFFS'!$W270))/(MAX(COUNTIFS('T1 2019 Pipeline Data Lagasco'!$A:$A,'Dec 31 2018 OFFS'!$AI270,'T1 2019 Pipeline Data Lagasco'!$Q:$Q,'Dec 31 2018 OFFS'!$AK270,'T1 2019 Pipeline Data Lagasco'!$E:$E,'Dec 31 2018 OFFS'!$U270,'T1 2019 Pipeline Data Lagasco'!$G:$G,'Dec 31 2018 OFFS'!$W270),1))</f>
        <v>53611</v>
      </c>
      <c r="AM270" s="274">
        <f t="shared" si="50"/>
        <v>0</v>
      </c>
    </row>
    <row r="271" spans="1:39" ht="12.7">
      <c r="A271" s="193" t="s">
        <v>909</v>
      </c>
      <c r="B271" s="40" t="s">
        <v>918</v>
      </c>
      <c r="C271" s="40" t="s">
        <v>1266</v>
      </c>
      <c r="D271" s="40" t="s">
        <v>1077</v>
      </c>
      <c r="E271" s="40" t="s">
        <v>17</v>
      </c>
      <c r="F271" s="40" t="s">
        <v>1051</v>
      </c>
      <c r="G271" s="40" t="s">
        <v>528</v>
      </c>
      <c r="H271" s="42">
        <v>42</v>
      </c>
      <c r="I271" s="43">
        <v>47</v>
      </c>
      <c r="J271" s="44">
        <v>35.78</v>
      </c>
      <c r="K271" s="45">
        <v>79</v>
      </c>
      <c r="L271" s="43">
        <v>40</v>
      </c>
      <c r="M271" s="46">
        <v>45.47</v>
      </c>
      <c r="N271" s="41" t="s">
        <v>529</v>
      </c>
      <c r="O271" s="42">
        <v>42</v>
      </c>
      <c r="P271" s="43">
        <v>47</v>
      </c>
      <c r="Q271" s="44">
        <v>30</v>
      </c>
      <c r="R271" s="45">
        <v>79</v>
      </c>
      <c r="S271" s="43">
        <v>40</v>
      </c>
      <c r="T271" s="46">
        <v>30</v>
      </c>
      <c r="U271" s="40">
        <v>2</v>
      </c>
      <c r="V271" s="47">
        <v>1293.536707946</v>
      </c>
      <c r="W271" s="48">
        <v>1977</v>
      </c>
      <c r="X271" s="40"/>
      <c r="Y271" s="52" t="s">
        <v>1081</v>
      </c>
      <c r="Z271" s="40" t="s">
        <v>910</v>
      </c>
      <c r="AA271" s="49">
        <f t="shared" si="43"/>
        <v>0</v>
      </c>
      <c r="AB271" s="71">
        <f t="shared" si="44"/>
        <v>0.80</v>
      </c>
      <c r="AC271" s="49">
        <f t="shared" si="45"/>
        <v>0</v>
      </c>
      <c r="AD271" s="50">
        <f t="shared" si="46"/>
        <v>0</v>
      </c>
      <c r="AE271" s="50">
        <f t="shared" si="47"/>
        <v>0</v>
      </c>
      <c r="AF271" s="50">
        <f t="shared" si="48"/>
        <v>0</v>
      </c>
      <c r="AG271" s="199">
        <f t="shared" si="49"/>
        <v>0</v>
      </c>
      <c r="AH271" s="187"/>
      <c r="AI271" s="185" t="s">
        <v>1455</v>
      </c>
      <c r="AJ271" s="185"/>
      <c r="AK271" s="277">
        <f t="shared" si="42"/>
        <v>1293.54</v>
      </c>
      <c r="AL271" s="25">
        <f>(SUMIFS('T1 2019 Pipeline Data Lagasco'!$O:$O,'T1 2019 Pipeline Data Lagasco'!$A:$A,'Dec 31 2018 OFFS'!$AI271,'T1 2019 Pipeline Data Lagasco'!$Q:$Q,'Dec 31 2018 OFFS'!$AK271,'T1 2019 Pipeline Data Lagasco'!$E:$E,'Dec 31 2018 OFFS'!$U271,'T1 2019 Pipeline Data Lagasco'!$G:$G,'Dec 31 2018 OFFS'!$W271))/(MAX(COUNTIFS('T1 2019 Pipeline Data Lagasco'!$A:$A,'Dec 31 2018 OFFS'!$AI271,'T1 2019 Pipeline Data Lagasco'!$Q:$Q,'Dec 31 2018 OFFS'!$AK271,'T1 2019 Pipeline Data Lagasco'!$E:$E,'Dec 31 2018 OFFS'!$U271,'T1 2019 Pipeline Data Lagasco'!$G:$G,'Dec 31 2018 OFFS'!$W271),1))</f>
        <v>0</v>
      </c>
      <c r="AM271" s="274">
        <f t="shared" si="50"/>
        <v>0</v>
      </c>
    </row>
    <row r="272" spans="1:39" ht="12.7">
      <c r="A272" s="193" t="s">
        <v>909</v>
      </c>
      <c r="B272" s="40" t="s">
        <v>918</v>
      </c>
      <c r="C272" s="40" t="s">
        <v>1266</v>
      </c>
      <c r="D272" s="40" t="s">
        <v>1077</v>
      </c>
      <c r="E272" s="40" t="s">
        <v>58</v>
      </c>
      <c r="F272" s="40" t="s">
        <v>1051</v>
      </c>
      <c r="G272" s="40" t="s">
        <v>556</v>
      </c>
      <c r="H272" s="42">
        <v>42</v>
      </c>
      <c r="I272" s="43">
        <v>46</v>
      </c>
      <c r="J272" s="44">
        <v>43.40</v>
      </c>
      <c r="K272" s="45">
        <v>79</v>
      </c>
      <c r="L272" s="43">
        <v>40</v>
      </c>
      <c r="M272" s="46">
        <v>25.56</v>
      </c>
      <c r="N272" s="41" t="s">
        <v>529</v>
      </c>
      <c r="O272" s="42">
        <v>42</v>
      </c>
      <c r="P272" s="43">
        <v>47</v>
      </c>
      <c r="Q272" s="44">
        <v>30</v>
      </c>
      <c r="R272" s="45">
        <v>79</v>
      </c>
      <c r="S272" s="43">
        <v>40</v>
      </c>
      <c r="T272" s="46">
        <v>30</v>
      </c>
      <c r="U272" s="40">
        <v>3</v>
      </c>
      <c r="V272" s="47">
        <v>4729.8226976699998</v>
      </c>
      <c r="W272" s="48">
        <v>1977</v>
      </c>
      <c r="X272" s="40"/>
      <c r="Y272" s="52" t="s">
        <v>1081</v>
      </c>
      <c r="Z272" s="40" t="s">
        <v>910</v>
      </c>
      <c r="AA272" s="49">
        <f t="shared" si="43"/>
        <v>0</v>
      </c>
      <c r="AB272" s="71">
        <f t="shared" si="44"/>
        <v>0.80</v>
      </c>
      <c r="AC272" s="49">
        <f t="shared" si="45"/>
        <v>0</v>
      </c>
      <c r="AD272" s="50">
        <f t="shared" si="46"/>
        <v>0</v>
      </c>
      <c r="AE272" s="50">
        <f t="shared" si="47"/>
        <v>0</v>
      </c>
      <c r="AF272" s="50">
        <f t="shared" si="48"/>
        <v>0</v>
      </c>
      <c r="AG272" s="199">
        <f t="shared" si="49"/>
        <v>0</v>
      </c>
      <c r="AH272" s="187"/>
      <c r="AI272" s="185" t="s">
        <v>1455</v>
      </c>
      <c r="AJ272" s="185"/>
      <c r="AK272" s="277">
        <f t="shared" si="42"/>
        <v>4729.82</v>
      </c>
      <c r="AL272" s="25">
        <f>(SUMIFS('T1 2019 Pipeline Data Lagasco'!$O:$O,'T1 2019 Pipeline Data Lagasco'!$A:$A,'Dec 31 2018 OFFS'!$AI272,'T1 2019 Pipeline Data Lagasco'!$Q:$Q,'Dec 31 2018 OFFS'!$AK272,'T1 2019 Pipeline Data Lagasco'!$E:$E,'Dec 31 2018 OFFS'!$U272,'T1 2019 Pipeline Data Lagasco'!$G:$G,'Dec 31 2018 OFFS'!$W272))/(MAX(COUNTIFS('T1 2019 Pipeline Data Lagasco'!$A:$A,'Dec 31 2018 OFFS'!$AI272,'T1 2019 Pipeline Data Lagasco'!$Q:$Q,'Dec 31 2018 OFFS'!$AK272,'T1 2019 Pipeline Data Lagasco'!$E:$E,'Dec 31 2018 OFFS'!$U272,'T1 2019 Pipeline Data Lagasco'!$G:$G,'Dec 31 2018 OFFS'!$W272),1))</f>
        <v>0</v>
      </c>
      <c r="AM272" s="274">
        <f t="shared" si="50"/>
        <v>0</v>
      </c>
    </row>
    <row r="273" spans="1:39" ht="12.7">
      <c r="A273" s="193" t="s">
        <v>909</v>
      </c>
      <c r="B273" s="40" t="s">
        <v>918</v>
      </c>
      <c r="C273" s="40" t="s">
        <v>1266</v>
      </c>
      <c r="D273" s="40" t="s">
        <v>1077</v>
      </c>
      <c r="E273" s="40" t="s">
        <v>58</v>
      </c>
      <c r="F273" s="40"/>
      <c r="G273" s="40" t="s">
        <v>556</v>
      </c>
      <c r="H273" s="42">
        <v>42</v>
      </c>
      <c r="I273" s="43">
        <v>46</v>
      </c>
      <c r="J273" s="44">
        <v>43.40</v>
      </c>
      <c r="K273" s="45">
        <v>79</v>
      </c>
      <c r="L273" s="43">
        <v>40</v>
      </c>
      <c r="M273" s="46">
        <v>25.56</v>
      </c>
      <c r="N273" s="41" t="s">
        <v>531</v>
      </c>
      <c r="O273" s="42">
        <v>42</v>
      </c>
      <c r="P273" s="43">
        <v>46</v>
      </c>
      <c r="Q273" s="44">
        <v>39</v>
      </c>
      <c r="R273" s="45">
        <v>79</v>
      </c>
      <c r="S273" s="43">
        <v>39</v>
      </c>
      <c r="T273" s="46">
        <v>48</v>
      </c>
      <c r="U273" s="40">
        <v>6</v>
      </c>
      <c r="V273" s="56">
        <v>2836.6468994779998</v>
      </c>
      <c r="W273" s="48">
        <v>1975</v>
      </c>
      <c r="X273" s="40"/>
      <c r="Y273" s="52" t="s">
        <v>1081</v>
      </c>
      <c r="Z273" s="40" t="s">
        <v>910</v>
      </c>
      <c r="AA273" s="49">
        <f t="shared" si="43"/>
        <v>98233.082128923139</v>
      </c>
      <c r="AB273" s="71">
        <f t="shared" si="44"/>
        <v>0.80</v>
      </c>
      <c r="AC273" s="49">
        <f t="shared" si="45"/>
        <v>19646.62</v>
      </c>
      <c r="AD273" s="50">
        <f t="shared" si="46"/>
        <v>0</v>
      </c>
      <c r="AE273" s="50">
        <f t="shared" si="47"/>
        <v>0</v>
      </c>
      <c r="AF273" s="50">
        <f t="shared" si="48"/>
        <v>19646.62</v>
      </c>
      <c r="AG273" s="199">
        <f t="shared" si="49"/>
        <v>19646</v>
      </c>
      <c r="AH273" s="187"/>
      <c r="AI273" s="185" t="s">
        <v>1455</v>
      </c>
      <c r="AJ273" s="185"/>
      <c r="AK273" s="277">
        <f t="shared" si="42"/>
        <v>2836.65</v>
      </c>
      <c r="AL273" s="25">
        <f>(SUMIFS('T1 2019 Pipeline Data Lagasco'!$O:$O,'T1 2019 Pipeline Data Lagasco'!$A:$A,'Dec 31 2018 OFFS'!$AI273,'T1 2019 Pipeline Data Lagasco'!$Q:$Q,'Dec 31 2018 OFFS'!$AK273,'T1 2019 Pipeline Data Lagasco'!$E:$E,'Dec 31 2018 OFFS'!$U273,'T1 2019 Pipeline Data Lagasco'!$G:$G,'Dec 31 2018 OFFS'!$W273))/(MAX(COUNTIFS('T1 2019 Pipeline Data Lagasco'!$A:$A,'Dec 31 2018 OFFS'!$AI273,'T1 2019 Pipeline Data Lagasco'!$Q:$Q,'Dec 31 2018 OFFS'!$AK273,'T1 2019 Pipeline Data Lagasco'!$E:$E,'Dec 31 2018 OFFS'!$U273,'T1 2019 Pipeline Data Lagasco'!$G:$G,'Dec 31 2018 OFFS'!$W273),1))</f>
        <v>19646</v>
      </c>
      <c r="AM273" s="274">
        <f t="shared" si="50"/>
        <v>0</v>
      </c>
    </row>
    <row r="274" spans="1:39" ht="12.7">
      <c r="A274" s="193" t="s">
        <v>909</v>
      </c>
      <c r="B274" s="40" t="s">
        <v>918</v>
      </c>
      <c r="C274" s="40" t="s">
        <v>1266</v>
      </c>
      <c r="D274" s="40" t="s">
        <v>1077</v>
      </c>
      <c r="E274" s="40" t="s">
        <v>58</v>
      </c>
      <c r="F274" s="40" t="s">
        <v>1051</v>
      </c>
      <c r="G274" s="40" t="s">
        <v>167</v>
      </c>
      <c r="H274" s="42">
        <v>42</v>
      </c>
      <c r="I274" s="43">
        <v>46</v>
      </c>
      <c r="J274" s="44">
        <v>34.42</v>
      </c>
      <c r="K274" s="45">
        <v>79</v>
      </c>
      <c r="L274" s="43">
        <v>40</v>
      </c>
      <c r="M274" s="46">
        <v>22.19</v>
      </c>
      <c r="N274" s="41" t="s">
        <v>531</v>
      </c>
      <c r="O274" s="42">
        <v>42</v>
      </c>
      <c r="P274" s="43">
        <v>46</v>
      </c>
      <c r="Q274" s="44">
        <v>39</v>
      </c>
      <c r="R274" s="45">
        <v>79</v>
      </c>
      <c r="S274" s="43">
        <v>39</v>
      </c>
      <c r="T274" s="46">
        <v>48</v>
      </c>
      <c r="U274" s="40">
        <v>3</v>
      </c>
      <c r="V274" s="47">
        <v>2591.9618671939998</v>
      </c>
      <c r="W274" s="48">
        <v>1996</v>
      </c>
      <c r="X274" s="40"/>
      <c r="Y274" s="52" t="s">
        <v>1081</v>
      </c>
      <c r="Z274" s="40" t="s">
        <v>910</v>
      </c>
      <c r="AA274" s="49">
        <f t="shared" si="43"/>
        <v>0</v>
      </c>
      <c r="AB274" s="71">
        <f t="shared" si="44"/>
        <v>0.66</v>
      </c>
      <c r="AC274" s="49">
        <f t="shared" si="45"/>
        <v>0</v>
      </c>
      <c r="AD274" s="50">
        <f t="shared" si="46"/>
        <v>0</v>
      </c>
      <c r="AE274" s="50">
        <f t="shared" si="47"/>
        <v>0</v>
      </c>
      <c r="AF274" s="50">
        <f t="shared" si="48"/>
        <v>0</v>
      </c>
      <c r="AG274" s="199">
        <f t="shared" si="49"/>
        <v>0</v>
      </c>
      <c r="AH274" s="187"/>
      <c r="AI274" s="185" t="s">
        <v>1455</v>
      </c>
      <c r="AJ274" s="185"/>
      <c r="AK274" s="277">
        <f t="shared" si="42"/>
        <v>2591.96</v>
      </c>
      <c r="AL274" s="25">
        <f>(SUMIFS('T1 2019 Pipeline Data Lagasco'!$O:$O,'T1 2019 Pipeline Data Lagasco'!$A:$A,'Dec 31 2018 OFFS'!$AI274,'T1 2019 Pipeline Data Lagasco'!$Q:$Q,'Dec 31 2018 OFFS'!$AK274,'T1 2019 Pipeline Data Lagasco'!$E:$E,'Dec 31 2018 OFFS'!$U274,'T1 2019 Pipeline Data Lagasco'!$G:$G,'Dec 31 2018 OFFS'!$W274))/(MAX(COUNTIFS('T1 2019 Pipeline Data Lagasco'!$A:$A,'Dec 31 2018 OFFS'!$AI274,'T1 2019 Pipeline Data Lagasco'!$Q:$Q,'Dec 31 2018 OFFS'!$AK274,'T1 2019 Pipeline Data Lagasco'!$E:$E,'Dec 31 2018 OFFS'!$U274,'T1 2019 Pipeline Data Lagasco'!$G:$G,'Dec 31 2018 OFFS'!$W274),1))</f>
        <v>0</v>
      </c>
      <c r="AM274" s="274">
        <f t="shared" si="50"/>
        <v>0</v>
      </c>
    </row>
    <row r="275" spans="1:39" ht="12.7">
      <c r="A275" s="193" t="s">
        <v>909</v>
      </c>
      <c r="B275" s="40" t="s">
        <v>918</v>
      </c>
      <c r="C275" s="40" t="s">
        <v>1266</v>
      </c>
      <c r="D275" s="40" t="s">
        <v>1077</v>
      </c>
      <c r="E275" s="40" t="s">
        <v>58</v>
      </c>
      <c r="F275" s="40"/>
      <c r="G275" s="40" t="s">
        <v>169</v>
      </c>
      <c r="H275" s="42">
        <v>42</v>
      </c>
      <c r="I275" s="43">
        <v>45</v>
      </c>
      <c r="J275" s="44">
        <v>35.51</v>
      </c>
      <c r="K275" s="45">
        <v>79</v>
      </c>
      <c r="L275" s="43">
        <v>40</v>
      </c>
      <c r="M275" s="46">
        <v>0.65</v>
      </c>
      <c r="N275" s="41" t="s">
        <v>557</v>
      </c>
      <c r="O275" s="42">
        <v>42</v>
      </c>
      <c r="P275" s="43">
        <v>45</v>
      </c>
      <c r="Q275" s="44">
        <v>55.98</v>
      </c>
      <c r="R275" s="45">
        <v>79</v>
      </c>
      <c r="S275" s="43">
        <v>39</v>
      </c>
      <c r="T275" s="46">
        <v>13.02</v>
      </c>
      <c r="U275" s="40">
        <v>8</v>
      </c>
      <c r="V275" s="56">
        <v>4113.6809832299996</v>
      </c>
      <c r="W275" s="48">
        <v>1977</v>
      </c>
      <c r="X275" s="40"/>
      <c r="Y275" s="52" t="s">
        <v>1081</v>
      </c>
      <c r="Z275" s="40" t="s">
        <v>910</v>
      </c>
      <c r="AA275" s="49">
        <f t="shared" si="43"/>
        <v>202804.47247323897</v>
      </c>
      <c r="AB275" s="71">
        <f t="shared" si="44"/>
        <v>0.80</v>
      </c>
      <c r="AC275" s="49">
        <f t="shared" si="45"/>
        <v>40560.89</v>
      </c>
      <c r="AD275" s="50">
        <f t="shared" si="46"/>
        <v>0</v>
      </c>
      <c r="AE275" s="50">
        <f t="shared" si="47"/>
        <v>0</v>
      </c>
      <c r="AF275" s="50">
        <f t="shared" si="48"/>
        <v>40560.89</v>
      </c>
      <c r="AG275" s="199">
        <f t="shared" si="49"/>
        <v>40560</v>
      </c>
      <c r="AH275" s="187"/>
      <c r="AI275" s="185" t="s">
        <v>1455</v>
      </c>
      <c r="AJ275" s="185"/>
      <c r="AK275" s="277">
        <f t="shared" si="42"/>
        <v>4113.68</v>
      </c>
      <c r="AL275" s="25">
        <f>(SUMIFS('T1 2019 Pipeline Data Lagasco'!$O:$O,'T1 2019 Pipeline Data Lagasco'!$A:$A,'Dec 31 2018 OFFS'!$AI275,'T1 2019 Pipeline Data Lagasco'!$Q:$Q,'Dec 31 2018 OFFS'!$AK275,'T1 2019 Pipeline Data Lagasco'!$E:$E,'Dec 31 2018 OFFS'!$U275,'T1 2019 Pipeline Data Lagasco'!$G:$G,'Dec 31 2018 OFFS'!$W275))/(MAX(COUNTIFS('T1 2019 Pipeline Data Lagasco'!$A:$A,'Dec 31 2018 OFFS'!$AI275,'T1 2019 Pipeline Data Lagasco'!$Q:$Q,'Dec 31 2018 OFFS'!$AK275,'T1 2019 Pipeline Data Lagasco'!$E:$E,'Dec 31 2018 OFFS'!$U275,'T1 2019 Pipeline Data Lagasco'!$G:$G,'Dec 31 2018 OFFS'!$W275),1))</f>
        <v>40560</v>
      </c>
      <c r="AM275" s="274">
        <f t="shared" si="50"/>
        <v>0</v>
      </c>
    </row>
    <row r="276" spans="1:39" ht="12.7">
      <c r="A276" s="193" t="s">
        <v>909</v>
      </c>
      <c r="B276" s="40" t="s">
        <v>918</v>
      </c>
      <c r="C276" s="40" t="s">
        <v>1266</v>
      </c>
      <c r="D276" s="40" t="s">
        <v>1077</v>
      </c>
      <c r="E276" s="40" t="s">
        <v>17</v>
      </c>
      <c r="F276" s="40"/>
      <c r="G276" s="40" t="s">
        <v>1278</v>
      </c>
      <c r="H276" s="42">
        <v>42</v>
      </c>
      <c r="I276" s="43">
        <v>47</v>
      </c>
      <c r="J276" s="44">
        <v>8.82</v>
      </c>
      <c r="K276" s="45">
        <v>79</v>
      </c>
      <c r="L276" s="43">
        <v>37</v>
      </c>
      <c r="M276" s="46">
        <v>58.56</v>
      </c>
      <c r="N276" s="40" t="s">
        <v>626</v>
      </c>
      <c r="O276" s="42">
        <v>42</v>
      </c>
      <c r="P276" s="43">
        <v>46</v>
      </c>
      <c r="Q276" s="44">
        <v>54</v>
      </c>
      <c r="R276" s="45">
        <v>79</v>
      </c>
      <c r="S276" s="43">
        <v>37</v>
      </c>
      <c r="T276" s="46">
        <v>18</v>
      </c>
      <c r="U276" s="40">
        <v>3</v>
      </c>
      <c r="V276" s="47">
        <v>3367</v>
      </c>
      <c r="W276" s="48">
        <v>2006</v>
      </c>
      <c r="X276" s="40"/>
      <c r="Y276" s="52"/>
      <c r="Z276" s="40" t="s">
        <v>910</v>
      </c>
      <c r="AA276" s="49">
        <f t="shared" si="43"/>
        <v>79427.53</v>
      </c>
      <c r="AB276" s="71">
        <f t="shared" si="44"/>
        <v>0.52</v>
      </c>
      <c r="AC276" s="49">
        <f t="shared" si="45"/>
        <v>38125.21</v>
      </c>
      <c r="AD276" s="50">
        <f t="shared" si="46"/>
        <v>0</v>
      </c>
      <c r="AE276" s="50">
        <f t="shared" si="47"/>
        <v>0</v>
      </c>
      <c r="AF276" s="50">
        <f t="shared" si="48"/>
        <v>38125.21</v>
      </c>
      <c r="AG276" s="199">
        <f t="shared" si="49"/>
        <v>38125</v>
      </c>
      <c r="AH276" s="187"/>
      <c r="AI276" s="185" t="s">
        <v>1455</v>
      </c>
      <c r="AJ276" s="185"/>
      <c r="AK276" s="277">
        <f t="shared" si="42"/>
        <v>3367</v>
      </c>
      <c r="AL276" s="25">
        <f>(SUMIFS('T1 2019 Pipeline Data Lagasco'!$O:$O,'T1 2019 Pipeline Data Lagasco'!$A:$A,'Dec 31 2018 OFFS'!$AI276,'T1 2019 Pipeline Data Lagasco'!$Q:$Q,'Dec 31 2018 OFFS'!$AK276,'T1 2019 Pipeline Data Lagasco'!$E:$E,'Dec 31 2018 OFFS'!$U276,'T1 2019 Pipeline Data Lagasco'!$G:$G,'Dec 31 2018 OFFS'!$W276))/(MAX(COUNTIFS('T1 2019 Pipeline Data Lagasco'!$A:$A,'Dec 31 2018 OFFS'!$AI276,'T1 2019 Pipeline Data Lagasco'!$Q:$Q,'Dec 31 2018 OFFS'!$AK276,'T1 2019 Pipeline Data Lagasco'!$E:$E,'Dec 31 2018 OFFS'!$U276,'T1 2019 Pipeline Data Lagasco'!$G:$G,'Dec 31 2018 OFFS'!$W276),1))</f>
        <v>38125</v>
      </c>
      <c r="AM276" s="274">
        <f t="shared" si="50"/>
        <v>0</v>
      </c>
    </row>
    <row r="277" spans="1:39" ht="12.7">
      <c r="A277" s="193" t="s">
        <v>909</v>
      </c>
      <c r="B277" s="40" t="s">
        <v>918</v>
      </c>
      <c r="C277" s="40" t="s">
        <v>1266</v>
      </c>
      <c r="D277" s="40" t="s">
        <v>1077</v>
      </c>
      <c r="E277" s="40" t="s">
        <v>58</v>
      </c>
      <c r="F277" s="40" t="s">
        <v>1051</v>
      </c>
      <c r="G277" s="40" t="s">
        <v>941</v>
      </c>
      <c r="H277" s="42">
        <v>42</v>
      </c>
      <c r="I277" s="43">
        <v>46</v>
      </c>
      <c r="J277" s="44">
        <v>12</v>
      </c>
      <c r="K277" s="45">
        <v>79</v>
      </c>
      <c r="L277" s="43">
        <v>39</v>
      </c>
      <c r="M277" s="46">
        <v>55.80</v>
      </c>
      <c r="N277" s="40" t="s">
        <v>531</v>
      </c>
      <c r="O277" s="42">
        <v>42</v>
      </c>
      <c r="P277" s="43">
        <v>46</v>
      </c>
      <c r="Q277" s="44">
        <v>39</v>
      </c>
      <c r="R277" s="45">
        <v>79</v>
      </c>
      <c r="S277" s="43">
        <v>39</v>
      </c>
      <c r="T277" s="46">
        <v>48</v>
      </c>
      <c r="U277" s="40">
        <v>2</v>
      </c>
      <c r="V277" s="47">
        <v>2794.98</v>
      </c>
      <c r="W277" s="48">
        <v>1971</v>
      </c>
      <c r="X277" s="40"/>
      <c r="Y277" s="52"/>
      <c r="Z277" s="40" t="s">
        <v>910</v>
      </c>
      <c r="AA277" s="49">
        <f t="shared" si="43"/>
        <v>0</v>
      </c>
      <c r="AB277" s="71">
        <f t="shared" si="44"/>
        <v>0.80</v>
      </c>
      <c r="AC277" s="49">
        <f t="shared" si="45"/>
        <v>0</v>
      </c>
      <c r="AD277" s="50">
        <f t="shared" si="46"/>
        <v>0</v>
      </c>
      <c r="AE277" s="50">
        <f t="shared" si="47"/>
        <v>0</v>
      </c>
      <c r="AF277" s="50">
        <f t="shared" si="48"/>
        <v>0</v>
      </c>
      <c r="AG277" s="199">
        <f t="shared" si="49"/>
        <v>0</v>
      </c>
      <c r="AH277" s="187"/>
      <c r="AI277" s="185" t="s">
        <v>1455</v>
      </c>
      <c r="AJ277" s="185"/>
      <c r="AK277" s="277">
        <f t="shared" si="42"/>
        <v>2794.98</v>
      </c>
      <c r="AL277" s="25">
        <f>(SUMIFS('T1 2019 Pipeline Data Lagasco'!$O:$O,'T1 2019 Pipeline Data Lagasco'!$A:$A,'Dec 31 2018 OFFS'!$AI277,'T1 2019 Pipeline Data Lagasco'!$Q:$Q,'Dec 31 2018 OFFS'!$AK277,'T1 2019 Pipeline Data Lagasco'!$E:$E,'Dec 31 2018 OFFS'!$U277,'T1 2019 Pipeline Data Lagasco'!$G:$G,'Dec 31 2018 OFFS'!$W277))/(MAX(COUNTIFS('T1 2019 Pipeline Data Lagasco'!$A:$A,'Dec 31 2018 OFFS'!$AI277,'T1 2019 Pipeline Data Lagasco'!$Q:$Q,'Dec 31 2018 OFFS'!$AK277,'T1 2019 Pipeline Data Lagasco'!$E:$E,'Dec 31 2018 OFFS'!$U277,'T1 2019 Pipeline Data Lagasco'!$G:$G,'Dec 31 2018 OFFS'!$W277),1))</f>
        <v>0</v>
      </c>
      <c r="AM277" s="274">
        <f t="shared" si="50"/>
        <v>0</v>
      </c>
    </row>
    <row r="278" spans="1:39" ht="12.7">
      <c r="A278" s="193" t="s">
        <v>909</v>
      </c>
      <c r="B278" s="40" t="s">
        <v>918</v>
      </c>
      <c r="C278" s="40" t="s">
        <v>1266</v>
      </c>
      <c r="D278" s="40" t="s">
        <v>1077</v>
      </c>
      <c r="E278" s="40" t="s">
        <v>58</v>
      </c>
      <c r="F278" s="40"/>
      <c r="G278" s="41" t="s">
        <v>531</v>
      </c>
      <c r="H278" s="42">
        <v>42</v>
      </c>
      <c r="I278" s="43">
        <v>46</v>
      </c>
      <c r="J278" s="44">
        <v>39</v>
      </c>
      <c r="K278" s="45">
        <v>79</v>
      </c>
      <c r="L278" s="43">
        <v>39</v>
      </c>
      <c r="M278" s="46">
        <v>48</v>
      </c>
      <c r="N278" s="40" t="s">
        <v>625</v>
      </c>
      <c r="O278" s="42">
        <v>42</v>
      </c>
      <c r="P278" s="43">
        <v>46</v>
      </c>
      <c r="Q278" s="44">
        <v>49.02</v>
      </c>
      <c r="R278" s="45">
        <v>79</v>
      </c>
      <c r="S278" s="43">
        <v>38</v>
      </c>
      <c r="T278" s="46">
        <v>15</v>
      </c>
      <c r="U278" s="40">
        <v>6</v>
      </c>
      <c r="V278" s="56">
        <v>7010.236017455999</v>
      </c>
      <c r="W278" s="48">
        <v>1975</v>
      </c>
      <c r="X278" s="40"/>
      <c r="Y278" s="52" t="s">
        <v>1081</v>
      </c>
      <c r="Z278" s="40" t="s">
        <v>910</v>
      </c>
      <c r="AA278" s="49">
        <f t="shared" si="43"/>
        <v>242764.47328450126</v>
      </c>
      <c r="AB278" s="71">
        <f t="shared" si="44"/>
        <v>0.80</v>
      </c>
      <c r="AC278" s="49">
        <f t="shared" si="45"/>
        <v>48552.89</v>
      </c>
      <c r="AD278" s="50">
        <f t="shared" si="46"/>
        <v>0</v>
      </c>
      <c r="AE278" s="50">
        <f t="shared" si="47"/>
        <v>0</v>
      </c>
      <c r="AF278" s="50">
        <f t="shared" si="48"/>
        <v>48552.89</v>
      </c>
      <c r="AG278" s="199">
        <f t="shared" si="49"/>
        <v>48552</v>
      </c>
      <c r="AH278" s="187"/>
      <c r="AI278" s="185" t="s">
        <v>1455</v>
      </c>
      <c r="AJ278" s="185"/>
      <c r="AK278" s="277">
        <f t="shared" si="42"/>
        <v>7010.24</v>
      </c>
      <c r="AL278" s="25">
        <f>(SUMIFS('T1 2019 Pipeline Data Lagasco'!$O:$O,'T1 2019 Pipeline Data Lagasco'!$A:$A,'Dec 31 2018 OFFS'!$AI278,'T1 2019 Pipeline Data Lagasco'!$Q:$Q,'Dec 31 2018 OFFS'!$AK278,'T1 2019 Pipeline Data Lagasco'!$E:$E,'Dec 31 2018 OFFS'!$U278,'T1 2019 Pipeline Data Lagasco'!$G:$G,'Dec 31 2018 OFFS'!$W278))/(MAX(COUNTIFS('T1 2019 Pipeline Data Lagasco'!$A:$A,'Dec 31 2018 OFFS'!$AI278,'T1 2019 Pipeline Data Lagasco'!$Q:$Q,'Dec 31 2018 OFFS'!$AK278,'T1 2019 Pipeline Data Lagasco'!$E:$E,'Dec 31 2018 OFFS'!$U278,'T1 2019 Pipeline Data Lagasco'!$G:$G,'Dec 31 2018 OFFS'!$W278),1))</f>
        <v>48552</v>
      </c>
      <c r="AM278" s="274">
        <f t="shared" si="50"/>
        <v>0</v>
      </c>
    </row>
    <row r="279" spans="1:39" ht="12.7">
      <c r="A279" s="193" t="s">
        <v>909</v>
      </c>
      <c r="B279" s="40" t="s">
        <v>918</v>
      </c>
      <c r="C279" s="40" t="s">
        <v>1266</v>
      </c>
      <c r="D279" s="40" t="s">
        <v>1077</v>
      </c>
      <c r="E279" s="40" t="s">
        <v>17</v>
      </c>
      <c r="F279" s="40"/>
      <c r="G279" s="41" t="s">
        <v>636</v>
      </c>
      <c r="H279" s="42">
        <v>42</v>
      </c>
      <c r="I279" s="43">
        <v>46</v>
      </c>
      <c r="J279" s="44">
        <v>46.837000000000003</v>
      </c>
      <c r="K279" s="45">
        <v>79</v>
      </c>
      <c r="L279" s="43">
        <v>38</v>
      </c>
      <c r="M279" s="46">
        <v>15.603999999999999</v>
      </c>
      <c r="N279" s="41" t="s">
        <v>637</v>
      </c>
      <c r="O279" s="42">
        <v>42</v>
      </c>
      <c r="P279" s="43">
        <v>46</v>
      </c>
      <c r="Q279" s="44">
        <v>34.268999999999998</v>
      </c>
      <c r="R279" s="45">
        <v>79</v>
      </c>
      <c r="S279" s="43">
        <v>38</v>
      </c>
      <c r="T279" s="46">
        <v>24.843</v>
      </c>
      <c r="U279" s="40">
        <v>8</v>
      </c>
      <c r="V279" s="56">
        <v>1447.1128189839999</v>
      </c>
      <c r="W279" s="48">
        <v>1977</v>
      </c>
      <c r="X279" s="40"/>
      <c r="Y279" s="52" t="s">
        <v>1081</v>
      </c>
      <c r="Z279" s="40" t="s">
        <v>910</v>
      </c>
      <c r="AA279" s="49">
        <f t="shared" si="43"/>
        <v>71342.661975911193</v>
      </c>
      <c r="AB279" s="71">
        <f t="shared" si="44"/>
        <v>0.80</v>
      </c>
      <c r="AC279" s="49">
        <f t="shared" si="45"/>
        <v>14268.53</v>
      </c>
      <c r="AD279" s="50">
        <f t="shared" si="46"/>
        <v>0</v>
      </c>
      <c r="AE279" s="50">
        <f t="shared" si="47"/>
        <v>0</v>
      </c>
      <c r="AF279" s="50">
        <f t="shared" si="48"/>
        <v>14268.53</v>
      </c>
      <c r="AG279" s="199">
        <f t="shared" si="49"/>
        <v>14268</v>
      </c>
      <c r="AH279" s="187"/>
      <c r="AI279" s="185" t="s">
        <v>1455</v>
      </c>
      <c r="AJ279" s="185"/>
      <c r="AK279" s="277">
        <f t="shared" si="42"/>
        <v>1447.11</v>
      </c>
      <c r="AL279" s="25">
        <f>(SUMIFS('T1 2019 Pipeline Data Lagasco'!$O:$O,'T1 2019 Pipeline Data Lagasco'!$A:$A,'Dec 31 2018 OFFS'!$AI279,'T1 2019 Pipeline Data Lagasco'!$Q:$Q,'Dec 31 2018 OFFS'!$AK279,'T1 2019 Pipeline Data Lagasco'!$E:$E,'Dec 31 2018 OFFS'!$U279,'T1 2019 Pipeline Data Lagasco'!$G:$G,'Dec 31 2018 OFFS'!$W279))/(MAX(COUNTIFS('T1 2019 Pipeline Data Lagasco'!$A:$A,'Dec 31 2018 OFFS'!$AI279,'T1 2019 Pipeline Data Lagasco'!$Q:$Q,'Dec 31 2018 OFFS'!$AK279,'T1 2019 Pipeline Data Lagasco'!$E:$E,'Dec 31 2018 OFFS'!$U279,'T1 2019 Pipeline Data Lagasco'!$G:$G,'Dec 31 2018 OFFS'!$W279),1))</f>
        <v>14268</v>
      </c>
      <c r="AM279" s="274">
        <f t="shared" si="50"/>
        <v>0</v>
      </c>
    </row>
    <row r="280" spans="1:39" ht="12.7">
      <c r="A280" s="193" t="s">
        <v>909</v>
      </c>
      <c r="B280" s="40" t="s">
        <v>918</v>
      </c>
      <c r="C280" s="40" t="s">
        <v>1266</v>
      </c>
      <c r="D280" s="40" t="s">
        <v>1077</v>
      </c>
      <c r="E280" s="40" t="s">
        <v>17</v>
      </c>
      <c r="F280" s="40"/>
      <c r="G280" s="41" t="s">
        <v>625</v>
      </c>
      <c r="H280" s="42">
        <v>42</v>
      </c>
      <c r="I280" s="43">
        <v>46</v>
      </c>
      <c r="J280" s="44">
        <v>49.02</v>
      </c>
      <c r="K280" s="45">
        <v>79</v>
      </c>
      <c r="L280" s="43">
        <v>38</v>
      </c>
      <c r="M280" s="46">
        <v>15</v>
      </c>
      <c r="N280" s="40" t="s">
        <v>626</v>
      </c>
      <c r="O280" s="42">
        <v>42</v>
      </c>
      <c r="P280" s="43">
        <v>46</v>
      </c>
      <c r="Q280" s="44">
        <v>54</v>
      </c>
      <c r="R280" s="45">
        <v>79</v>
      </c>
      <c r="S280" s="43">
        <v>37</v>
      </c>
      <c r="T280" s="46">
        <v>18</v>
      </c>
      <c r="U280" s="40">
        <v>6</v>
      </c>
      <c r="V280" s="56">
        <v>4281.0366214279993</v>
      </c>
      <c r="W280" s="48">
        <v>1981</v>
      </c>
      <c r="X280" s="40"/>
      <c r="Y280" s="52" t="s">
        <v>1081</v>
      </c>
      <c r="Z280" s="40" t="s">
        <v>910</v>
      </c>
      <c r="AA280" s="49">
        <f t="shared" si="43"/>
        <v>148252.29820005162</v>
      </c>
      <c r="AB280" s="71">
        <f t="shared" si="44"/>
        <v>0.80</v>
      </c>
      <c r="AC280" s="49">
        <f t="shared" si="45"/>
        <v>29650.46</v>
      </c>
      <c r="AD280" s="50">
        <f t="shared" si="46"/>
        <v>0</v>
      </c>
      <c r="AE280" s="50">
        <f t="shared" si="47"/>
        <v>0</v>
      </c>
      <c r="AF280" s="50">
        <f t="shared" si="48"/>
        <v>29650.46</v>
      </c>
      <c r="AG280" s="199">
        <f t="shared" si="49"/>
        <v>29650</v>
      </c>
      <c r="AH280" s="187"/>
      <c r="AI280" s="185" t="s">
        <v>1455</v>
      </c>
      <c r="AJ280" s="185"/>
      <c r="AK280" s="277">
        <f t="shared" si="42"/>
        <v>4281.04</v>
      </c>
      <c r="AL280" s="25">
        <f>(SUMIFS('T1 2019 Pipeline Data Lagasco'!$O:$O,'T1 2019 Pipeline Data Lagasco'!$A:$A,'Dec 31 2018 OFFS'!$AI280,'T1 2019 Pipeline Data Lagasco'!$Q:$Q,'Dec 31 2018 OFFS'!$AK280,'T1 2019 Pipeline Data Lagasco'!$E:$E,'Dec 31 2018 OFFS'!$U280,'T1 2019 Pipeline Data Lagasco'!$G:$G,'Dec 31 2018 OFFS'!$W280))/(MAX(COUNTIFS('T1 2019 Pipeline Data Lagasco'!$A:$A,'Dec 31 2018 OFFS'!$AI280,'T1 2019 Pipeline Data Lagasco'!$Q:$Q,'Dec 31 2018 OFFS'!$AK280,'T1 2019 Pipeline Data Lagasco'!$E:$E,'Dec 31 2018 OFFS'!$U280,'T1 2019 Pipeline Data Lagasco'!$G:$G,'Dec 31 2018 OFFS'!$W280),1))</f>
        <v>29650</v>
      </c>
      <c r="AM280" s="274">
        <f t="shared" si="50"/>
        <v>0</v>
      </c>
    </row>
    <row r="281" spans="1:39" ht="12.7">
      <c r="A281" s="193" t="s">
        <v>909</v>
      </c>
      <c r="B281" s="40" t="s">
        <v>918</v>
      </c>
      <c r="C281" s="40" t="s">
        <v>1266</v>
      </c>
      <c r="D281" s="40" t="s">
        <v>1077</v>
      </c>
      <c r="E281" s="40" t="s">
        <v>17</v>
      </c>
      <c r="F281" s="40"/>
      <c r="G281" s="41" t="s">
        <v>625</v>
      </c>
      <c r="H281" s="42">
        <v>42</v>
      </c>
      <c r="I281" s="43">
        <v>46</v>
      </c>
      <c r="J281" s="44">
        <v>49.02</v>
      </c>
      <c r="K281" s="45">
        <v>79</v>
      </c>
      <c r="L281" s="43">
        <v>38</v>
      </c>
      <c r="M281" s="46">
        <v>15</v>
      </c>
      <c r="N281" s="41" t="s">
        <v>636</v>
      </c>
      <c r="O281" s="42">
        <v>42</v>
      </c>
      <c r="P281" s="43">
        <v>46</v>
      </c>
      <c r="Q281" s="44">
        <v>46.837000000000003</v>
      </c>
      <c r="R281" s="45">
        <v>79</v>
      </c>
      <c r="S281" s="43">
        <v>38</v>
      </c>
      <c r="T281" s="46">
        <v>15.603999999999999</v>
      </c>
      <c r="U281" s="40">
        <v>8</v>
      </c>
      <c r="V281" s="56">
        <v>225.55773624999998</v>
      </c>
      <c r="W281" s="48">
        <v>1977</v>
      </c>
      <c r="X281" s="40"/>
      <c r="Y281" s="52" t="s">
        <v>1081</v>
      </c>
      <c r="Z281" s="40" t="s">
        <v>910</v>
      </c>
      <c r="AA281" s="49">
        <f t="shared" si="43"/>
        <v>11119.996397124998</v>
      </c>
      <c r="AB281" s="71">
        <f t="shared" si="44"/>
        <v>0.80</v>
      </c>
      <c r="AC281" s="49">
        <f t="shared" si="45"/>
        <v>2224</v>
      </c>
      <c r="AD281" s="50">
        <f t="shared" si="46"/>
        <v>0</v>
      </c>
      <c r="AE281" s="50">
        <f t="shared" si="47"/>
        <v>0</v>
      </c>
      <c r="AF281" s="50">
        <f t="shared" si="48"/>
        <v>2224</v>
      </c>
      <c r="AG281" s="199">
        <f t="shared" si="49"/>
        <v>2224</v>
      </c>
      <c r="AH281" s="187"/>
      <c r="AI281" s="185" t="s">
        <v>1455</v>
      </c>
      <c r="AJ281" s="185"/>
      <c r="AK281" s="277">
        <f t="shared" si="42"/>
        <v>225.56</v>
      </c>
      <c r="AL281" s="25">
        <f>(SUMIFS('T1 2019 Pipeline Data Lagasco'!$O:$O,'T1 2019 Pipeline Data Lagasco'!$A:$A,'Dec 31 2018 OFFS'!$AI281,'T1 2019 Pipeline Data Lagasco'!$Q:$Q,'Dec 31 2018 OFFS'!$AK281,'T1 2019 Pipeline Data Lagasco'!$E:$E,'Dec 31 2018 OFFS'!$U281,'T1 2019 Pipeline Data Lagasco'!$G:$G,'Dec 31 2018 OFFS'!$W281))/(MAX(COUNTIFS('T1 2019 Pipeline Data Lagasco'!$A:$A,'Dec 31 2018 OFFS'!$AI281,'T1 2019 Pipeline Data Lagasco'!$Q:$Q,'Dec 31 2018 OFFS'!$AK281,'T1 2019 Pipeline Data Lagasco'!$E:$E,'Dec 31 2018 OFFS'!$U281,'T1 2019 Pipeline Data Lagasco'!$G:$G,'Dec 31 2018 OFFS'!$W281),1))</f>
        <v>2223</v>
      </c>
      <c r="AM281" s="274">
        <f t="shared" si="50"/>
        <v>1</v>
      </c>
    </row>
    <row r="282" spans="1:39" ht="12.7">
      <c r="A282" s="193" t="s">
        <v>909</v>
      </c>
      <c r="B282" s="40" t="s">
        <v>918</v>
      </c>
      <c r="C282" s="40" t="s">
        <v>1266</v>
      </c>
      <c r="D282" s="40" t="s">
        <v>1077</v>
      </c>
      <c r="E282" s="40" t="s">
        <v>17</v>
      </c>
      <c r="F282" s="40"/>
      <c r="G282" s="41" t="s">
        <v>637</v>
      </c>
      <c r="H282" s="42">
        <v>42</v>
      </c>
      <c r="I282" s="43">
        <v>46</v>
      </c>
      <c r="J282" s="44">
        <v>34.268999999999998</v>
      </c>
      <c r="K282" s="45">
        <v>79</v>
      </c>
      <c r="L282" s="43">
        <v>38</v>
      </c>
      <c r="M282" s="46">
        <v>24.843</v>
      </c>
      <c r="N282" s="41" t="s">
        <v>638</v>
      </c>
      <c r="O282" s="42">
        <v>42</v>
      </c>
      <c r="P282" s="43">
        <v>46</v>
      </c>
      <c r="Q282" s="44">
        <v>9.9030000000000005</v>
      </c>
      <c r="R282" s="45">
        <v>79</v>
      </c>
      <c r="S282" s="43">
        <v>38</v>
      </c>
      <c r="T282" s="46">
        <v>56.58</v>
      </c>
      <c r="U282" s="40">
        <v>8</v>
      </c>
      <c r="V282" s="56">
        <v>3419.160005968</v>
      </c>
      <c r="W282" s="48">
        <v>1977</v>
      </c>
      <c r="X282" s="40"/>
      <c r="Y282" s="52" t="s">
        <v>1081</v>
      </c>
      <c r="Z282" s="40" t="s">
        <v>910</v>
      </c>
      <c r="AA282" s="49">
        <f t="shared" si="43"/>
        <v>168564.5882942224</v>
      </c>
      <c r="AB282" s="71">
        <f t="shared" si="44"/>
        <v>0.80</v>
      </c>
      <c r="AC282" s="49">
        <f t="shared" si="45"/>
        <v>33712.92</v>
      </c>
      <c r="AD282" s="50">
        <f t="shared" si="46"/>
        <v>0</v>
      </c>
      <c r="AE282" s="50">
        <f t="shared" si="47"/>
        <v>0</v>
      </c>
      <c r="AF282" s="50">
        <f t="shared" si="48"/>
        <v>33712.92</v>
      </c>
      <c r="AG282" s="199">
        <f t="shared" si="49"/>
        <v>33712</v>
      </c>
      <c r="AH282" s="187"/>
      <c r="AI282" s="185" t="s">
        <v>1455</v>
      </c>
      <c r="AJ282" s="185"/>
      <c r="AK282" s="277">
        <f t="shared" si="42"/>
        <v>3419.16</v>
      </c>
      <c r="AL282" s="25">
        <f>(SUMIFS('T1 2019 Pipeline Data Lagasco'!$O:$O,'T1 2019 Pipeline Data Lagasco'!$A:$A,'Dec 31 2018 OFFS'!$AI282,'T1 2019 Pipeline Data Lagasco'!$Q:$Q,'Dec 31 2018 OFFS'!$AK282,'T1 2019 Pipeline Data Lagasco'!$E:$E,'Dec 31 2018 OFFS'!$U282,'T1 2019 Pipeline Data Lagasco'!$G:$G,'Dec 31 2018 OFFS'!$W282))/(MAX(COUNTIFS('T1 2019 Pipeline Data Lagasco'!$A:$A,'Dec 31 2018 OFFS'!$AI282,'T1 2019 Pipeline Data Lagasco'!$Q:$Q,'Dec 31 2018 OFFS'!$AK282,'T1 2019 Pipeline Data Lagasco'!$E:$E,'Dec 31 2018 OFFS'!$U282,'T1 2019 Pipeline Data Lagasco'!$G:$G,'Dec 31 2018 OFFS'!$W282),1))</f>
        <v>33712</v>
      </c>
      <c r="AM282" s="274">
        <f t="shared" si="50"/>
        <v>0</v>
      </c>
    </row>
    <row r="283" spans="1:39" ht="12.7">
      <c r="A283" s="193" t="s">
        <v>909</v>
      </c>
      <c r="B283" s="40" t="s">
        <v>918</v>
      </c>
      <c r="C283" s="40" t="s">
        <v>1266</v>
      </c>
      <c r="D283" s="40" t="s">
        <v>1077</v>
      </c>
      <c r="E283" s="40" t="s">
        <v>17</v>
      </c>
      <c r="F283" s="40"/>
      <c r="G283" s="41" t="s">
        <v>638</v>
      </c>
      <c r="H283" s="42">
        <v>42</v>
      </c>
      <c r="I283" s="43">
        <v>46</v>
      </c>
      <c r="J283" s="44">
        <v>9.9030000000000005</v>
      </c>
      <c r="K283" s="45">
        <v>79</v>
      </c>
      <c r="L283" s="43">
        <v>38</v>
      </c>
      <c r="M283" s="46">
        <v>56.58</v>
      </c>
      <c r="N283" s="41" t="s">
        <v>557</v>
      </c>
      <c r="O283" s="42">
        <v>42</v>
      </c>
      <c r="P283" s="43">
        <v>45</v>
      </c>
      <c r="Q283" s="44">
        <v>55.98</v>
      </c>
      <c r="R283" s="45">
        <v>79</v>
      </c>
      <c r="S283" s="43">
        <v>39</v>
      </c>
      <c r="T283" s="46">
        <v>13.02</v>
      </c>
      <c r="U283" s="40">
        <v>8</v>
      </c>
      <c r="V283" s="56">
        <v>1868.5038828959998</v>
      </c>
      <c r="W283" s="48">
        <v>1977</v>
      </c>
      <c r="X283" s="40"/>
      <c r="Y283" s="52" t="s">
        <v>1081</v>
      </c>
      <c r="Z283" s="40" t="s">
        <v>910</v>
      </c>
      <c r="AA283" s="49">
        <f t="shared" si="43"/>
        <v>92117.241426772787</v>
      </c>
      <c r="AB283" s="71">
        <f t="shared" si="44"/>
        <v>0.80</v>
      </c>
      <c r="AC283" s="49">
        <f t="shared" si="45"/>
        <v>18423.45</v>
      </c>
      <c r="AD283" s="50">
        <f t="shared" si="46"/>
        <v>0</v>
      </c>
      <c r="AE283" s="50">
        <f t="shared" si="47"/>
        <v>0</v>
      </c>
      <c r="AF283" s="50">
        <f t="shared" si="48"/>
        <v>18423.45</v>
      </c>
      <c r="AG283" s="199">
        <f t="shared" si="49"/>
        <v>18423</v>
      </c>
      <c r="AH283" s="187"/>
      <c r="AI283" s="185" t="s">
        <v>1455</v>
      </c>
      <c r="AJ283" s="185"/>
      <c r="AK283" s="277">
        <f t="shared" si="42"/>
        <v>1868.50</v>
      </c>
      <c r="AL283" s="25">
        <f>(SUMIFS('T1 2019 Pipeline Data Lagasco'!$O:$O,'T1 2019 Pipeline Data Lagasco'!$A:$A,'Dec 31 2018 OFFS'!$AI283,'T1 2019 Pipeline Data Lagasco'!$Q:$Q,'Dec 31 2018 OFFS'!$AK283,'T1 2019 Pipeline Data Lagasco'!$E:$E,'Dec 31 2018 OFFS'!$U283,'T1 2019 Pipeline Data Lagasco'!$G:$G,'Dec 31 2018 OFFS'!$W283))/(MAX(COUNTIFS('T1 2019 Pipeline Data Lagasco'!$A:$A,'Dec 31 2018 OFFS'!$AI283,'T1 2019 Pipeline Data Lagasco'!$Q:$Q,'Dec 31 2018 OFFS'!$AK283,'T1 2019 Pipeline Data Lagasco'!$E:$E,'Dec 31 2018 OFFS'!$U283,'T1 2019 Pipeline Data Lagasco'!$G:$G,'Dec 31 2018 OFFS'!$W283),1))</f>
        <v>18423</v>
      </c>
      <c r="AM283" s="274">
        <f t="shared" si="50"/>
        <v>0</v>
      </c>
    </row>
    <row r="284" spans="1:39" ht="12.7">
      <c r="A284" s="193" t="s">
        <v>909</v>
      </c>
      <c r="B284" s="40" t="s">
        <v>918</v>
      </c>
      <c r="C284" s="40" t="s">
        <v>1266</v>
      </c>
      <c r="D284" s="40" t="s">
        <v>1077</v>
      </c>
      <c r="E284" s="40" t="s">
        <v>17</v>
      </c>
      <c r="F284" s="40"/>
      <c r="G284" s="40" t="s">
        <v>626</v>
      </c>
      <c r="H284" s="42">
        <v>42</v>
      </c>
      <c r="I284" s="43">
        <v>46</v>
      </c>
      <c r="J284" s="44">
        <v>54</v>
      </c>
      <c r="K284" s="45">
        <v>79</v>
      </c>
      <c r="L284" s="43">
        <v>37</v>
      </c>
      <c r="M284" s="46">
        <v>18</v>
      </c>
      <c r="N284" s="40" t="s">
        <v>530</v>
      </c>
      <c r="O284" s="42">
        <v>42</v>
      </c>
      <c r="P284" s="43">
        <v>47</v>
      </c>
      <c r="Q284" s="44">
        <v>45</v>
      </c>
      <c r="R284" s="45">
        <v>79</v>
      </c>
      <c r="S284" s="43">
        <v>37</v>
      </c>
      <c r="T284" s="46">
        <v>13.98</v>
      </c>
      <c r="U284" s="40">
        <v>2</v>
      </c>
      <c r="V284" s="47">
        <v>5172.4736034859998</v>
      </c>
      <c r="W284" s="48">
        <v>1977</v>
      </c>
      <c r="X284" s="40"/>
      <c r="Y284" s="52" t="s">
        <v>1081</v>
      </c>
      <c r="Z284" s="40" t="s">
        <v>910</v>
      </c>
      <c r="AA284" s="49">
        <f t="shared" si="43"/>
        <v>84000.971320612633</v>
      </c>
      <c r="AB284" s="71">
        <f t="shared" si="44"/>
        <v>0.80</v>
      </c>
      <c r="AC284" s="49">
        <f t="shared" si="45"/>
        <v>16800.189999999999</v>
      </c>
      <c r="AD284" s="50">
        <f t="shared" si="46"/>
        <v>0</v>
      </c>
      <c r="AE284" s="50">
        <f t="shared" si="47"/>
        <v>0</v>
      </c>
      <c r="AF284" s="50">
        <f t="shared" si="48"/>
        <v>16800.189999999999</v>
      </c>
      <c r="AG284" s="199">
        <f t="shared" si="49"/>
        <v>16800</v>
      </c>
      <c r="AH284" s="187"/>
      <c r="AI284" s="185" t="s">
        <v>1455</v>
      </c>
      <c r="AJ284" s="185"/>
      <c r="AK284" s="277">
        <f t="shared" si="42"/>
        <v>5172.47</v>
      </c>
      <c r="AL284" s="25">
        <f>(SUMIFS('T1 2019 Pipeline Data Lagasco'!$O:$O,'T1 2019 Pipeline Data Lagasco'!$A:$A,'Dec 31 2018 OFFS'!$AI284,'T1 2019 Pipeline Data Lagasco'!$Q:$Q,'Dec 31 2018 OFFS'!$AK284,'T1 2019 Pipeline Data Lagasco'!$E:$E,'Dec 31 2018 OFFS'!$U284,'T1 2019 Pipeline Data Lagasco'!$G:$G,'Dec 31 2018 OFFS'!$W284))/(MAX(COUNTIFS('T1 2019 Pipeline Data Lagasco'!$A:$A,'Dec 31 2018 OFFS'!$AI284,'T1 2019 Pipeline Data Lagasco'!$Q:$Q,'Dec 31 2018 OFFS'!$AK284,'T1 2019 Pipeline Data Lagasco'!$E:$E,'Dec 31 2018 OFFS'!$U284,'T1 2019 Pipeline Data Lagasco'!$G:$G,'Dec 31 2018 OFFS'!$W284),1))</f>
        <v>16800</v>
      </c>
      <c r="AM284" s="274">
        <f t="shared" si="50"/>
        <v>0</v>
      </c>
    </row>
    <row r="285" spans="1:39" ht="12.7">
      <c r="A285" s="193" t="s">
        <v>909</v>
      </c>
      <c r="B285" s="40" t="s">
        <v>918</v>
      </c>
      <c r="C285" s="40" t="s">
        <v>1266</v>
      </c>
      <c r="D285" s="40" t="s">
        <v>1077</v>
      </c>
      <c r="E285" s="40" t="s">
        <v>17</v>
      </c>
      <c r="F285" s="40"/>
      <c r="G285" s="40" t="s">
        <v>626</v>
      </c>
      <c r="H285" s="42">
        <v>42</v>
      </c>
      <c r="I285" s="43">
        <v>46</v>
      </c>
      <c r="J285" s="44">
        <v>54</v>
      </c>
      <c r="K285" s="45">
        <v>79</v>
      </c>
      <c r="L285" s="43">
        <v>37</v>
      </c>
      <c r="M285" s="46">
        <v>18</v>
      </c>
      <c r="N285" s="41" t="s">
        <v>639</v>
      </c>
      <c r="O285" s="42">
        <v>42</v>
      </c>
      <c r="P285" s="43">
        <v>47</v>
      </c>
      <c r="Q285" s="44">
        <v>46.98</v>
      </c>
      <c r="R285" s="45">
        <v>79</v>
      </c>
      <c r="S285" s="43">
        <v>31</v>
      </c>
      <c r="T285" s="46">
        <v>22.02</v>
      </c>
      <c r="U285" s="40">
        <v>8</v>
      </c>
      <c r="V285" s="56">
        <v>27083.562207785999</v>
      </c>
      <c r="W285" s="48">
        <v>1977</v>
      </c>
      <c r="X285" s="40"/>
      <c r="Y285" s="52" t="s">
        <v>1081</v>
      </c>
      <c r="Z285" s="40" t="s">
        <v>910</v>
      </c>
      <c r="AA285" s="49">
        <f t="shared" si="43"/>
        <v>1335219.6168438497</v>
      </c>
      <c r="AB285" s="71">
        <f t="shared" si="44"/>
        <v>0.80</v>
      </c>
      <c r="AC285" s="49">
        <f t="shared" si="45"/>
        <v>267043.92</v>
      </c>
      <c r="AD285" s="50">
        <f t="shared" si="46"/>
        <v>0</v>
      </c>
      <c r="AE285" s="50">
        <f t="shared" si="47"/>
        <v>0</v>
      </c>
      <c r="AF285" s="50">
        <f t="shared" si="48"/>
        <v>267043.92</v>
      </c>
      <c r="AG285" s="199">
        <f t="shared" si="49"/>
        <v>267043</v>
      </c>
      <c r="AH285" s="187"/>
      <c r="AI285" s="185" t="s">
        <v>1455</v>
      </c>
      <c r="AJ285" s="185"/>
      <c r="AK285" s="277">
        <f t="shared" si="42"/>
        <v>27083.56</v>
      </c>
      <c r="AL285" s="25">
        <f>(SUMIFS('T1 2019 Pipeline Data Lagasco'!$O:$O,'T1 2019 Pipeline Data Lagasco'!$A:$A,'Dec 31 2018 OFFS'!$AI285,'T1 2019 Pipeline Data Lagasco'!$Q:$Q,'Dec 31 2018 OFFS'!$AK285,'T1 2019 Pipeline Data Lagasco'!$E:$E,'Dec 31 2018 OFFS'!$U285,'T1 2019 Pipeline Data Lagasco'!$G:$G,'Dec 31 2018 OFFS'!$W285))/(MAX(COUNTIFS('T1 2019 Pipeline Data Lagasco'!$A:$A,'Dec 31 2018 OFFS'!$AI285,'T1 2019 Pipeline Data Lagasco'!$Q:$Q,'Dec 31 2018 OFFS'!$AK285,'T1 2019 Pipeline Data Lagasco'!$E:$E,'Dec 31 2018 OFFS'!$U285,'T1 2019 Pipeline Data Lagasco'!$G:$G,'Dec 31 2018 OFFS'!$W285),1))</f>
        <v>267043</v>
      </c>
      <c r="AM285" s="274">
        <f t="shared" si="50"/>
        <v>0</v>
      </c>
    </row>
    <row r="286" spans="1:39" ht="12.7">
      <c r="A286" s="193" t="s">
        <v>909</v>
      </c>
      <c r="B286" s="40" t="s">
        <v>918</v>
      </c>
      <c r="C286" s="40" t="s">
        <v>1266</v>
      </c>
      <c r="D286" s="40" t="s">
        <v>1077</v>
      </c>
      <c r="E286" s="40" t="s">
        <v>58</v>
      </c>
      <c r="F286" s="40"/>
      <c r="G286" s="41" t="s">
        <v>557</v>
      </c>
      <c r="H286" s="42">
        <v>42</v>
      </c>
      <c r="I286" s="43">
        <v>45</v>
      </c>
      <c r="J286" s="44">
        <v>55.98</v>
      </c>
      <c r="K286" s="45">
        <v>79</v>
      </c>
      <c r="L286" s="43">
        <v>39</v>
      </c>
      <c r="M286" s="46">
        <v>13.02</v>
      </c>
      <c r="N286" s="40" t="s">
        <v>558</v>
      </c>
      <c r="O286" s="42">
        <v>42</v>
      </c>
      <c r="P286" s="43">
        <v>44</v>
      </c>
      <c r="Q286" s="44">
        <v>10.02</v>
      </c>
      <c r="R286" s="45">
        <v>79</v>
      </c>
      <c r="S286" s="43">
        <v>37</v>
      </c>
      <c r="T286" s="46">
        <v>16.98</v>
      </c>
      <c r="U286" s="40">
        <v>3</v>
      </c>
      <c r="V286" s="47">
        <v>13786.745007559999</v>
      </c>
      <c r="W286" s="48">
        <v>1994</v>
      </c>
      <c r="X286" s="40"/>
      <c r="Y286" s="52" t="s">
        <v>1081</v>
      </c>
      <c r="Z286" s="40" t="s">
        <v>910</v>
      </c>
      <c r="AA286" s="49">
        <f t="shared" si="43"/>
        <v>325229.31472834037</v>
      </c>
      <c r="AB286" s="71">
        <f t="shared" si="44"/>
        <v>0.68</v>
      </c>
      <c r="AC286" s="49">
        <f t="shared" si="45"/>
        <v>104073.38</v>
      </c>
      <c r="AD286" s="50">
        <f t="shared" si="46"/>
        <v>0</v>
      </c>
      <c r="AE286" s="50">
        <f t="shared" si="47"/>
        <v>0</v>
      </c>
      <c r="AF286" s="50">
        <f t="shared" si="48"/>
        <v>104073.38</v>
      </c>
      <c r="AG286" s="199">
        <f t="shared" si="49"/>
        <v>104073</v>
      </c>
      <c r="AH286" s="187"/>
      <c r="AI286" s="185" t="s">
        <v>1455</v>
      </c>
      <c r="AJ286" s="185"/>
      <c r="AK286" s="277">
        <f t="shared" si="42"/>
        <v>13786.75</v>
      </c>
      <c r="AL286" s="25">
        <f>(SUMIFS('T1 2019 Pipeline Data Lagasco'!$O:$O,'T1 2019 Pipeline Data Lagasco'!$A:$A,'Dec 31 2018 OFFS'!$AI286,'T1 2019 Pipeline Data Lagasco'!$Q:$Q,'Dec 31 2018 OFFS'!$AK286,'T1 2019 Pipeline Data Lagasco'!$E:$E,'Dec 31 2018 OFFS'!$U286,'T1 2019 Pipeline Data Lagasco'!$G:$G,'Dec 31 2018 OFFS'!$W286))/(MAX(COUNTIFS('T1 2019 Pipeline Data Lagasco'!$A:$A,'Dec 31 2018 OFFS'!$AI286,'T1 2019 Pipeline Data Lagasco'!$Q:$Q,'Dec 31 2018 OFFS'!$AK286,'T1 2019 Pipeline Data Lagasco'!$E:$E,'Dec 31 2018 OFFS'!$U286,'T1 2019 Pipeline Data Lagasco'!$G:$G,'Dec 31 2018 OFFS'!$W286),1))</f>
        <v>104073</v>
      </c>
      <c r="AM286" s="274">
        <f t="shared" si="50"/>
        <v>0</v>
      </c>
    </row>
    <row r="287" spans="1:39" ht="12.7">
      <c r="A287" s="193" t="s">
        <v>909</v>
      </c>
      <c r="B287" s="40" t="s">
        <v>918</v>
      </c>
      <c r="C287" s="40" t="s">
        <v>1266</v>
      </c>
      <c r="D287" s="40" t="s">
        <v>1077</v>
      </c>
      <c r="E287" s="40" t="s">
        <v>17</v>
      </c>
      <c r="F287" s="40" t="s">
        <v>1051</v>
      </c>
      <c r="G287" s="41" t="s">
        <v>559</v>
      </c>
      <c r="H287" s="42">
        <v>42</v>
      </c>
      <c r="I287" s="43">
        <v>48</v>
      </c>
      <c r="J287" s="44">
        <v>43.02</v>
      </c>
      <c r="K287" s="45">
        <v>79</v>
      </c>
      <c r="L287" s="43">
        <v>33</v>
      </c>
      <c r="M287" s="46">
        <v>22.02</v>
      </c>
      <c r="N287" s="41" t="s">
        <v>560</v>
      </c>
      <c r="O287" s="42">
        <v>42</v>
      </c>
      <c r="P287" s="43">
        <v>49</v>
      </c>
      <c r="Q287" s="44">
        <v>27</v>
      </c>
      <c r="R287" s="45">
        <v>79</v>
      </c>
      <c r="S287" s="43">
        <v>34</v>
      </c>
      <c r="T287" s="46">
        <v>7.02</v>
      </c>
      <c r="U287" s="40">
        <v>3</v>
      </c>
      <c r="V287" s="47">
        <v>5575.0326469459997</v>
      </c>
      <c r="W287" s="48">
        <v>1977</v>
      </c>
      <c r="X287" s="40"/>
      <c r="Y287" s="52" t="s">
        <v>1081</v>
      </c>
      <c r="Z287" s="40" t="s">
        <v>910</v>
      </c>
      <c r="AA287" s="49">
        <f t="shared" si="43"/>
        <v>0</v>
      </c>
      <c r="AB287" s="71">
        <f t="shared" si="44"/>
        <v>0.80</v>
      </c>
      <c r="AC287" s="49">
        <f t="shared" si="45"/>
        <v>0</v>
      </c>
      <c r="AD287" s="50">
        <f t="shared" si="46"/>
        <v>0</v>
      </c>
      <c r="AE287" s="50">
        <f t="shared" si="47"/>
        <v>0</v>
      </c>
      <c r="AF287" s="50">
        <f t="shared" si="48"/>
        <v>0</v>
      </c>
      <c r="AG287" s="199">
        <f t="shared" si="49"/>
        <v>0</v>
      </c>
      <c r="AH287" s="187"/>
      <c r="AI287" s="185" t="s">
        <v>1455</v>
      </c>
      <c r="AJ287" s="185"/>
      <c r="AK287" s="277">
        <f t="shared" si="42"/>
        <v>5575.03</v>
      </c>
      <c r="AL287" s="25">
        <f>(SUMIFS('T1 2019 Pipeline Data Lagasco'!$O:$O,'T1 2019 Pipeline Data Lagasco'!$A:$A,'Dec 31 2018 OFFS'!$AI287,'T1 2019 Pipeline Data Lagasco'!$Q:$Q,'Dec 31 2018 OFFS'!$AK287,'T1 2019 Pipeline Data Lagasco'!$E:$E,'Dec 31 2018 OFFS'!$U287,'T1 2019 Pipeline Data Lagasco'!$G:$G,'Dec 31 2018 OFFS'!$W287))/(MAX(COUNTIFS('T1 2019 Pipeline Data Lagasco'!$A:$A,'Dec 31 2018 OFFS'!$AI287,'T1 2019 Pipeline Data Lagasco'!$Q:$Q,'Dec 31 2018 OFFS'!$AK287,'T1 2019 Pipeline Data Lagasco'!$E:$E,'Dec 31 2018 OFFS'!$U287,'T1 2019 Pipeline Data Lagasco'!$G:$G,'Dec 31 2018 OFFS'!$W287),1))</f>
        <v>0</v>
      </c>
      <c r="AM287" s="274">
        <f t="shared" si="50"/>
        <v>0</v>
      </c>
    </row>
    <row r="288" spans="1:39" ht="12.7">
      <c r="A288" s="193" t="s">
        <v>909</v>
      </c>
      <c r="B288" s="40" t="s">
        <v>918</v>
      </c>
      <c r="C288" s="40" t="s">
        <v>1266</v>
      </c>
      <c r="D288" s="40" t="s">
        <v>1077</v>
      </c>
      <c r="E288" s="40" t="s">
        <v>1221</v>
      </c>
      <c r="F288" s="40" t="s">
        <v>1051</v>
      </c>
      <c r="G288" s="41" t="s">
        <v>540</v>
      </c>
      <c r="H288" s="42">
        <v>42</v>
      </c>
      <c r="I288" s="43">
        <v>48</v>
      </c>
      <c r="J288" s="44">
        <v>22.98</v>
      </c>
      <c r="K288" s="45">
        <v>79</v>
      </c>
      <c r="L288" s="43">
        <v>30</v>
      </c>
      <c r="M288" s="46">
        <v>7.98</v>
      </c>
      <c r="N288" s="41" t="s">
        <v>538</v>
      </c>
      <c r="O288" s="42">
        <v>42</v>
      </c>
      <c r="P288" s="43">
        <v>48</v>
      </c>
      <c r="Q288" s="44">
        <v>45</v>
      </c>
      <c r="R288" s="45">
        <v>79</v>
      </c>
      <c r="S288" s="43">
        <v>29</v>
      </c>
      <c r="T288" s="46">
        <v>39</v>
      </c>
      <c r="U288" s="124">
        <v>3</v>
      </c>
      <c r="V288" s="47">
        <v>3104.66</v>
      </c>
      <c r="W288" s="48">
        <v>1986</v>
      </c>
      <c r="X288" s="40"/>
      <c r="Y288" s="55"/>
      <c r="Z288" s="40" t="s">
        <v>910</v>
      </c>
      <c r="AA288" s="49">
        <f t="shared" si="43"/>
        <v>0</v>
      </c>
      <c r="AB288" s="71">
        <f t="shared" si="44"/>
        <v>0.79</v>
      </c>
      <c r="AC288" s="49">
        <f t="shared" si="45"/>
        <v>0</v>
      </c>
      <c r="AD288" s="50">
        <f t="shared" si="46"/>
        <v>0</v>
      </c>
      <c r="AE288" s="50">
        <f t="shared" si="47"/>
        <v>0</v>
      </c>
      <c r="AF288" s="50">
        <f t="shared" si="48"/>
        <v>0</v>
      </c>
      <c r="AG288" s="199">
        <f t="shared" si="49"/>
        <v>0</v>
      </c>
      <c r="AH288" s="187"/>
      <c r="AI288" s="185" t="s">
        <v>1455</v>
      </c>
      <c r="AJ288" s="185"/>
      <c r="AK288" s="277">
        <f t="shared" si="42"/>
        <v>3104.66</v>
      </c>
      <c r="AL288" s="25">
        <f>(SUMIFS('T1 2019 Pipeline Data Lagasco'!$O:$O,'T1 2019 Pipeline Data Lagasco'!$A:$A,'Dec 31 2018 OFFS'!$AI288,'T1 2019 Pipeline Data Lagasco'!$Q:$Q,'Dec 31 2018 OFFS'!$AK288,'T1 2019 Pipeline Data Lagasco'!$E:$E,'Dec 31 2018 OFFS'!$U288,'T1 2019 Pipeline Data Lagasco'!$G:$G,'Dec 31 2018 OFFS'!$W288))/(MAX(COUNTIFS('T1 2019 Pipeline Data Lagasco'!$A:$A,'Dec 31 2018 OFFS'!$AI288,'T1 2019 Pipeline Data Lagasco'!$Q:$Q,'Dec 31 2018 OFFS'!$AK288,'T1 2019 Pipeline Data Lagasco'!$E:$E,'Dec 31 2018 OFFS'!$U288,'T1 2019 Pipeline Data Lagasco'!$G:$G,'Dec 31 2018 OFFS'!$W288),1))</f>
        <v>0</v>
      </c>
      <c r="AM288" s="274">
        <f t="shared" si="50"/>
        <v>0</v>
      </c>
    </row>
    <row r="289" spans="1:39" ht="12.7">
      <c r="A289" s="193" t="s">
        <v>909</v>
      </c>
      <c r="B289" s="40" t="s">
        <v>918</v>
      </c>
      <c r="C289" s="40" t="s">
        <v>1266</v>
      </c>
      <c r="D289" s="40" t="s">
        <v>1077</v>
      </c>
      <c r="E289" s="40" t="s">
        <v>1221</v>
      </c>
      <c r="F289" s="40"/>
      <c r="G289" s="41" t="s">
        <v>540</v>
      </c>
      <c r="H289" s="42">
        <v>42</v>
      </c>
      <c r="I289" s="43">
        <v>48</v>
      </c>
      <c r="J289" s="44">
        <v>22.98</v>
      </c>
      <c r="K289" s="45">
        <v>79</v>
      </c>
      <c r="L289" s="43">
        <v>30</v>
      </c>
      <c r="M289" s="46">
        <v>7.98</v>
      </c>
      <c r="N289" s="41" t="s">
        <v>561</v>
      </c>
      <c r="O289" s="42">
        <v>42</v>
      </c>
      <c r="P289" s="43">
        <v>47</v>
      </c>
      <c r="Q289" s="44">
        <v>49.02</v>
      </c>
      <c r="R289" s="45">
        <v>79</v>
      </c>
      <c r="S289" s="43">
        <v>31</v>
      </c>
      <c r="T289" s="46">
        <v>16.02</v>
      </c>
      <c r="U289" s="40">
        <v>8</v>
      </c>
      <c r="V289" s="56">
        <v>6128.6087463999993</v>
      </c>
      <c r="W289" s="48">
        <v>1977</v>
      </c>
      <c r="X289" s="40"/>
      <c r="Y289" s="52" t="s">
        <v>1081</v>
      </c>
      <c r="Z289" s="40" t="s">
        <v>910</v>
      </c>
      <c r="AA289" s="49">
        <f t="shared" si="43"/>
        <v>302140.41119751992</v>
      </c>
      <c r="AB289" s="71">
        <f t="shared" si="44"/>
        <v>0.80</v>
      </c>
      <c r="AC289" s="49">
        <f t="shared" si="45"/>
        <v>60428.08</v>
      </c>
      <c r="AD289" s="50">
        <f t="shared" si="46"/>
        <v>0</v>
      </c>
      <c r="AE289" s="50">
        <f t="shared" si="47"/>
        <v>0</v>
      </c>
      <c r="AF289" s="50">
        <f t="shared" si="48"/>
        <v>60428.08</v>
      </c>
      <c r="AG289" s="199">
        <f t="shared" si="49"/>
        <v>60428</v>
      </c>
      <c r="AH289" s="187"/>
      <c r="AI289" s="185" t="s">
        <v>1455</v>
      </c>
      <c r="AJ289" s="185"/>
      <c r="AK289" s="277">
        <f t="shared" si="42"/>
        <v>6128.61</v>
      </c>
      <c r="AL289" s="25">
        <f>(SUMIFS('T1 2019 Pipeline Data Lagasco'!$O:$O,'T1 2019 Pipeline Data Lagasco'!$A:$A,'Dec 31 2018 OFFS'!$AI289,'T1 2019 Pipeline Data Lagasco'!$Q:$Q,'Dec 31 2018 OFFS'!$AK289,'T1 2019 Pipeline Data Lagasco'!$E:$E,'Dec 31 2018 OFFS'!$U289,'T1 2019 Pipeline Data Lagasco'!$G:$G,'Dec 31 2018 OFFS'!$W289))/(MAX(COUNTIFS('T1 2019 Pipeline Data Lagasco'!$A:$A,'Dec 31 2018 OFFS'!$AI289,'T1 2019 Pipeline Data Lagasco'!$Q:$Q,'Dec 31 2018 OFFS'!$AK289,'T1 2019 Pipeline Data Lagasco'!$E:$E,'Dec 31 2018 OFFS'!$U289,'T1 2019 Pipeline Data Lagasco'!$G:$G,'Dec 31 2018 OFFS'!$W289),1))</f>
        <v>60428</v>
      </c>
      <c r="AM289" s="274">
        <f t="shared" si="50"/>
        <v>0</v>
      </c>
    </row>
    <row r="290" spans="1:39" ht="12.7">
      <c r="A290" s="193" t="s">
        <v>909</v>
      </c>
      <c r="B290" s="40" t="s">
        <v>918</v>
      </c>
      <c r="C290" s="40" t="s">
        <v>1266</v>
      </c>
      <c r="D290" s="40" t="s">
        <v>1077</v>
      </c>
      <c r="E290" s="40" t="s">
        <v>17</v>
      </c>
      <c r="F290" s="40" t="s">
        <v>1051</v>
      </c>
      <c r="G290" s="41" t="s">
        <v>943</v>
      </c>
      <c r="H290" s="42">
        <v>42</v>
      </c>
      <c r="I290" s="43">
        <v>47</v>
      </c>
      <c r="J290" s="44">
        <v>45</v>
      </c>
      <c r="K290" s="45">
        <v>79</v>
      </c>
      <c r="L290" s="43">
        <v>30</v>
      </c>
      <c r="M290" s="46">
        <v>13.98</v>
      </c>
      <c r="N290" s="41" t="s">
        <v>561</v>
      </c>
      <c r="O290" s="42">
        <v>42</v>
      </c>
      <c r="P290" s="43">
        <v>47</v>
      </c>
      <c r="Q290" s="44">
        <v>49.02</v>
      </c>
      <c r="R290" s="45">
        <v>79</v>
      </c>
      <c r="S290" s="43">
        <v>31</v>
      </c>
      <c r="T290" s="46">
        <v>16.02</v>
      </c>
      <c r="U290" s="40">
        <v>6</v>
      </c>
      <c r="V290" s="56">
        <v>4645</v>
      </c>
      <c r="W290" s="48">
        <v>1975</v>
      </c>
      <c r="X290" s="40"/>
      <c r="Y290" s="52"/>
      <c r="Z290" s="40" t="s">
        <v>910</v>
      </c>
      <c r="AA290" s="49">
        <f t="shared" si="43"/>
        <v>0</v>
      </c>
      <c r="AB290" s="71">
        <f t="shared" si="44"/>
        <v>0.80</v>
      </c>
      <c r="AC290" s="49">
        <f t="shared" si="45"/>
        <v>0</v>
      </c>
      <c r="AD290" s="50">
        <f t="shared" si="46"/>
        <v>0</v>
      </c>
      <c r="AE290" s="50">
        <f t="shared" si="47"/>
        <v>0</v>
      </c>
      <c r="AF290" s="50">
        <f t="shared" si="48"/>
        <v>0</v>
      </c>
      <c r="AG290" s="199">
        <f t="shared" si="49"/>
        <v>0</v>
      </c>
      <c r="AH290" s="187"/>
      <c r="AI290" s="185" t="s">
        <v>1455</v>
      </c>
      <c r="AJ290" s="185"/>
      <c r="AK290" s="277">
        <f t="shared" si="42"/>
        <v>4645</v>
      </c>
      <c r="AL290" s="25">
        <f>(SUMIFS('T1 2019 Pipeline Data Lagasco'!$O:$O,'T1 2019 Pipeline Data Lagasco'!$A:$A,'Dec 31 2018 OFFS'!$AI290,'T1 2019 Pipeline Data Lagasco'!$Q:$Q,'Dec 31 2018 OFFS'!$AK290,'T1 2019 Pipeline Data Lagasco'!$E:$E,'Dec 31 2018 OFFS'!$U290,'T1 2019 Pipeline Data Lagasco'!$G:$G,'Dec 31 2018 OFFS'!$W290))/(MAX(COUNTIFS('T1 2019 Pipeline Data Lagasco'!$A:$A,'Dec 31 2018 OFFS'!$AI290,'T1 2019 Pipeline Data Lagasco'!$Q:$Q,'Dec 31 2018 OFFS'!$AK290,'T1 2019 Pipeline Data Lagasco'!$E:$E,'Dec 31 2018 OFFS'!$U290,'T1 2019 Pipeline Data Lagasco'!$G:$G,'Dec 31 2018 OFFS'!$W290),1))</f>
        <v>0</v>
      </c>
      <c r="AM290" s="274">
        <f t="shared" si="50"/>
        <v>0</v>
      </c>
    </row>
    <row r="291" spans="1:39" ht="12.7">
      <c r="A291" s="193" t="s">
        <v>909</v>
      </c>
      <c r="B291" s="40" t="s">
        <v>918</v>
      </c>
      <c r="C291" s="40" t="s">
        <v>1266</v>
      </c>
      <c r="D291" s="40" t="s">
        <v>1077</v>
      </c>
      <c r="E291" s="40" t="s">
        <v>17</v>
      </c>
      <c r="F291" s="40"/>
      <c r="G291" s="41" t="s">
        <v>561</v>
      </c>
      <c r="H291" s="42">
        <v>42</v>
      </c>
      <c r="I291" s="43">
        <v>47</v>
      </c>
      <c r="J291" s="44">
        <v>49.02</v>
      </c>
      <c r="K291" s="45">
        <v>79</v>
      </c>
      <c r="L291" s="43">
        <v>31</v>
      </c>
      <c r="M291" s="46">
        <v>16.02</v>
      </c>
      <c r="N291" s="40" t="s">
        <v>562</v>
      </c>
      <c r="O291" s="42">
        <v>42</v>
      </c>
      <c r="P291" s="43">
        <v>46</v>
      </c>
      <c r="Q291" s="44">
        <v>13.98</v>
      </c>
      <c r="R291" s="45">
        <v>79</v>
      </c>
      <c r="S291" s="43">
        <v>31</v>
      </c>
      <c r="T291" s="46">
        <v>15</v>
      </c>
      <c r="U291" s="40">
        <v>3</v>
      </c>
      <c r="V291" s="47">
        <v>9623.3921097580005</v>
      </c>
      <c r="W291" s="48">
        <v>1986</v>
      </c>
      <c r="X291" s="40"/>
      <c r="Y291" s="52" t="s">
        <v>1081</v>
      </c>
      <c r="Z291" s="40" t="s">
        <v>910</v>
      </c>
      <c r="AA291" s="49">
        <f t="shared" si="43"/>
        <v>227015.81986919124</v>
      </c>
      <c r="AB291" s="71">
        <f t="shared" si="44"/>
        <v>0.79</v>
      </c>
      <c r="AC291" s="49">
        <f t="shared" si="45"/>
        <v>47673.32</v>
      </c>
      <c r="AD291" s="50">
        <f t="shared" si="46"/>
        <v>0</v>
      </c>
      <c r="AE291" s="50">
        <f t="shared" si="47"/>
        <v>0</v>
      </c>
      <c r="AF291" s="50">
        <f t="shared" si="48"/>
        <v>47673.32</v>
      </c>
      <c r="AG291" s="199">
        <f t="shared" si="49"/>
        <v>47673</v>
      </c>
      <c r="AH291" s="187"/>
      <c r="AI291" s="185" t="s">
        <v>1455</v>
      </c>
      <c r="AJ291" s="185"/>
      <c r="AK291" s="277">
        <f t="shared" si="42"/>
        <v>9623.39</v>
      </c>
      <c r="AL291" s="25">
        <f>(SUMIFS('T1 2019 Pipeline Data Lagasco'!$O:$O,'T1 2019 Pipeline Data Lagasco'!$A:$A,'Dec 31 2018 OFFS'!$AI291,'T1 2019 Pipeline Data Lagasco'!$Q:$Q,'Dec 31 2018 OFFS'!$AK291,'T1 2019 Pipeline Data Lagasco'!$E:$E,'Dec 31 2018 OFFS'!$U291,'T1 2019 Pipeline Data Lagasco'!$G:$G,'Dec 31 2018 OFFS'!$W291))/(MAX(COUNTIFS('T1 2019 Pipeline Data Lagasco'!$A:$A,'Dec 31 2018 OFFS'!$AI291,'T1 2019 Pipeline Data Lagasco'!$Q:$Q,'Dec 31 2018 OFFS'!$AK291,'T1 2019 Pipeline Data Lagasco'!$E:$E,'Dec 31 2018 OFFS'!$U291,'T1 2019 Pipeline Data Lagasco'!$G:$G,'Dec 31 2018 OFFS'!$W291),1))</f>
        <v>47673</v>
      </c>
      <c r="AM291" s="274">
        <f t="shared" si="50"/>
        <v>0</v>
      </c>
    </row>
    <row r="292" spans="1:39" ht="12.7">
      <c r="A292" s="193" t="s">
        <v>909</v>
      </c>
      <c r="B292" s="40" t="s">
        <v>918</v>
      </c>
      <c r="C292" s="40" t="s">
        <v>1266</v>
      </c>
      <c r="D292" s="40" t="s">
        <v>1077</v>
      </c>
      <c r="E292" s="40" t="s">
        <v>17</v>
      </c>
      <c r="F292" s="40" t="s">
        <v>1051</v>
      </c>
      <c r="G292" s="41" t="s">
        <v>561</v>
      </c>
      <c r="H292" s="42">
        <v>42</v>
      </c>
      <c r="I292" s="43">
        <v>47</v>
      </c>
      <c r="J292" s="44">
        <v>49.02</v>
      </c>
      <c r="K292" s="45">
        <v>79</v>
      </c>
      <c r="L292" s="43">
        <v>31</v>
      </c>
      <c r="M292" s="46">
        <v>16.02</v>
      </c>
      <c r="N292" s="41" t="s">
        <v>559</v>
      </c>
      <c r="O292" s="42">
        <v>42</v>
      </c>
      <c r="P292" s="43">
        <v>48</v>
      </c>
      <c r="Q292" s="44">
        <v>43.02</v>
      </c>
      <c r="R292" s="45">
        <v>79</v>
      </c>
      <c r="S292" s="43">
        <v>33</v>
      </c>
      <c r="T292" s="46">
        <v>22.02</v>
      </c>
      <c r="U292" s="40">
        <v>3</v>
      </c>
      <c r="V292" s="47">
        <v>10869.455065798</v>
      </c>
      <c r="W292" s="48">
        <v>1977</v>
      </c>
      <c r="X292" s="40"/>
      <c r="Y292" s="52" t="s">
        <v>1081</v>
      </c>
      <c r="Z292" s="40" t="s">
        <v>910</v>
      </c>
      <c r="AA292" s="49">
        <f t="shared" si="43"/>
        <v>0</v>
      </c>
      <c r="AB292" s="71">
        <f t="shared" si="44"/>
        <v>0.80</v>
      </c>
      <c r="AC292" s="49">
        <f t="shared" si="45"/>
        <v>0</v>
      </c>
      <c r="AD292" s="50">
        <f t="shared" si="46"/>
        <v>0</v>
      </c>
      <c r="AE292" s="50">
        <f t="shared" si="47"/>
        <v>0</v>
      </c>
      <c r="AF292" s="50">
        <f t="shared" si="48"/>
        <v>0</v>
      </c>
      <c r="AG292" s="199">
        <f t="shared" si="49"/>
        <v>0</v>
      </c>
      <c r="AH292" s="187"/>
      <c r="AI292" s="185" t="s">
        <v>1455</v>
      </c>
      <c r="AJ292" s="185"/>
      <c r="AK292" s="277">
        <f t="shared" si="42"/>
        <v>10869.46</v>
      </c>
      <c r="AL292" s="25">
        <f>(SUMIFS('T1 2019 Pipeline Data Lagasco'!$O:$O,'T1 2019 Pipeline Data Lagasco'!$A:$A,'Dec 31 2018 OFFS'!$AI292,'T1 2019 Pipeline Data Lagasco'!$Q:$Q,'Dec 31 2018 OFFS'!$AK292,'T1 2019 Pipeline Data Lagasco'!$E:$E,'Dec 31 2018 OFFS'!$U292,'T1 2019 Pipeline Data Lagasco'!$G:$G,'Dec 31 2018 OFFS'!$W292))/(MAX(COUNTIFS('T1 2019 Pipeline Data Lagasco'!$A:$A,'Dec 31 2018 OFFS'!$AI292,'T1 2019 Pipeline Data Lagasco'!$Q:$Q,'Dec 31 2018 OFFS'!$AK292,'T1 2019 Pipeline Data Lagasco'!$E:$E,'Dec 31 2018 OFFS'!$U292,'T1 2019 Pipeline Data Lagasco'!$G:$G,'Dec 31 2018 OFFS'!$W292),1))</f>
        <v>0</v>
      </c>
      <c r="AM292" s="274">
        <f t="shared" si="50"/>
        <v>0</v>
      </c>
    </row>
    <row r="293" spans="1:39" ht="12.7">
      <c r="A293" s="193" t="s">
        <v>909</v>
      </c>
      <c r="B293" s="40" t="s">
        <v>918</v>
      </c>
      <c r="C293" s="40" t="s">
        <v>1266</v>
      </c>
      <c r="D293" s="40" t="s">
        <v>1077</v>
      </c>
      <c r="E293" s="40" t="s">
        <v>64</v>
      </c>
      <c r="F293" s="40"/>
      <c r="G293" s="41" t="s">
        <v>639</v>
      </c>
      <c r="H293" s="42">
        <v>42</v>
      </c>
      <c r="I293" s="43">
        <v>47</v>
      </c>
      <c r="J293" s="44">
        <v>46.98</v>
      </c>
      <c r="K293" s="45">
        <v>79</v>
      </c>
      <c r="L293" s="43">
        <v>31</v>
      </c>
      <c r="M293" s="46">
        <v>22.02</v>
      </c>
      <c r="N293" s="41" t="s">
        <v>561</v>
      </c>
      <c r="O293" s="42">
        <v>42</v>
      </c>
      <c r="P293" s="43">
        <v>47</v>
      </c>
      <c r="Q293" s="44">
        <v>49.02</v>
      </c>
      <c r="R293" s="45">
        <v>79</v>
      </c>
      <c r="S293" s="43">
        <v>31</v>
      </c>
      <c r="T293" s="46">
        <v>16.02</v>
      </c>
      <c r="U293" s="40">
        <v>8</v>
      </c>
      <c r="V293" s="56">
        <v>492.78213795999994</v>
      </c>
      <c r="W293" s="48">
        <v>1977</v>
      </c>
      <c r="X293" s="40"/>
      <c r="Y293" s="52" t="s">
        <v>1081</v>
      </c>
      <c r="Z293" s="40" t="s">
        <v>910</v>
      </c>
      <c r="AA293" s="49">
        <f t="shared" si="43"/>
        <v>24294.159401427994</v>
      </c>
      <c r="AB293" s="71">
        <f t="shared" si="44"/>
        <v>0.80</v>
      </c>
      <c r="AC293" s="49">
        <f t="shared" si="45"/>
        <v>4858.83</v>
      </c>
      <c r="AD293" s="50">
        <f t="shared" si="46"/>
        <v>0</v>
      </c>
      <c r="AE293" s="50">
        <f t="shared" si="47"/>
        <v>0</v>
      </c>
      <c r="AF293" s="50">
        <f t="shared" si="48"/>
        <v>4858.83</v>
      </c>
      <c r="AG293" s="199">
        <f t="shared" si="49"/>
        <v>4858</v>
      </c>
      <c r="AH293" s="187"/>
      <c r="AI293" s="185" t="s">
        <v>1455</v>
      </c>
      <c r="AJ293" s="185"/>
      <c r="AK293" s="277">
        <f t="shared" si="42"/>
        <v>492.78</v>
      </c>
      <c r="AL293" s="25">
        <f>(SUMIFS('T1 2019 Pipeline Data Lagasco'!$O:$O,'T1 2019 Pipeline Data Lagasco'!$A:$A,'Dec 31 2018 OFFS'!$AI293,'T1 2019 Pipeline Data Lagasco'!$Q:$Q,'Dec 31 2018 OFFS'!$AK293,'T1 2019 Pipeline Data Lagasco'!$E:$E,'Dec 31 2018 OFFS'!$U293,'T1 2019 Pipeline Data Lagasco'!$G:$G,'Dec 31 2018 OFFS'!$W293))/(MAX(COUNTIFS('T1 2019 Pipeline Data Lagasco'!$A:$A,'Dec 31 2018 OFFS'!$AI293,'T1 2019 Pipeline Data Lagasco'!$Q:$Q,'Dec 31 2018 OFFS'!$AK293,'T1 2019 Pipeline Data Lagasco'!$E:$E,'Dec 31 2018 OFFS'!$U293,'T1 2019 Pipeline Data Lagasco'!$G:$G,'Dec 31 2018 OFFS'!$W293),1))</f>
        <v>4858</v>
      </c>
      <c r="AM293" s="274">
        <f t="shared" si="50"/>
        <v>0</v>
      </c>
    </row>
    <row r="294" spans="1:39" ht="12.7">
      <c r="A294" s="193" t="s">
        <v>909</v>
      </c>
      <c r="B294" s="40" t="s">
        <v>918</v>
      </c>
      <c r="C294" s="40" t="s">
        <v>1266</v>
      </c>
      <c r="D294" s="40" t="s">
        <v>1077</v>
      </c>
      <c r="E294" s="40" t="s">
        <v>17</v>
      </c>
      <c r="F294" s="40"/>
      <c r="G294" s="41" t="s">
        <v>1204</v>
      </c>
      <c r="H294" s="42">
        <v>42</v>
      </c>
      <c r="I294" s="43">
        <v>47</v>
      </c>
      <c r="J294" s="44">
        <v>46.20</v>
      </c>
      <c r="K294" s="45">
        <v>79</v>
      </c>
      <c r="L294" s="43">
        <v>33</v>
      </c>
      <c r="M294" s="46">
        <v>50.28</v>
      </c>
      <c r="N294" s="41" t="s">
        <v>1206</v>
      </c>
      <c r="O294" s="42">
        <v>42</v>
      </c>
      <c r="P294" s="43">
        <v>47</v>
      </c>
      <c r="Q294" s="44">
        <v>23.28</v>
      </c>
      <c r="R294" s="45">
        <v>79</v>
      </c>
      <c r="S294" s="43">
        <v>33</v>
      </c>
      <c r="T294" s="46">
        <v>46.74</v>
      </c>
      <c r="U294" s="40">
        <v>3</v>
      </c>
      <c r="V294" s="47">
        <v>2333</v>
      </c>
      <c r="W294" s="48">
        <v>2004</v>
      </c>
      <c r="X294" s="40"/>
      <c r="Y294" s="52" t="s">
        <v>1081</v>
      </c>
      <c r="Z294" s="40" t="s">
        <v>910</v>
      </c>
      <c r="AA294" s="49">
        <f t="shared" si="43"/>
        <v>55035.47</v>
      </c>
      <c r="AB294" s="71">
        <f t="shared" si="44"/>
        <v>0.56000000000000005</v>
      </c>
      <c r="AC294" s="49">
        <f t="shared" si="45"/>
        <v>24215.61</v>
      </c>
      <c r="AD294" s="50">
        <f t="shared" si="46"/>
        <v>0</v>
      </c>
      <c r="AE294" s="50">
        <f t="shared" si="47"/>
        <v>0</v>
      </c>
      <c r="AF294" s="50">
        <f t="shared" si="48"/>
        <v>24215.61</v>
      </c>
      <c r="AG294" s="199">
        <f t="shared" si="49"/>
        <v>24215</v>
      </c>
      <c r="AH294" s="187"/>
      <c r="AI294" s="185" t="s">
        <v>1455</v>
      </c>
      <c r="AJ294" s="185"/>
      <c r="AK294" s="277">
        <f t="shared" si="42"/>
        <v>2333</v>
      </c>
      <c r="AL294" s="25">
        <f>(SUMIFS('T1 2019 Pipeline Data Lagasco'!$O:$O,'T1 2019 Pipeline Data Lagasco'!$A:$A,'Dec 31 2018 OFFS'!$AI294,'T1 2019 Pipeline Data Lagasco'!$Q:$Q,'Dec 31 2018 OFFS'!$AK294,'T1 2019 Pipeline Data Lagasco'!$E:$E,'Dec 31 2018 OFFS'!$U294,'T1 2019 Pipeline Data Lagasco'!$G:$G,'Dec 31 2018 OFFS'!$W294))/(MAX(COUNTIFS('T1 2019 Pipeline Data Lagasco'!$A:$A,'Dec 31 2018 OFFS'!$AI294,'T1 2019 Pipeline Data Lagasco'!$Q:$Q,'Dec 31 2018 OFFS'!$AK294,'T1 2019 Pipeline Data Lagasco'!$E:$E,'Dec 31 2018 OFFS'!$U294,'T1 2019 Pipeline Data Lagasco'!$G:$G,'Dec 31 2018 OFFS'!$W294),1))</f>
        <v>24215</v>
      </c>
      <c r="AM294" s="274">
        <f t="shared" si="50"/>
        <v>0</v>
      </c>
    </row>
    <row r="295" spans="1:39" ht="12.7">
      <c r="A295" s="193" t="s">
        <v>909</v>
      </c>
      <c r="B295" s="40" t="s">
        <v>918</v>
      </c>
      <c r="C295" s="40" t="s">
        <v>1266</v>
      </c>
      <c r="D295" s="40" t="s">
        <v>1077</v>
      </c>
      <c r="E295" s="40" t="s">
        <v>17</v>
      </c>
      <c r="F295" s="40"/>
      <c r="G295" s="41" t="s">
        <v>1205</v>
      </c>
      <c r="H295" s="42">
        <v>42</v>
      </c>
      <c r="I295" s="43">
        <v>45</v>
      </c>
      <c r="J295" s="44">
        <v>42.18</v>
      </c>
      <c r="K295" s="45">
        <v>79</v>
      </c>
      <c r="L295" s="43">
        <v>30</v>
      </c>
      <c r="M295" s="46">
        <v>27.24</v>
      </c>
      <c r="N295" s="41" t="s">
        <v>1207</v>
      </c>
      <c r="O295" s="42">
        <v>42</v>
      </c>
      <c r="P295" s="43">
        <v>45</v>
      </c>
      <c r="Q295" s="44">
        <v>30.72</v>
      </c>
      <c r="R295" s="45">
        <v>79</v>
      </c>
      <c r="S295" s="43">
        <v>29</v>
      </c>
      <c r="T295" s="46">
        <v>29.70</v>
      </c>
      <c r="U295" s="40">
        <v>3</v>
      </c>
      <c r="V295" s="47">
        <v>4446</v>
      </c>
      <c r="W295" s="48">
        <v>2004</v>
      </c>
      <c r="X295" s="40"/>
      <c r="Y295" s="52" t="s">
        <v>1081</v>
      </c>
      <c r="Z295" s="40" t="s">
        <v>910</v>
      </c>
      <c r="AA295" s="49">
        <f t="shared" si="43"/>
        <v>104881.14</v>
      </c>
      <c r="AB295" s="71">
        <f t="shared" si="44"/>
        <v>0.56000000000000005</v>
      </c>
      <c r="AC295" s="49">
        <f t="shared" si="45"/>
        <v>46147.70</v>
      </c>
      <c r="AD295" s="50">
        <f t="shared" si="46"/>
        <v>0</v>
      </c>
      <c r="AE295" s="50">
        <f t="shared" si="47"/>
        <v>0</v>
      </c>
      <c r="AF295" s="50">
        <f t="shared" si="48"/>
        <v>46147.70</v>
      </c>
      <c r="AG295" s="199">
        <f t="shared" si="49"/>
        <v>46147</v>
      </c>
      <c r="AH295" s="187"/>
      <c r="AI295" s="185" t="s">
        <v>1455</v>
      </c>
      <c r="AJ295" s="185"/>
      <c r="AK295" s="277">
        <f t="shared" si="42"/>
        <v>4446</v>
      </c>
      <c r="AL295" s="25">
        <f>(SUMIFS('T1 2019 Pipeline Data Lagasco'!$O:$O,'T1 2019 Pipeline Data Lagasco'!$A:$A,'Dec 31 2018 OFFS'!$AI295,'T1 2019 Pipeline Data Lagasco'!$Q:$Q,'Dec 31 2018 OFFS'!$AK295,'T1 2019 Pipeline Data Lagasco'!$E:$E,'Dec 31 2018 OFFS'!$U295,'T1 2019 Pipeline Data Lagasco'!$G:$G,'Dec 31 2018 OFFS'!$W295))/(MAX(COUNTIFS('T1 2019 Pipeline Data Lagasco'!$A:$A,'Dec 31 2018 OFFS'!$AI295,'T1 2019 Pipeline Data Lagasco'!$Q:$Q,'Dec 31 2018 OFFS'!$AK295,'T1 2019 Pipeline Data Lagasco'!$E:$E,'Dec 31 2018 OFFS'!$U295,'T1 2019 Pipeline Data Lagasco'!$G:$G,'Dec 31 2018 OFFS'!$W295),1))</f>
        <v>46147</v>
      </c>
      <c r="AM295" s="274">
        <f t="shared" si="50"/>
        <v>0</v>
      </c>
    </row>
    <row r="296" spans="1:39" ht="12.7">
      <c r="A296" s="193" t="s">
        <v>909</v>
      </c>
      <c r="B296" s="40" t="s">
        <v>918</v>
      </c>
      <c r="C296" s="40" t="s">
        <v>1266</v>
      </c>
      <c r="D296" s="40" t="s">
        <v>1077</v>
      </c>
      <c r="E296" s="40" t="s">
        <v>17</v>
      </c>
      <c r="F296" s="40"/>
      <c r="G296" s="41" t="s">
        <v>1361</v>
      </c>
      <c r="H296" s="42">
        <v>42</v>
      </c>
      <c r="I296" s="43">
        <v>46</v>
      </c>
      <c r="J296" s="44">
        <f>0.85*60</f>
        <v>51</v>
      </c>
      <c r="K296" s="45">
        <v>79</v>
      </c>
      <c r="L296" s="43">
        <v>31</v>
      </c>
      <c r="M296" s="46">
        <f>0.004*60</f>
        <v>0.24</v>
      </c>
      <c r="N296" s="41" t="s">
        <v>639</v>
      </c>
      <c r="O296" s="42">
        <v>42</v>
      </c>
      <c r="P296" s="43">
        <v>47</v>
      </c>
      <c r="Q296" s="44">
        <f>0.783*60</f>
        <v>46.98</v>
      </c>
      <c r="R296" s="45">
        <v>79</v>
      </c>
      <c r="S296" s="43">
        <v>31</v>
      </c>
      <c r="T296" s="46">
        <f>0.367*60</f>
        <v>22.02</v>
      </c>
      <c r="U296" s="40">
        <v>3</v>
      </c>
      <c r="V296" s="47">
        <v>5856</v>
      </c>
      <c r="W296" s="48">
        <v>2010</v>
      </c>
      <c r="X296" s="40"/>
      <c r="Y296" s="52" t="s">
        <v>1081</v>
      </c>
      <c r="Z296" s="40" t="s">
        <v>910</v>
      </c>
      <c r="AA296" s="49">
        <f t="shared" si="43"/>
        <v>138143.04000000001</v>
      </c>
      <c r="AB296" s="71">
        <f t="shared" si="44"/>
        <v>0.39</v>
      </c>
      <c r="AC296" s="49">
        <f t="shared" si="45"/>
        <v>84267.25</v>
      </c>
      <c r="AD296" s="50">
        <f t="shared" si="46"/>
        <v>0</v>
      </c>
      <c r="AE296" s="50">
        <f t="shared" si="47"/>
        <v>0</v>
      </c>
      <c r="AF296" s="50">
        <f t="shared" si="48"/>
        <v>84267.25</v>
      </c>
      <c r="AG296" s="199">
        <f t="shared" si="49"/>
        <v>84267</v>
      </c>
      <c r="AH296" s="187"/>
      <c r="AI296" s="185" t="s">
        <v>1455</v>
      </c>
      <c r="AJ296" s="185"/>
      <c r="AK296" s="277">
        <f t="shared" si="42"/>
        <v>5856</v>
      </c>
      <c r="AL296" s="25">
        <f>(SUMIFS('T1 2019 Pipeline Data Lagasco'!$O:$O,'T1 2019 Pipeline Data Lagasco'!$A:$A,'Dec 31 2018 OFFS'!$AI296,'T1 2019 Pipeline Data Lagasco'!$Q:$Q,'Dec 31 2018 OFFS'!$AK296,'T1 2019 Pipeline Data Lagasco'!$E:$E,'Dec 31 2018 OFFS'!$U296,'T1 2019 Pipeline Data Lagasco'!$G:$G,'Dec 31 2018 OFFS'!$W296))/(MAX(COUNTIFS('T1 2019 Pipeline Data Lagasco'!$A:$A,'Dec 31 2018 OFFS'!$AI296,'T1 2019 Pipeline Data Lagasco'!$Q:$Q,'Dec 31 2018 OFFS'!$AK296,'T1 2019 Pipeline Data Lagasco'!$E:$E,'Dec 31 2018 OFFS'!$U296,'T1 2019 Pipeline Data Lagasco'!$G:$G,'Dec 31 2018 OFFS'!$W296),1))</f>
        <v>84267</v>
      </c>
      <c r="AM296" s="274">
        <f t="shared" si="50"/>
        <v>0</v>
      </c>
    </row>
    <row r="297" spans="1:39" ht="12.7">
      <c r="A297" s="193" t="s">
        <v>909</v>
      </c>
      <c r="B297" s="40" t="s">
        <v>918</v>
      </c>
      <c r="C297" s="40" t="s">
        <v>1266</v>
      </c>
      <c r="D297" s="40" t="s">
        <v>1077</v>
      </c>
      <c r="E297" s="40" t="s">
        <v>17</v>
      </c>
      <c r="F297" s="40"/>
      <c r="G297" s="40" t="s">
        <v>534</v>
      </c>
      <c r="H297" s="42">
        <v>42</v>
      </c>
      <c r="I297" s="43">
        <v>49</v>
      </c>
      <c r="J297" s="44">
        <f>0.25*60</f>
        <v>15</v>
      </c>
      <c r="K297" s="45">
        <v>79</v>
      </c>
      <c r="L297" s="43">
        <v>25</v>
      </c>
      <c r="M297" s="46">
        <f>0.733*60</f>
        <v>43.98</v>
      </c>
      <c r="N297" s="41" t="s">
        <v>536</v>
      </c>
      <c r="O297" s="42">
        <v>42</v>
      </c>
      <c r="P297" s="43">
        <v>49</v>
      </c>
      <c r="Q297" s="44">
        <f>0.75*60</f>
        <v>45</v>
      </c>
      <c r="R297" s="45">
        <v>79</v>
      </c>
      <c r="S297" s="43">
        <v>26</v>
      </c>
      <c r="T297" s="46">
        <f>0.217*60</f>
        <v>13.02</v>
      </c>
      <c r="U297" s="40">
        <v>3</v>
      </c>
      <c r="V297" s="56">
        <v>3726</v>
      </c>
      <c r="W297" s="48">
        <v>1994</v>
      </c>
      <c r="X297" s="40"/>
      <c r="Y297" s="52" t="s">
        <v>1081</v>
      </c>
      <c r="Z297" s="40" t="s">
        <v>910</v>
      </c>
      <c r="AA297" s="49">
        <f t="shared" si="43"/>
        <v>87896.34</v>
      </c>
      <c r="AB297" s="71">
        <f t="shared" si="44"/>
        <v>0.68</v>
      </c>
      <c r="AC297" s="49">
        <f t="shared" si="45"/>
        <v>28126.83</v>
      </c>
      <c r="AD297" s="50">
        <f t="shared" si="46"/>
        <v>0</v>
      </c>
      <c r="AE297" s="50">
        <f t="shared" si="47"/>
        <v>0</v>
      </c>
      <c r="AF297" s="50">
        <f t="shared" si="48"/>
        <v>28126.83</v>
      </c>
      <c r="AG297" s="199">
        <f t="shared" si="49"/>
        <v>28126</v>
      </c>
      <c r="AH297" s="187"/>
      <c r="AI297" s="185" t="s">
        <v>1455</v>
      </c>
      <c r="AJ297" s="185"/>
      <c r="AK297" s="277">
        <f t="shared" si="42"/>
        <v>3726</v>
      </c>
      <c r="AL297" s="25">
        <f>(SUMIFS('T1 2019 Pipeline Data Lagasco'!$O:$O,'T1 2019 Pipeline Data Lagasco'!$A:$A,'Dec 31 2018 OFFS'!$AI297,'T1 2019 Pipeline Data Lagasco'!$Q:$Q,'Dec 31 2018 OFFS'!$AK297,'T1 2019 Pipeline Data Lagasco'!$E:$E,'Dec 31 2018 OFFS'!$U297,'T1 2019 Pipeline Data Lagasco'!$G:$G,'Dec 31 2018 OFFS'!$W297))/(MAX(COUNTIFS('T1 2019 Pipeline Data Lagasco'!$A:$A,'Dec 31 2018 OFFS'!$AI297,'T1 2019 Pipeline Data Lagasco'!$Q:$Q,'Dec 31 2018 OFFS'!$AK297,'T1 2019 Pipeline Data Lagasco'!$E:$E,'Dec 31 2018 OFFS'!$U297,'T1 2019 Pipeline Data Lagasco'!$G:$G,'Dec 31 2018 OFFS'!$W297),1))</f>
        <v>28126</v>
      </c>
      <c r="AM297" s="274">
        <f t="shared" si="50"/>
        <v>0</v>
      </c>
    </row>
    <row r="298" spans="1:39" ht="12.7">
      <c r="A298" s="193" t="s">
        <v>909</v>
      </c>
      <c r="B298" s="40" t="s">
        <v>918</v>
      </c>
      <c r="C298" s="40" t="s">
        <v>1266</v>
      </c>
      <c r="D298" s="40" t="s">
        <v>1077</v>
      </c>
      <c r="E298" s="40" t="s">
        <v>17</v>
      </c>
      <c r="F298" s="40"/>
      <c r="G298" s="40" t="s">
        <v>534</v>
      </c>
      <c r="H298" s="42">
        <v>42</v>
      </c>
      <c r="I298" s="43">
        <v>49</v>
      </c>
      <c r="J298" s="44">
        <f>0.25*60</f>
        <v>15</v>
      </c>
      <c r="K298" s="45">
        <v>79</v>
      </c>
      <c r="L298" s="43">
        <v>25</v>
      </c>
      <c r="M298" s="46">
        <f>0.733*60</f>
        <v>43.98</v>
      </c>
      <c r="N298" s="41" t="s">
        <v>545</v>
      </c>
      <c r="O298" s="42">
        <v>42</v>
      </c>
      <c r="P298" s="43">
        <v>47</v>
      </c>
      <c r="Q298" s="44">
        <f>0.83*60</f>
        <v>49.80</v>
      </c>
      <c r="R298" s="45">
        <v>79</v>
      </c>
      <c r="S298" s="43">
        <v>26</v>
      </c>
      <c r="T298" s="46">
        <f>0.081*60</f>
        <v>4.8600000000000003</v>
      </c>
      <c r="U298" s="40">
        <v>3</v>
      </c>
      <c r="V298" s="56">
        <v>8766</v>
      </c>
      <c r="W298" s="48">
        <v>2006</v>
      </c>
      <c r="X298" s="40"/>
      <c r="Y298" s="52" t="s">
        <v>1081</v>
      </c>
      <c r="Z298" s="40" t="s">
        <v>910</v>
      </c>
      <c r="AA298" s="49">
        <f t="shared" si="43"/>
        <v>206789.94</v>
      </c>
      <c r="AB298" s="71">
        <f t="shared" si="44"/>
        <v>0.52</v>
      </c>
      <c r="AC298" s="49">
        <f t="shared" si="45"/>
        <v>99259.17</v>
      </c>
      <c r="AD298" s="50">
        <f t="shared" si="46"/>
        <v>0</v>
      </c>
      <c r="AE298" s="50">
        <f t="shared" si="47"/>
        <v>0</v>
      </c>
      <c r="AF298" s="50">
        <f t="shared" si="48"/>
        <v>99259.17</v>
      </c>
      <c r="AG298" s="199">
        <f t="shared" si="49"/>
        <v>99259</v>
      </c>
      <c r="AH298" s="187"/>
      <c r="AI298" s="185" t="s">
        <v>1455</v>
      </c>
      <c r="AJ298" s="185"/>
      <c r="AK298" s="277">
        <f t="shared" si="42"/>
        <v>8766</v>
      </c>
      <c r="AL298" s="25">
        <f>(SUMIFS('T1 2019 Pipeline Data Lagasco'!$O:$O,'T1 2019 Pipeline Data Lagasco'!$A:$A,'Dec 31 2018 OFFS'!$AI298,'T1 2019 Pipeline Data Lagasco'!$Q:$Q,'Dec 31 2018 OFFS'!$AK298,'T1 2019 Pipeline Data Lagasco'!$E:$E,'Dec 31 2018 OFFS'!$U298,'T1 2019 Pipeline Data Lagasco'!$G:$G,'Dec 31 2018 OFFS'!$W298))/(MAX(COUNTIFS('T1 2019 Pipeline Data Lagasco'!$A:$A,'Dec 31 2018 OFFS'!$AI298,'T1 2019 Pipeline Data Lagasco'!$Q:$Q,'Dec 31 2018 OFFS'!$AK298,'T1 2019 Pipeline Data Lagasco'!$E:$E,'Dec 31 2018 OFFS'!$U298,'T1 2019 Pipeline Data Lagasco'!$G:$G,'Dec 31 2018 OFFS'!$W298),1))</f>
        <v>99259</v>
      </c>
      <c r="AM298" s="274">
        <f t="shared" si="50"/>
        <v>0</v>
      </c>
    </row>
    <row r="299" spans="1:39" ht="12.7">
      <c r="A299" s="193" t="s">
        <v>909</v>
      </c>
      <c r="B299" s="40" t="s">
        <v>918</v>
      </c>
      <c r="C299" s="40" t="s">
        <v>1266</v>
      </c>
      <c r="D299" s="40" t="s">
        <v>1077</v>
      </c>
      <c r="E299" s="40" t="s">
        <v>17</v>
      </c>
      <c r="F299" s="40" t="s">
        <v>1051</v>
      </c>
      <c r="G299" s="41" t="s">
        <v>532</v>
      </c>
      <c r="H299" s="42">
        <v>42</v>
      </c>
      <c r="I299" s="43">
        <v>49</v>
      </c>
      <c r="J299" s="44">
        <v>13.02</v>
      </c>
      <c r="K299" s="45">
        <v>79</v>
      </c>
      <c r="L299" s="43">
        <v>25</v>
      </c>
      <c r="M299" s="46">
        <v>49.98</v>
      </c>
      <c r="N299" s="41" t="s">
        <v>533</v>
      </c>
      <c r="O299" s="42">
        <v>42</v>
      </c>
      <c r="P299" s="43">
        <v>49</v>
      </c>
      <c r="Q299" s="44">
        <v>45</v>
      </c>
      <c r="R299" s="45">
        <v>79</v>
      </c>
      <c r="S299" s="43">
        <v>24</v>
      </c>
      <c r="T299" s="46">
        <v>16.98</v>
      </c>
      <c r="U299" s="40">
        <v>2</v>
      </c>
      <c r="V299" s="47">
        <v>7650.79</v>
      </c>
      <c r="W299" s="48">
        <v>1977</v>
      </c>
      <c r="X299" s="40"/>
      <c r="Y299" s="52"/>
      <c r="Z299" s="40" t="s">
        <v>910</v>
      </c>
      <c r="AA299" s="49">
        <f t="shared" si="43"/>
        <v>0</v>
      </c>
      <c r="AB299" s="71">
        <f t="shared" si="44"/>
        <v>0.80</v>
      </c>
      <c r="AC299" s="49">
        <f t="shared" si="45"/>
        <v>0</v>
      </c>
      <c r="AD299" s="50">
        <f t="shared" si="46"/>
        <v>0</v>
      </c>
      <c r="AE299" s="50">
        <f t="shared" si="47"/>
        <v>0</v>
      </c>
      <c r="AF299" s="50">
        <f t="shared" si="48"/>
        <v>0</v>
      </c>
      <c r="AG299" s="199">
        <f t="shared" si="49"/>
        <v>0</v>
      </c>
      <c r="AH299" s="187"/>
      <c r="AI299" s="185" t="s">
        <v>1455</v>
      </c>
      <c r="AJ299" s="185"/>
      <c r="AK299" s="277">
        <f t="shared" si="42"/>
        <v>7650.79</v>
      </c>
      <c r="AL299" s="25">
        <f>(SUMIFS('T1 2019 Pipeline Data Lagasco'!$O:$O,'T1 2019 Pipeline Data Lagasco'!$A:$A,'Dec 31 2018 OFFS'!$AI299,'T1 2019 Pipeline Data Lagasco'!$Q:$Q,'Dec 31 2018 OFFS'!$AK299,'T1 2019 Pipeline Data Lagasco'!$E:$E,'Dec 31 2018 OFFS'!$U299,'T1 2019 Pipeline Data Lagasco'!$G:$G,'Dec 31 2018 OFFS'!$W299))/(MAX(COUNTIFS('T1 2019 Pipeline Data Lagasco'!$A:$A,'Dec 31 2018 OFFS'!$AI299,'T1 2019 Pipeline Data Lagasco'!$Q:$Q,'Dec 31 2018 OFFS'!$AK299,'T1 2019 Pipeline Data Lagasco'!$E:$E,'Dec 31 2018 OFFS'!$U299,'T1 2019 Pipeline Data Lagasco'!$G:$G,'Dec 31 2018 OFFS'!$W299),1))</f>
        <v>0</v>
      </c>
      <c r="AM299" s="274">
        <f t="shared" si="50"/>
        <v>0</v>
      </c>
    </row>
    <row r="300" spans="1:39" ht="12.7">
      <c r="A300" s="193" t="s">
        <v>909</v>
      </c>
      <c r="B300" s="40" t="s">
        <v>918</v>
      </c>
      <c r="C300" s="40" t="s">
        <v>1266</v>
      </c>
      <c r="D300" s="40" t="s">
        <v>1077</v>
      </c>
      <c r="E300" s="40" t="s">
        <v>17</v>
      </c>
      <c r="F300" s="40" t="s">
        <v>1051</v>
      </c>
      <c r="G300" s="41" t="s">
        <v>532</v>
      </c>
      <c r="H300" s="42">
        <v>42</v>
      </c>
      <c r="I300" s="43">
        <v>49</v>
      </c>
      <c r="J300" s="44">
        <v>13.02</v>
      </c>
      <c r="K300" s="45">
        <v>79</v>
      </c>
      <c r="L300" s="43">
        <v>25</v>
      </c>
      <c r="M300" s="46">
        <v>49.98</v>
      </c>
      <c r="N300" s="54" t="s">
        <v>534</v>
      </c>
      <c r="O300" s="42">
        <v>42</v>
      </c>
      <c r="P300" s="43">
        <v>49</v>
      </c>
      <c r="Q300" s="44">
        <v>15</v>
      </c>
      <c r="R300" s="45">
        <v>79</v>
      </c>
      <c r="S300" s="43">
        <v>25</v>
      </c>
      <c r="T300" s="46">
        <v>43.98</v>
      </c>
      <c r="U300" s="40">
        <v>2</v>
      </c>
      <c r="V300" s="47">
        <v>490.09</v>
      </c>
      <c r="W300" s="48">
        <v>1977</v>
      </c>
      <c r="X300" s="40"/>
      <c r="Y300" s="52"/>
      <c r="Z300" s="40" t="s">
        <v>910</v>
      </c>
      <c r="AA300" s="49">
        <f t="shared" si="43"/>
        <v>0</v>
      </c>
      <c r="AB300" s="71">
        <f t="shared" si="44"/>
        <v>0.80</v>
      </c>
      <c r="AC300" s="49">
        <f t="shared" si="45"/>
        <v>0</v>
      </c>
      <c r="AD300" s="50">
        <f t="shared" si="46"/>
        <v>0</v>
      </c>
      <c r="AE300" s="50">
        <f t="shared" si="47"/>
        <v>0</v>
      </c>
      <c r="AF300" s="50">
        <f t="shared" si="48"/>
        <v>0</v>
      </c>
      <c r="AG300" s="199">
        <f t="shared" si="49"/>
        <v>0</v>
      </c>
      <c r="AH300" s="187"/>
      <c r="AI300" s="185" t="s">
        <v>1455</v>
      </c>
      <c r="AJ300" s="185"/>
      <c r="AK300" s="277">
        <f t="shared" si="42"/>
        <v>490.09</v>
      </c>
      <c r="AL300" s="25">
        <f>(SUMIFS('T1 2019 Pipeline Data Lagasco'!$O:$O,'T1 2019 Pipeline Data Lagasco'!$A:$A,'Dec 31 2018 OFFS'!$AI300,'T1 2019 Pipeline Data Lagasco'!$Q:$Q,'Dec 31 2018 OFFS'!$AK300,'T1 2019 Pipeline Data Lagasco'!$E:$E,'Dec 31 2018 OFFS'!$U300,'T1 2019 Pipeline Data Lagasco'!$G:$G,'Dec 31 2018 OFFS'!$W300))/(MAX(COUNTIFS('T1 2019 Pipeline Data Lagasco'!$A:$A,'Dec 31 2018 OFFS'!$AI300,'T1 2019 Pipeline Data Lagasco'!$Q:$Q,'Dec 31 2018 OFFS'!$AK300,'T1 2019 Pipeline Data Lagasco'!$E:$E,'Dec 31 2018 OFFS'!$U300,'T1 2019 Pipeline Data Lagasco'!$G:$G,'Dec 31 2018 OFFS'!$W300),1))</f>
        <v>0</v>
      </c>
      <c r="AM300" s="274">
        <f t="shared" si="50"/>
        <v>0</v>
      </c>
    </row>
    <row r="301" spans="1:39" ht="12.7">
      <c r="A301" s="193" t="s">
        <v>909</v>
      </c>
      <c r="B301" s="40" t="s">
        <v>918</v>
      </c>
      <c r="C301" s="40" t="s">
        <v>1266</v>
      </c>
      <c r="D301" s="40" t="s">
        <v>1077</v>
      </c>
      <c r="E301" s="40" t="s">
        <v>17</v>
      </c>
      <c r="F301" s="139" t="s">
        <v>1051</v>
      </c>
      <c r="G301" s="41" t="s">
        <v>532</v>
      </c>
      <c r="H301" s="42">
        <v>42</v>
      </c>
      <c r="I301" s="43">
        <v>49</v>
      </c>
      <c r="J301" s="44">
        <v>13.02</v>
      </c>
      <c r="K301" s="45">
        <v>79</v>
      </c>
      <c r="L301" s="43">
        <v>25</v>
      </c>
      <c r="M301" s="46">
        <v>49.98</v>
      </c>
      <c r="N301" s="54" t="s">
        <v>535</v>
      </c>
      <c r="O301" s="42">
        <v>42</v>
      </c>
      <c r="P301" s="43">
        <v>49</v>
      </c>
      <c r="Q301" s="44">
        <v>43.02</v>
      </c>
      <c r="R301" s="45">
        <v>79</v>
      </c>
      <c r="S301" s="43">
        <v>26</v>
      </c>
      <c r="T301" s="46">
        <v>19.80</v>
      </c>
      <c r="U301" s="40">
        <v>6</v>
      </c>
      <c r="V301" s="56">
        <v>3763.9762689479999</v>
      </c>
      <c r="W301" s="48">
        <v>1975</v>
      </c>
      <c r="X301" s="40"/>
      <c r="Y301" s="52" t="s">
        <v>1081</v>
      </c>
      <c r="Z301" s="40" t="s">
        <v>910</v>
      </c>
      <c r="AA301" s="49">
        <f t="shared" si="43"/>
        <v>0</v>
      </c>
      <c r="AB301" s="71">
        <f t="shared" si="44"/>
        <v>0.80</v>
      </c>
      <c r="AC301" s="49">
        <f t="shared" si="45"/>
        <v>0</v>
      </c>
      <c r="AD301" s="50">
        <f t="shared" si="46"/>
        <v>0</v>
      </c>
      <c r="AE301" s="50">
        <f t="shared" si="47"/>
        <v>0</v>
      </c>
      <c r="AF301" s="50">
        <f t="shared" si="48"/>
        <v>0</v>
      </c>
      <c r="AG301" s="199">
        <f t="shared" si="49"/>
        <v>0</v>
      </c>
      <c r="AH301" s="187"/>
      <c r="AI301" s="185" t="s">
        <v>1455</v>
      </c>
      <c r="AJ301" s="185"/>
      <c r="AK301" s="277">
        <f t="shared" si="42"/>
        <v>3763.98</v>
      </c>
      <c r="AL301" s="25">
        <f>(SUMIFS('T1 2019 Pipeline Data Lagasco'!$O:$O,'T1 2019 Pipeline Data Lagasco'!$A:$A,'Dec 31 2018 OFFS'!$AI301,'T1 2019 Pipeline Data Lagasco'!$Q:$Q,'Dec 31 2018 OFFS'!$AK301,'T1 2019 Pipeline Data Lagasco'!$E:$E,'Dec 31 2018 OFFS'!$U301,'T1 2019 Pipeline Data Lagasco'!$G:$G,'Dec 31 2018 OFFS'!$W301))/(MAX(COUNTIFS('T1 2019 Pipeline Data Lagasco'!$A:$A,'Dec 31 2018 OFFS'!$AI301,'T1 2019 Pipeline Data Lagasco'!$Q:$Q,'Dec 31 2018 OFFS'!$AK301,'T1 2019 Pipeline Data Lagasco'!$E:$E,'Dec 31 2018 OFFS'!$U301,'T1 2019 Pipeline Data Lagasco'!$G:$G,'Dec 31 2018 OFFS'!$W301),1))</f>
        <v>0</v>
      </c>
      <c r="AM301" s="274">
        <f t="shared" si="50"/>
        <v>0</v>
      </c>
    </row>
    <row r="302" spans="1:39" ht="12.7">
      <c r="A302" s="193" t="s">
        <v>909</v>
      </c>
      <c r="B302" s="40" t="s">
        <v>918</v>
      </c>
      <c r="C302" s="40" t="s">
        <v>1266</v>
      </c>
      <c r="D302" s="40" t="s">
        <v>1077</v>
      </c>
      <c r="E302" s="40" t="s">
        <v>17</v>
      </c>
      <c r="F302" s="139" t="s">
        <v>1051</v>
      </c>
      <c r="G302" s="41" t="s">
        <v>535</v>
      </c>
      <c r="H302" s="42">
        <v>42</v>
      </c>
      <c r="I302" s="43">
        <v>49</v>
      </c>
      <c r="J302" s="44">
        <v>43.02</v>
      </c>
      <c r="K302" s="45">
        <v>79</v>
      </c>
      <c r="L302" s="43">
        <v>26</v>
      </c>
      <c r="M302" s="46">
        <v>19.80</v>
      </c>
      <c r="N302" s="40" t="s">
        <v>536</v>
      </c>
      <c r="O302" s="42">
        <v>42</v>
      </c>
      <c r="P302" s="43">
        <v>49</v>
      </c>
      <c r="Q302" s="44">
        <v>45</v>
      </c>
      <c r="R302" s="45">
        <v>79</v>
      </c>
      <c r="S302" s="43">
        <v>26</v>
      </c>
      <c r="T302" s="46">
        <v>13.02</v>
      </c>
      <c r="U302" s="40">
        <v>2</v>
      </c>
      <c r="V302" s="47">
        <v>543.63515485999994</v>
      </c>
      <c r="W302" s="48">
        <v>1977</v>
      </c>
      <c r="X302" s="40"/>
      <c r="Y302" s="52" t="s">
        <v>1081</v>
      </c>
      <c r="Z302" s="40" t="s">
        <v>910</v>
      </c>
      <c r="AA302" s="49">
        <f t="shared" si="43"/>
        <v>0</v>
      </c>
      <c r="AB302" s="71">
        <f t="shared" si="44"/>
        <v>0.80</v>
      </c>
      <c r="AC302" s="49">
        <f t="shared" si="45"/>
        <v>0</v>
      </c>
      <c r="AD302" s="50">
        <f t="shared" si="46"/>
        <v>0</v>
      </c>
      <c r="AE302" s="50">
        <f t="shared" si="47"/>
        <v>0</v>
      </c>
      <c r="AF302" s="50">
        <f t="shared" si="48"/>
        <v>0</v>
      </c>
      <c r="AG302" s="199">
        <f t="shared" si="49"/>
        <v>0</v>
      </c>
      <c r="AH302" s="187"/>
      <c r="AI302" s="185" t="s">
        <v>1455</v>
      </c>
      <c r="AJ302" s="185"/>
      <c r="AK302" s="277">
        <f t="shared" si="42"/>
        <v>543.64</v>
      </c>
      <c r="AL302" s="25">
        <f>(SUMIFS('T1 2019 Pipeline Data Lagasco'!$O:$O,'T1 2019 Pipeline Data Lagasco'!$A:$A,'Dec 31 2018 OFFS'!$AI302,'T1 2019 Pipeline Data Lagasco'!$Q:$Q,'Dec 31 2018 OFFS'!$AK302,'T1 2019 Pipeline Data Lagasco'!$E:$E,'Dec 31 2018 OFFS'!$U302,'T1 2019 Pipeline Data Lagasco'!$G:$G,'Dec 31 2018 OFFS'!$W302))/(MAX(COUNTIFS('T1 2019 Pipeline Data Lagasco'!$A:$A,'Dec 31 2018 OFFS'!$AI302,'T1 2019 Pipeline Data Lagasco'!$Q:$Q,'Dec 31 2018 OFFS'!$AK302,'T1 2019 Pipeline Data Lagasco'!$E:$E,'Dec 31 2018 OFFS'!$U302,'T1 2019 Pipeline Data Lagasco'!$G:$G,'Dec 31 2018 OFFS'!$W302),1))</f>
        <v>0</v>
      </c>
      <c r="AM302" s="274">
        <f t="shared" si="50"/>
        <v>0</v>
      </c>
    </row>
    <row r="303" spans="1:39" ht="12.7">
      <c r="A303" s="193" t="s">
        <v>909</v>
      </c>
      <c r="B303" s="40" t="s">
        <v>918</v>
      </c>
      <c r="C303" s="40" t="s">
        <v>1266</v>
      </c>
      <c r="D303" s="40" t="s">
        <v>1077</v>
      </c>
      <c r="E303" s="40" t="s">
        <v>17</v>
      </c>
      <c r="F303" s="40" t="s">
        <v>1051</v>
      </c>
      <c r="G303" s="41" t="s">
        <v>535</v>
      </c>
      <c r="H303" s="42">
        <v>42</v>
      </c>
      <c r="I303" s="43">
        <v>49</v>
      </c>
      <c r="J303" s="44">
        <v>43.02</v>
      </c>
      <c r="K303" s="45">
        <v>79</v>
      </c>
      <c r="L303" s="43">
        <v>26</v>
      </c>
      <c r="M303" s="46">
        <v>19.80</v>
      </c>
      <c r="N303" s="40" t="s">
        <v>537</v>
      </c>
      <c r="O303" s="42">
        <v>42</v>
      </c>
      <c r="P303" s="43">
        <v>50</v>
      </c>
      <c r="Q303" s="44">
        <v>45</v>
      </c>
      <c r="R303" s="45">
        <v>79</v>
      </c>
      <c r="S303" s="43">
        <v>26</v>
      </c>
      <c r="T303" s="46">
        <v>13.98</v>
      </c>
      <c r="U303" s="40">
        <v>2</v>
      </c>
      <c r="V303" s="47">
        <v>6290.81</v>
      </c>
      <c r="W303" s="48">
        <v>1977</v>
      </c>
      <c r="X303" s="40"/>
      <c r="Y303" s="52"/>
      <c r="Z303" s="40" t="s">
        <v>910</v>
      </c>
      <c r="AA303" s="49">
        <f t="shared" si="43"/>
        <v>0</v>
      </c>
      <c r="AB303" s="71">
        <f t="shared" si="44"/>
        <v>0.80</v>
      </c>
      <c r="AC303" s="49">
        <f t="shared" si="45"/>
        <v>0</v>
      </c>
      <c r="AD303" s="50">
        <f t="shared" si="46"/>
        <v>0</v>
      </c>
      <c r="AE303" s="50">
        <f t="shared" si="47"/>
        <v>0</v>
      </c>
      <c r="AF303" s="50">
        <f t="shared" si="48"/>
        <v>0</v>
      </c>
      <c r="AG303" s="199">
        <f t="shared" si="49"/>
        <v>0</v>
      </c>
      <c r="AH303" s="187"/>
      <c r="AI303" s="185" t="s">
        <v>1455</v>
      </c>
      <c r="AJ303" s="185"/>
      <c r="AK303" s="277">
        <f t="shared" si="42"/>
        <v>6290.81</v>
      </c>
      <c r="AL303" s="25">
        <f>(SUMIFS('T1 2019 Pipeline Data Lagasco'!$O:$O,'T1 2019 Pipeline Data Lagasco'!$A:$A,'Dec 31 2018 OFFS'!$AI303,'T1 2019 Pipeline Data Lagasco'!$Q:$Q,'Dec 31 2018 OFFS'!$AK303,'T1 2019 Pipeline Data Lagasco'!$E:$E,'Dec 31 2018 OFFS'!$U303,'T1 2019 Pipeline Data Lagasco'!$G:$G,'Dec 31 2018 OFFS'!$W303))/(MAX(COUNTIFS('T1 2019 Pipeline Data Lagasco'!$A:$A,'Dec 31 2018 OFFS'!$AI303,'T1 2019 Pipeline Data Lagasco'!$Q:$Q,'Dec 31 2018 OFFS'!$AK303,'T1 2019 Pipeline Data Lagasco'!$E:$E,'Dec 31 2018 OFFS'!$U303,'T1 2019 Pipeline Data Lagasco'!$G:$G,'Dec 31 2018 OFFS'!$W303),1))</f>
        <v>0</v>
      </c>
      <c r="AM303" s="274">
        <f t="shared" si="50"/>
        <v>0</v>
      </c>
    </row>
    <row r="304" spans="1:39" ht="12.7">
      <c r="A304" s="193" t="s">
        <v>909</v>
      </c>
      <c r="B304" s="40" t="s">
        <v>918</v>
      </c>
      <c r="C304" s="40" t="s">
        <v>1266</v>
      </c>
      <c r="D304" s="40" t="s">
        <v>1077</v>
      </c>
      <c r="E304" s="40" t="s">
        <v>17</v>
      </c>
      <c r="F304" s="139" t="s">
        <v>1051</v>
      </c>
      <c r="G304" s="41" t="s">
        <v>535</v>
      </c>
      <c r="H304" s="42">
        <v>42</v>
      </c>
      <c r="I304" s="43">
        <v>49</v>
      </c>
      <c r="J304" s="44">
        <v>43.02</v>
      </c>
      <c r="K304" s="45">
        <v>79</v>
      </c>
      <c r="L304" s="43">
        <v>26</v>
      </c>
      <c r="M304" s="46">
        <v>19.80</v>
      </c>
      <c r="N304" s="41" t="s">
        <v>627</v>
      </c>
      <c r="O304" s="42">
        <v>42</v>
      </c>
      <c r="P304" s="43">
        <v>51</v>
      </c>
      <c r="Q304" s="44">
        <v>34</v>
      </c>
      <c r="R304" s="45">
        <v>79</v>
      </c>
      <c r="S304" s="43">
        <v>28</v>
      </c>
      <c r="T304" s="46">
        <v>20</v>
      </c>
      <c r="U304" s="40">
        <v>6</v>
      </c>
      <c r="V304" s="56">
        <v>14369.783048417999</v>
      </c>
      <c r="W304" s="48">
        <v>1975</v>
      </c>
      <c r="X304" s="40"/>
      <c r="Y304" s="52" t="s">
        <v>1081</v>
      </c>
      <c r="Z304" s="40" t="s">
        <v>910</v>
      </c>
      <c r="AA304" s="49">
        <f t="shared" si="43"/>
        <v>0</v>
      </c>
      <c r="AB304" s="71">
        <f t="shared" si="44"/>
        <v>0.80</v>
      </c>
      <c r="AC304" s="49">
        <f t="shared" si="45"/>
        <v>0</v>
      </c>
      <c r="AD304" s="50">
        <f t="shared" si="46"/>
        <v>0</v>
      </c>
      <c r="AE304" s="50">
        <f t="shared" si="47"/>
        <v>0</v>
      </c>
      <c r="AF304" s="50">
        <f t="shared" si="48"/>
        <v>0</v>
      </c>
      <c r="AG304" s="199">
        <f t="shared" si="49"/>
        <v>0</v>
      </c>
      <c r="AH304" s="187"/>
      <c r="AI304" s="185" t="s">
        <v>1455</v>
      </c>
      <c r="AJ304" s="185"/>
      <c r="AK304" s="277">
        <f t="shared" si="42"/>
        <v>14369.78</v>
      </c>
      <c r="AL304" s="25">
        <f>(SUMIFS('T1 2019 Pipeline Data Lagasco'!$O:$O,'T1 2019 Pipeline Data Lagasco'!$A:$A,'Dec 31 2018 OFFS'!$AI304,'T1 2019 Pipeline Data Lagasco'!$Q:$Q,'Dec 31 2018 OFFS'!$AK304,'T1 2019 Pipeline Data Lagasco'!$E:$E,'Dec 31 2018 OFFS'!$U304,'T1 2019 Pipeline Data Lagasco'!$G:$G,'Dec 31 2018 OFFS'!$W304))/(MAX(COUNTIFS('T1 2019 Pipeline Data Lagasco'!$A:$A,'Dec 31 2018 OFFS'!$AI304,'T1 2019 Pipeline Data Lagasco'!$Q:$Q,'Dec 31 2018 OFFS'!$AK304,'T1 2019 Pipeline Data Lagasco'!$E:$E,'Dec 31 2018 OFFS'!$U304,'T1 2019 Pipeline Data Lagasco'!$G:$G,'Dec 31 2018 OFFS'!$W304),1))</f>
        <v>0</v>
      </c>
      <c r="AM304" s="274">
        <f t="shared" si="50"/>
        <v>0</v>
      </c>
    </row>
    <row r="305" spans="1:39" ht="12.7">
      <c r="A305" s="193" t="s">
        <v>909</v>
      </c>
      <c r="B305" s="40" t="s">
        <v>918</v>
      </c>
      <c r="C305" s="40" t="s">
        <v>1266</v>
      </c>
      <c r="D305" s="40" t="s">
        <v>1077</v>
      </c>
      <c r="E305" s="40" t="s">
        <v>1221</v>
      </c>
      <c r="F305" s="40" t="s">
        <v>1051</v>
      </c>
      <c r="G305" s="41" t="s">
        <v>942</v>
      </c>
      <c r="H305" s="42">
        <v>42</v>
      </c>
      <c r="I305" s="43">
        <v>49</v>
      </c>
      <c r="J305" s="44">
        <v>25.98</v>
      </c>
      <c r="K305" s="45">
        <v>79</v>
      </c>
      <c r="L305" s="43">
        <v>28</v>
      </c>
      <c r="M305" s="46">
        <v>27</v>
      </c>
      <c r="N305" s="41" t="s">
        <v>538</v>
      </c>
      <c r="O305" s="42">
        <v>42</v>
      </c>
      <c r="P305" s="43">
        <v>48</v>
      </c>
      <c r="Q305" s="44">
        <v>45</v>
      </c>
      <c r="R305" s="45">
        <v>79</v>
      </c>
      <c r="S305" s="43">
        <v>29</v>
      </c>
      <c r="T305" s="46">
        <v>39</v>
      </c>
      <c r="U305" s="40">
        <v>3</v>
      </c>
      <c r="V305" s="47">
        <v>6783.9236880519993</v>
      </c>
      <c r="W305" s="48">
        <v>1986</v>
      </c>
      <c r="X305" s="40"/>
      <c r="Y305" s="52" t="s">
        <v>1081</v>
      </c>
      <c r="Z305" s="40" t="s">
        <v>910</v>
      </c>
      <c r="AA305" s="49">
        <f t="shared" si="43"/>
        <v>0</v>
      </c>
      <c r="AB305" s="71">
        <f t="shared" si="44"/>
        <v>0.79</v>
      </c>
      <c r="AC305" s="49">
        <f t="shared" si="45"/>
        <v>0</v>
      </c>
      <c r="AD305" s="50">
        <f t="shared" si="46"/>
        <v>0</v>
      </c>
      <c r="AE305" s="50">
        <f t="shared" si="47"/>
        <v>0</v>
      </c>
      <c r="AF305" s="50">
        <f t="shared" si="48"/>
        <v>0</v>
      </c>
      <c r="AG305" s="199">
        <f t="shared" si="49"/>
        <v>0</v>
      </c>
      <c r="AH305" s="187"/>
      <c r="AI305" s="185" t="s">
        <v>1455</v>
      </c>
      <c r="AJ305" s="185"/>
      <c r="AK305" s="277">
        <f t="shared" si="42"/>
        <v>6783.92</v>
      </c>
      <c r="AL305" s="25">
        <f>(SUMIFS('T1 2019 Pipeline Data Lagasco'!$O:$O,'T1 2019 Pipeline Data Lagasco'!$A:$A,'Dec 31 2018 OFFS'!$AI305,'T1 2019 Pipeline Data Lagasco'!$Q:$Q,'Dec 31 2018 OFFS'!$AK305,'T1 2019 Pipeline Data Lagasco'!$E:$E,'Dec 31 2018 OFFS'!$U305,'T1 2019 Pipeline Data Lagasco'!$G:$G,'Dec 31 2018 OFFS'!$W305))/(MAX(COUNTIFS('T1 2019 Pipeline Data Lagasco'!$A:$A,'Dec 31 2018 OFFS'!$AI305,'T1 2019 Pipeline Data Lagasco'!$Q:$Q,'Dec 31 2018 OFFS'!$AK305,'T1 2019 Pipeline Data Lagasco'!$E:$E,'Dec 31 2018 OFFS'!$U305,'T1 2019 Pipeline Data Lagasco'!$G:$G,'Dec 31 2018 OFFS'!$W305),1))</f>
        <v>0</v>
      </c>
      <c r="AM305" s="274">
        <f t="shared" si="50"/>
        <v>0</v>
      </c>
    </row>
    <row r="306" spans="1:39" ht="12.7">
      <c r="A306" s="193" t="s">
        <v>909</v>
      </c>
      <c r="B306" s="40" t="s">
        <v>918</v>
      </c>
      <c r="C306" s="40" t="s">
        <v>1266</v>
      </c>
      <c r="D306" s="40" t="s">
        <v>1077</v>
      </c>
      <c r="E306" s="40" t="s">
        <v>17</v>
      </c>
      <c r="F306" s="40" t="s">
        <v>1051</v>
      </c>
      <c r="G306" s="41" t="s">
        <v>539</v>
      </c>
      <c r="H306" s="42">
        <v>42</v>
      </c>
      <c r="I306" s="43">
        <v>48</v>
      </c>
      <c r="J306" s="44">
        <v>45</v>
      </c>
      <c r="K306" s="45">
        <v>79</v>
      </c>
      <c r="L306" s="43">
        <v>29</v>
      </c>
      <c r="M306" s="46">
        <v>13.98</v>
      </c>
      <c r="N306" s="40" t="s">
        <v>563</v>
      </c>
      <c r="O306" s="42">
        <v>42</v>
      </c>
      <c r="P306" s="43">
        <v>47</v>
      </c>
      <c r="Q306" s="44">
        <v>48</v>
      </c>
      <c r="R306" s="45">
        <v>79</v>
      </c>
      <c r="S306" s="43">
        <v>29</v>
      </c>
      <c r="T306" s="44">
        <v>10.98</v>
      </c>
      <c r="U306" s="40">
        <v>3</v>
      </c>
      <c r="V306" s="47">
        <v>5775.8528511039995</v>
      </c>
      <c r="W306" s="48">
        <v>1986</v>
      </c>
      <c r="X306" s="40"/>
      <c r="Y306" s="52" t="s">
        <v>1081</v>
      </c>
      <c r="Z306" s="40" t="s">
        <v>910</v>
      </c>
      <c r="AA306" s="49">
        <f t="shared" si="43"/>
        <v>0</v>
      </c>
      <c r="AB306" s="71">
        <f t="shared" si="44"/>
        <v>0.79</v>
      </c>
      <c r="AC306" s="49">
        <f t="shared" si="45"/>
        <v>0</v>
      </c>
      <c r="AD306" s="50">
        <f t="shared" si="46"/>
        <v>0</v>
      </c>
      <c r="AE306" s="50">
        <f t="shared" si="47"/>
        <v>0</v>
      </c>
      <c r="AF306" s="50">
        <f t="shared" si="48"/>
        <v>0</v>
      </c>
      <c r="AG306" s="199">
        <f t="shared" si="49"/>
        <v>0</v>
      </c>
      <c r="AH306" s="187"/>
      <c r="AI306" s="185" t="s">
        <v>1455</v>
      </c>
      <c r="AJ306" s="185"/>
      <c r="AK306" s="277">
        <f t="shared" si="42"/>
        <v>5775.85</v>
      </c>
      <c r="AL306" s="25">
        <f>(SUMIFS('T1 2019 Pipeline Data Lagasco'!$O:$O,'T1 2019 Pipeline Data Lagasco'!$A:$A,'Dec 31 2018 OFFS'!$AI306,'T1 2019 Pipeline Data Lagasco'!$Q:$Q,'Dec 31 2018 OFFS'!$AK306,'T1 2019 Pipeline Data Lagasco'!$E:$E,'Dec 31 2018 OFFS'!$U306,'T1 2019 Pipeline Data Lagasco'!$G:$G,'Dec 31 2018 OFFS'!$W306))/(MAX(COUNTIFS('T1 2019 Pipeline Data Lagasco'!$A:$A,'Dec 31 2018 OFFS'!$AI306,'T1 2019 Pipeline Data Lagasco'!$Q:$Q,'Dec 31 2018 OFFS'!$AK306,'T1 2019 Pipeline Data Lagasco'!$E:$E,'Dec 31 2018 OFFS'!$U306,'T1 2019 Pipeline Data Lagasco'!$G:$G,'Dec 31 2018 OFFS'!$W306),1))</f>
        <v>0</v>
      </c>
      <c r="AM306" s="274">
        <f t="shared" si="50"/>
        <v>0</v>
      </c>
    </row>
    <row r="307" spans="1:39" ht="12.7">
      <c r="A307" s="193" t="s">
        <v>909</v>
      </c>
      <c r="B307" s="40" t="s">
        <v>918</v>
      </c>
      <c r="C307" s="40" t="s">
        <v>1266</v>
      </c>
      <c r="D307" s="40" t="s">
        <v>1077</v>
      </c>
      <c r="E307" s="40" t="s">
        <v>17</v>
      </c>
      <c r="F307" s="40" t="s">
        <v>1051</v>
      </c>
      <c r="G307" s="41" t="s">
        <v>538</v>
      </c>
      <c r="H307" s="42">
        <v>42</v>
      </c>
      <c r="I307" s="43">
        <v>48</v>
      </c>
      <c r="J307" s="44">
        <v>45</v>
      </c>
      <c r="K307" s="45">
        <v>79</v>
      </c>
      <c r="L307" s="43">
        <v>29</v>
      </c>
      <c r="M307" s="46">
        <v>39</v>
      </c>
      <c r="N307" s="41" t="s">
        <v>539</v>
      </c>
      <c r="O307" s="42">
        <v>42</v>
      </c>
      <c r="P307" s="43">
        <v>48</v>
      </c>
      <c r="Q307" s="44">
        <v>45</v>
      </c>
      <c r="R307" s="45">
        <v>79</v>
      </c>
      <c r="S307" s="43">
        <v>29</v>
      </c>
      <c r="T307" s="46">
        <v>13.98</v>
      </c>
      <c r="U307" s="40">
        <v>2</v>
      </c>
      <c r="V307" s="47">
        <v>1865.1902346979998</v>
      </c>
      <c r="W307" s="48">
        <v>1977</v>
      </c>
      <c r="X307" s="40"/>
      <c r="Y307" s="52" t="s">
        <v>1081</v>
      </c>
      <c r="Z307" s="40" t="s">
        <v>910</v>
      </c>
      <c r="AA307" s="49">
        <f t="shared" si="43"/>
        <v>0</v>
      </c>
      <c r="AB307" s="71">
        <f t="shared" si="44"/>
        <v>0.80</v>
      </c>
      <c r="AC307" s="49">
        <f t="shared" si="45"/>
        <v>0</v>
      </c>
      <c r="AD307" s="50">
        <f t="shared" si="46"/>
        <v>0</v>
      </c>
      <c r="AE307" s="50">
        <f t="shared" si="47"/>
        <v>0</v>
      </c>
      <c r="AF307" s="50">
        <f t="shared" si="48"/>
        <v>0</v>
      </c>
      <c r="AG307" s="199">
        <f t="shared" si="49"/>
        <v>0</v>
      </c>
      <c r="AH307" s="187"/>
      <c r="AI307" s="185" t="s">
        <v>1455</v>
      </c>
      <c r="AJ307" s="185"/>
      <c r="AK307" s="277">
        <f t="shared" si="42"/>
        <v>1865.19</v>
      </c>
      <c r="AL307" s="25">
        <f>(SUMIFS('T1 2019 Pipeline Data Lagasco'!$O:$O,'T1 2019 Pipeline Data Lagasco'!$A:$A,'Dec 31 2018 OFFS'!$AI307,'T1 2019 Pipeline Data Lagasco'!$Q:$Q,'Dec 31 2018 OFFS'!$AK307,'T1 2019 Pipeline Data Lagasco'!$E:$E,'Dec 31 2018 OFFS'!$U307,'T1 2019 Pipeline Data Lagasco'!$G:$G,'Dec 31 2018 OFFS'!$W307))/(MAX(COUNTIFS('T1 2019 Pipeline Data Lagasco'!$A:$A,'Dec 31 2018 OFFS'!$AI307,'T1 2019 Pipeline Data Lagasco'!$Q:$Q,'Dec 31 2018 OFFS'!$AK307,'T1 2019 Pipeline Data Lagasco'!$E:$E,'Dec 31 2018 OFFS'!$U307,'T1 2019 Pipeline Data Lagasco'!$G:$G,'Dec 31 2018 OFFS'!$W307),1))</f>
        <v>0</v>
      </c>
      <c r="AM307" s="274">
        <f t="shared" si="50"/>
        <v>0</v>
      </c>
    </row>
    <row r="308" spans="1:39" ht="12.7">
      <c r="A308" s="193" t="s">
        <v>909</v>
      </c>
      <c r="B308" s="40" t="s">
        <v>918</v>
      </c>
      <c r="C308" s="40" t="s">
        <v>1266</v>
      </c>
      <c r="D308" s="40" t="s">
        <v>1077</v>
      </c>
      <c r="E308" s="40" t="s">
        <v>17</v>
      </c>
      <c r="F308" s="40" t="s">
        <v>1051</v>
      </c>
      <c r="G308" s="41" t="s">
        <v>538</v>
      </c>
      <c r="H308" s="42">
        <v>42</v>
      </c>
      <c r="I308" s="43">
        <v>48</v>
      </c>
      <c r="J308" s="44">
        <v>45</v>
      </c>
      <c r="K308" s="45">
        <v>79</v>
      </c>
      <c r="L308" s="43">
        <v>29</v>
      </c>
      <c r="M308" s="46">
        <v>39</v>
      </c>
      <c r="N308" s="41" t="s">
        <v>540</v>
      </c>
      <c r="O308" s="42">
        <v>42</v>
      </c>
      <c r="P308" s="43">
        <v>48</v>
      </c>
      <c r="Q308" s="44">
        <v>22.98</v>
      </c>
      <c r="R308" s="45">
        <v>79</v>
      </c>
      <c r="S308" s="43">
        <v>30</v>
      </c>
      <c r="T308" s="46">
        <v>7.98</v>
      </c>
      <c r="U308" s="40">
        <v>2</v>
      </c>
      <c r="V308" s="47">
        <v>3104.6587027399996</v>
      </c>
      <c r="W308" s="48">
        <v>1995</v>
      </c>
      <c r="X308" s="40"/>
      <c r="Y308" s="52" t="s">
        <v>1081</v>
      </c>
      <c r="Z308" s="40" t="s">
        <v>910</v>
      </c>
      <c r="AA308" s="49">
        <f t="shared" si="43"/>
        <v>0</v>
      </c>
      <c r="AB308" s="71">
        <f t="shared" si="44"/>
        <v>0.67</v>
      </c>
      <c r="AC308" s="49">
        <f t="shared" si="45"/>
        <v>0</v>
      </c>
      <c r="AD308" s="50">
        <f t="shared" si="46"/>
        <v>0</v>
      </c>
      <c r="AE308" s="50">
        <f t="shared" si="47"/>
        <v>0</v>
      </c>
      <c r="AF308" s="50">
        <f t="shared" si="48"/>
        <v>0</v>
      </c>
      <c r="AG308" s="199">
        <f t="shared" si="49"/>
        <v>0</v>
      </c>
      <c r="AH308" s="187"/>
      <c r="AI308" s="185" t="s">
        <v>1455</v>
      </c>
      <c r="AJ308" s="185"/>
      <c r="AK308" s="277">
        <f t="shared" si="42"/>
        <v>3104.66</v>
      </c>
      <c r="AL308" s="25">
        <f>(SUMIFS('T1 2019 Pipeline Data Lagasco'!$O:$O,'T1 2019 Pipeline Data Lagasco'!$A:$A,'Dec 31 2018 OFFS'!$AI308,'T1 2019 Pipeline Data Lagasco'!$Q:$Q,'Dec 31 2018 OFFS'!$AK308,'T1 2019 Pipeline Data Lagasco'!$E:$E,'Dec 31 2018 OFFS'!$U308,'T1 2019 Pipeline Data Lagasco'!$G:$G,'Dec 31 2018 OFFS'!$W308))/(MAX(COUNTIFS('T1 2019 Pipeline Data Lagasco'!$A:$A,'Dec 31 2018 OFFS'!$AI308,'T1 2019 Pipeline Data Lagasco'!$Q:$Q,'Dec 31 2018 OFFS'!$AK308,'T1 2019 Pipeline Data Lagasco'!$E:$E,'Dec 31 2018 OFFS'!$U308,'T1 2019 Pipeline Data Lagasco'!$G:$G,'Dec 31 2018 OFFS'!$W308),1))</f>
        <v>0</v>
      </c>
      <c r="AM308" s="274">
        <f t="shared" si="50"/>
        <v>0</v>
      </c>
    </row>
    <row r="309" spans="1:39" ht="12.7">
      <c r="A309" s="193" t="s">
        <v>909</v>
      </c>
      <c r="B309" s="40" t="s">
        <v>918</v>
      </c>
      <c r="C309" s="40" t="s">
        <v>1266</v>
      </c>
      <c r="D309" s="40" t="s">
        <v>1077</v>
      </c>
      <c r="E309" s="40" t="s">
        <v>17</v>
      </c>
      <c r="F309" s="40"/>
      <c r="G309" s="41" t="s">
        <v>538</v>
      </c>
      <c r="H309" s="42">
        <v>42</v>
      </c>
      <c r="I309" s="43">
        <v>48</v>
      </c>
      <c r="J309" s="44">
        <v>45</v>
      </c>
      <c r="K309" s="45">
        <v>79</v>
      </c>
      <c r="L309" s="43">
        <v>29</v>
      </c>
      <c r="M309" s="46">
        <v>39</v>
      </c>
      <c r="N309" s="41" t="s">
        <v>540</v>
      </c>
      <c r="O309" s="42">
        <v>42</v>
      </c>
      <c r="P309" s="43">
        <v>48</v>
      </c>
      <c r="Q309" s="44">
        <v>22.98</v>
      </c>
      <c r="R309" s="45">
        <v>79</v>
      </c>
      <c r="S309" s="43">
        <v>30</v>
      </c>
      <c r="T309" s="46">
        <v>7.98</v>
      </c>
      <c r="U309" s="40">
        <v>8</v>
      </c>
      <c r="V309" s="56">
        <v>3104.6587027399996</v>
      </c>
      <c r="W309" s="48">
        <v>1977</v>
      </c>
      <c r="X309" s="40"/>
      <c r="Y309" s="52" t="s">
        <v>1081</v>
      </c>
      <c r="Z309" s="40" t="s">
        <v>910</v>
      </c>
      <c r="AA309" s="49">
        <f t="shared" si="43"/>
        <v>153059.67404508198</v>
      </c>
      <c r="AB309" s="71">
        <f t="shared" si="44"/>
        <v>0.80</v>
      </c>
      <c r="AC309" s="49">
        <f t="shared" si="45"/>
        <v>30611.93</v>
      </c>
      <c r="AD309" s="50">
        <f t="shared" si="46"/>
        <v>0</v>
      </c>
      <c r="AE309" s="50">
        <f t="shared" si="47"/>
        <v>0</v>
      </c>
      <c r="AF309" s="50">
        <f t="shared" si="48"/>
        <v>30611.93</v>
      </c>
      <c r="AG309" s="199">
        <f t="shared" si="49"/>
        <v>30611</v>
      </c>
      <c r="AH309" s="187"/>
      <c r="AI309" s="185" t="s">
        <v>1455</v>
      </c>
      <c r="AJ309" s="185"/>
      <c r="AK309" s="277">
        <f t="shared" si="42"/>
        <v>3104.66</v>
      </c>
      <c r="AL309" s="25">
        <f>(SUMIFS('T1 2019 Pipeline Data Lagasco'!$O:$O,'T1 2019 Pipeline Data Lagasco'!$A:$A,'Dec 31 2018 OFFS'!$AI309,'T1 2019 Pipeline Data Lagasco'!$Q:$Q,'Dec 31 2018 OFFS'!$AK309,'T1 2019 Pipeline Data Lagasco'!$E:$E,'Dec 31 2018 OFFS'!$U309,'T1 2019 Pipeline Data Lagasco'!$G:$G,'Dec 31 2018 OFFS'!$W309))/(MAX(COUNTIFS('T1 2019 Pipeline Data Lagasco'!$A:$A,'Dec 31 2018 OFFS'!$AI309,'T1 2019 Pipeline Data Lagasco'!$Q:$Q,'Dec 31 2018 OFFS'!$AK309,'T1 2019 Pipeline Data Lagasco'!$E:$E,'Dec 31 2018 OFFS'!$U309,'T1 2019 Pipeline Data Lagasco'!$G:$G,'Dec 31 2018 OFFS'!$W309),1))</f>
        <v>30611</v>
      </c>
      <c r="AM309" s="274">
        <f t="shared" si="50"/>
        <v>0</v>
      </c>
    </row>
    <row r="310" spans="1:39" ht="12.7">
      <c r="A310" s="193" t="s">
        <v>909</v>
      </c>
      <c r="B310" s="40" t="s">
        <v>918</v>
      </c>
      <c r="C310" s="40" t="s">
        <v>1266</v>
      </c>
      <c r="D310" s="40" t="s">
        <v>1077</v>
      </c>
      <c r="E310" s="40" t="s">
        <v>17</v>
      </c>
      <c r="F310" s="40"/>
      <c r="G310" s="41" t="s">
        <v>564</v>
      </c>
      <c r="H310" s="42">
        <v>42</v>
      </c>
      <c r="I310" s="43">
        <v>48</v>
      </c>
      <c r="J310" s="44">
        <v>7.02</v>
      </c>
      <c r="K310" s="45">
        <v>79</v>
      </c>
      <c r="L310" s="43">
        <v>28</v>
      </c>
      <c r="M310" s="46">
        <v>46.02</v>
      </c>
      <c r="N310" s="40" t="s">
        <v>563</v>
      </c>
      <c r="O310" s="42">
        <v>42</v>
      </c>
      <c r="P310" s="43">
        <v>47</v>
      </c>
      <c r="Q310" s="44">
        <v>48</v>
      </c>
      <c r="R310" s="45">
        <v>79</v>
      </c>
      <c r="S310" s="43">
        <v>29</v>
      </c>
      <c r="T310" s="44">
        <v>10.98</v>
      </c>
      <c r="U310" s="40">
        <v>3</v>
      </c>
      <c r="V310" s="47">
        <v>2678.1823371379996</v>
      </c>
      <c r="W310" s="48">
        <v>1986</v>
      </c>
      <c r="X310" s="40"/>
      <c r="Y310" s="52" t="s">
        <v>1081</v>
      </c>
      <c r="Z310" s="40" t="s">
        <v>910</v>
      </c>
      <c r="AA310" s="49">
        <f t="shared" si="43"/>
        <v>63178.321333085412</v>
      </c>
      <c r="AB310" s="71">
        <f t="shared" si="44"/>
        <v>0.79</v>
      </c>
      <c r="AC310" s="49">
        <f t="shared" si="45"/>
        <v>13267.45</v>
      </c>
      <c r="AD310" s="50">
        <f t="shared" si="46"/>
        <v>0</v>
      </c>
      <c r="AE310" s="50">
        <f t="shared" si="47"/>
        <v>0</v>
      </c>
      <c r="AF310" s="50">
        <f t="shared" si="48"/>
        <v>13267.45</v>
      </c>
      <c r="AG310" s="199">
        <f t="shared" si="49"/>
        <v>13267</v>
      </c>
      <c r="AH310" s="187"/>
      <c r="AI310" s="185" t="s">
        <v>1455</v>
      </c>
      <c r="AJ310" s="185"/>
      <c r="AK310" s="277">
        <f t="shared" si="42"/>
        <v>2678.18</v>
      </c>
      <c r="AL310" s="25">
        <f>(SUMIFS('T1 2019 Pipeline Data Lagasco'!$O:$O,'T1 2019 Pipeline Data Lagasco'!$A:$A,'Dec 31 2018 OFFS'!$AI310,'T1 2019 Pipeline Data Lagasco'!$Q:$Q,'Dec 31 2018 OFFS'!$AK310,'T1 2019 Pipeline Data Lagasco'!$E:$E,'Dec 31 2018 OFFS'!$U310,'T1 2019 Pipeline Data Lagasco'!$G:$G,'Dec 31 2018 OFFS'!$W310))/(MAX(COUNTIFS('T1 2019 Pipeline Data Lagasco'!$A:$A,'Dec 31 2018 OFFS'!$AI310,'T1 2019 Pipeline Data Lagasco'!$Q:$Q,'Dec 31 2018 OFFS'!$AK310,'T1 2019 Pipeline Data Lagasco'!$E:$E,'Dec 31 2018 OFFS'!$U310,'T1 2019 Pipeline Data Lagasco'!$G:$G,'Dec 31 2018 OFFS'!$W310),1))</f>
        <v>13267</v>
      </c>
      <c r="AM310" s="274">
        <f t="shared" si="50"/>
        <v>0</v>
      </c>
    </row>
    <row r="311" spans="1:39" ht="12.7">
      <c r="A311" s="193" t="s">
        <v>909</v>
      </c>
      <c r="B311" s="40" t="s">
        <v>918</v>
      </c>
      <c r="C311" s="40" t="s">
        <v>1266</v>
      </c>
      <c r="D311" s="40" t="s">
        <v>1077</v>
      </c>
      <c r="E311" s="40" t="s">
        <v>17</v>
      </c>
      <c r="F311" s="40" t="s">
        <v>1051</v>
      </c>
      <c r="G311" s="41" t="s">
        <v>541</v>
      </c>
      <c r="H311" s="42">
        <v>42</v>
      </c>
      <c r="I311" s="43">
        <v>48</v>
      </c>
      <c r="J311" s="44">
        <v>15</v>
      </c>
      <c r="K311" s="45">
        <v>79</v>
      </c>
      <c r="L311" s="43">
        <v>27</v>
      </c>
      <c r="M311" s="46">
        <v>15</v>
      </c>
      <c r="N311" s="40" t="s">
        <v>542</v>
      </c>
      <c r="O311" s="42">
        <v>42</v>
      </c>
      <c r="P311" s="43">
        <v>47</v>
      </c>
      <c r="Q311" s="44">
        <v>45.994</v>
      </c>
      <c r="R311" s="45">
        <v>79</v>
      </c>
      <c r="S311" s="43">
        <v>27</v>
      </c>
      <c r="T311" s="46">
        <v>5.399</v>
      </c>
      <c r="U311" s="40">
        <v>2</v>
      </c>
      <c r="V311" s="47">
        <v>3022.9986001179996</v>
      </c>
      <c r="W311" s="48">
        <v>1977</v>
      </c>
      <c r="X311" s="40"/>
      <c r="Y311" s="52" t="s">
        <v>1081</v>
      </c>
      <c r="Z311" s="40" t="s">
        <v>910</v>
      </c>
      <c r="AA311" s="49">
        <f t="shared" si="43"/>
        <v>0</v>
      </c>
      <c r="AB311" s="71">
        <f t="shared" si="44"/>
        <v>0.80</v>
      </c>
      <c r="AC311" s="49">
        <f t="shared" si="45"/>
        <v>0</v>
      </c>
      <c r="AD311" s="50">
        <f t="shared" si="46"/>
        <v>0</v>
      </c>
      <c r="AE311" s="50">
        <f t="shared" si="47"/>
        <v>0</v>
      </c>
      <c r="AF311" s="50">
        <f t="shared" si="48"/>
        <v>0</v>
      </c>
      <c r="AG311" s="199">
        <f t="shared" si="49"/>
        <v>0</v>
      </c>
      <c r="AH311" s="187"/>
      <c r="AI311" s="185" t="s">
        <v>1455</v>
      </c>
      <c r="AJ311" s="185"/>
      <c r="AK311" s="277">
        <f t="shared" si="42"/>
        <v>3023</v>
      </c>
      <c r="AL311" s="25">
        <f>(SUMIFS('T1 2019 Pipeline Data Lagasco'!$O:$O,'T1 2019 Pipeline Data Lagasco'!$A:$A,'Dec 31 2018 OFFS'!$AI311,'T1 2019 Pipeline Data Lagasco'!$Q:$Q,'Dec 31 2018 OFFS'!$AK311,'T1 2019 Pipeline Data Lagasco'!$E:$E,'Dec 31 2018 OFFS'!$U311,'T1 2019 Pipeline Data Lagasco'!$G:$G,'Dec 31 2018 OFFS'!$W311))/(MAX(COUNTIFS('T1 2019 Pipeline Data Lagasco'!$A:$A,'Dec 31 2018 OFFS'!$AI311,'T1 2019 Pipeline Data Lagasco'!$Q:$Q,'Dec 31 2018 OFFS'!$AK311,'T1 2019 Pipeline Data Lagasco'!$E:$E,'Dec 31 2018 OFFS'!$U311,'T1 2019 Pipeline Data Lagasco'!$G:$G,'Dec 31 2018 OFFS'!$W311),1))</f>
        <v>0</v>
      </c>
      <c r="AM311" s="274">
        <f t="shared" si="50"/>
        <v>0</v>
      </c>
    </row>
    <row r="312" spans="1:39" ht="12.7">
      <c r="A312" s="193" t="s">
        <v>909</v>
      </c>
      <c r="B312" s="40" t="s">
        <v>918</v>
      </c>
      <c r="C312" s="40" t="s">
        <v>1266</v>
      </c>
      <c r="D312" s="40" t="s">
        <v>1077</v>
      </c>
      <c r="E312" s="40" t="s">
        <v>17</v>
      </c>
      <c r="F312" s="40" t="s">
        <v>1051</v>
      </c>
      <c r="G312" s="41" t="s">
        <v>543</v>
      </c>
      <c r="H312" s="42">
        <v>42</v>
      </c>
      <c r="I312" s="43">
        <v>48</v>
      </c>
      <c r="J312" s="44">
        <v>42</v>
      </c>
      <c r="K312" s="45">
        <v>79</v>
      </c>
      <c r="L312" s="43">
        <v>25</v>
      </c>
      <c r="M312" s="46">
        <v>22.02</v>
      </c>
      <c r="N312" s="40" t="s">
        <v>544</v>
      </c>
      <c r="O312" s="42">
        <v>42</v>
      </c>
      <c r="P312" s="43">
        <v>48</v>
      </c>
      <c r="Q312" s="44">
        <v>45</v>
      </c>
      <c r="R312" s="45">
        <v>79</v>
      </c>
      <c r="S312" s="43">
        <v>25</v>
      </c>
      <c r="T312" s="46">
        <v>13.98</v>
      </c>
      <c r="U312" s="40">
        <v>2</v>
      </c>
      <c r="V312" s="47">
        <v>671.94879943799992</v>
      </c>
      <c r="W312" s="48">
        <v>1977</v>
      </c>
      <c r="X312" s="40"/>
      <c r="Y312" s="52" t="s">
        <v>1081</v>
      </c>
      <c r="Z312" s="40" t="s">
        <v>910</v>
      </c>
      <c r="AA312" s="49">
        <f t="shared" si="43"/>
        <v>0</v>
      </c>
      <c r="AB312" s="71">
        <f t="shared" si="44"/>
        <v>0.80</v>
      </c>
      <c r="AC312" s="49">
        <f t="shared" si="45"/>
        <v>0</v>
      </c>
      <c r="AD312" s="50">
        <f t="shared" si="46"/>
        <v>0</v>
      </c>
      <c r="AE312" s="50">
        <f t="shared" si="47"/>
        <v>0</v>
      </c>
      <c r="AF312" s="50">
        <f t="shared" si="48"/>
        <v>0</v>
      </c>
      <c r="AG312" s="199">
        <f t="shared" si="49"/>
        <v>0</v>
      </c>
      <c r="AH312" s="187"/>
      <c r="AI312" s="185" t="s">
        <v>1455</v>
      </c>
      <c r="AJ312" s="185"/>
      <c r="AK312" s="277">
        <f t="shared" si="42"/>
        <v>671.95</v>
      </c>
      <c r="AL312" s="25">
        <f>(SUMIFS('T1 2019 Pipeline Data Lagasco'!$O:$O,'T1 2019 Pipeline Data Lagasco'!$A:$A,'Dec 31 2018 OFFS'!$AI312,'T1 2019 Pipeline Data Lagasco'!$Q:$Q,'Dec 31 2018 OFFS'!$AK312,'T1 2019 Pipeline Data Lagasco'!$E:$E,'Dec 31 2018 OFFS'!$U312,'T1 2019 Pipeline Data Lagasco'!$G:$G,'Dec 31 2018 OFFS'!$W312))/(MAX(COUNTIFS('T1 2019 Pipeline Data Lagasco'!$A:$A,'Dec 31 2018 OFFS'!$AI312,'T1 2019 Pipeline Data Lagasco'!$Q:$Q,'Dec 31 2018 OFFS'!$AK312,'T1 2019 Pipeline Data Lagasco'!$E:$E,'Dec 31 2018 OFFS'!$U312,'T1 2019 Pipeline Data Lagasco'!$G:$G,'Dec 31 2018 OFFS'!$W312),1))</f>
        <v>0</v>
      </c>
      <c r="AM312" s="274">
        <f t="shared" si="50"/>
        <v>0</v>
      </c>
    </row>
    <row r="313" spans="1:39" ht="12.7">
      <c r="A313" s="193" t="s">
        <v>909</v>
      </c>
      <c r="B313" s="40" t="s">
        <v>918</v>
      </c>
      <c r="C313" s="40" t="s">
        <v>1266</v>
      </c>
      <c r="D313" s="40" t="s">
        <v>1077</v>
      </c>
      <c r="E313" s="40" t="s">
        <v>17</v>
      </c>
      <c r="F313" s="139" t="s">
        <v>1051</v>
      </c>
      <c r="G313" s="41" t="s">
        <v>543</v>
      </c>
      <c r="H313" s="42">
        <v>42</v>
      </c>
      <c r="I313" s="43">
        <v>48</v>
      </c>
      <c r="J313" s="44">
        <v>42</v>
      </c>
      <c r="K313" s="45">
        <v>79</v>
      </c>
      <c r="L313" s="43">
        <v>25</v>
      </c>
      <c r="M313" s="46">
        <v>22.02</v>
      </c>
      <c r="N313" s="40" t="s">
        <v>534</v>
      </c>
      <c r="O313" s="42">
        <v>42</v>
      </c>
      <c r="P313" s="43">
        <v>49</v>
      </c>
      <c r="Q313" s="44">
        <v>15</v>
      </c>
      <c r="R313" s="45">
        <v>79</v>
      </c>
      <c r="S313" s="43">
        <v>25</v>
      </c>
      <c r="T313" s="46">
        <v>43.98</v>
      </c>
      <c r="U313" s="40">
        <v>6</v>
      </c>
      <c r="V313" s="56">
        <v>3720.8988423740002</v>
      </c>
      <c r="W313" s="48">
        <v>1977</v>
      </c>
      <c r="X313" s="40"/>
      <c r="Y313" s="52" t="s">
        <v>1081</v>
      </c>
      <c r="Z313" s="40" t="s">
        <v>910</v>
      </c>
      <c r="AA313" s="49">
        <f t="shared" si="43"/>
        <v>0</v>
      </c>
      <c r="AB313" s="71">
        <f t="shared" si="44"/>
        <v>0.80</v>
      </c>
      <c r="AC313" s="49">
        <f t="shared" si="45"/>
        <v>0</v>
      </c>
      <c r="AD313" s="50">
        <f t="shared" si="46"/>
        <v>0</v>
      </c>
      <c r="AE313" s="50">
        <f t="shared" si="47"/>
        <v>0</v>
      </c>
      <c r="AF313" s="50">
        <f t="shared" si="48"/>
        <v>0</v>
      </c>
      <c r="AG313" s="199">
        <f t="shared" si="49"/>
        <v>0</v>
      </c>
      <c r="AH313" s="187"/>
      <c r="AI313" s="185" t="s">
        <v>1455</v>
      </c>
      <c r="AJ313" s="185"/>
      <c r="AK313" s="277">
        <f t="shared" si="42"/>
        <v>3720.90</v>
      </c>
      <c r="AL313" s="25">
        <f>(SUMIFS('T1 2019 Pipeline Data Lagasco'!$O:$O,'T1 2019 Pipeline Data Lagasco'!$A:$A,'Dec 31 2018 OFFS'!$AI313,'T1 2019 Pipeline Data Lagasco'!$Q:$Q,'Dec 31 2018 OFFS'!$AK313,'T1 2019 Pipeline Data Lagasco'!$E:$E,'Dec 31 2018 OFFS'!$U313,'T1 2019 Pipeline Data Lagasco'!$G:$G,'Dec 31 2018 OFFS'!$W313))/(MAX(COUNTIFS('T1 2019 Pipeline Data Lagasco'!$A:$A,'Dec 31 2018 OFFS'!$AI313,'T1 2019 Pipeline Data Lagasco'!$Q:$Q,'Dec 31 2018 OFFS'!$AK313,'T1 2019 Pipeline Data Lagasco'!$E:$E,'Dec 31 2018 OFFS'!$U313,'T1 2019 Pipeline Data Lagasco'!$G:$G,'Dec 31 2018 OFFS'!$W313),1))</f>
        <v>0</v>
      </c>
      <c r="AM313" s="274">
        <f t="shared" si="50"/>
        <v>0</v>
      </c>
    </row>
    <row r="314" spans="1:39" ht="12.7">
      <c r="A314" s="193" t="s">
        <v>909</v>
      </c>
      <c r="B314" s="40" t="s">
        <v>918</v>
      </c>
      <c r="C314" s="40" t="s">
        <v>1266</v>
      </c>
      <c r="D314" s="40" t="s">
        <v>1077</v>
      </c>
      <c r="E314" s="40" t="s">
        <v>17</v>
      </c>
      <c r="F314" s="139" t="s">
        <v>1051</v>
      </c>
      <c r="G314" s="41" t="s">
        <v>543</v>
      </c>
      <c r="H314" s="42">
        <v>42</v>
      </c>
      <c r="I314" s="43">
        <v>48</v>
      </c>
      <c r="J314" s="44">
        <v>42</v>
      </c>
      <c r="K314" s="45">
        <v>79</v>
      </c>
      <c r="L314" s="43">
        <v>25</v>
      </c>
      <c r="M314" s="46">
        <v>22.02</v>
      </c>
      <c r="N314" s="41" t="s">
        <v>628</v>
      </c>
      <c r="O314" s="42">
        <v>42</v>
      </c>
      <c r="P314" s="43">
        <v>48</v>
      </c>
      <c r="Q314" s="44">
        <v>22.893999999999998</v>
      </c>
      <c r="R314" s="45">
        <v>79</v>
      </c>
      <c r="S314" s="43">
        <v>25</v>
      </c>
      <c r="T314" s="46">
        <v>21.163</v>
      </c>
      <c r="U314" s="40">
        <v>6</v>
      </c>
      <c r="V314" s="56">
        <v>1935.662673602</v>
      </c>
      <c r="W314" s="48">
        <v>1977</v>
      </c>
      <c r="X314" s="40"/>
      <c r="Y314" s="52" t="s">
        <v>1081</v>
      </c>
      <c r="Z314" s="40" t="s">
        <v>910</v>
      </c>
      <c r="AA314" s="49">
        <f t="shared" si="43"/>
        <v>0</v>
      </c>
      <c r="AB314" s="71">
        <f t="shared" si="44"/>
        <v>0.80</v>
      </c>
      <c r="AC314" s="49">
        <f t="shared" si="45"/>
        <v>0</v>
      </c>
      <c r="AD314" s="50">
        <f t="shared" si="46"/>
        <v>0</v>
      </c>
      <c r="AE314" s="50">
        <f t="shared" si="47"/>
        <v>0</v>
      </c>
      <c r="AF314" s="50">
        <f t="shared" si="48"/>
        <v>0</v>
      </c>
      <c r="AG314" s="199">
        <f t="shared" si="49"/>
        <v>0</v>
      </c>
      <c r="AH314" s="187"/>
      <c r="AI314" s="185" t="s">
        <v>1455</v>
      </c>
      <c r="AJ314" s="185"/>
      <c r="AK314" s="277">
        <f t="shared" si="42"/>
        <v>1935.66</v>
      </c>
      <c r="AL314" s="25">
        <f>(SUMIFS('T1 2019 Pipeline Data Lagasco'!$O:$O,'T1 2019 Pipeline Data Lagasco'!$A:$A,'Dec 31 2018 OFFS'!$AI314,'T1 2019 Pipeline Data Lagasco'!$Q:$Q,'Dec 31 2018 OFFS'!$AK314,'T1 2019 Pipeline Data Lagasco'!$E:$E,'Dec 31 2018 OFFS'!$U314,'T1 2019 Pipeline Data Lagasco'!$G:$G,'Dec 31 2018 OFFS'!$W314))/(MAX(COUNTIFS('T1 2019 Pipeline Data Lagasco'!$A:$A,'Dec 31 2018 OFFS'!$AI314,'T1 2019 Pipeline Data Lagasco'!$Q:$Q,'Dec 31 2018 OFFS'!$AK314,'T1 2019 Pipeline Data Lagasco'!$E:$E,'Dec 31 2018 OFFS'!$U314,'T1 2019 Pipeline Data Lagasco'!$G:$G,'Dec 31 2018 OFFS'!$W314),1))</f>
        <v>0</v>
      </c>
      <c r="AM314" s="274">
        <f t="shared" si="50"/>
        <v>0</v>
      </c>
    </row>
    <row r="315" spans="1:39" ht="12.7">
      <c r="A315" s="193" t="s">
        <v>909</v>
      </c>
      <c r="B315" s="40" t="s">
        <v>918</v>
      </c>
      <c r="C315" s="40" t="s">
        <v>1266</v>
      </c>
      <c r="D315" s="40" t="s">
        <v>1077</v>
      </c>
      <c r="E315" s="40" t="s">
        <v>17</v>
      </c>
      <c r="F315" s="139" t="s">
        <v>1051</v>
      </c>
      <c r="G315" s="41" t="s">
        <v>629</v>
      </c>
      <c r="H315" s="42">
        <v>42</v>
      </c>
      <c r="I315" s="43">
        <v>48</v>
      </c>
      <c r="J315" s="44">
        <v>1.9690000000000001</v>
      </c>
      <c r="K315" s="45">
        <v>79</v>
      </c>
      <c r="L315" s="43">
        <v>25</v>
      </c>
      <c r="M315" s="46">
        <v>36.209000000000003</v>
      </c>
      <c r="N315" s="41" t="s">
        <v>630</v>
      </c>
      <c r="O315" s="42">
        <v>42</v>
      </c>
      <c r="P315" s="43">
        <v>47</v>
      </c>
      <c r="Q315" s="44">
        <v>54.061</v>
      </c>
      <c r="R315" s="45">
        <v>79</v>
      </c>
      <c r="S315" s="43">
        <v>25</v>
      </c>
      <c r="T315" s="46">
        <v>50.005</v>
      </c>
      <c r="U315" s="40">
        <v>6</v>
      </c>
      <c r="V315" s="56">
        <v>1303.608886132</v>
      </c>
      <c r="W315" s="48">
        <v>1977</v>
      </c>
      <c r="X315" s="40"/>
      <c r="Y315" s="52" t="s">
        <v>1081</v>
      </c>
      <c r="Z315" s="40" t="s">
        <v>910</v>
      </c>
      <c r="AA315" s="49">
        <f t="shared" si="43"/>
        <v>0</v>
      </c>
      <c r="AB315" s="71">
        <f t="shared" si="44"/>
        <v>0.80</v>
      </c>
      <c r="AC315" s="49">
        <f t="shared" si="45"/>
        <v>0</v>
      </c>
      <c r="AD315" s="50">
        <f t="shared" si="46"/>
        <v>0</v>
      </c>
      <c r="AE315" s="50">
        <f t="shared" si="47"/>
        <v>0</v>
      </c>
      <c r="AF315" s="50">
        <f t="shared" si="48"/>
        <v>0</v>
      </c>
      <c r="AG315" s="199">
        <f t="shared" si="49"/>
        <v>0</v>
      </c>
      <c r="AH315" s="187"/>
      <c r="AI315" s="185" t="s">
        <v>1455</v>
      </c>
      <c r="AJ315" s="185"/>
      <c r="AK315" s="277">
        <f t="shared" si="42"/>
        <v>1303.6099999999999</v>
      </c>
      <c r="AL315" s="25">
        <f>(SUMIFS('T1 2019 Pipeline Data Lagasco'!$O:$O,'T1 2019 Pipeline Data Lagasco'!$A:$A,'Dec 31 2018 OFFS'!$AI315,'T1 2019 Pipeline Data Lagasco'!$Q:$Q,'Dec 31 2018 OFFS'!$AK315,'T1 2019 Pipeline Data Lagasco'!$E:$E,'Dec 31 2018 OFFS'!$U315,'T1 2019 Pipeline Data Lagasco'!$G:$G,'Dec 31 2018 OFFS'!$W315))/(MAX(COUNTIFS('T1 2019 Pipeline Data Lagasco'!$A:$A,'Dec 31 2018 OFFS'!$AI315,'T1 2019 Pipeline Data Lagasco'!$Q:$Q,'Dec 31 2018 OFFS'!$AK315,'T1 2019 Pipeline Data Lagasco'!$E:$E,'Dec 31 2018 OFFS'!$U315,'T1 2019 Pipeline Data Lagasco'!$G:$G,'Dec 31 2018 OFFS'!$W315),1))</f>
        <v>0</v>
      </c>
      <c r="AM315" s="274">
        <f t="shared" si="50"/>
        <v>0</v>
      </c>
    </row>
    <row r="316" spans="1:39" ht="12.7">
      <c r="A316" s="193" t="s">
        <v>909</v>
      </c>
      <c r="B316" s="40" t="s">
        <v>918</v>
      </c>
      <c r="C316" s="40" t="s">
        <v>1266</v>
      </c>
      <c r="D316" s="40" t="s">
        <v>1077</v>
      </c>
      <c r="E316" s="40" t="s">
        <v>17</v>
      </c>
      <c r="F316" s="139" t="s">
        <v>1051</v>
      </c>
      <c r="G316" s="41" t="s">
        <v>628</v>
      </c>
      <c r="H316" s="42">
        <v>42</v>
      </c>
      <c r="I316" s="43">
        <v>48</v>
      </c>
      <c r="J316" s="44">
        <v>22.893999999999998</v>
      </c>
      <c r="K316" s="45">
        <v>79</v>
      </c>
      <c r="L316" s="43">
        <v>25</v>
      </c>
      <c r="M316" s="46">
        <v>21.163</v>
      </c>
      <c r="N316" s="41" t="s">
        <v>631</v>
      </c>
      <c r="O316" s="42">
        <v>42</v>
      </c>
      <c r="P316" s="43">
        <v>48</v>
      </c>
      <c r="Q316" s="44">
        <v>12.936</v>
      </c>
      <c r="R316" s="45">
        <v>79</v>
      </c>
      <c r="S316" s="43">
        <v>25</v>
      </c>
      <c r="T316" s="46">
        <v>28.026</v>
      </c>
      <c r="U316" s="40">
        <v>6</v>
      </c>
      <c r="V316" s="56">
        <v>1130.7086286719998</v>
      </c>
      <c r="W316" s="48">
        <v>1977</v>
      </c>
      <c r="X316" s="40"/>
      <c r="Y316" s="52" t="s">
        <v>1081</v>
      </c>
      <c r="Z316" s="40" t="s">
        <v>910</v>
      </c>
      <c r="AA316" s="49">
        <f t="shared" si="43"/>
        <v>0</v>
      </c>
      <c r="AB316" s="71">
        <f t="shared" si="44"/>
        <v>0.80</v>
      </c>
      <c r="AC316" s="49">
        <f t="shared" si="45"/>
        <v>0</v>
      </c>
      <c r="AD316" s="50">
        <f t="shared" si="46"/>
        <v>0</v>
      </c>
      <c r="AE316" s="50">
        <f t="shared" si="47"/>
        <v>0</v>
      </c>
      <c r="AF316" s="50">
        <f t="shared" si="48"/>
        <v>0</v>
      </c>
      <c r="AG316" s="199">
        <f t="shared" si="49"/>
        <v>0</v>
      </c>
      <c r="AH316" s="187"/>
      <c r="AI316" s="185" t="s">
        <v>1455</v>
      </c>
      <c r="AJ316" s="185"/>
      <c r="AK316" s="277">
        <f t="shared" si="42"/>
        <v>1130.71</v>
      </c>
      <c r="AL316" s="25">
        <f>(SUMIFS('T1 2019 Pipeline Data Lagasco'!$O:$O,'T1 2019 Pipeline Data Lagasco'!$A:$A,'Dec 31 2018 OFFS'!$AI316,'T1 2019 Pipeline Data Lagasco'!$Q:$Q,'Dec 31 2018 OFFS'!$AK316,'T1 2019 Pipeline Data Lagasco'!$E:$E,'Dec 31 2018 OFFS'!$U316,'T1 2019 Pipeline Data Lagasco'!$G:$G,'Dec 31 2018 OFFS'!$W316))/(MAX(COUNTIFS('T1 2019 Pipeline Data Lagasco'!$A:$A,'Dec 31 2018 OFFS'!$AI316,'T1 2019 Pipeline Data Lagasco'!$Q:$Q,'Dec 31 2018 OFFS'!$AK316,'T1 2019 Pipeline Data Lagasco'!$E:$E,'Dec 31 2018 OFFS'!$U316,'T1 2019 Pipeline Data Lagasco'!$G:$G,'Dec 31 2018 OFFS'!$W316),1))</f>
        <v>0</v>
      </c>
      <c r="AM316" s="274">
        <f t="shared" si="50"/>
        <v>0</v>
      </c>
    </row>
    <row r="317" spans="1:39" ht="12.7">
      <c r="A317" s="193" t="s">
        <v>909</v>
      </c>
      <c r="B317" s="40" t="s">
        <v>918</v>
      </c>
      <c r="C317" s="40" t="s">
        <v>1266</v>
      </c>
      <c r="D317" s="40" t="s">
        <v>1077</v>
      </c>
      <c r="E317" s="40" t="s">
        <v>17</v>
      </c>
      <c r="F317" s="139" t="s">
        <v>1051</v>
      </c>
      <c r="G317" s="41" t="s">
        <v>631</v>
      </c>
      <c r="H317" s="42">
        <v>42</v>
      </c>
      <c r="I317" s="43">
        <v>48</v>
      </c>
      <c r="J317" s="44">
        <v>12.936</v>
      </c>
      <c r="K317" s="45">
        <v>79</v>
      </c>
      <c r="L317" s="43">
        <v>25</v>
      </c>
      <c r="M317" s="46">
        <v>28.026</v>
      </c>
      <c r="N317" s="41" t="s">
        <v>629</v>
      </c>
      <c r="O317" s="42">
        <v>42</v>
      </c>
      <c r="P317" s="43">
        <v>48</v>
      </c>
      <c r="Q317" s="44">
        <v>1.9690000000000001</v>
      </c>
      <c r="R317" s="45">
        <v>79</v>
      </c>
      <c r="S317" s="43">
        <v>25</v>
      </c>
      <c r="T317" s="46">
        <v>36.209000000000003</v>
      </c>
      <c r="U317" s="40">
        <v>6</v>
      </c>
      <c r="V317" s="56">
        <v>1267.0603307599999</v>
      </c>
      <c r="W317" s="48">
        <v>1977</v>
      </c>
      <c r="X317" s="40"/>
      <c r="Y317" s="52" t="s">
        <v>1081</v>
      </c>
      <c r="Z317" s="40" t="s">
        <v>910</v>
      </c>
      <c r="AA317" s="49">
        <f t="shared" si="43"/>
        <v>0</v>
      </c>
      <c r="AB317" s="71">
        <f t="shared" si="44"/>
        <v>0.80</v>
      </c>
      <c r="AC317" s="49">
        <f t="shared" si="45"/>
        <v>0</v>
      </c>
      <c r="AD317" s="50">
        <f t="shared" si="46"/>
        <v>0</v>
      </c>
      <c r="AE317" s="50">
        <f t="shared" si="47"/>
        <v>0</v>
      </c>
      <c r="AF317" s="50">
        <f t="shared" si="48"/>
        <v>0</v>
      </c>
      <c r="AG317" s="199">
        <f t="shared" si="49"/>
        <v>0</v>
      </c>
      <c r="AH317" s="187"/>
      <c r="AI317" s="185" t="s">
        <v>1455</v>
      </c>
      <c r="AJ317" s="185"/>
      <c r="AK317" s="277">
        <f t="shared" si="42"/>
        <v>1267.06</v>
      </c>
      <c r="AL317" s="25">
        <f>(SUMIFS('T1 2019 Pipeline Data Lagasco'!$O:$O,'T1 2019 Pipeline Data Lagasco'!$A:$A,'Dec 31 2018 OFFS'!$AI317,'T1 2019 Pipeline Data Lagasco'!$Q:$Q,'Dec 31 2018 OFFS'!$AK317,'T1 2019 Pipeline Data Lagasco'!$E:$E,'Dec 31 2018 OFFS'!$U317,'T1 2019 Pipeline Data Lagasco'!$G:$G,'Dec 31 2018 OFFS'!$W317))/(MAX(COUNTIFS('T1 2019 Pipeline Data Lagasco'!$A:$A,'Dec 31 2018 OFFS'!$AI317,'T1 2019 Pipeline Data Lagasco'!$Q:$Q,'Dec 31 2018 OFFS'!$AK317,'T1 2019 Pipeline Data Lagasco'!$E:$E,'Dec 31 2018 OFFS'!$U317,'T1 2019 Pipeline Data Lagasco'!$G:$G,'Dec 31 2018 OFFS'!$W317),1))</f>
        <v>0</v>
      </c>
      <c r="AM317" s="274">
        <f t="shared" si="50"/>
        <v>0</v>
      </c>
    </row>
    <row r="318" spans="1:39" ht="12.7">
      <c r="A318" s="193" t="s">
        <v>909</v>
      </c>
      <c r="B318" s="40" t="s">
        <v>918</v>
      </c>
      <c r="C318" s="40" t="s">
        <v>1266</v>
      </c>
      <c r="D318" s="40" t="s">
        <v>1077</v>
      </c>
      <c r="E318" s="40" t="s">
        <v>17</v>
      </c>
      <c r="F318" s="40"/>
      <c r="G318" s="40" t="s">
        <v>614</v>
      </c>
      <c r="H318" s="42">
        <v>42</v>
      </c>
      <c r="I318" s="43">
        <v>47</v>
      </c>
      <c r="J318" s="44">
        <v>52.137999999999998</v>
      </c>
      <c r="K318" s="45">
        <v>79</v>
      </c>
      <c r="L318" s="43">
        <v>25</v>
      </c>
      <c r="M318" s="46">
        <v>14.098000000000001</v>
      </c>
      <c r="N318" s="41" t="s">
        <v>573</v>
      </c>
      <c r="O318" s="42">
        <v>42</v>
      </c>
      <c r="P318" s="43">
        <v>47</v>
      </c>
      <c r="Q318" s="44">
        <v>49.02</v>
      </c>
      <c r="R318" s="45">
        <v>79</v>
      </c>
      <c r="S318" s="43">
        <v>23</v>
      </c>
      <c r="T318" s="46">
        <v>57</v>
      </c>
      <c r="U318" s="40">
        <v>4</v>
      </c>
      <c r="V318" s="47">
        <v>5757.6441902139995</v>
      </c>
      <c r="W318" s="48">
        <v>1975</v>
      </c>
      <c r="X318" s="40"/>
      <c r="Y318" s="52" t="s">
        <v>1081</v>
      </c>
      <c r="Z318" s="40" t="s">
        <v>910</v>
      </c>
      <c r="AA318" s="49">
        <f t="shared" si="43"/>
        <v>152289.68883116028</v>
      </c>
      <c r="AB318" s="71">
        <f t="shared" si="44"/>
        <v>0.80</v>
      </c>
      <c r="AC318" s="49">
        <f t="shared" si="45"/>
        <v>30457.94</v>
      </c>
      <c r="AD318" s="50">
        <f t="shared" si="46"/>
        <v>0</v>
      </c>
      <c r="AE318" s="50">
        <f t="shared" si="47"/>
        <v>0</v>
      </c>
      <c r="AF318" s="50">
        <f t="shared" si="48"/>
        <v>30457.94</v>
      </c>
      <c r="AG318" s="199">
        <f t="shared" si="49"/>
        <v>30457</v>
      </c>
      <c r="AH318" s="187"/>
      <c r="AI318" s="185" t="s">
        <v>1455</v>
      </c>
      <c r="AJ318" s="185"/>
      <c r="AK318" s="277">
        <f t="shared" si="42"/>
        <v>5757.64</v>
      </c>
      <c r="AL318" s="25">
        <f>(SUMIFS('T1 2019 Pipeline Data Lagasco'!$O:$O,'T1 2019 Pipeline Data Lagasco'!$A:$A,'Dec 31 2018 OFFS'!$AI318,'T1 2019 Pipeline Data Lagasco'!$Q:$Q,'Dec 31 2018 OFFS'!$AK318,'T1 2019 Pipeline Data Lagasco'!$E:$E,'Dec 31 2018 OFFS'!$U318,'T1 2019 Pipeline Data Lagasco'!$G:$G,'Dec 31 2018 OFFS'!$W318))/(MAX(COUNTIFS('T1 2019 Pipeline Data Lagasco'!$A:$A,'Dec 31 2018 OFFS'!$AI318,'T1 2019 Pipeline Data Lagasco'!$Q:$Q,'Dec 31 2018 OFFS'!$AK318,'T1 2019 Pipeline Data Lagasco'!$E:$E,'Dec 31 2018 OFFS'!$U318,'T1 2019 Pipeline Data Lagasco'!$G:$G,'Dec 31 2018 OFFS'!$W318),1))</f>
        <v>30457</v>
      </c>
      <c r="AM318" s="274">
        <f t="shared" si="50"/>
        <v>0</v>
      </c>
    </row>
    <row r="319" spans="1:39" ht="12.7">
      <c r="A319" s="193" t="s">
        <v>909</v>
      </c>
      <c r="B319" s="40" t="s">
        <v>918</v>
      </c>
      <c r="C319" s="40" t="s">
        <v>1266</v>
      </c>
      <c r="D319" s="40" t="s">
        <v>1077</v>
      </c>
      <c r="E319" s="40" t="s">
        <v>17</v>
      </c>
      <c r="F319" s="139" t="s">
        <v>1051</v>
      </c>
      <c r="G319" s="41" t="s">
        <v>630</v>
      </c>
      <c r="H319" s="42">
        <v>42</v>
      </c>
      <c r="I319" s="43">
        <v>47</v>
      </c>
      <c r="J319" s="44">
        <v>54.061</v>
      </c>
      <c r="K319" s="45">
        <v>79</v>
      </c>
      <c r="L319" s="43">
        <v>25</v>
      </c>
      <c r="M319" s="46">
        <v>50.005</v>
      </c>
      <c r="N319" s="41" t="s">
        <v>545</v>
      </c>
      <c r="O319" s="42">
        <v>42</v>
      </c>
      <c r="P319" s="43">
        <v>47</v>
      </c>
      <c r="Q319" s="44">
        <v>49.02</v>
      </c>
      <c r="R319" s="45">
        <v>79</v>
      </c>
      <c r="S319" s="43">
        <v>26</v>
      </c>
      <c r="T319" s="46">
        <v>4.0199999999999996</v>
      </c>
      <c r="U319" s="40">
        <v>6</v>
      </c>
      <c r="V319" s="56">
        <v>1163.024900702</v>
      </c>
      <c r="W319" s="48">
        <v>1975</v>
      </c>
      <c r="X319" s="40"/>
      <c r="Y319" s="52" t="s">
        <v>1081</v>
      </c>
      <c r="Z319" s="40" t="s">
        <v>910</v>
      </c>
      <c r="AA319" s="49">
        <f t="shared" si="43"/>
        <v>0</v>
      </c>
      <c r="AB319" s="71">
        <f t="shared" si="44"/>
        <v>0.80</v>
      </c>
      <c r="AC319" s="49">
        <f t="shared" si="45"/>
        <v>0</v>
      </c>
      <c r="AD319" s="50">
        <f t="shared" si="46"/>
        <v>0</v>
      </c>
      <c r="AE319" s="50">
        <f t="shared" si="47"/>
        <v>0</v>
      </c>
      <c r="AF319" s="50">
        <f t="shared" si="48"/>
        <v>0</v>
      </c>
      <c r="AG319" s="199">
        <f t="shared" si="49"/>
        <v>0</v>
      </c>
      <c r="AH319" s="187"/>
      <c r="AI319" s="185" t="s">
        <v>1455</v>
      </c>
      <c r="AJ319" s="185"/>
      <c r="AK319" s="277">
        <f t="shared" si="42"/>
        <v>1163.02</v>
      </c>
      <c r="AL319" s="25">
        <f>(SUMIFS('T1 2019 Pipeline Data Lagasco'!$O:$O,'T1 2019 Pipeline Data Lagasco'!$A:$A,'Dec 31 2018 OFFS'!$AI319,'T1 2019 Pipeline Data Lagasco'!$Q:$Q,'Dec 31 2018 OFFS'!$AK319,'T1 2019 Pipeline Data Lagasco'!$E:$E,'Dec 31 2018 OFFS'!$U319,'T1 2019 Pipeline Data Lagasco'!$G:$G,'Dec 31 2018 OFFS'!$W319))/(MAX(COUNTIFS('T1 2019 Pipeline Data Lagasco'!$A:$A,'Dec 31 2018 OFFS'!$AI319,'T1 2019 Pipeline Data Lagasco'!$Q:$Q,'Dec 31 2018 OFFS'!$AK319,'T1 2019 Pipeline Data Lagasco'!$E:$E,'Dec 31 2018 OFFS'!$U319,'T1 2019 Pipeline Data Lagasco'!$G:$G,'Dec 31 2018 OFFS'!$W319),1))</f>
        <v>0</v>
      </c>
      <c r="AM319" s="274">
        <f t="shared" si="50"/>
        <v>0</v>
      </c>
    </row>
    <row r="320" spans="1:39" ht="12.7">
      <c r="A320" s="193" t="s">
        <v>909</v>
      </c>
      <c r="B320" s="40" t="s">
        <v>918</v>
      </c>
      <c r="C320" s="40" t="s">
        <v>1266</v>
      </c>
      <c r="D320" s="40" t="s">
        <v>1077</v>
      </c>
      <c r="E320" s="40" t="s">
        <v>17</v>
      </c>
      <c r="F320" s="40" t="s">
        <v>1051</v>
      </c>
      <c r="G320" s="41" t="s">
        <v>545</v>
      </c>
      <c r="H320" s="42">
        <v>42</v>
      </c>
      <c r="I320" s="43">
        <v>47</v>
      </c>
      <c r="J320" s="44">
        <v>49.02</v>
      </c>
      <c r="K320" s="45">
        <v>79</v>
      </c>
      <c r="L320" s="43">
        <v>26</v>
      </c>
      <c r="M320" s="46">
        <v>4.0199999999999996</v>
      </c>
      <c r="N320" s="40" t="s">
        <v>546</v>
      </c>
      <c r="O320" s="42">
        <v>42</v>
      </c>
      <c r="P320" s="43">
        <v>47</v>
      </c>
      <c r="Q320" s="44">
        <v>45</v>
      </c>
      <c r="R320" s="45">
        <v>79</v>
      </c>
      <c r="S320" s="43">
        <v>26</v>
      </c>
      <c r="T320" s="46">
        <v>13.98</v>
      </c>
      <c r="U320" s="40">
        <v>2</v>
      </c>
      <c r="V320" s="47">
        <v>846.91598597199993</v>
      </c>
      <c r="W320" s="48">
        <v>1977</v>
      </c>
      <c r="X320" s="40"/>
      <c r="Y320" s="52" t="s">
        <v>1081</v>
      </c>
      <c r="Z320" s="40" t="s">
        <v>910</v>
      </c>
      <c r="AA320" s="49">
        <f t="shared" si="43"/>
        <v>0</v>
      </c>
      <c r="AB320" s="71">
        <f t="shared" si="44"/>
        <v>0.80</v>
      </c>
      <c r="AC320" s="49">
        <f t="shared" si="45"/>
        <v>0</v>
      </c>
      <c r="AD320" s="50">
        <f t="shared" si="46"/>
        <v>0</v>
      </c>
      <c r="AE320" s="50">
        <f t="shared" si="47"/>
        <v>0</v>
      </c>
      <c r="AF320" s="50">
        <f t="shared" si="48"/>
        <v>0</v>
      </c>
      <c r="AG320" s="199">
        <f t="shared" si="49"/>
        <v>0</v>
      </c>
      <c r="AH320" s="187"/>
      <c r="AI320" s="185" t="s">
        <v>1455</v>
      </c>
      <c r="AJ320" s="185"/>
      <c r="AK320" s="277">
        <f t="shared" si="42"/>
        <v>846.92</v>
      </c>
      <c r="AL320" s="25">
        <f>(SUMIFS('T1 2019 Pipeline Data Lagasco'!$O:$O,'T1 2019 Pipeline Data Lagasco'!$A:$A,'Dec 31 2018 OFFS'!$AI320,'T1 2019 Pipeline Data Lagasco'!$Q:$Q,'Dec 31 2018 OFFS'!$AK320,'T1 2019 Pipeline Data Lagasco'!$E:$E,'Dec 31 2018 OFFS'!$U320,'T1 2019 Pipeline Data Lagasco'!$G:$G,'Dec 31 2018 OFFS'!$W320))/(MAX(COUNTIFS('T1 2019 Pipeline Data Lagasco'!$A:$A,'Dec 31 2018 OFFS'!$AI320,'T1 2019 Pipeline Data Lagasco'!$Q:$Q,'Dec 31 2018 OFFS'!$AK320,'T1 2019 Pipeline Data Lagasco'!$E:$E,'Dec 31 2018 OFFS'!$U320,'T1 2019 Pipeline Data Lagasco'!$G:$G,'Dec 31 2018 OFFS'!$W320),1))</f>
        <v>0</v>
      </c>
      <c r="AM320" s="274">
        <f t="shared" si="50"/>
        <v>0</v>
      </c>
    </row>
    <row r="321" spans="1:39" ht="12.7">
      <c r="A321" s="193" t="s">
        <v>909</v>
      </c>
      <c r="B321" s="40" t="s">
        <v>918</v>
      </c>
      <c r="C321" s="40" t="s">
        <v>1266</v>
      </c>
      <c r="D321" s="40" t="s">
        <v>1077</v>
      </c>
      <c r="E321" s="40" t="s">
        <v>17</v>
      </c>
      <c r="F321" s="40"/>
      <c r="G321" s="41" t="s">
        <v>545</v>
      </c>
      <c r="H321" s="42">
        <v>42</v>
      </c>
      <c r="I321" s="43">
        <v>47</v>
      </c>
      <c r="J321" s="44">
        <v>49.02</v>
      </c>
      <c r="K321" s="45">
        <v>79</v>
      </c>
      <c r="L321" s="43">
        <v>26</v>
      </c>
      <c r="M321" s="46">
        <v>4.0199999999999996</v>
      </c>
      <c r="N321" s="40" t="s">
        <v>1314</v>
      </c>
      <c r="O321" s="42">
        <v>42</v>
      </c>
      <c r="P321" s="43">
        <v>46</v>
      </c>
      <c r="Q321" s="44">
        <v>45</v>
      </c>
      <c r="R321" s="45">
        <v>79</v>
      </c>
      <c r="S321" s="43">
        <v>26</v>
      </c>
      <c r="T321" s="46">
        <v>13.98</v>
      </c>
      <c r="U321" s="40">
        <v>3</v>
      </c>
      <c r="V321" s="47">
        <v>6524.8029606479995</v>
      </c>
      <c r="W321" s="48">
        <v>1977</v>
      </c>
      <c r="X321" s="40"/>
      <c r="Y321" s="52" t="s">
        <v>1081</v>
      </c>
      <c r="Z321" s="40" t="s">
        <v>910</v>
      </c>
      <c r="AA321" s="49">
        <f t="shared" si="43"/>
        <v>153920.10184168629</v>
      </c>
      <c r="AB321" s="71">
        <f t="shared" si="44"/>
        <v>0.80</v>
      </c>
      <c r="AC321" s="49">
        <f t="shared" si="45"/>
        <v>30784.02</v>
      </c>
      <c r="AD321" s="50">
        <f t="shared" si="46"/>
        <v>0</v>
      </c>
      <c r="AE321" s="50">
        <f t="shared" si="47"/>
        <v>0</v>
      </c>
      <c r="AF321" s="50">
        <f t="shared" si="48"/>
        <v>30784.02</v>
      </c>
      <c r="AG321" s="199">
        <f t="shared" si="49"/>
        <v>30784</v>
      </c>
      <c r="AH321" s="187"/>
      <c r="AI321" s="185" t="s">
        <v>1455</v>
      </c>
      <c r="AJ321" s="185"/>
      <c r="AK321" s="277">
        <f t="shared" si="42"/>
        <v>6524.80</v>
      </c>
      <c r="AL321" s="25">
        <f>(SUMIFS('T1 2019 Pipeline Data Lagasco'!$O:$O,'T1 2019 Pipeline Data Lagasco'!$A:$A,'Dec 31 2018 OFFS'!$AI321,'T1 2019 Pipeline Data Lagasco'!$Q:$Q,'Dec 31 2018 OFFS'!$AK321,'T1 2019 Pipeline Data Lagasco'!$E:$E,'Dec 31 2018 OFFS'!$U321,'T1 2019 Pipeline Data Lagasco'!$G:$G,'Dec 31 2018 OFFS'!$W321))/(MAX(COUNTIFS('T1 2019 Pipeline Data Lagasco'!$A:$A,'Dec 31 2018 OFFS'!$AI321,'T1 2019 Pipeline Data Lagasco'!$Q:$Q,'Dec 31 2018 OFFS'!$AK321,'T1 2019 Pipeline Data Lagasco'!$E:$E,'Dec 31 2018 OFFS'!$U321,'T1 2019 Pipeline Data Lagasco'!$G:$G,'Dec 31 2018 OFFS'!$W321),1))</f>
        <v>30784</v>
      </c>
      <c r="AM321" s="274">
        <f t="shared" si="50"/>
        <v>0</v>
      </c>
    </row>
    <row r="322" spans="1:39" ht="12.7">
      <c r="A322" s="193" t="s">
        <v>909</v>
      </c>
      <c r="B322" s="40" t="s">
        <v>918</v>
      </c>
      <c r="C322" s="40" t="s">
        <v>1266</v>
      </c>
      <c r="D322" s="40" t="s">
        <v>1077</v>
      </c>
      <c r="E322" s="40" t="s">
        <v>17</v>
      </c>
      <c r="F322" s="40"/>
      <c r="G322" s="41" t="s">
        <v>545</v>
      </c>
      <c r="H322" s="42">
        <v>42</v>
      </c>
      <c r="I322" s="43">
        <v>47</v>
      </c>
      <c r="J322" s="44">
        <v>49.02</v>
      </c>
      <c r="K322" s="45">
        <v>79</v>
      </c>
      <c r="L322" s="43">
        <v>26</v>
      </c>
      <c r="M322" s="46">
        <v>4.0199999999999996</v>
      </c>
      <c r="N322" s="40" t="s">
        <v>614</v>
      </c>
      <c r="O322" s="42">
        <v>42</v>
      </c>
      <c r="P322" s="43">
        <v>47</v>
      </c>
      <c r="Q322" s="44">
        <v>49.02</v>
      </c>
      <c r="R322" s="45">
        <v>79</v>
      </c>
      <c r="S322" s="43">
        <v>25</v>
      </c>
      <c r="T322" s="46">
        <v>13.02</v>
      </c>
      <c r="U322" s="40">
        <v>4</v>
      </c>
      <c r="V322" s="47">
        <v>3802.9526457720003</v>
      </c>
      <c r="W322" s="48">
        <v>1975</v>
      </c>
      <c r="X322" s="40"/>
      <c r="Y322" s="52" t="s">
        <v>1081</v>
      </c>
      <c r="Z322" s="40" t="s">
        <v>910</v>
      </c>
      <c r="AA322" s="49">
        <f t="shared" si="43"/>
        <v>100588.0974806694</v>
      </c>
      <c r="AB322" s="71">
        <f t="shared" si="44"/>
        <v>0.80</v>
      </c>
      <c r="AC322" s="49">
        <f t="shared" si="45"/>
        <v>20117.62</v>
      </c>
      <c r="AD322" s="50">
        <f t="shared" si="46"/>
        <v>0</v>
      </c>
      <c r="AE322" s="50">
        <f t="shared" si="47"/>
        <v>0</v>
      </c>
      <c r="AF322" s="50">
        <f t="shared" si="48"/>
        <v>20117.62</v>
      </c>
      <c r="AG322" s="199">
        <f t="shared" si="49"/>
        <v>20117</v>
      </c>
      <c r="AH322" s="187"/>
      <c r="AI322" s="185" t="s">
        <v>1455</v>
      </c>
      <c r="AJ322" s="185"/>
      <c r="AK322" s="277">
        <f t="shared" si="42"/>
        <v>3802.95</v>
      </c>
      <c r="AL322" s="25">
        <f>(SUMIFS('T1 2019 Pipeline Data Lagasco'!$O:$O,'T1 2019 Pipeline Data Lagasco'!$A:$A,'Dec 31 2018 OFFS'!$AI322,'T1 2019 Pipeline Data Lagasco'!$Q:$Q,'Dec 31 2018 OFFS'!$AK322,'T1 2019 Pipeline Data Lagasco'!$E:$E,'Dec 31 2018 OFFS'!$U322,'T1 2019 Pipeline Data Lagasco'!$G:$G,'Dec 31 2018 OFFS'!$W322))/(MAX(COUNTIFS('T1 2019 Pipeline Data Lagasco'!$A:$A,'Dec 31 2018 OFFS'!$AI322,'T1 2019 Pipeline Data Lagasco'!$Q:$Q,'Dec 31 2018 OFFS'!$AK322,'T1 2019 Pipeline Data Lagasco'!$E:$E,'Dec 31 2018 OFFS'!$U322,'T1 2019 Pipeline Data Lagasco'!$G:$G,'Dec 31 2018 OFFS'!$W322),1))</f>
        <v>20117</v>
      </c>
      <c r="AM322" s="274">
        <f t="shared" si="50"/>
        <v>0</v>
      </c>
    </row>
    <row r="323" spans="1:39" ht="12.7">
      <c r="A323" s="193" t="s">
        <v>909</v>
      </c>
      <c r="B323" s="40" t="s">
        <v>918</v>
      </c>
      <c r="C323" s="40" t="s">
        <v>1266</v>
      </c>
      <c r="D323" s="40" t="s">
        <v>1077</v>
      </c>
      <c r="E323" s="40" t="s">
        <v>17</v>
      </c>
      <c r="F323" s="40"/>
      <c r="G323" s="41" t="s">
        <v>632</v>
      </c>
      <c r="H323" s="42" t="s">
        <v>78</v>
      </c>
      <c r="I323" s="43" t="s">
        <v>633</v>
      </c>
      <c r="J323" s="44">
        <v>45.96</v>
      </c>
      <c r="K323" s="45">
        <v>79</v>
      </c>
      <c r="L323" s="43">
        <v>27</v>
      </c>
      <c r="M323" s="46">
        <v>18.90</v>
      </c>
      <c r="N323" s="40" t="s">
        <v>547</v>
      </c>
      <c r="O323" s="42">
        <v>42</v>
      </c>
      <c r="P323" s="43">
        <v>47</v>
      </c>
      <c r="Q323" s="44">
        <v>48.195</v>
      </c>
      <c r="R323" s="45">
        <v>79</v>
      </c>
      <c r="S323" s="43">
        <v>28</v>
      </c>
      <c r="T323" s="46">
        <v>7.10</v>
      </c>
      <c r="U323" s="40">
        <v>6</v>
      </c>
      <c r="V323" s="56">
        <v>3601.2466148680001</v>
      </c>
      <c r="W323" s="48">
        <v>1975</v>
      </c>
      <c r="X323" s="40"/>
      <c r="Y323" s="52" t="s">
        <v>1081</v>
      </c>
      <c r="Z323" s="40" t="s">
        <v>910</v>
      </c>
      <c r="AA323" s="49">
        <f t="shared" si="43"/>
        <v>124711.17027287885</v>
      </c>
      <c r="AB323" s="71">
        <f t="shared" si="44"/>
        <v>0.80</v>
      </c>
      <c r="AC323" s="49">
        <f t="shared" si="45"/>
        <v>24942.23</v>
      </c>
      <c r="AD323" s="50">
        <f t="shared" si="46"/>
        <v>0</v>
      </c>
      <c r="AE323" s="50">
        <f t="shared" si="47"/>
        <v>0</v>
      </c>
      <c r="AF323" s="50">
        <f t="shared" si="48"/>
        <v>24942.23</v>
      </c>
      <c r="AG323" s="199">
        <f t="shared" si="49"/>
        <v>24942</v>
      </c>
      <c r="AH323" s="187"/>
      <c r="AI323" s="185" t="s">
        <v>1455</v>
      </c>
      <c r="AJ323" s="185"/>
      <c r="AK323" s="277">
        <f t="shared" si="51" ref="AK323:AK386">ROUND(V323,2)</f>
        <v>3601.25</v>
      </c>
      <c r="AL323" s="25">
        <f>(SUMIFS('T1 2019 Pipeline Data Lagasco'!$O:$O,'T1 2019 Pipeline Data Lagasco'!$A:$A,'Dec 31 2018 OFFS'!$AI323,'T1 2019 Pipeline Data Lagasco'!$Q:$Q,'Dec 31 2018 OFFS'!$AK323,'T1 2019 Pipeline Data Lagasco'!$E:$E,'Dec 31 2018 OFFS'!$U323,'T1 2019 Pipeline Data Lagasco'!$G:$G,'Dec 31 2018 OFFS'!$W323))/(MAX(COUNTIFS('T1 2019 Pipeline Data Lagasco'!$A:$A,'Dec 31 2018 OFFS'!$AI323,'T1 2019 Pipeline Data Lagasco'!$Q:$Q,'Dec 31 2018 OFFS'!$AK323,'T1 2019 Pipeline Data Lagasco'!$E:$E,'Dec 31 2018 OFFS'!$U323,'T1 2019 Pipeline Data Lagasco'!$G:$G,'Dec 31 2018 OFFS'!$W323),1))</f>
        <v>24942</v>
      </c>
      <c r="AM323" s="274">
        <f t="shared" si="50"/>
        <v>0</v>
      </c>
    </row>
    <row r="324" spans="1:39" ht="12.7">
      <c r="A324" s="193" t="s">
        <v>909</v>
      </c>
      <c r="B324" s="40" t="s">
        <v>918</v>
      </c>
      <c r="C324" s="40" t="s">
        <v>1266</v>
      </c>
      <c r="D324" s="40" t="s">
        <v>1077</v>
      </c>
      <c r="E324" s="40" t="s">
        <v>17</v>
      </c>
      <c r="F324" s="40"/>
      <c r="G324" s="41" t="s">
        <v>632</v>
      </c>
      <c r="H324" s="42" t="s">
        <v>78</v>
      </c>
      <c r="I324" s="43" t="s">
        <v>633</v>
      </c>
      <c r="J324" s="44">
        <v>45.96</v>
      </c>
      <c r="K324" s="45">
        <v>79</v>
      </c>
      <c r="L324" s="43">
        <v>27</v>
      </c>
      <c r="M324" s="46">
        <v>18.90</v>
      </c>
      <c r="N324" s="40" t="s">
        <v>542</v>
      </c>
      <c r="O324" s="42">
        <v>42</v>
      </c>
      <c r="P324" s="43">
        <v>47</v>
      </c>
      <c r="Q324" s="44">
        <v>45.994</v>
      </c>
      <c r="R324" s="45">
        <v>79</v>
      </c>
      <c r="S324" s="43">
        <v>27</v>
      </c>
      <c r="T324" s="46">
        <v>5.399</v>
      </c>
      <c r="U324" s="40">
        <v>6</v>
      </c>
      <c r="V324" s="56">
        <v>1006.758501028</v>
      </c>
      <c r="W324" s="48">
        <v>1975</v>
      </c>
      <c r="X324" s="40"/>
      <c r="Y324" s="52" t="s">
        <v>1081</v>
      </c>
      <c r="Z324" s="40" t="s">
        <v>910</v>
      </c>
      <c r="AA324" s="49">
        <f t="shared" si="52" ref="AA324:AA387">IF(F324="ABAND",0,(IF(Z324="steel",VLOOKUP(U324,steelrates,2,FALSE)*V324,VLOOKUP(U324,plasticrates,2,FALSE)*V324)))</f>
        <v>34864.046890599639</v>
      </c>
      <c r="AB324" s="71">
        <f t="shared" si="53" ref="AB324:AB387">IF(W324=0,0,(VLOOKUP(W324,depreciation,2)))</f>
        <v>0.80</v>
      </c>
      <c r="AC324" s="49">
        <f t="shared" si="54" ref="AC324:AC387">ROUND(+AA324-(+AA324*AB324),2)</f>
        <v>6972.81</v>
      </c>
      <c r="AD324" s="50">
        <f t="shared" si="55" ref="AD324:AD387">(IF(X324="LOOP",AC324*0.25,0))</f>
        <v>0</v>
      </c>
      <c r="AE324" s="50">
        <f t="shared" si="56" ref="AE324:AE387">(IF(F324="SUSP",AC324*0.2,0))</f>
        <v>0</v>
      </c>
      <c r="AF324" s="50">
        <f t="shared" si="57" ref="AF324:AF387">+AC324-AD324-AE324</f>
        <v>6972.81</v>
      </c>
      <c r="AG324" s="199">
        <f t="shared" si="58" ref="AG324:AG387">ROUNDDOWN(AF324,0)</f>
        <v>6972</v>
      </c>
      <c r="AH324" s="187"/>
      <c r="AI324" s="185" t="s">
        <v>1455</v>
      </c>
      <c r="AJ324" s="185"/>
      <c r="AK324" s="277">
        <f t="shared" si="51"/>
        <v>1006.76</v>
      </c>
      <c r="AL324" s="25">
        <f>(SUMIFS('T1 2019 Pipeline Data Lagasco'!$O:$O,'T1 2019 Pipeline Data Lagasco'!$A:$A,'Dec 31 2018 OFFS'!$AI324,'T1 2019 Pipeline Data Lagasco'!$Q:$Q,'Dec 31 2018 OFFS'!$AK324,'T1 2019 Pipeline Data Lagasco'!$E:$E,'Dec 31 2018 OFFS'!$U324,'T1 2019 Pipeline Data Lagasco'!$G:$G,'Dec 31 2018 OFFS'!$W324))/(MAX(COUNTIFS('T1 2019 Pipeline Data Lagasco'!$A:$A,'Dec 31 2018 OFFS'!$AI324,'T1 2019 Pipeline Data Lagasco'!$Q:$Q,'Dec 31 2018 OFFS'!$AK324,'T1 2019 Pipeline Data Lagasco'!$E:$E,'Dec 31 2018 OFFS'!$U324,'T1 2019 Pipeline Data Lagasco'!$G:$G,'Dec 31 2018 OFFS'!$W324),1))</f>
        <v>6972</v>
      </c>
      <c r="AM324" s="274">
        <f t="shared" si="59" ref="AM324:AM387">AG324-AL324</f>
        <v>0</v>
      </c>
    </row>
    <row r="325" spans="1:39" ht="12.7">
      <c r="A325" s="193" t="s">
        <v>909</v>
      </c>
      <c r="B325" s="40" t="s">
        <v>918</v>
      </c>
      <c r="C325" s="40" t="s">
        <v>1266</v>
      </c>
      <c r="D325" s="40" t="s">
        <v>1077</v>
      </c>
      <c r="E325" s="40" t="s">
        <v>17</v>
      </c>
      <c r="F325" s="40"/>
      <c r="G325" s="41" t="s">
        <v>632</v>
      </c>
      <c r="H325" s="42" t="s">
        <v>78</v>
      </c>
      <c r="I325" s="43" t="s">
        <v>633</v>
      </c>
      <c r="J325" s="44">
        <v>45.96</v>
      </c>
      <c r="K325" s="45">
        <v>79</v>
      </c>
      <c r="L325" s="43">
        <v>27</v>
      </c>
      <c r="M325" s="46">
        <v>18.90</v>
      </c>
      <c r="N325" s="40" t="s">
        <v>635</v>
      </c>
      <c r="O325" s="42">
        <v>42</v>
      </c>
      <c r="P325" s="43">
        <v>51</v>
      </c>
      <c r="Q325" s="44">
        <v>31.10</v>
      </c>
      <c r="R325" s="45">
        <v>79</v>
      </c>
      <c r="S325" s="43">
        <v>28</v>
      </c>
      <c r="T325" s="46">
        <v>17.239999999999998</v>
      </c>
      <c r="U325" s="40">
        <v>8</v>
      </c>
      <c r="V325" s="56">
        <v>23207.578068065999</v>
      </c>
      <c r="W325" s="48">
        <v>1977</v>
      </c>
      <c r="X325" s="40" t="s">
        <v>2</v>
      </c>
      <c r="Y325" s="52" t="s">
        <v>1081</v>
      </c>
      <c r="Z325" s="40" t="s">
        <v>910</v>
      </c>
      <c r="AA325" s="49">
        <f t="shared" si="52"/>
        <v>1144133.5987556537</v>
      </c>
      <c r="AB325" s="71">
        <f t="shared" si="53"/>
        <v>0.80</v>
      </c>
      <c r="AC325" s="49">
        <f t="shared" si="54"/>
        <v>228826.72</v>
      </c>
      <c r="AD325" s="50">
        <f t="shared" si="55"/>
        <v>57206.68</v>
      </c>
      <c r="AE325" s="50">
        <f t="shared" si="56"/>
        <v>0</v>
      </c>
      <c r="AF325" s="50">
        <f t="shared" si="57"/>
        <v>171620.04</v>
      </c>
      <c r="AG325" s="199">
        <f t="shared" si="58"/>
        <v>171620</v>
      </c>
      <c r="AH325" s="187"/>
      <c r="AI325" s="185" t="s">
        <v>1455</v>
      </c>
      <c r="AJ325" s="185"/>
      <c r="AK325" s="277">
        <f t="shared" si="51"/>
        <v>23207.58</v>
      </c>
      <c r="AL325" s="25">
        <f>(SUMIFS('T1 2019 Pipeline Data Lagasco'!$O:$O,'T1 2019 Pipeline Data Lagasco'!$A:$A,'Dec 31 2018 OFFS'!$AI325,'T1 2019 Pipeline Data Lagasco'!$Q:$Q,'Dec 31 2018 OFFS'!$AK325,'T1 2019 Pipeline Data Lagasco'!$E:$E,'Dec 31 2018 OFFS'!$U325,'T1 2019 Pipeline Data Lagasco'!$G:$G,'Dec 31 2018 OFFS'!$W325))/(MAX(COUNTIFS('T1 2019 Pipeline Data Lagasco'!$A:$A,'Dec 31 2018 OFFS'!$AI325,'T1 2019 Pipeline Data Lagasco'!$Q:$Q,'Dec 31 2018 OFFS'!$AK325,'T1 2019 Pipeline Data Lagasco'!$E:$E,'Dec 31 2018 OFFS'!$U325,'T1 2019 Pipeline Data Lagasco'!$G:$G,'Dec 31 2018 OFFS'!$W325),1))</f>
        <v>171620</v>
      </c>
      <c r="AM325" s="274">
        <f t="shared" si="59"/>
        <v>0</v>
      </c>
    </row>
    <row r="326" spans="1:39" ht="12.7">
      <c r="A326" s="193" t="s">
        <v>909</v>
      </c>
      <c r="B326" s="40" t="s">
        <v>918</v>
      </c>
      <c r="C326" s="40" t="s">
        <v>1266</v>
      </c>
      <c r="D326" s="40" t="s">
        <v>1077</v>
      </c>
      <c r="E326" s="40" t="s">
        <v>17</v>
      </c>
      <c r="F326" s="40"/>
      <c r="G326" s="41" t="s">
        <v>542</v>
      </c>
      <c r="H326" s="42">
        <v>42</v>
      </c>
      <c r="I326" s="43">
        <v>47</v>
      </c>
      <c r="J326" s="44">
        <v>45.994</v>
      </c>
      <c r="K326" s="45">
        <v>79</v>
      </c>
      <c r="L326" s="43">
        <v>27</v>
      </c>
      <c r="M326" s="46">
        <v>5.399</v>
      </c>
      <c r="N326" s="40" t="s">
        <v>545</v>
      </c>
      <c r="O326" s="42">
        <v>42</v>
      </c>
      <c r="P326" s="43">
        <v>47</v>
      </c>
      <c r="Q326" s="44">
        <v>49.02</v>
      </c>
      <c r="R326" s="45">
        <v>79</v>
      </c>
      <c r="S326" s="43">
        <v>26</v>
      </c>
      <c r="T326" s="46">
        <v>4.0199999999999996</v>
      </c>
      <c r="U326" s="40">
        <v>6</v>
      </c>
      <c r="V326" s="56">
        <v>4587.1389747680005</v>
      </c>
      <c r="W326" s="48">
        <v>1977</v>
      </c>
      <c r="X326" s="40"/>
      <c r="Y326" s="52" t="s">
        <v>1081</v>
      </c>
      <c r="Z326" s="40" t="s">
        <v>910</v>
      </c>
      <c r="AA326" s="49">
        <f t="shared" si="52"/>
        <v>158852.62269621587</v>
      </c>
      <c r="AB326" s="71">
        <f t="shared" si="53"/>
        <v>0.80</v>
      </c>
      <c r="AC326" s="49">
        <f t="shared" si="54"/>
        <v>31770.52</v>
      </c>
      <c r="AD326" s="50">
        <f t="shared" si="55"/>
        <v>0</v>
      </c>
      <c r="AE326" s="50">
        <f t="shared" si="56"/>
        <v>0</v>
      </c>
      <c r="AF326" s="50">
        <f t="shared" si="57"/>
        <v>31770.52</v>
      </c>
      <c r="AG326" s="199">
        <f t="shared" si="58"/>
        <v>31770</v>
      </c>
      <c r="AH326" s="187"/>
      <c r="AI326" s="185" t="s">
        <v>1455</v>
      </c>
      <c r="AJ326" s="185"/>
      <c r="AK326" s="277">
        <f t="shared" si="51"/>
        <v>4587.1400000000003</v>
      </c>
      <c r="AL326" s="25">
        <f>(SUMIFS('T1 2019 Pipeline Data Lagasco'!$O:$O,'T1 2019 Pipeline Data Lagasco'!$A:$A,'Dec 31 2018 OFFS'!$AI326,'T1 2019 Pipeline Data Lagasco'!$Q:$Q,'Dec 31 2018 OFFS'!$AK326,'T1 2019 Pipeline Data Lagasco'!$E:$E,'Dec 31 2018 OFFS'!$U326,'T1 2019 Pipeline Data Lagasco'!$G:$G,'Dec 31 2018 OFFS'!$W326))/(MAX(COUNTIFS('T1 2019 Pipeline Data Lagasco'!$A:$A,'Dec 31 2018 OFFS'!$AI326,'T1 2019 Pipeline Data Lagasco'!$Q:$Q,'Dec 31 2018 OFFS'!$AK326,'T1 2019 Pipeline Data Lagasco'!$E:$E,'Dec 31 2018 OFFS'!$U326,'T1 2019 Pipeline Data Lagasco'!$G:$G,'Dec 31 2018 OFFS'!$W326),1))</f>
        <v>31770</v>
      </c>
      <c r="AM326" s="274">
        <f t="shared" si="59"/>
        <v>0</v>
      </c>
    </row>
    <row r="327" spans="1:39" ht="12.7">
      <c r="A327" s="193" t="s">
        <v>909</v>
      </c>
      <c r="B327" s="40" t="s">
        <v>918</v>
      </c>
      <c r="C327" s="40" t="s">
        <v>1266</v>
      </c>
      <c r="D327" s="40" t="s">
        <v>1077</v>
      </c>
      <c r="E327" s="40" t="s">
        <v>17</v>
      </c>
      <c r="F327" s="40"/>
      <c r="G327" s="41" t="s">
        <v>547</v>
      </c>
      <c r="H327" s="42">
        <v>42</v>
      </c>
      <c r="I327" s="43">
        <v>47</v>
      </c>
      <c r="J327" s="44">
        <v>48.195</v>
      </c>
      <c r="K327" s="45">
        <v>79</v>
      </c>
      <c r="L327" s="43">
        <v>28</v>
      </c>
      <c r="M327" s="46">
        <v>7.10</v>
      </c>
      <c r="N327" s="40" t="s">
        <v>548</v>
      </c>
      <c r="O327" s="42">
        <v>42</v>
      </c>
      <c r="P327" s="43">
        <v>47</v>
      </c>
      <c r="Q327" s="44">
        <v>45</v>
      </c>
      <c r="R327" s="45">
        <v>79</v>
      </c>
      <c r="S327" s="43">
        <v>28</v>
      </c>
      <c r="T327" s="46">
        <v>13.02</v>
      </c>
      <c r="U327" s="40">
        <v>2</v>
      </c>
      <c r="V327" s="47">
        <v>547.27688703800004</v>
      </c>
      <c r="W327" s="48">
        <v>1977</v>
      </c>
      <c r="X327" s="40"/>
      <c r="Y327" s="52" t="s">
        <v>1081</v>
      </c>
      <c r="Z327" s="40" t="s">
        <v>910</v>
      </c>
      <c r="AA327" s="49">
        <f t="shared" si="52"/>
        <v>8887.7766454971206</v>
      </c>
      <c r="AB327" s="71">
        <f t="shared" si="53"/>
        <v>0.80</v>
      </c>
      <c r="AC327" s="49">
        <f t="shared" si="54"/>
        <v>1777.56</v>
      </c>
      <c r="AD327" s="50">
        <f t="shared" si="55"/>
        <v>0</v>
      </c>
      <c r="AE327" s="50">
        <f t="shared" si="56"/>
        <v>0</v>
      </c>
      <c r="AF327" s="50">
        <f t="shared" si="57"/>
        <v>1777.56</v>
      </c>
      <c r="AG327" s="199">
        <f t="shared" si="58"/>
        <v>1777</v>
      </c>
      <c r="AH327" s="187"/>
      <c r="AI327" s="185" t="s">
        <v>1455</v>
      </c>
      <c r="AJ327" s="185"/>
      <c r="AK327" s="277">
        <f t="shared" si="51"/>
        <v>547.28</v>
      </c>
      <c r="AL327" s="25">
        <f>(SUMIFS('T1 2019 Pipeline Data Lagasco'!$O:$O,'T1 2019 Pipeline Data Lagasco'!$A:$A,'Dec 31 2018 OFFS'!$AI327,'T1 2019 Pipeline Data Lagasco'!$Q:$Q,'Dec 31 2018 OFFS'!$AK327,'T1 2019 Pipeline Data Lagasco'!$E:$E,'Dec 31 2018 OFFS'!$U327,'T1 2019 Pipeline Data Lagasco'!$G:$G,'Dec 31 2018 OFFS'!$W327))/(MAX(COUNTIFS('T1 2019 Pipeline Data Lagasco'!$A:$A,'Dec 31 2018 OFFS'!$AI327,'T1 2019 Pipeline Data Lagasco'!$Q:$Q,'Dec 31 2018 OFFS'!$AK327,'T1 2019 Pipeline Data Lagasco'!$E:$E,'Dec 31 2018 OFFS'!$U327,'T1 2019 Pipeline Data Lagasco'!$G:$G,'Dec 31 2018 OFFS'!$W327),1))</f>
        <v>1777</v>
      </c>
      <c r="AM327" s="274">
        <f t="shared" si="59"/>
        <v>0</v>
      </c>
    </row>
    <row r="328" spans="1:39" ht="12.7">
      <c r="A328" s="193" t="s">
        <v>909</v>
      </c>
      <c r="B328" s="40" t="s">
        <v>918</v>
      </c>
      <c r="C328" s="40" t="s">
        <v>1266</v>
      </c>
      <c r="D328" s="40" t="s">
        <v>1077</v>
      </c>
      <c r="E328" s="40" t="s">
        <v>17</v>
      </c>
      <c r="F328" s="40"/>
      <c r="G328" s="41" t="s">
        <v>547</v>
      </c>
      <c r="H328" s="42">
        <v>42</v>
      </c>
      <c r="I328" s="43">
        <v>47</v>
      </c>
      <c r="J328" s="44">
        <v>48.195</v>
      </c>
      <c r="K328" s="45">
        <v>79</v>
      </c>
      <c r="L328" s="43">
        <v>28</v>
      </c>
      <c r="M328" s="46">
        <v>7.10</v>
      </c>
      <c r="N328" s="40" t="s">
        <v>563</v>
      </c>
      <c r="O328" s="42">
        <v>42</v>
      </c>
      <c r="P328" s="43">
        <v>47</v>
      </c>
      <c r="Q328" s="44">
        <v>48</v>
      </c>
      <c r="R328" s="45">
        <v>79</v>
      </c>
      <c r="S328" s="43">
        <v>29</v>
      </c>
      <c r="T328" s="46">
        <v>10.98</v>
      </c>
      <c r="U328" s="40">
        <v>6</v>
      </c>
      <c r="V328" s="56">
        <v>4763.3856888239998</v>
      </c>
      <c r="W328" s="48">
        <v>1994</v>
      </c>
      <c r="X328" s="40"/>
      <c r="Y328" s="52" t="s">
        <v>1081</v>
      </c>
      <c r="Z328" s="40" t="s">
        <v>910</v>
      </c>
      <c r="AA328" s="49">
        <f t="shared" si="52"/>
        <v>164956.04640397514</v>
      </c>
      <c r="AB328" s="71">
        <f t="shared" si="53"/>
        <v>0.68</v>
      </c>
      <c r="AC328" s="49">
        <f t="shared" si="54"/>
        <v>52785.93</v>
      </c>
      <c r="AD328" s="50">
        <f t="shared" si="55"/>
        <v>0</v>
      </c>
      <c r="AE328" s="50">
        <f t="shared" si="56"/>
        <v>0</v>
      </c>
      <c r="AF328" s="50">
        <f t="shared" si="57"/>
        <v>52785.93</v>
      </c>
      <c r="AG328" s="199">
        <f t="shared" si="58"/>
        <v>52785</v>
      </c>
      <c r="AH328" s="187"/>
      <c r="AI328" s="185" t="s">
        <v>1455</v>
      </c>
      <c r="AJ328" s="185"/>
      <c r="AK328" s="277">
        <f t="shared" si="51"/>
        <v>4763.3900000000003</v>
      </c>
      <c r="AL328" s="25">
        <f>(SUMIFS('T1 2019 Pipeline Data Lagasco'!$O:$O,'T1 2019 Pipeline Data Lagasco'!$A:$A,'Dec 31 2018 OFFS'!$AI328,'T1 2019 Pipeline Data Lagasco'!$Q:$Q,'Dec 31 2018 OFFS'!$AK328,'T1 2019 Pipeline Data Lagasco'!$E:$E,'Dec 31 2018 OFFS'!$U328,'T1 2019 Pipeline Data Lagasco'!$G:$G,'Dec 31 2018 OFFS'!$W328))/(MAX(COUNTIFS('T1 2019 Pipeline Data Lagasco'!$A:$A,'Dec 31 2018 OFFS'!$AI328,'T1 2019 Pipeline Data Lagasco'!$Q:$Q,'Dec 31 2018 OFFS'!$AK328,'T1 2019 Pipeline Data Lagasco'!$E:$E,'Dec 31 2018 OFFS'!$U328,'T1 2019 Pipeline Data Lagasco'!$G:$G,'Dec 31 2018 OFFS'!$W328),1))</f>
        <v>52785</v>
      </c>
      <c r="AM328" s="274">
        <f t="shared" si="59"/>
        <v>0</v>
      </c>
    </row>
    <row r="329" spans="1:39" ht="12.7">
      <c r="A329" s="193" t="s">
        <v>909</v>
      </c>
      <c r="B329" s="40" t="s">
        <v>918</v>
      </c>
      <c r="C329" s="40" t="s">
        <v>1266</v>
      </c>
      <c r="D329" s="40" t="s">
        <v>1077</v>
      </c>
      <c r="E329" s="40" t="s">
        <v>17</v>
      </c>
      <c r="F329" s="40"/>
      <c r="G329" s="41" t="s">
        <v>565</v>
      </c>
      <c r="H329" s="42">
        <v>42</v>
      </c>
      <c r="I329" s="43">
        <v>47</v>
      </c>
      <c r="J329" s="44">
        <v>49.02</v>
      </c>
      <c r="K329" s="45">
        <v>79</v>
      </c>
      <c r="L329" s="43">
        <v>29</v>
      </c>
      <c r="M329" s="46">
        <v>12</v>
      </c>
      <c r="N329" s="40" t="s">
        <v>563</v>
      </c>
      <c r="O329" s="42">
        <v>42</v>
      </c>
      <c r="P329" s="43">
        <v>47</v>
      </c>
      <c r="Q329" s="44">
        <v>48</v>
      </c>
      <c r="R329" s="45">
        <v>79</v>
      </c>
      <c r="S329" s="43">
        <v>29</v>
      </c>
      <c r="T329" s="46">
        <v>10.98</v>
      </c>
      <c r="U329" s="40">
        <v>3</v>
      </c>
      <c r="V329" s="56">
        <v>298</v>
      </c>
      <c r="W329" s="48">
        <v>2009</v>
      </c>
      <c r="X329" s="40"/>
      <c r="Y329" s="52" t="s">
        <v>1081</v>
      </c>
      <c r="Z329" s="40" t="s">
        <v>910</v>
      </c>
      <c r="AA329" s="49">
        <f t="shared" si="52"/>
        <v>7029.82</v>
      </c>
      <c r="AB329" s="71">
        <f t="shared" si="53"/>
        <v>0.44</v>
      </c>
      <c r="AC329" s="49">
        <f t="shared" si="54"/>
        <v>3936.70</v>
      </c>
      <c r="AD329" s="50">
        <f t="shared" si="55"/>
        <v>0</v>
      </c>
      <c r="AE329" s="50">
        <f t="shared" si="56"/>
        <v>0</v>
      </c>
      <c r="AF329" s="50">
        <f t="shared" si="57"/>
        <v>3936.70</v>
      </c>
      <c r="AG329" s="199">
        <f t="shared" si="58"/>
        <v>3936</v>
      </c>
      <c r="AH329" s="187"/>
      <c r="AI329" s="185" t="s">
        <v>1455</v>
      </c>
      <c r="AJ329" s="185"/>
      <c r="AK329" s="277">
        <f t="shared" si="51"/>
        <v>298</v>
      </c>
      <c r="AL329" s="25">
        <f>(SUMIFS('T1 2019 Pipeline Data Lagasco'!$O:$O,'T1 2019 Pipeline Data Lagasco'!$A:$A,'Dec 31 2018 OFFS'!$AI329,'T1 2019 Pipeline Data Lagasco'!$Q:$Q,'Dec 31 2018 OFFS'!$AK329,'T1 2019 Pipeline Data Lagasco'!$E:$E,'Dec 31 2018 OFFS'!$U329,'T1 2019 Pipeline Data Lagasco'!$G:$G,'Dec 31 2018 OFFS'!$W329))/(MAX(COUNTIFS('T1 2019 Pipeline Data Lagasco'!$A:$A,'Dec 31 2018 OFFS'!$AI329,'T1 2019 Pipeline Data Lagasco'!$Q:$Q,'Dec 31 2018 OFFS'!$AK329,'T1 2019 Pipeline Data Lagasco'!$E:$E,'Dec 31 2018 OFFS'!$U329,'T1 2019 Pipeline Data Lagasco'!$G:$G,'Dec 31 2018 OFFS'!$W329),1))</f>
        <v>3936</v>
      </c>
      <c r="AM329" s="274">
        <f t="shared" si="59"/>
        <v>0</v>
      </c>
    </row>
    <row r="330" spans="1:39" ht="12.7">
      <c r="A330" s="193" t="s">
        <v>909</v>
      </c>
      <c r="B330" s="40" t="s">
        <v>918</v>
      </c>
      <c r="C330" s="40" t="s">
        <v>1266</v>
      </c>
      <c r="D330" s="40" t="s">
        <v>1077</v>
      </c>
      <c r="E330" s="40" t="s">
        <v>17</v>
      </c>
      <c r="F330" s="40" t="s">
        <v>1051</v>
      </c>
      <c r="G330" s="41" t="s">
        <v>565</v>
      </c>
      <c r="H330" s="42">
        <v>42</v>
      </c>
      <c r="I330" s="43">
        <v>47</v>
      </c>
      <c r="J330" s="44">
        <v>49.02</v>
      </c>
      <c r="K330" s="45">
        <v>79</v>
      </c>
      <c r="L330" s="43">
        <v>29</v>
      </c>
      <c r="M330" s="46">
        <v>12</v>
      </c>
      <c r="N330" s="40" t="s">
        <v>563</v>
      </c>
      <c r="O330" s="42">
        <v>42</v>
      </c>
      <c r="P330" s="43">
        <v>47</v>
      </c>
      <c r="Q330" s="44">
        <v>48</v>
      </c>
      <c r="R330" s="45">
        <v>79</v>
      </c>
      <c r="S330" s="43">
        <v>29</v>
      </c>
      <c r="T330" s="44">
        <v>10.98</v>
      </c>
      <c r="U330" s="40">
        <v>3</v>
      </c>
      <c r="V330" s="47">
        <v>128.24802778200001</v>
      </c>
      <c r="W330" s="48">
        <v>1977</v>
      </c>
      <c r="X330" s="40"/>
      <c r="Y330" s="52" t="s">
        <v>1081</v>
      </c>
      <c r="Z330" s="40" t="s">
        <v>910</v>
      </c>
      <c r="AA330" s="49">
        <f t="shared" si="52"/>
        <v>0</v>
      </c>
      <c r="AB330" s="71">
        <f t="shared" si="53"/>
        <v>0.80</v>
      </c>
      <c r="AC330" s="49">
        <f t="shared" si="54"/>
        <v>0</v>
      </c>
      <c r="AD330" s="50">
        <f t="shared" si="55"/>
        <v>0</v>
      </c>
      <c r="AE330" s="50">
        <f t="shared" si="56"/>
        <v>0</v>
      </c>
      <c r="AF330" s="50">
        <f t="shared" si="57"/>
        <v>0</v>
      </c>
      <c r="AG330" s="199">
        <f t="shared" si="58"/>
        <v>0</v>
      </c>
      <c r="AH330" s="187"/>
      <c r="AI330" s="185" t="s">
        <v>1455</v>
      </c>
      <c r="AJ330" s="185"/>
      <c r="AK330" s="277">
        <f t="shared" si="51"/>
        <v>128.25</v>
      </c>
      <c r="AL330" s="25">
        <f>(SUMIFS('T1 2019 Pipeline Data Lagasco'!$O:$O,'T1 2019 Pipeline Data Lagasco'!$A:$A,'Dec 31 2018 OFFS'!$AI330,'T1 2019 Pipeline Data Lagasco'!$Q:$Q,'Dec 31 2018 OFFS'!$AK330,'T1 2019 Pipeline Data Lagasco'!$E:$E,'Dec 31 2018 OFFS'!$U330,'T1 2019 Pipeline Data Lagasco'!$G:$G,'Dec 31 2018 OFFS'!$W330))/(MAX(COUNTIFS('T1 2019 Pipeline Data Lagasco'!$A:$A,'Dec 31 2018 OFFS'!$AI330,'T1 2019 Pipeline Data Lagasco'!$Q:$Q,'Dec 31 2018 OFFS'!$AK330,'T1 2019 Pipeline Data Lagasco'!$E:$E,'Dec 31 2018 OFFS'!$U330,'T1 2019 Pipeline Data Lagasco'!$G:$G,'Dec 31 2018 OFFS'!$W330),1))</f>
        <v>0</v>
      </c>
      <c r="AM330" s="274">
        <f t="shared" si="59"/>
        <v>0</v>
      </c>
    </row>
    <row r="331" spans="1:39" ht="12.7">
      <c r="A331" s="193" t="s">
        <v>909</v>
      </c>
      <c r="B331" s="40" t="s">
        <v>918</v>
      </c>
      <c r="C331" s="40" t="s">
        <v>1266</v>
      </c>
      <c r="D331" s="40" t="s">
        <v>1077</v>
      </c>
      <c r="E331" s="40" t="s">
        <v>138</v>
      </c>
      <c r="F331" s="40"/>
      <c r="G331" s="41" t="s">
        <v>563</v>
      </c>
      <c r="H331" s="42">
        <v>42</v>
      </c>
      <c r="I331" s="43">
        <v>47</v>
      </c>
      <c r="J331" s="44">
        <v>48</v>
      </c>
      <c r="K331" s="45">
        <v>79</v>
      </c>
      <c r="L331" s="43">
        <v>29</v>
      </c>
      <c r="M331" s="46">
        <v>10.98</v>
      </c>
      <c r="N331" s="40" t="s">
        <v>566</v>
      </c>
      <c r="O331" s="42">
        <v>42</v>
      </c>
      <c r="P331" s="43">
        <v>46</v>
      </c>
      <c r="Q331" s="44">
        <v>45.531999999999996</v>
      </c>
      <c r="R331" s="45">
        <v>79</v>
      </c>
      <c r="S331" s="43">
        <v>29</v>
      </c>
      <c r="T331" s="46">
        <v>13.327999999999999</v>
      </c>
      <c r="U331" s="40">
        <v>3</v>
      </c>
      <c r="V331" s="47">
        <v>6327.5916802700003</v>
      </c>
      <c r="W331" s="48">
        <v>1984</v>
      </c>
      <c r="X331" s="40"/>
      <c r="Y331" s="52" t="s">
        <v>1081</v>
      </c>
      <c r="Z331" s="40" t="s">
        <v>910</v>
      </c>
      <c r="AA331" s="49">
        <f t="shared" si="52"/>
        <v>149267.88773756931</v>
      </c>
      <c r="AB331" s="71">
        <f t="shared" si="53"/>
        <v>0.80</v>
      </c>
      <c r="AC331" s="49">
        <f t="shared" si="54"/>
        <v>29853.58</v>
      </c>
      <c r="AD331" s="50">
        <f t="shared" si="55"/>
        <v>0</v>
      </c>
      <c r="AE331" s="50">
        <f t="shared" si="56"/>
        <v>0</v>
      </c>
      <c r="AF331" s="50">
        <f t="shared" si="57"/>
        <v>29853.58</v>
      </c>
      <c r="AG331" s="199">
        <f t="shared" si="58"/>
        <v>29853</v>
      </c>
      <c r="AH331" s="187"/>
      <c r="AI331" s="185" t="s">
        <v>1455</v>
      </c>
      <c r="AJ331" s="185"/>
      <c r="AK331" s="277">
        <f t="shared" si="51"/>
        <v>6327.59</v>
      </c>
      <c r="AL331" s="25">
        <f>(SUMIFS('T1 2019 Pipeline Data Lagasco'!$O:$O,'T1 2019 Pipeline Data Lagasco'!$A:$A,'Dec 31 2018 OFFS'!$AI331,'T1 2019 Pipeline Data Lagasco'!$Q:$Q,'Dec 31 2018 OFFS'!$AK331,'T1 2019 Pipeline Data Lagasco'!$E:$E,'Dec 31 2018 OFFS'!$U331,'T1 2019 Pipeline Data Lagasco'!$G:$G,'Dec 31 2018 OFFS'!$W331))/(MAX(COUNTIFS('T1 2019 Pipeline Data Lagasco'!$A:$A,'Dec 31 2018 OFFS'!$AI331,'T1 2019 Pipeline Data Lagasco'!$Q:$Q,'Dec 31 2018 OFFS'!$AK331,'T1 2019 Pipeline Data Lagasco'!$E:$E,'Dec 31 2018 OFFS'!$U331,'T1 2019 Pipeline Data Lagasco'!$G:$G,'Dec 31 2018 OFFS'!$W331),1))</f>
        <v>29853</v>
      </c>
      <c r="AM331" s="274">
        <f t="shared" si="59"/>
        <v>0</v>
      </c>
    </row>
    <row r="332" spans="1:39" ht="12.7">
      <c r="A332" s="193" t="s">
        <v>909</v>
      </c>
      <c r="B332" s="40" t="s">
        <v>918</v>
      </c>
      <c r="C332" s="40" t="s">
        <v>1266</v>
      </c>
      <c r="D332" s="40" t="s">
        <v>1077</v>
      </c>
      <c r="E332" s="40" t="s">
        <v>138</v>
      </c>
      <c r="F332" s="40"/>
      <c r="G332" s="41" t="s">
        <v>567</v>
      </c>
      <c r="H332" s="42">
        <v>42</v>
      </c>
      <c r="I332" s="43">
        <v>47</v>
      </c>
      <c r="J332" s="44">
        <v>28.959</v>
      </c>
      <c r="K332" s="45">
        <v>79</v>
      </c>
      <c r="L332" s="43">
        <v>29</v>
      </c>
      <c r="M332" s="46">
        <v>12.222</v>
      </c>
      <c r="N332" s="41" t="s">
        <v>565</v>
      </c>
      <c r="O332" s="42">
        <v>42</v>
      </c>
      <c r="P332" s="43">
        <v>47</v>
      </c>
      <c r="Q332" s="44">
        <v>49.02</v>
      </c>
      <c r="R332" s="45">
        <v>79</v>
      </c>
      <c r="S332" s="43">
        <v>29</v>
      </c>
      <c r="T332" s="46">
        <v>12</v>
      </c>
      <c r="U332" s="40">
        <v>3</v>
      </c>
      <c r="V332" s="47">
        <v>2031.3319621699998</v>
      </c>
      <c r="W332" s="48">
        <v>1984</v>
      </c>
      <c r="X332" s="40"/>
      <c r="Y332" s="52" t="s">
        <v>1081</v>
      </c>
      <c r="Z332" s="40" t="s">
        <v>910</v>
      </c>
      <c r="AA332" s="49">
        <f t="shared" si="52"/>
        <v>47919.120987590293</v>
      </c>
      <c r="AB332" s="71">
        <f t="shared" si="53"/>
        <v>0.80</v>
      </c>
      <c r="AC332" s="49">
        <f t="shared" si="54"/>
        <v>9583.82</v>
      </c>
      <c r="AD332" s="50">
        <f t="shared" si="55"/>
        <v>0</v>
      </c>
      <c r="AE332" s="50">
        <f t="shared" si="56"/>
        <v>0</v>
      </c>
      <c r="AF332" s="50">
        <f t="shared" si="57"/>
        <v>9583.82</v>
      </c>
      <c r="AG332" s="199">
        <f t="shared" si="58"/>
        <v>9583</v>
      </c>
      <c r="AH332" s="187"/>
      <c r="AI332" s="185" t="s">
        <v>1455</v>
      </c>
      <c r="AJ332" s="185"/>
      <c r="AK332" s="277">
        <f t="shared" si="51"/>
        <v>2031.33</v>
      </c>
      <c r="AL332" s="25">
        <f>(SUMIFS('T1 2019 Pipeline Data Lagasco'!$O:$O,'T1 2019 Pipeline Data Lagasco'!$A:$A,'Dec 31 2018 OFFS'!$AI332,'T1 2019 Pipeline Data Lagasco'!$Q:$Q,'Dec 31 2018 OFFS'!$AK332,'T1 2019 Pipeline Data Lagasco'!$E:$E,'Dec 31 2018 OFFS'!$U332,'T1 2019 Pipeline Data Lagasco'!$G:$G,'Dec 31 2018 OFFS'!$W332))/(MAX(COUNTIFS('T1 2019 Pipeline Data Lagasco'!$A:$A,'Dec 31 2018 OFFS'!$AI332,'T1 2019 Pipeline Data Lagasco'!$Q:$Q,'Dec 31 2018 OFFS'!$AK332,'T1 2019 Pipeline Data Lagasco'!$E:$E,'Dec 31 2018 OFFS'!$U332,'T1 2019 Pipeline Data Lagasco'!$G:$G,'Dec 31 2018 OFFS'!$W332),1))</f>
        <v>9583</v>
      </c>
      <c r="AM332" s="274">
        <f t="shared" si="59"/>
        <v>0</v>
      </c>
    </row>
    <row r="333" spans="1:39" ht="12.7">
      <c r="A333" s="193" t="s">
        <v>909</v>
      </c>
      <c r="B333" s="40" t="s">
        <v>918</v>
      </c>
      <c r="C333" s="40" t="s">
        <v>1266</v>
      </c>
      <c r="D333" s="40" t="s">
        <v>1077</v>
      </c>
      <c r="E333" s="40" t="s">
        <v>17</v>
      </c>
      <c r="F333" s="40"/>
      <c r="G333" s="41" t="s">
        <v>566</v>
      </c>
      <c r="H333" s="42">
        <v>42</v>
      </c>
      <c r="I333" s="43">
        <v>46</v>
      </c>
      <c r="J333" s="44">
        <v>45.531999999999996</v>
      </c>
      <c r="K333" s="45">
        <v>79</v>
      </c>
      <c r="L333" s="43">
        <v>29</v>
      </c>
      <c r="M333" s="46">
        <v>13.327999999999999</v>
      </c>
      <c r="N333" s="41" t="s">
        <v>568</v>
      </c>
      <c r="O333" s="42">
        <v>42</v>
      </c>
      <c r="P333" s="43">
        <v>45</v>
      </c>
      <c r="Q333" s="44">
        <v>30</v>
      </c>
      <c r="R333" s="45">
        <v>79</v>
      </c>
      <c r="S333" s="43">
        <v>29</v>
      </c>
      <c r="T333" s="46">
        <v>28.98</v>
      </c>
      <c r="U333" s="40">
        <v>3</v>
      </c>
      <c r="V333" s="47">
        <v>7736.5155239820006</v>
      </c>
      <c r="W333" s="48">
        <v>1977</v>
      </c>
      <c r="X333" s="40"/>
      <c r="Y333" s="52" t="s">
        <v>1081</v>
      </c>
      <c r="Z333" s="40" t="s">
        <v>910</v>
      </c>
      <c r="AA333" s="49">
        <f t="shared" si="52"/>
        <v>182504.40121073541</v>
      </c>
      <c r="AB333" s="71">
        <f t="shared" si="53"/>
        <v>0.80</v>
      </c>
      <c r="AC333" s="49">
        <f t="shared" si="54"/>
        <v>36500.879999999997</v>
      </c>
      <c r="AD333" s="50">
        <f t="shared" si="55"/>
        <v>0</v>
      </c>
      <c r="AE333" s="50">
        <f t="shared" si="56"/>
        <v>0</v>
      </c>
      <c r="AF333" s="50">
        <f t="shared" si="57"/>
        <v>36500.879999999997</v>
      </c>
      <c r="AG333" s="199">
        <f t="shared" si="58"/>
        <v>36500</v>
      </c>
      <c r="AH333" s="187"/>
      <c r="AI333" s="185" t="s">
        <v>1455</v>
      </c>
      <c r="AJ333" s="185"/>
      <c r="AK333" s="277">
        <f t="shared" si="51"/>
        <v>7736.52</v>
      </c>
      <c r="AL333" s="25">
        <f>(SUMIFS('T1 2019 Pipeline Data Lagasco'!$O:$O,'T1 2019 Pipeline Data Lagasco'!$A:$A,'Dec 31 2018 OFFS'!$AI333,'T1 2019 Pipeline Data Lagasco'!$Q:$Q,'Dec 31 2018 OFFS'!$AK333,'T1 2019 Pipeline Data Lagasco'!$E:$E,'Dec 31 2018 OFFS'!$U333,'T1 2019 Pipeline Data Lagasco'!$G:$G,'Dec 31 2018 OFFS'!$W333))/(MAX(COUNTIFS('T1 2019 Pipeline Data Lagasco'!$A:$A,'Dec 31 2018 OFFS'!$AI333,'T1 2019 Pipeline Data Lagasco'!$Q:$Q,'Dec 31 2018 OFFS'!$AK333,'T1 2019 Pipeline Data Lagasco'!$E:$E,'Dec 31 2018 OFFS'!$U333,'T1 2019 Pipeline Data Lagasco'!$G:$G,'Dec 31 2018 OFFS'!$W333),1))</f>
        <v>36500</v>
      </c>
      <c r="AM333" s="274">
        <f t="shared" si="59"/>
        <v>0</v>
      </c>
    </row>
    <row r="334" spans="1:39" ht="12.7">
      <c r="A334" s="193" t="s">
        <v>909</v>
      </c>
      <c r="B334" s="40" t="s">
        <v>918</v>
      </c>
      <c r="C334" s="40" t="s">
        <v>1266</v>
      </c>
      <c r="D334" s="40" t="s">
        <v>1077</v>
      </c>
      <c r="E334" s="40" t="s">
        <v>17</v>
      </c>
      <c r="F334" s="40"/>
      <c r="G334" s="41" t="s">
        <v>1314</v>
      </c>
      <c r="H334" s="42">
        <v>42</v>
      </c>
      <c r="I334" s="43">
        <v>46</v>
      </c>
      <c r="J334" s="44">
        <v>45</v>
      </c>
      <c r="K334" s="45">
        <v>79</v>
      </c>
      <c r="L334" s="43">
        <v>26</v>
      </c>
      <c r="M334" s="46">
        <v>13.98</v>
      </c>
      <c r="N334" s="41" t="s">
        <v>549</v>
      </c>
      <c r="O334" s="42">
        <v>42</v>
      </c>
      <c r="P334" s="43">
        <v>46</v>
      </c>
      <c r="Q334" s="44">
        <v>46.98</v>
      </c>
      <c r="R334" s="45">
        <v>79</v>
      </c>
      <c r="S334" s="43">
        <v>25</v>
      </c>
      <c r="T334" s="46">
        <v>13.98</v>
      </c>
      <c r="U334" s="40">
        <v>2</v>
      </c>
      <c r="V334" s="47">
        <v>4479.8227049099996</v>
      </c>
      <c r="W334" s="48">
        <v>1978</v>
      </c>
      <c r="X334" s="40"/>
      <c r="Y334" s="52" t="s">
        <v>1081</v>
      </c>
      <c r="Z334" s="40" t="s">
        <v>910</v>
      </c>
      <c r="AA334" s="49">
        <f t="shared" si="52"/>
        <v>72752.320727738392</v>
      </c>
      <c r="AB334" s="71">
        <f t="shared" si="53"/>
        <v>0.80</v>
      </c>
      <c r="AC334" s="49">
        <f t="shared" si="54"/>
        <v>14550.46</v>
      </c>
      <c r="AD334" s="50">
        <f t="shared" si="55"/>
        <v>0</v>
      </c>
      <c r="AE334" s="50">
        <f t="shared" si="56"/>
        <v>0</v>
      </c>
      <c r="AF334" s="50">
        <f t="shared" si="57"/>
        <v>14550.46</v>
      </c>
      <c r="AG334" s="199">
        <f t="shared" si="58"/>
        <v>14550</v>
      </c>
      <c r="AH334" s="187"/>
      <c r="AI334" s="185" t="s">
        <v>1455</v>
      </c>
      <c r="AJ334" s="185"/>
      <c r="AK334" s="277">
        <f t="shared" si="51"/>
        <v>4479.82</v>
      </c>
      <c r="AL334" s="25">
        <f>(SUMIFS('T1 2019 Pipeline Data Lagasco'!$O:$O,'T1 2019 Pipeline Data Lagasco'!$A:$A,'Dec 31 2018 OFFS'!$AI334,'T1 2019 Pipeline Data Lagasco'!$Q:$Q,'Dec 31 2018 OFFS'!$AK334,'T1 2019 Pipeline Data Lagasco'!$E:$E,'Dec 31 2018 OFFS'!$U334,'T1 2019 Pipeline Data Lagasco'!$G:$G,'Dec 31 2018 OFFS'!$W334))/(MAX(COUNTIFS('T1 2019 Pipeline Data Lagasco'!$A:$A,'Dec 31 2018 OFFS'!$AI334,'T1 2019 Pipeline Data Lagasco'!$Q:$Q,'Dec 31 2018 OFFS'!$AK334,'T1 2019 Pipeline Data Lagasco'!$E:$E,'Dec 31 2018 OFFS'!$U334,'T1 2019 Pipeline Data Lagasco'!$G:$G,'Dec 31 2018 OFFS'!$W334),1))</f>
        <v>14550</v>
      </c>
      <c r="AM334" s="274">
        <f t="shared" si="59"/>
        <v>0</v>
      </c>
    </row>
    <row r="335" spans="1:39" ht="12.7">
      <c r="A335" s="193" t="s">
        <v>909</v>
      </c>
      <c r="B335" s="40" t="s">
        <v>918</v>
      </c>
      <c r="C335" s="40" t="s">
        <v>1266</v>
      </c>
      <c r="D335" s="40" t="s">
        <v>1077</v>
      </c>
      <c r="E335" s="40" t="s">
        <v>17</v>
      </c>
      <c r="F335" s="40"/>
      <c r="G335" s="41" t="s">
        <v>569</v>
      </c>
      <c r="H335" s="42">
        <v>42</v>
      </c>
      <c r="I335" s="43">
        <v>48</v>
      </c>
      <c r="J335" s="44">
        <v>45</v>
      </c>
      <c r="K335" s="45">
        <v>79</v>
      </c>
      <c r="L335" s="43">
        <v>23</v>
      </c>
      <c r="M335" s="46">
        <v>16.02</v>
      </c>
      <c r="N335" s="40" t="s">
        <v>570</v>
      </c>
      <c r="O335" s="42">
        <v>42</v>
      </c>
      <c r="P335" s="43">
        <v>47</v>
      </c>
      <c r="Q335" s="44">
        <v>45</v>
      </c>
      <c r="R335" s="45">
        <v>79</v>
      </c>
      <c r="S335" s="43">
        <v>22</v>
      </c>
      <c r="T335" s="46">
        <v>13.98</v>
      </c>
      <c r="U335" s="40">
        <v>3</v>
      </c>
      <c r="V335" s="47">
        <v>7635.9249757139987</v>
      </c>
      <c r="W335" s="48">
        <v>1977</v>
      </c>
      <c r="X335" s="40"/>
      <c r="Y335" s="52" t="s">
        <v>1081</v>
      </c>
      <c r="Z335" s="40" t="s">
        <v>910</v>
      </c>
      <c r="AA335" s="49">
        <f t="shared" si="52"/>
        <v>180131.47017709323</v>
      </c>
      <c r="AB335" s="71">
        <f t="shared" si="53"/>
        <v>0.80</v>
      </c>
      <c r="AC335" s="49">
        <f t="shared" si="54"/>
        <v>36026.29</v>
      </c>
      <c r="AD335" s="50">
        <f t="shared" si="55"/>
        <v>0</v>
      </c>
      <c r="AE335" s="50">
        <f t="shared" si="56"/>
        <v>0</v>
      </c>
      <c r="AF335" s="50">
        <f t="shared" si="57"/>
        <v>36026.29</v>
      </c>
      <c r="AG335" s="199">
        <f t="shared" si="58"/>
        <v>36026</v>
      </c>
      <c r="AH335" s="187"/>
      <c r="AI335" s="185" t="s">
        <v>1455</v>
      </c>
      <c r="AJ335" s="185"/>
      <c r="AK335" s="277">
        <f t="shared" si="51"/>
        <v>7635.92</v>
      </c>
      <c r="AL335" s="25">
        <f>(SUMIFS('T1 2019 Pipeline Data Lagasco'!$O:$O,'T1 2019 Pipeline Data Lagasco'!$A:$A,'Dec 31 2018 OFFS'!$AI335,'T1 2019 Pipeline Data Lagasco'!$Q:$Q,'Dec 31 2018 OFFS'!$AK335,'T1 2019 Pipeline Data Lagasco'!$E:$E,'Dec 31 2018 OFFS'!$U335,'T1 2019 Pipeline Data Lagasco'!$G:$G,'Dec 31 2018 OFFS'!$W335))/(MAX(COUNTIFS('T1 2019 Pipeline Data Lagasco'!$A:$A,'Dec 31 2018 OFFS'!$AI335,'T1 2019 Pipeline Data Lagasco'!$Q:$Q,'Dec 31 2018 OFFS'!$AK335,'T1 2019 Pipeline Data Lagasco'!$E:$E,'Dec 31 2018 OFFS'!$U335,'T1 2019 Pipeline Data Lagasco'!$G:$G,'Dec 31 2018 OFFS'!$W335),1))</f>
        <v>36026</v>
      </c>
      <c r="AM335" s="274">
        <f t="shared" si="59"/>
        <v>0</v>
      </c>
    </row>
    <row r="336" spans="1:39" ht="12.7">
      <c r="A336" s="193" t="s">
        <v>909</v>
      </c>
      <c r="B336" s="40" t="s">
        <v>918</v>
      </c>
      <c r="C336" s="40" t="s">
        <v>1266</v>
      </c>
      <c r="D336" s="40" t="s">
        <v>1077</v>
      </c>
      <c r="E336" s="40" t="s">
        <v>17</v>
      </c>
      <c r="F336" s="40"/>
      <c r="G336" s="155" t="s">
        <v>1404</v>
      </c>
      <c r="H336" s="42">
        <v>42</v>
      </c>
      <c r="I336" s="43">
        <v>48</v>
      </c>
      <c r="J336" s="44">
        <v>15</v>
      </c>
      <c r="K336" s="45">
        <v>79</v>
      </c>
      <c r="L336" s="43">
        <v>22</v>
      </c>
      <c r="M336" s="46">
        <v>43.98</v>
      </c>
      <c r="N336" s="40" t="s">
        <v>13</v>
      </c>
      <c r="O336" s="42">
        <v>42</v>
      </c>
      <c r="P336" s="43">
        <v>48</v>
      </c>
      <c r="Q336" s="44">
        <v>21.45</v>
      </c>
      <c r="R336" s="45">
        <v>79</v>
      </c>
      <c r="S336" s="43">
        <v>22</v>
      </c>
      <c r="T336" s="46">
        <v>25.75</v>
      </c>
      <c r="U336" s="40">
        <v>3</v>
      </c>
      <c r="V336" s="47">
        <v>1507.9723972739998</v>
      </c>
      <c r="W336" s="48">
        <v>1977</v>
      </c>
      <c r="X336" s="40"/>
      <c r="Y336" s="52" t="s">
        <v>1081</v>
      </c>
      <c r="Z336" s="40" t="s">
        <v>910</v>
      </c>
      <c r="AA336" s="49">
        <f t="shared" si="52"/>
        <v>35573.068851693657</v>
      </c>
      <c r="AB336" s="71">
        <f t="shared" si="53"/>
        <v>0.80</v>
      </c>
      <c r="AC336" s="49">
        <f t="shared" si="54"/>
        <v>7114.61</v>
      </c>
      <c r="AD336" s="50">
        <f t="shared" si="55"/>
        <v>0</v>
      </c>
      <c r="AE336" s="50">
        <f t="shared" si="56"/>
        <v>0</v>
      </c>
      <c r="AF336" s="50">
        <f t="shared" si="57"/>
        <v>7114.61</v>
      </c>
      <c r="AG336" s="199">
        <f t="shared" si="58"/>
        <v>7114</v>
      </c>
      <c r="AH336" s="187"/>
      <c r="AI336" s="185" t="s">
        <v>1455</v>
      </c>
      <c r="AJ336" s="185"/>
      <c r="AK336" s="277">
        <f t="shared" si="51"/>
        <v>1507.97</v>
      </c>
      <c r="AL336" s="25">
        <f>(SUMIFS('T1 2019 Pipeline Data Lagasco'!$O:$O,'T1 2019 Pipeline Data Lagasco'!$A:$A,'Dec 31 2018 OFFS'!$AI336,'T1 2019 Pipeline Data Lagasco'!$Q:$Q,'Dec 31 2018 OFFS'!$AK336,'T1 2019 Pipeline Data Lagasco'!$E:$E,'Dec 31 2018 OFFS'!$U336,'T1 2019 Pipeline Data Lagasco'!$G:$G,'Dec 31 2018 OFFS'!$W336))/(MAX(COUNTIFS('T1 2019 Pipeline Data Lagasco'!$A:$A,'Dec 31 2018 OFFS'!$AI336,'T1 2019 Pipeline Data Lagasco'!$Q:$Q,'Dec 31 2018 OFFS'!$AK336,'T1 2019 Pipeline Data Lagasco'!$E:$E,'Dec 31 2018 OFFS'!$U336,'T1 2019 Pipeline Data Lagasco'!$G:$G,'Dec 31 2018 OFFS'!$W336),1))</f>
        <v>7114</v>
      </c>
      <c r="AM336" s="274">
        <f t="shared" si="59"/>
        <v>0</v>
      </c>
    </row>
    <row r="337" spans="1:39" ht="12.7">
      <c r="A337" s="193" t="s">
        <v>909</v>
      </c>
      <c r="B337" s="40" t="s">
        <v>918</v>
      </c>
      <c r="C337" s="40" t="s">
        <v>1266</v>
      </c>
      <c r="D337" s="40" t="s">
        <v>1077</v>
      </c>
      <c r="E337" s="40" t="s">
        <v>17</v>
      </c>
      <c r="F337" s="40"/>
      <c r="G337" s="41" t="s">
        <v>571</v>
      </c>
      <c r="H337" s="42">
        <v>42</v>
      </c>
      <c r="I337" s="43">
        <v>47</v>
      </c>
      <c r="J337" s="44">
        <v>28.98</v>
      </c>
      <c r="K337" s="45">
        <v>79</v>
      </c>
      <c r="L337" s="43">
        <v>23</v>
      </c>
      <c r="M337" s="46">
        <v>31.02</v>
      </c>
      <c r="N337" s="40" t="s">
        <v>572</v>
      </c>
      <c r="O337" s="42">
        <v>42</v>
      </c>
      <c r="P337" s="43">
        <v>46</v>
      </c>
      <c r="Q337" s="44">
        <v>46.02</v>
      </c>
      <c r="R337" s="45">
        <v>79</v>
      </c>
      <c r="S337" s="43">
        <v>23</v>
      </c>
      <c r="T337" s="46">
        <v>43.98</v>
      </c>
      <c r="U337" s="40">
        <v>3</v>
      </c>
      <c r="V337" s="47">
        <v>4456.1022331559998</v>
      </c>
      <c r="W337" s="48">
        <v>1977</v>
      </c>
      <c r="X337" s="40"/>
      <c r="Y337" s="52" t="s">
        <v>1081</v>
      </c>
      <c r="Z337" s="40" t="s">
        <v>910</v>
      </c>
      <c r="AA337" s="49">
        <f t="shared" si="52"/>
        <v>105119.45168015003</v>
      </c>
      <c r="AB337" s="71">
        <f t="shared" si="53"/>
        <v>0.80</v>
      </c>
      <c r="AC337" s="49">
        <f t="shared" si="54"/>
        <v>21023.89</v>
      </c>
      <c r="AD337" s="50">
        <f t="shared" si="55"/>
        <v>0</v>
      </c>
      <c r="AE337" s="50">
        <f t="shared" si="56"/>
        <v>0</v>
      </c>
      <c r="AF337" s="50">
        <f t="shared" si="57"/>
        <v>21023.89</v>
      </c>
      <c r="AG337" s="199">
        <f t="shared" si="58"/>
        <v>21023</v>
      </c>
      <c r="AH337" s="187"/>
      <c r="AI337" s="185" t="s">
        <v>1455</v>
      </c>
      <c r="AJ337" s="185"/>
      <c r="AK337" s="277">
        <f t="shared" si="51"/>
        <v>4456.1000000000004</v>
      </c>
      <c r="AL337" s="25">
        <f>(SUMIFS('T1 2019 Pipeline Data Lagasco'!$O:$O,'T1 2019 Pipeline Data Lagasco'!$A:$A,'Dec 31 2018 OFFS'!$AI337,'T1 2019 Pipeline Data Lagasco'!$Q:$Q,'Dec 31 2018 OFFS'!$AK337,'T1 2019 Pipeline Data Lagasco'!$E:$E,'Dec 31 2018 OFFS'!$U337,'T1 2019 Pipeline Data Lagasco'!$G:$G,'Dec 31 2018 OFFS'!$W337))/(MAX(COUNTIFS('T1 2019 Pipeline Data Lagasco'!$A:$A,'Dec 31 2018 OFFS'!$AI337,'T1 2019 Pipeline Data Lagasco'!$Q:$Q,'Dec 31 2018 OFFS'!$AK337,'T1 2019 Pipeline Data Lagasco'!$E:$E,'Dec 31 2018 OFFS'!$U337,'T1 2019 Pipeline Data Lagasco'!$G:$G,'Dec 31 2018 OFFS'!$W337),1))</f>
        <v>21023</v>
      </c>
      <c r="AM337" s="274">
        <f t="shared" si="59"/>
        <v>0</v>
      </c>
    </row>
    <row r="338" spans="1:39" ht="12.7">
      <c r="A338" s="193" t="s">
        <v>909</v>
      </c>
      <c r="B338" s="40" t="s">
        <v>918</v>
      </c>
      <c r="C338" s="40" t="s">
        <v>1266</v>
      </c>
      <c r="D338" s="40" t="s">
        <v>1077</v>
      </c>
      <c r="E338" s="40" t="s">
        <v>17</v>
      </c>
      <c r="F338" s="40"/>
      <c r="G338" s="41" t="s">
        <v>615</v>
      </c>
      <c r="H338" s="42">
        <v>42</v>
      </c>
      <c r="I338" s="43">
        <v>47</v>
      </c>
      <c r="J338" s="44">
        <v>28.396000000000001</v>
      </c>
      <c r="K338" s="45">
        <v>79</v>
      </c>
      <c r="L338" s="43">
        <v>23</v>
      </c>
      <c r="M338" s="46">
        <v>37.558999999999997</v>
      </c>
      <c r="N338" s="41" t="s">
        <v>616</v>
      </c>
      <c r="O338" s="42">
        <v>42</v>
      </c>
      <c r="P338" s="43">
        <v>47</v>
      </c>
      <c r="Q338" s="44">
        <v>3.4940000000000002</v>
      </c>
      <c r="R338" s="45">
        <v>79</v>
      </c>
      <c r="S338" s="43">
        <v>23</v>
      </c>
      <c r="T338" s="46">
        <v>11.474</v>
      </c>
      <c r="U338" s="40">
        <v>4</v>
      </c>
      <c r="V338" s="47">
        <v>3184.7440022579999</v>
      </c>
      <c r="W338" s="48">
        <v>1975</v>
      </c>
      <c r="X338" s="40"/>
      <c r="Y338" s="52" t="s">
        <v>1081</v>
      </c>
      <c r="Z338" s="40" t="s">
        <v>910</v>
      </c>
      <c r="AA338" s="49">
        <f t="shared" si="52"/>
        <v>84236.478859724099</v>
      </c>
      <c r="AB338" s="71">
        <f t="shared" si="53"/>
        <v>0.80</v>
      </c>
      <c r="AC338" s="49">
        <f t="shared" si="54"/>
        <v>16847.30</v>
      </c>
      <c r="AD338" s="50">
        <f t="shared" si="55"/>
        <v>0</v>
      </c>
      <c r="AE338" s="50">
        <f t="shared" si="56"/>
        <v>0</v>
      </c>
      <c r="AF338" s="50">
        <f t="shared" si="57"/>
        <v>16847.30</v>
      </c>
      <c r="AG338" s="199">
        <f t="shared" si="58"/>
        <v>16847</v>
      </c>
      <c r="AH338" s="187"/>
      <c r="AI338" s="185" t="s">
        <v>1455</v>
      </c>
      <c r="AJ338" s="185"/>
      <c r="AK338" s="277">
        <f t="shared" si="51"/>
        <v>3184.74</v>
      </c>
      <c r="AL338" s="25">
        <f>(SUMIFS('T1 2019 Pipeline Data Lagasco'!$O:$O,'T1 2019 Pipeline Data Lagasco'!$A:$A,'Dec 31 2018 OFFS'!$AI338,'T1 2019 Pipeline Data Lagasco'!$Q:$Q,'Dec 31 2018 OFFS'!$AK338,'T1 2019 Pipeline Data Lagasco'!$E:$E,'Dec 31 2018 OFFS'!$U338,'T1 2019 Pipeline Data Lagasco'!$G:$G,'Dec 31 2018 OFFS'!$W338))/(MAX(COUNTIFS('T1 2019 Pipeline Data Lagasco'!$A:$A,'Dec 31 2018 OFFS'!$AI338,'T1 2019 Pipeline Data Lagasco'!$Q:$Q,'Dec 31 2018 OFFS'!$AK338,'T1 2019 Pipeline Data Lagasco'!$E:$E,'Dec 31 2018 OFFS'!$U338,'T1 2019 Pipeline Data Lagasco'!$G:$G,'Dec 31 2018 OFFS'!$W338),1))</f>
        <v>16847</v>
      </c>
      <c r="AM338" s="274">
        <f t="shared" si="59"/>
        <v>0</v>
      </c>
    </row>
    <row r="339" spans="1:39" ht="12.7">
      <c r="A339" s="193" t="s">
        <v>909</v>
      </c>
      <c r="B339" s="40" t="s">
        <v>918</v>
      </c>
      <c r="C339" s="40" t="s">
        <v>1266</v>
      </c>
      <c r="D339" s="40" t="s">
        <v>1077</v>
      </c>
      <c r="E339" s="40" t="s">
        <v>17</v>
      </c>
      <c r="F339" s="40"/>
      <c r="G339" s="41" t="s">
        <v>616</v>
      </c>
      <c r="H339" s="42">
        <v>42</v>
      </c>
      <c r="I339" s="43">
        <v>47</v>
      </c>
      <c r="J339" s="44">
        <v>3.4940000000000002</v>
      </c>
      <c r="K339" s="45">
        <v>79</v>
      </c>
      <c r="L339" s="43">
        <v>23</v>
      </c>
      <c r="M339" s="46">
        <v>11.474</v>
      </c>
      <c r="N339" s="41" t="s">
        <v>550</v>
      </c>
      <c r="O339" s="42">
        <v>42</v>
      </c>
      <c r="P339" s="43">
        <v>46</v>
      </c>
      <c r="Q339" s="44">
        <v>43.98</v>
      </c>
      <c r="R339" s="45">
        <v>79</v>
      </c>
      <c r="S339" s="43">
        <v>22</v>
      </c>
      <c r="T339" s="46">
        <v>49.02</v>
      </c>
      <c r="U339" s="40">
        <v>4</v>
      </c>
      <c r="V339" s="47">
        <v>2590.2230221</v>
      </c>
      <c r="W339" s="48">
        <v>1975</v>
      </c>
      <c r="X339" s="40"/>
      <c r="Y339" s="52" t="s">
        <v>1081</v>
      </c>
      <c r="Z339" s="40" t="s">
        <v>910</v>
      </c>
      <c r="AA339" s="49">
        <f t="shared" si="52"/>
        <v>68511.398934544995</v>
      </c>
      <c r="AB339" s="71">
        <f t="shared" si="53"/>
        <v>0.80</v>
      </c>
      <c r="AC339" s="49">
        <f t="shared" si="54"/>
        <v>13702.28</v>
      </c>
      <c r="AD339" s="50">
        <f t="shared" si="55"/>
        <v>0</v>
      </c>
      <c r="AE339" s="50">
        <f t="shared" si="56"/>
        <v>0</v>
      </c>
      <c r="AF339" s="50">
        <f t="shared" si="57"/>
        <v>13702.28</v>
      </c>
      <c r="AG339" s="199">
        <f t="shared" si="58"/>
        <v>13702</v>
      </c>
      <c r="AH339" s="187"/>
      <c r="AI339" s="185" t="s">
        <v>1455</v>
      </c>
      <c r="AJ339" s="185"/>
      <c r="AK339" s="277">
        <f t="shared" si="51"/>
        <v>2590.2199999999998</v>
      </c>
      <c r="AL339" s="25">
        <f>(SUMIFS('T1 2019 Pipeline Data Lagasco'!$O:$O,'T1 2019 Pipeline Data Lagasco'!$A:$A,'Dec 31 2018 OFFS'!$AI339,'T1 2019 Pipeline Data Lagasco'!$Q:$Q,'Dec 31 2018 OFFS'!$AK339,'T1 2019 Pipeline Data Lagasco'!$E:$E,'Dec 31 2018 OFFS'!$U339,'T1 2019 Pipeline Data Lagasco'!$G:$G,'Dec 31 2018 OFFS'!$W339))/(MAX(COUNTIFS('T1 2019 Pipeline Data Lagasco'!$A:$A,'Dec 31 2018 OFFS'!$AI339,'T1 2019 Pipeline Data Lagasco'!$Q:$Q,'Dec 31 2018 OFFS'!$AK339,'T1 2019 Pipeline Data Lagasco'!$E:$E,'Dec 31 2018 OFFS'!$U339,'T1 2019 Pipeline Data Lagasco'!$G:$G,'Dec 31 2018 OFFS'!$W339),1))</f>
        <v>13702</v>
      </c>
      <c r="AM339" s="274">
        <f t="shared" si="59"/>
        <v>0</v>
      </c>
    </row>
    <row r="340" spans="1:39" ht="12.7">
      <c r="A340" s="193" t="s">
        <v>909</v>
      </c>
      <c r="B340" s="40" t="s">
        <v>918</v>
      </c>
      <c r="C340" s="40" t="s">
        <v>1266</v>
      </c>
      <c r="D340" s="40" t="s">
        <v>1077</v>
      </c>
      <c r="E340" s="40" t="s">
        <v>17</v>
      </c>
      <c r="F340" s="40"/>
      <c r="G340" s="41" t="s">
        <v>573</v>
      </c>
      <c r="H340" s="42">
        <v>42</v>
      </c>
      <c r="I340" s="43">
        <v>47</v>
      </c>
      <c r="J340" s="44">
        <v>49.02</v>
      </c>
      <c r="K340" s="45">
        <v>79</v>
      </c>
      <c r="L340" s="43">
        <v>23</v>
      </c>
      <c r="M340" s="46">
        <v>57</v>
      </c>
      <c r="N340" s="40" t="s">
        <v>569</v>
      </c>
      <c r="O340" s="42">
        <v>42</v>
      </c>
      <c r="P340" s="43">
        <v>48</v>
      </c>
      <c r="Q340" s="44">
        <v>45</v>
      </c>
      <c r="R340" s="45">
        <v>79</v>
      </c>
      <c r="S340" s="43">
        <v>23</v>
      </c>
      <c r="T340" s="46">
        <v>16.02</v>
      </c>
      <c r="U340" s="40">
        <v>3</v>
      </c>
      <c r="V340" s="47">
        <v>6439.402700654</v>
      </c>
      <c r="W340" s="48">
        <v>1977</v>
      </c>
      <c r="X340" s="40"/>
      <c r="Y340" s="52" t="s">
        <v>1081</v>
      </c>
      <c r="Z340" s="40" t="s">
        <v>910</v>
      </c>
      <c r="AA340" s="49">
        <f t="shared" si="52"/>
        <v>151905.50970842785</v>
      </c>
      <c r="AB340" s="71">
        <f t="shared" si="53"/>
        <v>0.80</v>
      </c>
      <c r="AC340" s="49">
        <f t="shared" si="54"/>
        <v>30381.10</v>
      </c>
      <c r="AD340" s="50">
        <f t="shared" si="55"/>
        <v>0</v>
      </c>
      <c r="AE340" s="50">
        <f t="shared" si="56"/>
        <v>0</v>
      </c>
      <c r="AF340" s="50">
        <f t="shared" si="57"/>
        <v>30381.10</v>
      </c>
      <c r="AG340" s="199">
        <f t="shared" si="58"/>
        <v>30381</v>
      </c>
      <c r="AH340" s="187"/>
      <c r="AI340" s="185" t="s">
        <v>1455</v>
      </c>
      <c r="AJ340" s="185"/>
      <c r="AK340" s="277">
        <f t="shared" si="51"/>
        <v>6439.40</v>
      </c>
      <c r="AL340" s="25">
        <f>(SUMIFS('T1 2019 Pipeline Data Lagasco'!$O:$O,'T1 2019 Pipeline Data Lagasco'!$A:$A,'Dec 31 2018 OFFS'!$AI340,'T1 2019 Pipeline Data Lagasco'!$Q:$Q,'Dec 31 2018 OFFS'!$AK340,'T1 2019 Pipeline Data Lagasco'!$E:$E,'Dec 31 2018 OFFS'!$U340,'T1 2019 Pipeline Data Lagasco'!$G:$G,'Dec 31 2018 OFFS'!$W340))/(MAX(COUNTIFS('T1 2019 Pipeline Data Lagasco'!$A:$A,'Dec 31 2018 OFFS'!$AI340,'T1 2019 Pipeline Data Lagasco'!$Q:$Q,'Dec 31 2018 OFFS'!$AK340,'T1 2019 Pipeline Data Lagasco'!$E:$E,'Dec 31 2018 OFFS'!$U340,'T1 2019 Pipeline Data Lagasco'!$G:$G,'Dec 31 2018 OFFS'!$W340),1))</f>
        <v>30381</v>
      </c>
      <c r="AM340" s="274">
        <f t="shared" si="59"/>
        <v>0</v>
      </c>
    </row>
    <row r="341" spans="1:39" ht="12.7">
      <c r="A341" s="193" t="s">
        <v>909</v>
      </c>
      <c r="B341" s="40" t="s">
        <v>918</v>
      </c>
      <c r="C341" s="40" t="s">
        <v>1266</v>
      </c>
      <c r="D341" s="40" t="s">
        <v>1077</v>
      </c>
      <c r="E341" s="40" t="s">
        <v>17</v>
      </c>
      <c r="F341" s="40"/>
      <c r="G341" s="41" t="s">
        <v>573</v>
      </c>
      <c r="H341" s="42">
        <v>42</v>
      </c>
      <c r="I341" s="43">
        <v>47</v>
      </c>
      <c r="J341" s="44">
        <v>49.02</v>
      </c>
      <c r="K341" s="45">
        <v>79</v>
      </c>
      <c r="L341" s="43">
        <v>23</v>
      </c>
      <c r="M341" s="46">
        <v>57</v>
      </c>
      <c r="N341" s="40" t="s">
        <v>571</v>
      </c>
      <c r="O341" s="42">
        <v>42</v>
      </c>
      <c r="P341" s="43">
        <v>47</v>
      </c>
      <c r="Q341" s="44">
        <v>28.98</v>
      </c>
      <c r="R341" s="45">
        <v>79</v>
      </c>
      <c r="S341" s="43">
        <v>23</v>
      </c>
      <c r="T341" s="46">
        <v>31.02</v>
      </c>
      <c r="U341" s="40">
        <v>3</v>
      </c>
      <c r="V341" s="47">
        <v>2805.5117297759998</v>
      </c>
      <c r="W341" s="48">
        <v>1977</v>
      </c>
      <c r="X341" s="40"/>
      <c r="Y341" s="52" t="s">
        <v>1081</v>
      </c>
      <c r="Z341" s="40" t="s">
        <v>910</v>
      </c>
      <c r="AA341" s="49">
        <f t="shared" si="52"/>
        <v>66182.021705415842</v>
      </c>
      <c r="AB341" s="71">
        <f t="shared" si="53"/>
        <v>0.80</v>
      </c>
      <c r="AC341" s="49">
        <f t="shared" si="54"/>
        <v>13236.40</v>
      </c>
      <c r="AD341" s="50">
        <f t="shared" si="55"/>
        <v>0</v>
      </c>
      <c r="AE341" s="50">
        <f t="shared" si="56"/>
        <v>0</v>
      </c>
      <c r="AF341" s="50">
        <f t="shared" si="57"/>
        <v>13236.40</v>
      </c>
      <c r="AG341" s="199">
        <f t="shared" si="58"/>
        <v>13236</v>
      </c>
      <c r="AH341" s="187"/>
      <c r="AI341" s="185" t="s">
        <v>1455</v>
      </c>
      <c r="AJ341" s="185"/>
      <c r="AK341" s="277">
        <f t="shared" si="51"/>
        <v>2805.51</v>
      </c>
      <c r="AL341" s="25">
        <f>(SUMIFS('T1 2019 Pipeline Data Lagasco'!$O:$O,'T1 2019 Pipeline Data Lagasco'!$A:$A,'Dec 31 2018 OFFS'!$AI341,'T1 2019 Pipeline Data Lagasco'!$Q:$Q,'Dec 31 2018 OFFS'!$AK341,'T1 2019 Pipeline Data Lagasco'!$E:$E,'Dec 31 2018 OFFS'!$U341,'T1 2019 Pipeline Data Lagasco'!$G:$G,'Dec 31 2018 OFFS'!$W341))/(MAX(COUNTIFS('T1 2019 Pipeline Data Lagasco'!$A:$A,'Dec 31 2018 OFFS'!$AI341,'T1 2019 Pipeline Data Lagasco'!$Q:$Q,'Dec 31 2018 OFFS'!$AK341,'T1 2019 Pipeline Data Lagasco'!$E:$E,'Dec 31 2018 OFFS'!$U341,'T1 2019 Pipeline Data Lagasco'!$G:$G,'Dec 31 2018 OFFS'!$W341),1))</f>
        <v>13236</v>
      </c>
      <c r="AM341" s="274">
        <f t="shared" si="59"/>
        <v>0</v>
      </c>
    </row>
    <row r="342" spans="1:39" ht="12.7">
      <c r="A342" s="193" t="s">
        <v>909</v>
      </c>
      <c r="B342" s="40" t="s">
        <v>918</v>
      </c>
      <c r="C342" s="40" t="s">
        <v>1266</v>
      </c>
      <c r="D342" s="40" t="s">
        <v>1077</v>
      </c>
      <c r="E342" s="40" t="s">
        <v>17</v>
      </c>
      <c r="F342" s="40"/>
      <c r="G342" s="41" t="s">
        <v>573</v>
      </c>
      <c r="H342" s="42">
        <v>42</v>
      </c>
      <c r="I342" s="43">
        <v>47</v>
      </c>
      <c r="J342" s="44">
        <v>49.02</v>
      </c>
      <c r="K342" s="45">
        <v>79</v>
      </c>
      <c r="L342" s="43">
        <v>23</v>
      </c>
      <c r="M342" s="46">
        <v>57</v>
      </c>
      <c r="N342" s="41" t="s">
        <v>615</v>
      </c>
      <c r="O342" s="42">
        <v>42</v>
      </c>
      <c r="P342" s="43">
        <v>47</v>
      </c>
      <c r="Q342" s="44">
        <v>28.396000000000001</v>
      </c>
      <c r="R342" s="45">
        <v>79</v>
      </c>
      <c r="S342" s="43">
        <v>23</v>
      </c>
      <c r="T342" s="46">
        <v>37.558999999999997</v>
      </c>
      <c r="U342" s="40">
        <v>4</v>
      </c>
      <c r="V342" s="47">
        <v>2542.191527428</v>
      </c>
      <c r="W342" s="48">
        <v>1975</v>
      </c>
      <c r="X342" s="40"/>
      <c r="Y342" s="52" t="s">
        <v>1081</v>
      </c>
      <c r="Z342" s="40" t="s">
        <v>910</v>
      </c>
      <c r="AA342" s="49">
        <f t="shared" si="52"/>
        <v>67240.965900470605</v>
      </c>
      <c r="AB342" s="71">
        <f t="shared" si="53"/>
        <v>0.80</v>
      </c>
      <c r="AC342" s="49">
        <f t="shared" si="54"/>
        <v>13448.19</v>
      </c>
      <c r="AD342" s="50">
        <f t="shared" si="55"/>
        <v>0</v>
      </c>
      <c r="AE342" s="50">
        <f t="shared" si="56"/>
        <v>0</v>
      </c>
      <c r="AF342" s="50">
        <f t="shared" si="57"/>
        <v>13448.19</v>
      </c>
      <c r="AG342" s="199">
        <f t="shared" si="58"/>
        <v>13448</v>
      </c>
      <c r="AH342" s="187"/>
      <c r="AI342" s="185" t="s">
        <v>1455</v>
      </c>
      <c r="AJ342" s="185"/>
      <c r="AK342" s="277">
        <f t="shared" si="51"/>
        <v>2542.19</v>
      </c>
      <c r="AL342" s="25">
        <f>(SUMIFS('T1 2019 Pipeline Data Lagasco'!$O:$O,'T1 2019 Pipeline Data Lagasco'!$A:$A,'Dec 31 2018 OFFS'!$AI342,'T1 2019 Pipeline Data Lagasco'!$Q:$Q,'Dec 31 2018 OFFS'!$AK342,'T1 2019 Pipeline Data Lagasco'!$E:$E,'Dec 31 2018 OFFS'!$U342,'T1 2019 Pipeline Data Lagasco'!$G:$G,'Dec 31 2018 OFFS'!$W342))/(MAX(COUNTIFS('T1 2019 Pipeline Data Lagasco'!$A:$A,'Dec 31 2018 OFFS'!$AI342,'T1 2019 Pipeline Data Lagasco'!$Q:$Q,'Dec 31 2018 OFFS'!$AK342,'T1 2019 Pipeline Data Lagasco'!$E:$E,'Dec 31 2018 OFFS'!$U342,'T1 2019 Pipeline Data Lagasco'!$G:$G,'Dec 31 2018 OFFS'!$W342),1))</f>
        <v>13448</v>
      </c>
      <c r="AM342" s="274">
        <f t="shared" si="59"/>
        <v>0</v>
      </c>
    </row>
    <row r="343" spans="1:39" ht="12.7">
      <c r="A343" s="193" t="s">
        <v>909</v>
      </c>
      <c r="B343" s="40" t="s">
        <v>918</v>
      </c>
      <c r="C343" s="40" t="s">
        <v>1266</v>
      </c>
      <c r="D343" s="40" t="s">
        <v>1077</v>
      </c>
      <c r="E343" s="40" t="s">
        <v>17</v>
      </c>
      <c r="F343" s="40"/>
      <c r="G343" s="41" t="s">
        <v>550</v>
      </c>
      <c r="H343" s="42">
        <v>42</v>
      </c>
      <c r="I343" s="43">
        <v>46</v>
      </c>
      <c r="J343" s="44">
        <v>43.98</v>
      </c>
      <c r="K343" s="45">
        <v>79</v>
      </c>
      <c r="L343" s="43">
        <v>22</v>
      </c>
      <c r="M343" s="46">
        <v>49.02</v>
      </c>
      <c r="N343" s="40" t="s">
        <v>551</v>
      </c>
      <c r="O343" s="42">
        <v>42</v>
      </c>
      <c r="P343" s="43">
        <v>47</v>
      </c>
      <c r="Q343" s="44">
        <v>13.98</v>
      </c>
      <c r="R343" s="45">
        <v>79</v>
      </c>
      <c r="S343" s="43">
        <v>21</v>
      </c>
      <c r="T343" s="46">
        <v>45</v>
      </c>
      <c r="U343" s="40">
        <v>2</v>
      </c>
      <c r="V343" s="47">
        <v>5659.317421408</v>
      </c>
      <c r="W343" s="48">
        <v>1981</v>
      </c>
      <c r="X343" s="40"/>
      <c r="Y343" s="52" t="s">
        <v>1081</v>
      </c>
      <c r="Z343" s="40" t="s">
        <v>910</v>
      </c>
      <c r="AA343" s="49">
        <f t="shared" si="52"/>
        <v>91907.314923665908</v>
      </c>
      <c r="AB343" s="71">
        <f t="shared" si="53"/>
        <v>0.80</v>
      </c>
      <c r="AC343" s="49">
        <f t="shared" si="54"/>
        <v>18381.46</v>
      </c>
      <c r="AD343" s="50">
        <f t="shared" si="55"/>
        <v>0</v>
      </c>
      <c r="AE343" s="50">
        <f t="shared" si="56"/>
        <v>0</v>
      </c>
      <c r="AF343" s="50">
        <f t="shared" si="57"/>
        <v>18381.46</v>
      </c>
      <c r="AG343" s="199">
        <f t="shared" si="58"/>
        <v>18381</v>
      </c>
      <c r="AH343" s="187"/>
      <c r="AI343" s="185" t="s">
        <v>1455</v>
      </c>
      <c r="AJ343" s="185"/>
      <c r="AK343" s="277">
        <f t="shared" si="51"/>
        <v>5659.32</v>
      </c>
      <c r="AL343" s="25">
        <f>(SUMIFS('T1 2019 Pipeline Data Lagasco'!$O:$O,'T1 2019 Pipeline Data Lagasco'!$A:$A,'Dec 31 2018 OFFS'!$AI343,'T1 2019 Pipeline Data Lagasco'!$Q:$Q,'Dec 31 2018 OFFS'!$AK343,'T1 2019 Pipeline Data Lagasco'!$E:$E,'Dec 31 2018 OFFS'!$U343,'T1 2019 Pipeline Data Lagasco'!$G:$G,'Dec 31 2018 OFFS'!$W343))/(MAX(COUNTIFS('T1 2019 Pipeline Data Lagasco'!$A:$A,'Dec 31 2018 OFFS'!$AI343,'T1 2019 Pipeline Data Lagasco'!$Q:$Q,'Dec 31 2018 OFFS'!$AK343,'T1 2019 Pipeline Data Lagasco'!$E:$E,'Dec 31 2018 OFFS'!$U343,'T1 2019 Pipeline Data Lagasco'!$G:$G,'Dec 31 2018 OFFS'!$W343),1))</f>
        <v>18381</v>
      </c>
      <c r="AM343" s="274">
        <f t="shared" si="59"/>
        <v>0</v>
      </c>
    </row>
    <row r="344" spans="1:39" ht="12.7">
      <c r="A344" s="193" t="s">
        <v>909</v>
      </c>
      <c r="B344" s="40" t="s">
        <v>918</v>
      </c>
      <c r="C344" s="40" t="s">
        <v>1266</v>
      </c>
      <c r="D344" s="40" t="s">
        <v>1077</v>
      </c>
      <c r="E344" s="40" t="s">
        <v>17</v>
      </c>
      <c r="F344" s="40"/>
      <c r="G344" s="41" t="s">
        <v>550</v>
      </c>
      <c r="H344" s="42">
        <v>42</v>
      </c>
      <c r="I344" s="43">
        <v>46</v>
      </c>
      <c r="J344" s="44">
        <v>43.98</v>
      </c>
      <c r="K344" s="45">
        <v>79</v>
      </c>
      <c r="L344" s="43">
        <v>22</v>
      </c>
      <c r="M344" s="46">
        <v>49.02</v>
      </c>
      <c r="N344" s="40" t="s">
        <v>553</v>
      </c>
      <c r="O344" s="42">
        <v>42</v>
      </c>
      <c r="P344" s="43">
        <v>44</v>
      </c>
      <c r="Q344" s="44">
        <v>49.02</v>
      </c>
      <c r="R344" s="45">
        <v>79</v>
      </c>
      <c r="S344" s="43">
        <v>20</v>
      </c>
      <c r="T344" s="46">
        <v>31.98</v>
      </c>
      <c r="U344" s="40">
        <v>4</v>
      </c>
      <c r="V344" s="47">
        <v>15493.273829530001</v>
      </c>
      <c r="W344" s="48">
        <v>1975</v>
      </c>
      <c r="X344" s="40"/>
      <c r="Y344" s="52" t="s">
        <v>1081</v>
      </c>
      <c r="Z344" s="40" t="s">
        <v>910</v>
      </c>
      <c r="AA344" s="49">
        <f t="shared" si="52"/>
        <v>409797.09279106848</v>
      </c>
      <c r="AB344" s="71">
        <f t="shared" si="53"/>
        <v>0.80</v>
      </c>
      <c r="AC344" s="49">
        <f t="shared" si="54"/>
        <v>81959.42</v>
      </c>
      <c r="AD344" s="50">
        <f t="shared" si="55"/>
        <v>0</v>
      </c>
      <c r="AE344" s="50">
        <f t="shared" si="56"/>
        <v>0</v>
      </c>
      <c r="AF344" s="50">
        <f t="shared" si="57"/>
        <v>81959.42</v>
      </c>
      <c r="AG344" s="199">
        <f t="shared" si="58"/>
        <v>81959</v>
      </c>
      <c r="AH344" s="187"/>
      <c r="AI344" s="185" t="s">
        <v>1455</v>
      </c>
      <c r="AJ344" s="185"/>
      <c r="AK344" s="277">
        <f t="shared" si="51"/>
        <v>15493.27</v>
      </c>
      <c r="AL344" s="25">
        <f>(SUMIFS('T1 2019 Pipeline Data Lagasco'!$O:$O,'T1 2019 Pipeline Data Lagasco'!$A:$A,'Dec 31 2018 OFFS'!$AI344,'T1 2019 Pipeline Data Lagasco'!$Q:$Q,'Dec 31 2018 OFFS'!$AK344,'T1 2019 Pipeline Data Lagasco'!$E:$E,'Dec 31 2018 OFFS'!$U344,'T1 2019 Pipeline Data Lagasco'!$G:$G,'Dec 31 2018 OFFS'!$W344))/(MAX(COUNTIFS('T1 2019 Pipeline Data Lagasco'!$A:$A,'Dec 31 2018 OFFS'!$AI344,'T1 2019 Pipeline Data Lagasco'!$Q:$Q,'Dec 31 2018 OFFS'!$AK344,'T1 2019 Pipeline Data Lagasco'!$E:$E,'Dec 31 2018 OFFS'!$U344,'T1 2019 Pipeline Data Lagasco'!$G:$G,'Dec 31 2018 OFFS'!$W344),1))</f>
        <v>81959</v>
      </c>
      <c r="AM344" s="274">
        <f t="shared" si="59"/>
        <v>0</v>
      </c>
    </row>
    <row r="345" spans="1:39" ht="12.7">
      <c r="A345" s="193" t="s">
        <v>909</v>
      </c>
      <c r="B345" s="40" t="s">
        <v>918</v>
      </c>
      <c r="C345" s="40" t="s">
        <v>1266</v>
      </c>
      <c r="D345" s="40" t="s">
        <v>1077</v>
      </c>
      <c r="E345" s="40" t="s">
        <v>17</v>
      </c>
      <c r="F345" s="40"/>
      <c r="G345" s="155" t="s">
        <v>1405</v>
      </c>
      <c r="H345" s="42">
        <v>42</v>
      </c>
      <c r="I345" s="43">
        <v>45</v>
      </c>
      <c r="J345" s="44">
        <v>1.1399999999999999</v>
      </c>
      <c r="K345" s="45">
        <v>79</v>
      </c>
      <c r="L345" s="43">
        <v>21</v>
      </c>
      <c r="M345" s="46">
        <v>36.24</v>
      </c>
      <c r="N345" s="40" t="s">
        <v>1184</v>
      </c>
      <c r="O345" s="42">
        <v>42</v>
      </c>
      <c r="P345" s="43">
        <v>45</v>
      </c>
      <c r="Q345" s="44">
        <v>19.56</v>
      </c>
      <c r="R345" s="45">
        <v>79</v>
      </c>
      <c r="S345" s="43">
        <v>21</v>
      </c>
      <c r="T345" s="46">
        <v>9.5399999999999991</v>
      </c>
      <c r="U345" s="40">
        <v>3</v>
      </c>
      <c r="V345" s="47">
        <v>2687</v>
      </c>
      <c r="W345" s="48">
        <v>2003</v>
      </c>
      <c r="X345" s="40"/>
      <c r="Y345" s="52" t="s">
        <v>1081</v>
      </c>
      <c r="Z345" s="40" t="s">
        <v>910</v>
      </c>
      <c r="AA345" s="49">
        <f t="shared" si="52"/>
        <v>63386.33</v>
      </c>
      <c r="AB345" s="71">
        <f t="shared" si="53"/>
        <v>0.56999999999999995</v>
      </c>
      <c r="AC345" s="49">
        <f t="shared" si="54"/>
        <v>27256.12</v>
      </c>
      <c r="AD345" s="50">
        <f t="shared" si="55"/>
        <v>0</v>
      </c>
      <c r="AE345" s="50">
        <f t="shared" si="56"/>
        <v>0</v>
      </c>
      <c r="AF345" s="50">
        <f t="shared" si="57"/>
        <v>27256.12</v>
      </c>
      <c r="AG345" s="199">
        <f t="shared" si="58"/>
        <v>27256</v>
      </c>
      <c r="AH345" s="187"/>
      <c r="AI345" s="185" t="s">
        <v>1455</v>
      </c>
      <c r="AJ345" s="185"/>
      <c r="AK345" s="277">
        <f t="shared" si="51"/>
        <v>2687</v>
      </c>
      <c r="AL345" s="25">
        <f>(SUMIFS('T1 2019 Pipeline Data Lagasco'!$O:$O,'T1 2019 Pipeline Data Lagasco'!$A:$A,'Dec 31 2018 OFFS'!$AI345,'T1 2019 Pipeline Data Lagasco'!$Q:$Q,'Dec 31 2018 OFFS'!$AK345,'T1 2019 Pipeline Data Lagasco'!$E:$E,'Dec 31 2018 OFFS'!$U345,'T1 2019 Pipeline Data Lagasco'!$G:$G,'Dec 31 2018 OFFS'!$W345))/(MAX(COUNTIFS('T1 2019 Pipeline Data Lagasco'!$A:$A,'Dec 31 2018 OFFS'!$AI345,'T1 2019 Pipeline Data Lagasco'!$Q:$Q,'Dec 31 2018 OFFS'!$AK345,'T1 2019 Pipeline Data Lagasco'!$E:$E,'Dec 31 2018 OFFS'!$U345,'T1 2019 Pipeline Data Lagasco'!$G:$G,'Dec 31 2018 OFFS'!$W345),1))</f>
        <v>27256</v>
      </c>
      <c r="AM345" s="274">
        <f t="shared" si="59"/>
        <v>0</v>
      </c>
    </row>
    <row r="346" spans="1:39" ht="12.7">
      <c r="A346" s="193" t="s">
        <v>909</v>
      </c>
      <c r="B346" s="40" t="s">
        <v>918</v>
      </c>
      <c r="C346" s="40" t="s">
        <v>1266</v>
      </c>
      <c r="D346" s="40" t="s">
        <v>1077</v>
      </c>
      <c r="E346" s="40" t="s">
        <v>17</v>
      </c>
      <c r="F346" s="40"/>
      <c r="G346" s="41" t="s">
        <v>617</v>
      </c>
      <c r="H346" s="42">
        <v>42</v>
      </c>
      <c r="I346" s="43">
        <v>43</v>
      </c>
      <c r="J346" s="44">
        <v>9</v>
      </c>
      <c r="K346" s="45">
        <v>79</v>
      </c>
      <c r="L346" s="43">
        <v>18</v>
      </c>
      <c r="M346" s="46">
        <v>22.98</v>
      </c>
      <c r="N346" s="40" t="s">
        <v>12</v>
      </c>
      <c r="O346" s="42">
        <v>42</v>
      </c>
      <c r="P346" s="43">
        <v>42</v>
      </c>
      <c r="Q346" s="44">
        <v>57.54</v>
      </c>
      <c r="R346" s="45">
        <v>79</v>
      </c>
      <c r="S346" s="43">
        <v>17</v>
      </c>
      <c r="T346" s="46">
        <v>39.43</v>
      </c>
      <c r="U346" s="40">
        <v>4</v>
      </c>
      <c r="V346" s="47">
        <v>3452.5261467339997</v>
      </c>
      <c r="W346" s="48">
        <v>1990</v>
      </c>
      <c r="X346" s="40"/>
      <c r="Y346" s="52" t="s">
        <v>1081</v>
      </c>
      <c r="Z346" s="40" t="s">
        <v>910</v>
      </c>
      <c r="AA346" s="49">
        <f t="shared" si="52"/>
        <v>91319.316581114283</v>
      </c>
      <c r="AB346" s="71">
        <f t="shared" si="53"/>
        <v>0.73</v>
      </c>
      <c r="AC346" s="49">
        <f t="shared" si="54"/>
        <v>24656.22</v>
      </c>
      <c r="AD346" s="50">
        <f t="shared" si="55"/>
        <v>0</v>
      </c>
      <c r="AE346" s="50">
        <f t="shared" si="56"/>
        <v>0</v>
      </c>
      <c r="AF346" s="50">
        <f t="shared" si="57"/>
        <v>24656.22</v>
      </c>
      <c r="AG346" s="199">
        <f t="shared" si="58"/>
        <v>24656</v>
      </c>
      <c r="AH346" s="187"/>
      <c r="AI346" s="185" t="s">
        <v>1455</v>
      </c>
      <c r="AJ346" s="185"/>
      <c r="AK346" s="277">
        <f t="shared" si="51"/>
        <v>3452.53</v>
      </c>
      <c r="AL346" s="25">
        <f>(SUMIFS('T1 2019 Pipeline Data Lagasco'!$O:$O,'T1 2019 Pipeline Data Lagasco'!$A:$A,'Dec 31 2018 OFFS'!$AI346,'T1 2019 Pipeline Data Lagasco'!$Q:$Q,'Dec 31 2018 OFFS'!$AK346,'T1 2019 Pipeline Data Lagasco'!$E:$E,'Dec 31 2018 OFFS'!$U346,'T1 2019 Pipeline Data Lagasco'!$G:$G,'Dec 31 2018 OFFS'!$W346))/(MAX(COUNTIFS('T1 2019 Pipeline Data Lagasco'!$A:$A,'Dec 31 2018 OFFS'!$AI346,'T1 2019 Pipeline Data Lagasco'!$Q:$Q,'Dec 31 2018 OFFS'!$AK346,'T1 2019 Pipeline Data Lagasco'!$E:$E,'Dec 31 2018 OFFS'!$U346,'T1 2019 Pipeline Data Lagasco'!$G:$G,'Dec 31 2018 OFFS'!$W346),1))</f>
        <v>24656</v>
      </c>
      <c r="AM346" s="274">
        <f t="shared" si="59"/>
        <v>0</v>
      </c>
    </row>
    <row r="347" spans="1:39" ht="12.7">
      <c r="A347" s="193" t="s">
        <v>909</v>
      </c>
      <c r="B347" s="40" t="s">
        <v>918</v>
      </c>
      <c r="C347" s="40" t="s">
        <v>1266</v>
      </c>
      <c r="D347" s="40" t="s">
        <v>1077</v>
      </c>
      <c r="E347" s="40" t="s">
        <v>889</v>
      </c>
      <c r="F347" s="40"/>
      <c r="G347" s="41" t="s">
        <v>552</v>
      </c>
      <c r="H347" s="42">
        <v>42</v>
      </c>
      <c r="I347" s="43">
        <v>42</v>
      </c>
      <c r="J347" s="44">
        <v>28.02</v>
      </c>
      <c r="K347" s="45">
        <v>79</v>
      </c>
      <c r="L347" s="43">
        <v>18</v>
      </c>
      <c r="M347" s="46">
        <v>16.02</v>
      </c>
      <c r="N347" s="40" t="s">
        <v>15</v>
      </c>
      <c r="O347" s="42">
        <v>42</v>
      </c>
      <c r="P347" s="43">
        <v>42</v>
      </c>
      <c r="Q347" s="44">
        <v>30.06</v>
      </c>
      <c r="R347" s="45">
        <v>79</v>
      </c>
      <c r="S347" s="43">
        <v>17</v>
      </c>
      <c r="T347" s="46">
        <v>15.13</v>
      </c>
      <c r="U347" s="40">
        <v>2</v>
      </c>
      <c r="V347" s="47">
        <v>4551.7715217240002</v>
      </c>
      <c r="W347" s="48">
        <v>1986</v>
      </c>
      <c r="X347" s="40"/>
      <c r="Y347" s="52" t="s">
        <v>1081</v>
      </c>
      <c r="Z347" s="40" t="s">
        <v>910</v>
      </c>
      <c r="AA347" s="49">
        <f t="shared" si="52"/>
        <v>73920.769512797749</v>
      </c>
      <c r="AB347" s="71">
        <f t="shared" si="53"/>
        <v>0.79</v>
      </c>
      <c r="AC347" s="49">
        <f t="shared" si="54"/>
        <v>15523.36</v>
      </c>
      <c r="AD347" s="50">
        <f t="shared" si="55"/>
        <v>0</v>
      </c>
      <c r="AE347" s="50">
        <f t="shared" si="56"/>
        <v>0</v>
      </c>
      <c r="AF347" s="50">
        <f t="shared" si="57"/>
        <v>15523.36</v>
      </c>
      <c r="AG347" s="199">
        <f t="shared" si="58"/>
        <v>15523</v>
      </c>
      <c r="AH347" s="187"/>
      <c r="AI347" s="185" t="s">
        <v>1455</v>
      </c>
      <c r="AJ347" s="185"/>
      <c r="AK347" s="277">
        <f t="shared" si="51"/>
        <v>4551.7700000000004</v>
      </c>
      <c r="AL347" s="25">
        <f>(SUMIFS('T1 2019 Pipeline Data Lagasco'!$O:$O,'T1 2019 Pipeline Data Lagasco'!$A:$A,'Dec 31 2018 OFFS'!$AI347,'T1 2019 Pipeline Data Lagasco'!$Q:$Q,'Dec 31 2018 OFFS'!$AK347,'T1 2019 Pipeline Data Lagasco'!$E:$E,'Dec 31 2018 OFFS'!$U347,'T1 2019 Pipeline Data Lagasco'!$G:$G,'Dec 31 2018 OFFS'!$W347))/(MAX(COUNTIFS('T1 2019 Pipeline Data Lagasco'!$A:$A,'Dec 31 2018 OFFS'!$AI347,'T1 2019 Pipeline Data Lagasco'!$Q:$Q,'Dec 31 2018 OFFS'!$AK347,'T1 2019 Pipeline Data Lagasco'!$E:$E,'Dec 31 2018 OFFS'!$U347,'T1 2019 Pipeline Data Lagasco'!$G:$G,'Dec 31 2018 OFFS'!$W347),1))</f>
        <v>15523</v>
      </c>
      <c r="AM347" s="274">
        <f t="shared" si="59"/>
        <v>0</v>
      </c>
    </row>
    <row r="348" spans="1:39" ht="12.7">
      <c r="A348" s="193" t="s">
        <v>909</v>
      </c>
      <c r="B348" s="40" t="s">
        <v>918</v>
      </c>
      <c r="C348" s="40" t="s">
        <v>1266</v>
      </c>
      <c r="D348" s="40" t="s">
        <v>1077</v>
      </c>
      <c r="E348" s="40" t="s">
        <v>17</v>
      </c>
      <c r="F348" s="40"/>
      <c r="G348" s="41" t="s">
        <v>553</v>
      </c>
      <c r="H348" s="42">
        <v>42</v>
      </c>
      <c r="I348" s="43">
        <v>44</v>
      </c>
      <c r="J348" s="44">
        <v>49.02</v>
      </c>
      <c r="K348" s="45">
        <v>79</v>
      </c>
      <c r="L348" s="43">
        <v>20</v>
      </c>
      <c r="M348" s="46">
        <v>31.98</v>
      </c>
      <c r="N348" s="40" t="s">
        <v>6</v>
      </c>
      <c r="O348" s="42">
        <v>42</v>
      </c>
      <c r="P348" s="43">
        <v>45</v>
      </c>
      <c r="Q348" s="44">
        <v>36.11</v>
      </c>
      <c r="R348" s="45">
        <v>79</v>
      </c>
      <c r="S348" s="43">
        <v>19</v>
      </c>
      <c r="T348" s="46">
        <v>59.43</v>
      </c>
      <c r="U348" s="40">
        <v>2</v>
      </c>
      <c r="V348" s="47">
        <v>5351.2137557899996</v>
      </c>
      <c r="W348" s="48">
        <v>1995</v>
      </c>
      <c r="X348" s="40"/>
      <c r="Y348" s="52" t="s">
        <v>1081</v>
      </c>
      <c r="Z348" s="40" t="s">
        <v>910</v>
      </c>
      <c r="AA348" s="49">
        <f t="shared" si="52"/>
        <v>86903.711394029582</v>
      </c>
      <c r="AB348" s="71">
        <f t="shared" si="53"/>
        <v>0.67</v>
      </c>
      <c r="AC348" s="49">
        <f t="shared" si="54"/>
        <v>28678.22</v>
      </c>
      <c r="AD348" s="50">
        <f t="shared" si="55"/>
        <v>0</v>
      </c>
      <c r="AE348" s="50">
        <f t="shared" si="56"/>
        <v>0</v>
      </c>
      <c r="AF348" s="50">
        <f t="shared" si="57"/>
        <v>28678.22</v>
      </c>
      <c r="AG348" s="199">
        <f t="shared" si="58"/>
        <v>28678</v>
      </c>
      <c r="AH348" s="187"/>
      <c r="AI348" s="185" t="s">
        <v>1455</v>
      </c>
      <c r="AJ348" s="185"/>
      <c r="AK348" s="277">
        <f t="shared" si="51"/>
        <v>5351.21</v>
      </c>
      <c r="AL348" s="25">
        <f>(SUMIFS('T1 2019 Pipeline Data Lagasco'!$O:$O,'T1 2019 Pipeline Data Lagasco'!$A:$A,'Dec 31 2018 OFFS'!$AI348,'T1 2019 Pipeline Data Lagasco'!$Q:$Q,'Dec 31 2018 OFFS'!$AK348,'T1 2019 Pipeline Data Lagasco'!$E:$E,'Dec 31 2018 OFFS'!$U348,'T1 2019 Pipeline Data Lagasco'!$G:$G,'Dec 31 2018 OFFS'!$W348))/(MAX(COUNTIFS('T1 2019 Pipeline Data Lagasco'!$A:$A,'Dec 31 2018 OFFS'!$AI348,'T1 2019 Pipeline Data Lagasco'!$Q:$Q,'Dec 31 2018 OFFS'!$AK348,'T1 2019 Pipeline Data Lagasco'!$E:$E,'Dec 31 2018 OFFS'!$U348,'T1 2019 Pipeline Data Lagasco'!$G:$G,'Dec 31 2018 OFFS'!$W348),1))</f>
        <v>28678</v>
      </c>
      <c r="AM348" s="274">
        <f t="shared" si="59"/>
        <v>0</v>
      </c>
    </row>
    <row r="349" spans="1:39" ht="12.7">
      <c r="A349" s="193" t="s">
        <v>909</v>
      </c>
      <c r="B349" s="40" t="s">
        <v>918</v>
      </c>
      <c r="C349" s="40" t="s">
        <v>1266</v>
      </c>
      <c r="D349" s="40" t="s">
        <v>1077</v>
      </c>
      <c r="E349" s="40" t="s">
        <v>17</v>
      </c>
      <c r="F349" s="40"/>
      <c r="G349" s="41" t="s">
        <v>553</v>
      </c>
      <c r="H349" s="42">
        <v>42</v>
      </c>
      <c r="I349" s="43">
        <v>44</v>
      </c>
      <c r="J349" s="44">
        <v>49.02</v>
      </c>
      <c r="K349" s="45">
        <v>79</v>
      </c>
      <c r="L349" s="43">
        <v>20</v>
      </c>
      <c r="M349" s="46">
        <v>31.98</v>
      </c>
      <c r="N349" s="40" t="s">
        <v>617</v>
      </c>
      <c r="O349" s="42">
        <v>42</v>
      </c>
      <c r="P349" s="43">
        <v>43</v>
      </c>
      <c r="Q349" s="44">
        <v>9</v>
      </c>
      <c r="R349" s="45">
        <v>79</v>
      </c>
      <c r="S349" s="43">
        <v>18</v>
      </c>
      <c r="T349" s="46">
        <v>22.98</v>
      </c>
      <c r="U349" s="40">
        <v>4</v>
      </c>
      <c r="V349" s="47">
        <v>13974.835553293999</v>
      </c>
      <c r="W349" s="48">
        <v>1995</v>
      </c>
      <c r="X349" s="40"/>
      <c r="Y349" s="52" t="s">
        <v>1081</v>
      </c>
      <c r="Z349" s="40" t="s">
        <v>910</v>
      </c>
      <c r="AA349" s="49">
        <f t="shared" si="52"/>
        <v>369634.40038462623</v>
      </c>
      <c r="AB349" s="71">
        <f t="shared" si="53"/>
        <v>0.67</v>
      </c>
      <c r="AC349" s="49">
        <f t="shared" si="54"/>
        <v>121979.35</v>
      </c>
      <c r="AD349" s="50">
        <f t="shared" si="55"/>
        <v>0</v>
      </c>
      <c r="AE349" s="50">
        <f t="shared" si="56"/>
        <v>0</v>
      </c>
      <c r="AF349" s="50">
        <f t="shared" si="57"/>
        <v>121979.35</v>
      </c>
      <c r="AG349" s="199">
        <f t="shared" si="58"/>
        <v>121979</v>
      </c>
      <c r="AH349" s="187"/>
      <c r="AI349" s="185" t="s">
        <v>1455</v>
      </c>
      <c r="AJ349" s="185"/>
      <c r="AK349" s="277">
        <f t="shared" si="51"/>
        <v>13974.84</v>
      </c>
      <c r="AL349" s="25">
        <f>(SUMIFS('T1 2019 Pipeline Data Lagasco'!$O:$O,'T1 2019 Pipeline Data Lagasco'!$A:$A,'Dec 31 2018 OFFS'!$AI349,'T1 2019 Pipeline Data Lagasco'!$Q:$Q,'Dec 31 2018 OFFS'!$AK349,'T1 2019 Pipeline Data Lagasco'!$E:$E,'Dec 31 2018 OFFS'!$U349,'T1 2019 Pipeline Data Lagasco'!$G:$G,'Dec 31 2018 OFFS'!$W349))/(MAX(COUNTIFS('T1 2019 Pipeline Data Lagasco'!$A:$A,'Dec 31 2018 OFFS'!$AI349,'T1 2019 Pipeline Data Lagasco'!$Q:$Q,'Dec 31 2018 OFFS'!$AK349,'T1 2019 Pipeline Data Lagasco'!$E:$E,'Dec 31 2018 OFFS'!$U349,'T1 2019 Pipeline Data Lagasco'!$G:$G,'Dec 31 2018 OFFS'!$W349),1))</f>
        <v>121979</v>
      </c>
      <c r="AM349" s="274">
        <f t="shared" si="59"/>
        <v>0</v>
      </c>
    </row>
    <row r="350" spans="1:39" ht="12.7">
      <c r="A350" s="193" t="s">
        <v>909</v>
      </c>
      <c r="B350" s="40" t="s">
        <v>918</v>
      </c>
      <c r="C350" s="40" t="s">
        <v>1266</v>
      </c>
      <c r="D350" s="40" t="s">
        <v>1077</v>
      </c>
      <c r="E350" s="40" t="s">
        <v>17</v>
      </c>
      <c r="F350" s="40"/>
      <c r="G350" s="41" t="s">
        <v>574</v>
      </c>
      <c r="H350" s="42">
        <v>42</v>
      </c>
      <c r="I350" s="43">
        <v>41</v>
      </c>
      <c r="J350" s="44">
        <v>28.98</v>
      </c>
      <c r="K350" s="45">
        <v>79</v>
      </c>
      <c r="L350" s="43">
        <v>23</v>
      </c>
      <c r="M350" s="46">
        <v>28.98</v>
      </c>
      <c r="N350" s="41" t="s">
        <v>575</v>
      </c>
      <c r="O350" s="42">
        <v>42</v>
      </c>
      <c r="P350" s="43">
        <v>40</v>
      </c>
      <c r="Q350" s="44">
        <v>55.02</v>
      </c>
      <c r="R350" s="45">
        <v>79</v>
      </c>
      <c r="S350" s="43">
        <v>22</v>
      </c>
      <c r="T350" s="46">
        <v>45</v>
      </c>
      <c r="U350" s="40">
        <v>3</v>
      </c>
      <c r="V350" s="47">
        <v>4755.8069488859992</v>
      </c>
      <c r="W350" s="48">
        <v>1995</v>
      </c>
      <c r="X350" s="40"/>
      <c r="Y350" s="52" t="s">
        <v>1081</v>
      </c>
      <c r="Z350" s="40" t="s">
        <v>910</v>
      </c>
      <c r="AA350" s="49">
        <f t="shared" si="52"/>
        <v>112189.48592422072</v>
      </c>
      <c r="AB350" s="71">
        <f t="shared" si="53"/>
        <v>0.67</v>
      </c>
      <c r="AC350" s="49">
        <f t="shared" si="54"/>
        <v>37022.53</v>
      </c>
      <c r="AD350" s="50">
        <f t="shared" si="55"/>
        <v>0</v>
      </c>
      <c r="AE350" s="50">
        <f t="shared" si="56"/>
        <v>0</v>
      </c>
      <c r="AF350" s="50">
        <f t="shared" si="57"/>
        <v>37022.53</v>
      </c>
      <c r="AG350" s="199">
        <f t="shared" si="58"/>
        <v>37022</v>
      </c>
      <c r="AH350" s="187"/>
      <c r="AI350" s="185" t="s">
        <v>1455</v>
      </c>
      <c r="AJ350" s="185"/>
      <c r="AK350" s="277">
        <f t="shared" si="51"/>
        <v>4755.8100000000004</v>
      </c>
      <c r="AL350" s="25">
        <f>(SUMIFS('T1 2019 Pipeline Data Lagasco'!$O:$O,'T1 2019 Pipeline Data Lagasco'!$A:$A,'Dec 31 2018 OFFS'!$AI350,'T1 2019 Pipeline Data Lagasco'!$Q:$Q,'Dec 31 2018 OFFS'!$AK350,'T1 2019 Pipeline Data Lagasco'!$E:$E,'Dec 31 2018 OFFS'!$U350,'T1 2019 Pipeline Data Lagasco'!$G:$G,'Dec 31 2018 OFFS'!$W350))/(MAX(COUNTIFS('T1 2019 Pipeline Data Lagasco'!$A:$A,'Dec 31 2018 OFFS'!$AI350,'T1 2019 Pipeline Data Lagasco'!$Q:$Q,'Dec 31 2018 OFFS'!$AK350,'T1 2019 Pipeline Data Lagasco'!$E:$E,'Dec 31 2018 OFFS'!$U350,'T1 2019 Pipeline Data Lagasco'!$G:$G,'Dec 31 2018 OFFS'!$W350),1))</f>
        <v>37022</v>
      </c>
      <c r="AM350" s="274">
        <f t="shared" si="59"/>
        <v>0</v>
      </c>
    </row>
    <row r="351" spans="1:39" ht="12.7">
      <c r="A351" s="193" t="s">
        <v>909</v>
      </c>
      <c r="B351" s="40" t="s">
        <v>918</v>
      </c>
      <c r="C351" s="40" t="s">
        <v>1266</v>
      </c>
      <c r="D351" s="40" t="s">
        <v>1077</v>
      </c>
      <c r="E351" s="40" t="s">
        <v>17</v>
      </c>
      <c r="F351" s="40"/>
      <c r="G351" s="41" t="s">
        <v>576</v>
      </c>
      <c r="H351" s="42">
        <v>42</v>
      </c>
      <c r="I351" s="43">
        <v>41</v>
      </c>
      <c r="J351" s="44">
        <v>10.02</v>
      </c>
      <c r="K351" s="45">
        <v>79</v>
      </c>
      <c r="L351" s="43">
        <v>21</v>
      </c>
      <c r="M351" s="46">
        <v>46.02</v>
      </c>
      <c r="N351" s="40" t="s">
        <v>554</v>
      </c>
      <c r="O351" s="42">
        <v>42</v>
      </c>
      <c r="P351" s="43">
        <v>41</v>
      </c>
      <c r="Q351" s="44">
        <v>15</v>
      </c>
      <c r="R351" s="45">
        <v>79</v>
      </c>
      <c r="S351" s="43">
        <v>20</v>
      </c>
      <c r="T351" s="46">
        <v>18</v>
      </c>
      <c r="U351" s="40">
        <v>3</v>
      </c>
      <c r="V351" s="47">
        <v>6594.4879979999996</v>
      </c>
      <c r="W351" s="48">
        <v>1995</v>
      </c>
      <c r="X351" s="40"/>
      <c r="Y351" s="52" t="s">
        <v>1081</v>
      </c>
      <c r="Z351" s="40" t="s">
        <v>910</v>
      </c>
      <c r="AA351" s="49">
        <f t="shared" si="52"/>
        <v>155563.97187282</v>
      </c>
      <c r="AB351" s="71">
        <f t="shared" si="53"/>
        <v>0.67</v>
      </c>
      <c r="AC351" s="49">
        <f t="shared" si="54"/>
        <v>51336.11</v>
      </c>
      <c r="AD351" s="50">
        <f t="shared" si="55"/>
        <v>0</v>
      </c>
      <c r="AE351" s="50">
        <f t="shared" si="56"/>
        <v>0</v>
      </c>
      <c r="AF351" s="50">
        <f t="shared" si="57"/>
        <v>51336.11</v>
      </c>
      <c r="AG351" s="199">
        <f t="shared" si="58"/>
        <v>51336</v>
      </c>
      <c r="AH351" s="187"/>
      <c r="AI351" s="185" t="s">
        <v>1455</v>
      </c>
      <c r="AJ351" s="185"/>
      <c r="AK351" s="277">
        <f t="shared" si="51"/>
        <v>6594.49</v>
      </c>
      <c r="AL351" s="25">
        <f>(SUMIFS('T1 2019 Pipeline Data Lagasco'!$O:$O,'T1 2019 Pipeline Data Lagasco'!$A:$A,'Dec 31 2018 OFFS'!$AI351,'T1 2019 Pipeline Data Lagasco'!$Q:$Q,'Dec 31 2018 OFFS'!$AK351,'T1 2019 Pipeline Data Lagasco'!$E:$E,'Dec 31 2018 OFFS'!$U351,'T1 2019 Pipeline Data Lagasco'!$G:$G,'Dec 31 2018 OFFS'!$W351))/(MAX(COUNTIFS('T1 2019 Pipeline Data Lagasco'!$A:$A,'Dec 31 2018 OFFS'!$AI351,'T1 2019 Pipeline Data Lagasco'!$Q:$Q,'Dec 31 2018 OFFS'!$AK351,'T1 2019 Pipeline Data Lagasco'!$E:$E,'Dec 31 2018 OFFS'!$U351,'T1 2019 Pipeline Data Lagasco'!$G:$G,'Dec 31 2018 OFFS'!$W351),1))</f>
        <v>51336</v>
      </c>
      <c r="AM351" s="274">
        <f t="shared" si="59"/>
        <v>0</v>
      </c>
    </row>
    <row r="352" spans="1:39" ht="12.7">
      <c r="A352" s="193" t="s">
        <v>909</v>
      </c>
      <c r="B352" s="40" t="s">
        <v>918</v>
      </c>
      <c r="C352" s="40" t="s">
        <v>1266</v>
      </c>
      <c r="D352" s="40" t="s">
        <v>1077</v>
      </c>
      <c r="E352" s="40" t="s">
        <v>889</v>
      </c>
      <c r="F352" s="40"/>
      <c r="G352" s="41" t="s">
        <v>554</v>
      </c>
      <c r="H352" s="42">
        <v>42</v>
      </c>
      <c r="I352" s="43">
        <v>41</v>
      </c>
      <c r="J352" s="44">
        <v>15</v>
      </c>
      <c r="K352" s="45">
        <v>79</v>
      </c>
      <c r="L352" s="43">
        <v>20</v>
      </c>
      <c r="M352" s="46">
        <v>18</v>
      </c>
      <c r="N352" s="40" t="s">
        <v>552</v>
      </c>
      <c r="O352" s="42">
        <v>42</v>
      </c>
      <c r="P352" s="43">
        <v>42</v>
      </c>
      <c r="Q352" s="44">
        <v>28.02</v>
      </c>
      <c r="R352" s="45">
        <v>79</v>
      </c>
      <c r="S352" s="43">
        <v>18</v>
      </c>
      <c r="T352" s="46">
        <v>16.02</v>
      </c>
      <c r="U352" s="40">
        <v>2</v>
      </c>
      <c r="V352" s="47">
        <v>11733.267376739999</v>
      </c>
      <c r="W352" s="48">
        <v>1986</v>
      </c>
      <c r="X352" s="40"/>
      <c r="Y352" s="52" t="s">
        <v>1081</v>
      </c>
      <c r="Z352" s="40" t="s">
        <v>910</v>
      </c>
      <c r="AA352" s="49">
        <f t="shared" si="52"/>
        <v>190548.26219825758</v>
      </c>
      <c r="AB352" s="71">
        <f t="shared" si="53"/>
        <v>0.79</v>
      </c>
      <c r="AC352" s="49">
        <f t="shared" si="54"/>
        <v>40015.14</v>
      </c>
      <c r="AD352" s="50">
        <f t="shared" si="55"/>
        <v>0</v>
      </c>
      <c r="AE352" s="50">
        <f t="shared" si="56"/>
        <v>0</v>
      </c>
      <c r="AF352" s="50">
        <f t="shared" si="57"/>
        <v>40015.14</v>
      </c>
      <c r="AG352" s="199">
        <f t="shared" si="58"/>
        <v>40015</v>
      </c>
      <c r="AH352" s="187"/>
      <c r="AI352" s="185" t="s">
        <v>1455</v>
      </c>
      <c r="AJ352" s="185"/>
      <c r="AK352" s="277">
        <f t="shared" si="51"/>
        <v>11733.27</v>
      </c>
      <c r="AL352" s="25">
        <f>(SUMIFS('T1 2019 Pipeline Data Lagasco'!$O:$O,'T1 2019 Pipeline Data Lagasco'!$A:$A,'Dec 31 2018 OFFS'!$AI352,'T1 2019 Pipeline Data Lagasco'!$Q:$Q,'Dec 31 2018 OFFS'!$AK352,'T1 2019 Pipeline Data Lagasco'!$E:$E,'Dec 31 2018 OFFS'!$U352,'T1 2019 Pipeline Data Lagasco'!$G:$G,'Dec 31 2018 OFFS'!$W352))/(MAX(COUNTIFS('T1 2019 Pipeline Data Lagasco'!$A:$A,'Dec 31 2018 OFFS'!$AI352,'T1 2019 Pipeline Data Lagasco'!$Q:$Q,'Dec 31 2018 OFFS'!$AK352,'T1 2019 Pipeline Data Lagasco'!$E:$E,'Dec 31 2018 OFFS'!$U352,'T1 2019 Pipeline Data Lagasco'!$G:$G,'Dec 31 2018 OFFS'!$W352),1))</f>
        <v>40015</v>
      </c>
      <c r="AM352" s="274">
        <f t="shared" si="59"/>
        <v>0</v>
      </c>
    </row>
    <row r="353" spans="1:39" ht="12.7">
      <c r="A353" s="193" t="s">
        <v>909</v>
      </c>
      <c r="B353" s="40" t="s">
        <v>918</v>
      </c>
      <c r="C353" s="40" t="s">
        <v>1266</v>
      </c>
      <c r="D353" s="40" t="s">
        <v>1077</v>
      </c>
      <c r="E353" s="40" t="s">
        <v>17</v>
      </c>
      <c r="F353" s="40"/>
      <c r="G353" s="41" t="s">
        <v>575</v>
      </c>
      <c r="H353" s="42">
        <v>42</v>
      </c>
      <c r="I353" s="43">
        <v>40</v>
      </c>
      <c r="J353" s="44">
        <v>55.02</v>
      </c>
      <c r="K353" s="45">
        <v>79</v>
      </c>
      <c r="L353" s="43">
        <v>22</v>
      </c>
      <c r="M353" s="46">
        <v>45</v>
      </c>
      <c r="N353" s="40" t="s">
        <v>576</v>
      </c>
      <c r="O353" s="42">
        <v>42</v>
      </c>
      <c r="P353" s="43">
        <v>41</v>
      </c>
      <c r="Q353" s="44">
        <v>10.02</v>
      </c>
      <c r="R353" s="45">
        <v>79</v>
      </c>
      <c r="S353" s="43">
        <v>21</v>
      </c>
      <c r="T353" s="46">
        <v>46.02</v>
      </c>
      <c r="U353" s="40">
        <v>3</v>
      </c>
      <c r="V353" s="47">
        <v>4660.4985526959999</v>
      </c>
      <c r="W353" s="48">
        <v>1977</v>
      </c>
      <c r="X353" s="40"/>
      <c r="Y353" s="52" t="s">
        <v>1081</v>
      </c>
      <c r="Z353" s="40" t="s">
        <v>910</v>
      </c>
      <c r="AA353" s="49">
        <f t="shared" si="52"/>
        <v>109941.16085809864</v>
      </c>
      <c r="AB353" s="71">
        <f t="shared" si="53"/>
        <v>0.80</v>
      </c>
      <c r="AC353" s="49">
        <f t="shared" si="54"/>
        <v>21988.23</v>
      </c>
      <c r="AD353" s="50">
        <f t="shared" si="55"/>
        <v>0</v>
      </c>
      <c r="AE353" s="50">
        <f t="shared" si="56"/>
        <v>0</v>
      </c>
      <c r="AF353" s="50">
        <f t="shared" si="57"/>
        <v>21988.23</v>
      </c>
      <c r="AG353" s="199">
        <f t="shared" si="58"/>
        <v>21988</v>
      </c>
      <c r="AH353" s="187"/>
      <c r="AI353" s="185" t="s">
        <v>1455</v>
      </c>
      <c r="AJ353" s="185"/>
      <c r="AK353" s="277">
        <f t="shared" si="51"/>
        <v>4660.50</v>
      </c>
      <c r="AL353" s="25">
        <f>(SUMIFS('T1 2019 Pipeline Data Lagasco'!$O:$O,'T1 2019 Pipeline Data Lagasco'!$A:$A,'Dec 31 2018 OFFS'!$AI353,'T1 2019 Pipeline Data Lagasco'!$Q:$Q,'Dec 31 2018 OFFS'!$AK353,'T1 2019 Pipeline Data Lagasco'!$E:$E,'Dec 31 2018 OFFS'!$U353,'T1 2019 Pipeline Data Lagasco'!$G:$G,'Dec 31 2018 OFFS'!$W353))/(MAX(COUNTIFS('T1 2019 Pipeline Data Lagasco'!$A:$A,'Dec 31 2018 OFFS'!$AI353,'T1 2019 Pipeline Data Lagasco'!$Q:$Q,'Dec 31 2018 OFFS'!$AK353,'T1 2019 Pipeline Data Lagasco'!$E:$E,'Dec 31 2018 OFFS'!$U353,'T1 2019 Pipeline Data Lagasco'!$G:$G,'Dec 31 2018 OFFS'!$W353),1))</f>
        <v>21988</v>
      </c>
      <c r="AM353" s="274">
        <f t="shared" si="59"/>
        <v>0</v>
      </c>
    </row>
    <row r="354" spans="1:39" ht="12.7">
      <c r="A354" s="200" t="s">
        <v>909</v>
      </c>
      <c r="B354" s="201" t="s">
        <v>918</v>
      </c>
      <c r="C354" s="201" t="s">
        <v>1266</v>
      </c>
      <c r="D354" s="201" t="s">
        <v>1077</v>
      </c>
      <c r="E354" s="201" t="s">
        <v>17</v>
      </c>
      <c r="F354" s="202" t="s">
        <v>1051</v>
      </c>
      <c r="G354" s="208" t="s">
        <v>634</v>
      </c>
      <c r="H354" s="203">
        <v>42</v>
      </c>
      <c r="I354" s="204">
        <v>43</v>
      </c>
      <c r="J354" s="205">
        <v>35.28</v>
      </c>
      <c r="K354" s="206">
        <v>79</v>
      </c>
      <c r="L354" s="204">
        <v>26</v>
      </c>
      <c r="M354" s="207">
        <v>44.40</v>
      </c>
      <c r="N354" s="201" t="s">
        <v>632</v>
      </c>
      <c r="O354" s="203" t="s">
        <v>78</v>
      </c>
      <c r="P354" s="204" t="s">
        <v>633</v>
      </c>
      <c r="Q354" s="205">
        <v>45.96</v>
      </c>
      <c r="R354" s="206">
        <v>79</v>
      </c>
      <c r="S354" s="204">
        <v>27</v>
      </c>
      <c r="T354" s="207">
        <v>18.90</v>
      </c>
      <c r="U354" s="201">
        <v>8</v>
      </c>
      <c r="V354" s="286">
        <v>25512.663303148001</v>
      </c>
      <c r="W354" s="210">
        <v>1977</v>
      </c>
      <c r="X354" s="201"/>
      <c r="Y354" s="52" t="s">
        <v>1081</v>
      </c>
      <c r="Z354" s="201" t="s">
        <v>910</v>
      </c>
      <c r="AA354" s="211">
        <f t="shared" si="52"/>
        <v>0</v>
      </c>
      <c r="AB354" s="212">
        <f t="shared" si="53"/>
        <v>0.80</v>
      </c>
      <c r="AC354" s="211">
        <f t="shared" si="54"/>
        <v>0</v>
      </c>
      <c r="AD354" s="213">
        <f t="shared" si="55"/>
        <v>0</v>
      </c>
      <c r="AE354" s="213">
        <f t="shared" si="56"/>
        <v>0</v>
      </c>
      <c r="AF354" s="213">
        <f t="shared" si="57"/>
        <v>0</v>
      </c>
      <c r="AG354" s="214">
        <f t="shared" si="58"/>
        <v>0</v>
      </c>
      <c r="AH354" s="215"/>
      <c r="AI354" s="216" t="s">
        <v>1455</v>
      </c>
      <c r="AJ354" s="216" t="s">
        <v>1560</v>
      </c>
      <c r="AK354" s="283">
        <f t="shared" si="51"/>
        <v>25512.66</v>
      </c>
      <c r="AL354" s="25">
        <f>(SUMIFS('T1 2019 Pipeline Data Lagasco'!$O:$O,'T1 2019 Pipeline Data Lagasco'!$A:$A,'Dec 31 2018 OFFS'!$AI354,'T1 2019 Pipeline Data Lagasco'!$Q:$Q,'Dec 31 2018 OFFS'!$AK354,'T1 2019 Pipeline Data Lagasco'!$E:$E,'Dec 31 2018 OFFS'!$U354,'T1 2019 Pipeline Data Lagasco'!$G:$G,'Dec 31 2018 OFFS'!$W354))/(MAX(COUNTIFS('T1 2019 Pipeline Data Lagasco'!$A:$A,'Dec 31 2018 OFFS'!$AI354,'T1 2019 Pipeline Data Lagasco'!$Q:$Q,'Dec 31 2018 OFFS'!$AK354,'T1 2019 Pipeline Data Lagasco'!$E:$E,'Dec 31 2018 OFFS'!$U354,'T1 2019 Pipeline Data Lagasco'!$G:$G,'Dec 31 2018 OFFS'!$W354),1))</f>
        <v>0</v>
      </c>
      <c r="AM354" s="285">
        <f t="shared" si="59"/>
        <v>0</v>
      </c>
    </row>
    <row r="355" spans="1:39" ht="12.7">
      <c r="A355" s="193" t="s">
        <v>909</v>
      </c>
      <c r="B355" s="40" t="s">
        <v>918</v>
      </c>
      <c r="C355" s="40" t="s">
        <v>1266</v>
      </c>
      <c r="D355" s="40" t="s">
        <v>1077</v>
      </c>
      <c r="E355" s="40" t="s">
        <v>138</v>
      </c>
      <c r="F355" s="40"/>
      <c r="G355" s="41" t="s">
        <v>1165</v>
      </c>
      <c r="H355" s="42">
        <v>42</v>
      </c>
      <c r="I355" s="43">
        <v>40</v>
      </c>
      <c r="J355" s="44">
        <v>41.16</v>
      </c>
      <c r="K355" s="45">
        <v>79</v>
      </c>
      <c r="L355" s="43">
        <v>44</v>
      </c>
      <c r="M355" s="46">
        <v>13.98</v>
      </c>
      <c r="N355" s="156" t="s">
        <v>612</v>
      </c>
      <c r="O355" s="42">
        <v>42</v>
      </c>
      <c r="P355" s="43">
        <v>38</v>
      </c>
      <c r="Q355" s="44">
        <v>44.399000000000001</v>
      </c>
      <c r="R355" s="45">
        <v>79</v>
      </c>
      <c r="S355" s="43">
        <v>44</v>
      </c>
      <c r="T355" s="46">
        <v>38.055999999999997</v>
      </c>
      <c r="U355" s="40">
        <v>3</v>
      </c>
      <c r="V355" s="47">
        <v>5732</v>
      </c>
      <c r="W355" s="48">
        <v>2002</v>
      </c>
      <c r="X355" s="40"/>
      <c r="Y355" s="52" t="s">
        <v>1081</v>
      </c>
      <c r="Z355" s="40" t="s">
        <v>910</v>
      </c>
      <c r="AA355" s="49">
        <f t="shared" si="52"/>
        <v>135217.88</v>
      </c>
      <c r="AB355" s="71">
        <f t="shared" si="53"/>
        <v>0.56999999999999995</v>
      </c>
      <c r="AC355" s="49">
        <f t="shared" si="54"/>
        <v>58143.69</v>
      </c>
      <c r="AD355" s="50">
        <f t="shared" si="55"/>
        <v>0</v>
      </c>
      <c r="AE355" s="50">
        <f t="shared" si="56"/>
        <v>0</v>
      </c>
      <c r="AF355" s="50">
        <f t="shared" si="57"/>
        <v>58143.69</v>
      </c>
      <c r="AG355" s="199">
        <f t="shared" si="58"/>
        <v>58143</v>
      </c>
      <c r="AH355" s="187"/>
      <c r="AI355" s="185" t="s">
        <v>1455</v>
      </c>
      <c r="AJ355" s="185"/>
      <c r="AK355" s="277">
        <f t="shared" si="51"/>
        <v>5732</v>
      </c>
      <c r="AL355" s="25">
        <f>(SUMIFS('T1 2019 Pipeline Data Lagasco'!$O:$O,'T1 2019 Pipeline Data Lagasco'!$A:$A,'Dec 31 2018 OFFS'!$AI355,'T1 2019 Pipeline Data Lagasco'!$Q:$Q,'Dec 31 2018 OFFS'!$AK355,'T1 2019 Pipeline Data Lagasco'!$E:$E,'Dec 31 2018 OFFS'!$U355,'T1 2019 Pipeline Data Lagasco'!$G:$G,'Dec 31 2018 OFFS'!$W355))/(MAX(COUNTIFS('T1 2019 Pipeline Data Lagasco'!$A:$A,'Dec 31 2018 OFFS'!$AI355,'T1 2019 Pipeline Data Lagasco'!$Q:$Q,'Dec 31 2018 OFFS'!$AK355,'T1 2019 Pipeline Data Lagasco'!$E:$E,'Dec 31 2018 OFFS'!$U355,'T1 2019 Pipeline Data Lagasco'!$G:$G,'Dec 31 2018 OFFS'!$W355),1))</f>
        <v>58143</v>
      </c>
      <c r="AM355" s="274">
        <f t="shared" si="59"/>
        <v>0</v>
      </c>
    </row>
    <row r="356" spans="1:39" ht="12.7">
      <c r="A356" s="193" t="s">
        <v>909</v>
      </c>
      <c r="B356" s="40" t="s">
        <v>918</v>
      </c>
      <c r="C356" s="40" t="s">
        <v>1266</v>
      </c>
      <c r="D356" s="40" t="s">
        <v>1077</v>
      </c>
      <c r="E356" s="40" t="s">
        <v>17</v>
      </c>
      <c r="F356" s="40"/>
      <c r="G356" s="41" t="s">
        <v>563</v>
      </c>
      <c r="H356" s="42">
        <v>42</v>
      </c>
      <c r="I356" s="43">
        <v>47</v>
      </c>
      <c r="J356" s="44">
        <v>48</v>
      </c>
      <c r="K356" s="45">
        <v>79</v>
      </c>
      <c r="L356" s="43">
        <v>29</v>
      </c>
      <c r="M356" s="46">
        <v>10.98</v>
      </c>
      <c r="N356" s="54" t="s">
        <v>639</v>
      </c>
      <c r="O356" s="42" t="s">
        <v>78</v>
      </c>
      <c r="P356" s="43">
        <v>47</v>
      </c>
      <c r="Q356" s="44">
        <v>46.98</v>
      </c>
      <c r="R356" s="45" t="s">
        <v>1340</v>
      </c>
      <c r="S356" s="43">
        <v>31</v>
      </c>
      <c r="T356" s="46">
        <v>22.02</v>
      </c>
      <c r="U356" s="40">
        <v>6</v>
      </c>
      <c r="V356" s="47">
        <v>10260</v>
      </c>
      <c r="W356" s="48">
        <v>1983</v>
      </c>
      <c r="X356" s="40"/>
      <c r="Y356" s="52" t="s">
        <v>1081</v>
      </c>
      <c r="Z356" s="40" t="s">
        <v>910</v>
      </c>
      <c r="AA356" s="49">
        <f t="shared" si="52"/>
        <v>355303.80000000005</v>
      </c>
      <c r="AB356" s="71">
        <f t="shared" si="53"/>
        <v>0.80</v>
      </c>
      <c r="AC356" s="49">
        <f t="shared" si="54"/>
        <v>71060.759999999995</v>
      </c>
      <c r="AD356" s="50">
        <f t="shared" si="55"/>
        <v>0</v>
      </c>
      <c r="AE356" s="50">
        <f t="shared" si="56"/>
        <v>0</v>
      </c>
      <c r="AF356" s="50">
        <f t="shared" si="57"/>
        <v>71060.759999999995</v>
      </c>
      <c r="AG356" s="199">
        <f t="shared" si="58"/>
        <v>71060</v>
      </c>
      <c r="AH356" s="187"/>
      <c r="AI356" s="185" t="s">
        <v>1455</v>
      </c>
      <c r="AJ356" s="185"/>
      <c r="AK356" s="277">
        <f t="shared" si="51"/>
        <v>10260</v>
      </c>
      <c r="AL356" s="25">
        <f>(SUMIFS('T1 2019 Pipeline Data Lagasco'!$O:$O,'T1 2019 Pipeline Data Lagasco'!$A:$A,'Dec 31 2018 OFFS'!$AI356,'T1 2019 Pipeline Data Lagasco'!$Q:$Q,'Dec 31 2018 OFFS'!$AK356,'T1 2019 Pipeline Data Lagasco'!$E:$E,'Dec 31 2018 OFFS'!$U356,'T1 2019 Pipeline Data Lagasco'!$G:$G,'Dec 31 2018 OFFS'!$W356))/(MAX(COUNTIFS('T1 2019 Pipeline Data Lagasco'!$A:$A,'Dec 31 2018 OFFS'!$AI356,'T1 2019 Pipeline Data Lagasco'!$Q:$Q,'Dec 31 2018 OFFS'!$AK356,'T1 2019 Pipeline Data Lagasco'!$E:$E,'Dec 31 2018 OFFS'!$U356,'T1 2019 Pipeline Data Lagasco'!$G:$G,'Dec 31 2018 OFFS'!$W356),1))</f>
        <v>71060</v>
      </c>
      <c r="AM356" s="274">
        <f t="shared" si="59"/>
        <v>0</v>
      </c>
    </row>
    <row r="357" spans="1:39" ht="12.7">
      <c r="A357" s="200" t="s">
        <v>909</v>
      </c>
      <c r="B357" s="201" t="s">
        <v>918</v>
      </c>
      <c r="C357" s="201" t="s">
        <v>1266</v>
      </c>
      <c r="D357" s="201" t="s">
        <v>1077</v>
      </c>
      <c r="E357" s="201" t="s">
        <v>138</v>
      </c>
      <c r="F357" s="202" t="s">
        <v>1051</v>
      </c>
      <c r="G357" s="208" t="s">
        <v>620</v>
      </c>
      <c r="H357" s="203">
        <v>42</v>
      </c>
      <c r="I357" s="204">
        <v>40</v>
      </c>
      <c r="J357" s="205">
        <v>45.18</v>
      </c>
      <c r="K357" s="206">
        <v>79</v>
      </c>
      <c r="L357" s="204">
        <v>29</v>
      </c>
      <c r="M357" s="207">
        <v>44.34</v>
      </c>
      <c r="N357" s="201" t="s">
        <v>634</v>
      </c>
      <c r="O357" s="203">
        <v>42</v>
      </c>
      <c r="P357" s="204">
        <v>43</v>
      </c>
      <c r="Q357" s="205">
        <v>35.28</v>
      </c>
      <c r="R357" s="206">
        <v>79</v>
      </c>
      <c r="S357" s="204">
        <v>26</v>
      </c>
      <c r="T357" s="207">
        <v>44.40</v>
      </c>
      <c r="U357" s="201">
        <v>6</v>
      </c>
      <c r="V357" s="286">
        <v>21845.176532718</v>
      </c>
      <c r="W357" s="210">
        <v>1997</v>
      </c>
      <c r="X357" s="201"/>
      <c r="Y357" s="52" t="s">
        <v>1081</v>
      </c>
      <c r="Z357" s="201" t="s">
        <v>910</v>
      </c>
      <c r="AA357" s="211">
        <f t="shared" si="52"/>
        <v>0</v>
      </c>
      <c r="AB357" s="212">
        <f t="shared" si="53"/>
        <v>0.65</v>
      </c>
      <c r="AC357" s="211">
        <f t="shared" si="54"/>
        <v>0</v>
      </c>
      <c r="AD357" s="213">
        <f t="shared" si="55"/>
        <v>0</v>
      </c>
      <c r="AE357" s="213">
        <f t="shared" si="56"/>
        <v>0</v>
      </c>
      <c r="AF357" s="213">
        <f t="shared" si="57"/>
        <v>0</v>
      </c>
      <c r="AG357" s="214">
        <f t="shared" si="58"/>
        <v>0</v>
      </c>
      <c r="AH357" s="215"/>
      <c r="AI357" s="216" t="s">
        <v>1455</v>
      </c>
      <c r="AJ357" s="216" t="s">
        <v>1560</v>
      </c>
      <c r="AK357" s="283">
        <f t="shared" si="51"/>
        <v>21845.18</v>
      </c>
      <c r="AL357" s="25">
        <f>(SUMIFS('T1 2019 Pipeline Data Lagasco'!$O:$O,'T1 2019 Pipeline Data Lagasco'!$A:$A,'Dec 31 2018 OFFS'!$AI357,'T1 2019 Pipeline Data Lagasco'!$Q:$Q,'Dec 31 2018 OFFS'!$AK357,'T1 2019 Pipeline Data Lagasco'!$E:$E,'Dec 31 2018 OFFS'!$U357,'T1 2019 Pipeline Data Lagasco'!$G:$G,'Dec 31 2018 OFFS'!$W357))/(MAX(COUNTIFS('T1 2019 Pipeline Data Lagasco'!$A:$A,'Dec 31 2018 OFFS'!$AI357,'T1 2019 Pipeline Data Lagasco'!$Q:$Q,'Dec 31 2018 OFFS'!$AK357,'T1 2019 Pipeline Data Lagasco'!$E:$E,'Dec 31 2018 OFFS'!$U357,'T1 2019 Pipeline Data Lagasco'!$G:$G,'Dec 31 2018 OFFS'!$W357),1))</f>
        <v>0</v>
      </c>
      <c r="AM357" s="285">
        <f t="shared" si="59"/>
        <v>0</v>
      </c>
    </row>
    <row r="358" spans="1:39" ht="12.7">
      <c r="A358" s="193" t="s">
        <v>909</v>
      </c>
      <c r="B358" s="40" t="s">
        <v>918</v>
      </c>
      <c r="C358" s="40" t="s">
        <v>1266</v>
      </c>
      <c r="D358" s="40" t="s">
        <v>1077</v>
      </c>
      <c r="E358" s="40" t="s">
        <v>138</v>
      </c>
      <c r="F358" s="40" t="s">
        <v>1051</v>
      </c>
      <c r="G358" s="41" t="s">
        <v>577</v>
      </c>
      <c r="H358" s="42">
        <v>42</v>
      </c>
      <c r="I358" s="43">
        <v>42</v>
      </c>
      <c r="J358" s="44">
        <v>13.02</v>
      </c>
      <c r="K358" s="45">
        <v>79</v>
      </c>
      <c r="L358" s="43">
        <v>34</v>
      </c>
      <c r="M358" s="46">
        <v>1.98</v>
      </c>
      <c r="N358" s="40" t="s">
        <v>555</v>
      </c>
      <c r="O358" s="42">
        <v>42</v>
      </c>
      <c r="P358" s="43">
        <v>41</v>
      </c>
      <c r="Q358" s="44">
        <v>36</v>
      </c>
      <c r="R358" s="45">
        <v>79</v>
      </c>
      <c r="S358" s="43">
        <v>33</v>
      </c>
      <c r="T358" s="46">
        <v>49.98</v>
      </c>
      <c r="U358" s="40">
        <v>2</v>
      </c>
      <c r="V358" s="47">
        <v>3853.94</v>
      </c>
      <c r="W358" s="48">
        <v>1996</v>
      </c>
      <c r="X358" s="40"/>
      <c r="Y358" s="52"/>
      <c r="Z358" s="40" t="s">
        <v>910</v>
      </c>
      <c r="AA358" s="49">
        <f t="shared" si="52"/>
        <v>0</v>
      </c>
      <c r="AB358" s="71">
        <f t="shared" si="53"/>
        <v>0.66</v>
      </c>
      <c r="AC358" s="49">
        <f t="shared" si="54"/>
        <v>0</v>
      </c>
      <c r="AD358" s="50">
        <f t="shared" si="55"/>
        <v>0</v>
      </c>
      <c r="AE358" s="50">
        <f t="shared" si="56"/>
        <v>0</v>
      </c>
      <c r="AF358" s="50">
        <f t="shared" si="57"/>
        <v>0</v>
      </c>
      <c r="AG358" s="199">
        <f t="shared" si="58"/>
        <v>0</v>
      </c>
      <c r="AH358" s="187"/>
      <c r="AI358" s="185" t="s">
        <v>1455</v>
      </c>
      <c r="AJ358" s="185"/>
      <c r="AK358" s="277">
        <f t="shared" si="51"/>
        <v>3853.94</v>
      </c>
      <c r="AL358" s="25">
        <f>(SUMIFS('T1 2019 Pipeline Data Lagasco'!$O:$O,'T1 2019 Pipeline Data Lagasco'!$A:$A,'Dec 31 2018 OFFS'!$AI358,'T1 2019 Pipeline Data Lagasco'!$Q:$Q,'Dec 31 2018 OFFS'!$AK358,'T1 2019 Pipeline Data Lagasco'!$E:$E,'Dec 31 2018 OFFS'!$U358,'T1 2019 Pipeline Data Lagasco'!$G:$G,'Dec 31 2018 OFFS'!$W358))/(MAX(COUNTIFS('T1 2019 Pipeline Data Lagasco'!$A:$A,'Dec 31 2018 OFFS'!$AI358,'T1 2019 Pipeline Data Lagasco'!$Q:$Q,'Dec 31 2018 OFFS'!$AK358,'T1 2019 Pipeline Data Lagasco'!$E:$E,'Dec 31 2018 OFFS'!$U358,'T1 2019 Pipeline Data Lagasco'!$G:$G,'Dec 31 2018 OFFS'!$W358),1))</f>
        <v>0</v>
      </c>
      <c r="AM358" s="274">
        <f t="shared" si="59"/>
        <v>0</v>
      </c>
    </row>
    <row r="359" spans="1:39" ht="12.7">
      <c r="A359" s="193" t="s">
        <v>909</v>
      </c>
      <c r="B359" s="40" t="s">
        <v>918</v>
      </c>
      <c r="C359" s="40" t="s">
        <v>1266</v>
      </c>
      <c r="D359" s="40" t="s">
        <v>1077</v>
      </c>
      <c r="E359" s="40" t="s">
        <v>138</v>
      </c>
      <c r="F359" s="40"/>
      <c r="G359" s="41" t="s">
        <v>577</v>
      </c>
      <c r="H359" s="42">
        <v>42</v>
      </c>
      <c r="I359" s="43">
        <v>42</v>
      </c>
      <c r="J359" s="44">
        <v>13.02</v>
      </c>
      <c r="K359" s="45">
        <v>79</v>
      </c>
      <c r="L359" s="43">
        <v>34</v>
      </c>
      <c r="M359" s="46">
        <v>1.98</v>
      </c>
      <c r="N359" s="40" t="s">
        <v>578</v>
      </c>
      <c r="O359" s="42">
        <v>42</v>
      </c>
      <c r="P359" s="43">
        <v>41</v>
      </c>
      <c r="Q359" s="44">
        <v>34.979999999999997</v>
      </c>
      <c r="R359" s="45">
        <v>79</v>
      </c>
      <c r="S359" s="43">
        <v>34</v>
      </c>
      <c r="T359" s="46">
        <v>48</v>
      </c>
      <c r="U359" s="40">
        <v>3</v>
      </c>
      <c r="V359" s="47">
        <v>5162.0733413200005</v>
      </c>
      <c r="W359" s="48">
        <v>1995</v>
      </c>
      <c r="X359" s="40"/>
      <c r="Y359" s="52" t="s">
        <v>1081</v>
      </c>
      <c r="Z359" s="40" t="s">
        <v>910</v>
      </c>
      <c r="AA359" s="49">
        <f t="shared" si="52"/>
        <v>121773.31012173882</v>
      </c>
      <c r="AB359" s="71">
        <f t="shared" si="53"/>
        <v>0.67</v>
      </c>
      <c r="AC359" s="49">
        <f t="shared" si="54"/>
        <v>40185.19</v>
      </c>
      <c r="AD359" s="50">
        <f t="shared" si="55"/>
        <v>0</v>
      </c>
      <c r="AE359" s="50">
        <f t="shared" si="56"/>
        <v>0</v>
      </c>
      <c r="AF359" s="50">
        <f t="shared" si="57"/>
        <v>40185.19</v>
      </c>
      <c r="AG359" s="199">
        <f t="shared" si="58"/>
        <v>40185</v>
      </c>
      <c r="AH359" s="187"/>
      <c r="AI359" s="185" t="s">
        <v>1455</v>
      </c>
      <c r="AJ359" s="185"/>
      <c r="AK359" s="277">
        <f t="shared" si="51"/>
        <v>5162.07</v>
      </c>
      <c r="AL359" s="25">
        <f>(SUMIFS('T1 2019 Pipeline Data Lagasco'!$O:$O,'T1 2019 Pipeline Data Lagasco'!$A:$A,'Dec 31 2018 OFFS'!$AI359,'T1 2019 Pipeline Data Lagasco'!$Q:$Q,'Dec 31 2018 OFFS'!$AK359,'T1 2019 Pipeline Data Lagasco'!$E:$E,'Dec 31 2018 OFFS'!$U359,'T1 2019 Pipeline Data Lagasco'!$G:$G,'Dec 31 2018 OFFS'!$W359))/(MAX(COUNTIFS('T1 2019 Pipeline Data Lagasco'!$A:$A,'Dec 31 2018 OFFS'!$AI359,'T1 2019 Pipeline Data Lagasco'!$Q:$Q,'Dec 31 2018 OFFS'!$AK359,'T1 2019 Pipeline Data Lagasco'!$E:$E,'Dec 31 2018 OFFS'!$U359,'T1 2019 Pipeline Data Lagasco'!$G:$G,'Dec 31 2018 OFFS'!$W359),1))</f>
        <v>40185</v>
      </c>
      <c r="AM359" s="274">
        <f t="shared" si="59"/>
        <v>0</v>
      </c>
    </row>
    <row r="360" spans="1:39" ht="12.7">
      <c r="A360" s="193" t="s">
        <v>909</v>
      </c>
      <c r="B360" s="40" t="s">
        <v>918</v>
      </c>
      <c r="C360" s="40" t="s">
        <v>1266</v>
      </c>
      <c r="D360" s="40" t="s">
        <v>1077</v>
      </c>
      <c r="E360" s="40" t="s">
        <v>138</v>
      </c>
      <c r="F360" s="40"/>
      <c r="G360" s="41" t="s">
        <v>577</v>
      </c>
      <c r="H360" s="42">
        <v>42</v>
      </c>
      <c r="I360" s="43">
        <v>42</v>
      </c>
      <c r="J360" s="44">
        <v>13.02</v>
      </c>
      <c r="K360" s="45">
        <v>79</v>
      </c>
      <c r="L360" s="43">
        <v>34</v>
      </c>
      <c r="M360" s="46">
        <v>1.98</v>
      </c>
      <c r="N360" s="40" t="s">
        <v>618</v>
      </c>
      <c r="O360" s="42">
        <v>42</v>
      </c>
      <c r="P360" s="43">
        <v>41</v>
      </c>
      <c r="Q360" s="44">
        <v>18</v>
      </c>
      <c r="R360" s="45">
        <v>79</v>
      </c>
      <c r="S360" s="43">
        <v>32</v>
      </c>
      <c r="T360" s="46">
        <v>42</v>
      </c>
      <c r="U360" s="40">
        <v>4</v>
      </c>
      <c r="V360" s="47">
        <v>8167.945957682</v>
      </c>
      <c r="W360" s="48">
        <v>1994</v>
      </c>
      <c r="X360" s="40"/>
      <c r="Y360" s="52" t="s">
        <v>1081</v>
      </c>
      <c r="Z360" s="40" t="s">
        <v>910</v>
      </c>
      <c r="AA360" s="49">
        <f t="shared" si="52"/>
        <v>216042.17058068889</v>
      </c>
      <c r="AB360" s="71">
        <f t="shared" si="53"/>
        <v>0.68</v>
      </c>
      <c r="AC360" s="49">
        <f t="shared" si="54"/>
        <v>69133.490000000005</v>
      </c>
      <c r="AD360" s="50">
        <f t="shared" si="55"/>
        <v>0</v>
      </c>
      <c r="AE360" s="50">
        <f t="shared" si="56"/>
        <v>0</v>
      </c>
      <c r="AF360" s="50">
        <f t="shared" si="57"/>
        <v>69133.490000000005</v>
      </c>
      <c r="AG360" s="199">
        <f t="shared" si="58"/>
        <v>69133</v>
      </c>
      <c r="AH360" s="187"/>
      <c r="AI360" s="185" t="s">
        <v>1455</v>
      </c>
      <c r="AJ360" s="185"/>
      <c r="AK360" s="277">
        <f t="shared" si="51"/>
        <v>8167.95</v>
      </c>
      <c r="AL360" s="25">
        <f>(SUMIFS('T1 2019 Pipeline Data Lagasco'!$O:$O,'T1 2019 Pipeline Data Lagasco'!$A:$A,'Dec 31 2018 OFFS'!$AI360,'T1 2019 Pipeline Data Lagasco'!$Q:$Q,'Dec 31 2018 OFFS'!$AK360,'T1 2019 Pipeline Data Lagasco'!$E:$E,'Dec 31 2018 OFFS'!$U360,'T1 2019 Pipeline Data Lagasco'!$G:$G,'Dec 31 2018 OFFS'!$W360))/(MAX(COUNTIFS('T1 2019 Pipeline Data Lagasco'!$A:$A,'Dec 31 2018 OFFS'!$AI360,'T1 2019 Pipeline Data Lagasco'!$Q:$Q,'Dec 31 2018 OFFS'!$AK360,'T1 2019 Pipeline Data Lagasco'!$E:$E,'Dec 31 2018 OFFS'!$U360,'T1 2019 Pipeline Data Lagasco'!$G:$G,'Dec 31 2018 OFFS'!$W360),1))</f>
        <v>69133</v>
      </c>
      <c r="AM360" s="274">
        <f t="shared" si="59"/>
        <v>0</v>
      </c>
    </row>
    <row r="361" spans="1:39" ht="12.7">
      <c r="A361" s="193" t="s">
        <v>909</v>
      </c>
      <c r="B361" s="40" t="s">
        <v>918</v>
      </c>
      <c r="C361" s="40" t="s">
        <v>1266</v>
      </c>
      <c r="D361" s="40" t="s">
        <v>1077</v>
      </c>
      <c r="E361" s="40" t="s">
        <v>138</v>
      </c>
      <c r="F361" s="40"/>
      <c r="G361" s="41" t="s">
        <v>618</v>
      </c>
      <c r="H361" s="42">
        <v>42</v>
      </c>
      <c r="I361" s="43">
        <v>41</v>
      </c>
      <c r="J361" s="44">
        <v>18</v>
      </c>
      <c r="K361" s="45">
        <v>79</v>
      </c>
      <c r="L361" s="43">
        <v>32</v>
      </c>
      <c r="M361" s="46">
        <v>42</v>
      </c>
      <c r="N361" s="40" t="s">
        <v>579</v>
      </c>
      <c r="O361" s="42">
        <v>42</v>
      </c>
      <c r="P361" s="43">
        <v>41</v>
      </c>
      <c r="Q361" s="44">
        <v>3</v>
      </c>
      <c r="R361" s="45">
        <v>79</v>
      </c>
      <c r="S361" s="43">
        <v>31</v>
      </c>
      <c r="T361" s="46">
        <v>54</v>
      </c>
      <c r="U361" s="40">
        <v>4</v>
      </c>
      <c r="V361" s="47">
        <v>3893.9303334259994</v>
      </c>
      <c r="W361" s="48">
        <v>1994</v>
      </c>
      <c r="X361" s="40"/>
      <c r="Y361" s="52" t="s">
        <v>1081</v>
      </c>
      <c r="Z361" s="40" t="s">
        <v>910</v>
      </c>
      <c r="AA361" s="49">
        <f t="shared" si="52"/>
        <v>102994.45731911768</v>
      </c>
      <c r="AB361" s="71">
        <f t="shared" si="53"/>
        <v>0.68</v>
      </c>
      <c r="AC361" s="49">
        <f t="shared" si="54"/>
        <v>32958.230000000003</v>
      </c>
      <c r="AD361" s="50">
        <f t="shared" si="55"/>
        <v>0</v>
      </c>
      <c r="AE361" s="50">
        <f t="shared" si="56"/>
        <v>0</v>
      </c>
      <c r="AF361" s="50">
        <f t="shared" si="57"/>
        <v>32958.230000000003</v>
      </c>
      <c r="AG361" s="199">
        <f t="shared" si="58"/>
        <v>32958</v>
      </c>
      <c r="AH361" s="187"/>
      <c r="AI361" s="185" t="s">
        <v>1455</v>
      </c>
      <c r="AJ361" s="185"/>
      <c r="AK361" s="277">
        <f t="shared" si="51"/>
        <v>3893.93</v>
      </c>
      <c r="AL361" s="25">
        <f>(SUMIFS('T1 2019 Pipeline Data Lagasco'!$O:$O,'T1 2019 Pipeline Data Lagasco'!$A:$A,'Dec 31 2018 OFFS'!$AI361,'T1 2019 Pipeline Data Lagasco'!$Q:$Q,'Dec 31 2018 OFFS'!$AK361,'T1 2019 Pipeline Data Lagasco'!$E:$E,'Dec 31 2018 OFFS'!$U361,'T1 2019 Pipeline Data Lagasco'!$G:$G,'Dec 31 2018 OFFS'!$W361))/(MAX(COUNTIFS('T1 2019 Pipeline Data Lagasco'!$A:$A,'Dec 31 2018 OFFS'!$AI361,'T1 2019 Pipeline Data Lagasco'!$Q:$Q,'Dec 31 2018 OFFS'!$AK361,'T1 2019 Pipeline Data Lagasco'!$E:$E,'Dec 31 2018 OFFS'!$U361,'T1 2019 Pipeline Data Lagasco'!$G:$G,'Dec 31 2018 OFFS'!$W361),1))</f>
        <v>32958</v>
      </c>
      <c r="AM361" s="274">
        <f t="shared" si="59"/>
        <v>0</v>
      </c>
    </row>
    <row r="362" spans="1:39" ht="12.7">
      <c r="A362" s="193" t="s">
        <v>909</v>
      </c>
      <c r="B362" s="40" t="s">
        <v>918</v>
      </c>
      <c r="C362" s="40" t="s">
        <v>1266</v>
      </c>
      <c r="D362" s="40" t="s">
        <v>1077</v>
      </c>
      <c r="E362" s="40" t="s">
        <v>138</v>
      </c>
      <c r="F362" s="40"/>
      <c r="G362" s="41" t="s">
        <v>579</v>
      </c>
      <c r="H362" s="42">
        <v>42</v>
      </c>
      <c r="I362" s="43">
        <v>41</v>
      </c>
      <c r="J362" s="44">
        <v>18.90</v>
      </c>
      <c r="K362" s="45">
        <v>79</v>
      </c>
      <c r="L362" s="43">
        <v>31</v>
      </c>
      <c r="M362" s="46">
        <v>31.08</v>
      </c>
      <c r="N362" s="40" t="s">
        <v>1170</v>
      </c>
      <c r="O362" s="42">
        <v>42</v>
      </c>
      <c r="P362" s="43">
        <v>41</v>
      </c>
      <c r="Q362" s="44">
        <v>14.16</v>
      </c>
      <c r="R362" s="45">
        <v>79</v>
      </c>
      <c r="S362" s="43">
        <v>31</v>
      </c>
      <c r="T362" s="46">
        <v>25.26</v>
      </c>
      <c r="U362" s="40">
        <v>3</v>
      </c>
      <c r="V362" s="47">
        <v>647</v>
      </c>
      <c r="W362" s="48">
        <v>1991</v>
      </c>
      <c r="X362" s="40"/>
      <c r="Y362" s="52" t="s">
        <v>1081</v>
      </c>
      <c r="Z362" s="40" t="s">
        <v>910</v>
      </c>
      <c r="AA362" s="49">
        <f t="shared" si="52"/>
        <v>15262.73</v>
      </c>
      <c r="AB362" s="71">
        <f t="shared" si="53"/>
        <v>0.72</v>
      </c>
      <c r="AC362" s="49">
        <f t="shared" si="54"/>
        <v>4273.5600000000004</v>
      </c>
      <c r="AD362" s="50">
        <f t="shared" si="55"/>
        <v>0</v>
      </c>
      <c r="AE362" s="50">
        <f t="shared" si="56"/>
        <v>0</v>
      </c>
      <c r="AF362" s="50">
        <f t="shared" si="57"/>
        <v>4273.5600000000004</v>
      </c>
      <c r="AG362" s="199">
        <f t="shared" si="58"/>
        <v>4273</v>
      </c>
      <c r="AH362" s="187"/>
      <c r="AI362" s="185" t="s">
        <v>1455</v>
      </c>
      <c r="AJ362" s="185"/>
      <c r="AK362" s="277">
        <f t="shared" si="51"/>
        <v>647</v>
      </c>
      <c r="AL362" s="25">
        <f>(SUMIFS('T1 2019 Pipeline Data Lagasco'!$O:$O,'T1 2019 Pipeline Data Lagasco'!$A:$A,'Dec 31 2018 OFFS'!$AI362,'T1 2019 Pipeline Data Lagasco'!$Q:$Q,'Dec 31 2018 OFFS'!$AK362,'T1 2019 Pipeline Data Lagasco'!$E:$E,'Dec 31 2018 OFFS'!$U362,'T1 2019 Pipeline Data Lagasco'!$G:$G,'Dec 31 2018 OFFS'!$W362))/(MAX(COUNTIFS('T1 2019 Pipeline Data Lagasco'!$A:$A,'Dec 31 2018 OFFS'!$AI362,'T1 2019 Pipeline Data Lagasco'!$Q:$Q,'Dec 31 2018 OFFS'!$AK362,'T1 2019 Pipeline Data Lagasco'!$E:$E,'Dec 31 2018 OFFS'!$U362,'T1 2019 Pipeline Data Lagasco'!$G:$G,'Dec 31 2018 OFFS'!$W362),1))</f>
        <v>4273</v>
      </c>
      <c r="AM362" s="274">
        <f t="shared" si="59"/>
        <v>0</v>
      </c>
    </row>
    <row r="363" spans="1:39" ht="12.7">
      <c r="A363" s="193" t="s">
        <v>909</v>
      </c>
      <c r="B363" s="40" t="s">
        <v>918</v>
      </c>
      <c r="C363" s="40" t="s">
        <v>1266</v>
      </c>
      <c r="D363" s="40" t="s">
        <v>1077</v>
      </c>
      <c r="E363" s="40" t="s">
        <v>138</v>
      </c>
      <c r="F363" s="40"/>
      <c r="G363" s="41" t="s">
        <v>579</v>
      </c>
      <c r="H363" s="42">
        <v>42</v>
      </c>
      <c r="I363" s="43">
        <v>41</v>
      </c>
      <c r="J363" s="44">
        <v>3</v>
      </c>
      <c r="K363" s="45">
        <v>79</v>
      </c>
      <c r="L363" s="43">
        <v>31</v>
      </c>
      <c r="M363" s="46">
        <v>54</v>
      </c>
      <c r="N363" s="40" t="s">
        <v>580</v>
      </c>
      <c r="O363" s="42">
        <v>42</v>
      </c>
      <c r="P363" s="43">
        <v>41</v>
      </c>
      <c r="Q363" s="44">
        <v>46.02</v>
      </c>
      <c r="R363" s="45">
        <v>79</v>
      </c>
      <c r="S363" s="43">
        <v>30</v>
      </c>
      <c r="T363" s="46">
        <v>43.02</v>
      </c>
      <c r="U363" s="40">
        <v>3</v>
      </c>
      <c r="V363" s="47">
        <v>6861.6467829139992</v>
      </c>
      <c r="W363" s="48">
        <v>1995</v>
      </c>
      <c r="X363" s="40"/>
      <c r="Y363" s="52" t="s">
        <v>1081</v>
      </c>
      <c r="Z363" s="40" t="s">
        <v>910</v>
      </c>
      <c r="AA363" s="49">
        <f t="shared" si="52"/>
        <v>161866.24760894125</v>
      </c>
      <c r="AB363" s="71">
        <f t="shared" si="53"/>
        <v>0.67</v>
      </c>
      <c r="AC363" s="49">
        <f t="shared" si="54"/>
        <v>53415.86</v>
      </c>
      <c r="AD363" s="50">
        <f t="shared" si="55"/>
        <v>0</v>
      </c>
      <c r="AE363" s="50">
        <f t="shared" si="56"/>
        <v>0</v>
      </c>
      <c r="AF363" s="50">
        <f t="shared" si="57"/>
        <v>53415.86</v>
      </c>
      <c r="AG363" s="199">
        <f t="shared" si="58"/>
        <v>53415</v>
      </c>
      <c r="AH363" s="187"/>
      <c r="AI363" s="185" t="s">
        <v>1455</v>
      </c>
      <c r="AJ363" s="185"/>
      <c r="AK363" s="277">
        <f t="shared" si="51"/>
        <v>6861.65</v>
      </c>
      <c r="AL363" s="25">
        <f>(SUMIFS('T1 2019 Pipeline Data Lagasco'!$O:$O,'T1 2019 Pipeline Data Lagasco'!$A:$A,'Dec 31 2018 OFFS'!$AI363,'T1 2019 Pipeline Data Lagasco'!$Q:$Q,'Dec 31 2018 OFFS'!$AK363,'T1 2019 Pipeline Data Lagasco'!$E:$E,'Dec 31 2018 OFFS'!$U363,'T1 2019 Pipeline Data Lagasco'!$G:$G,'Dec 31 2018 OFFS'!$W363))/(MAX(COUNTIFS('T1 2019 Pipeline Data Lagasco'!$A:$A,'Dec 31 2018 OFFS'!$AI363,'T1 2019 Pipeline Data Lagasco'!$Q:$Q,'Dec 31 2018 OFFS'!$AK363,'T1 2019 Pipeline Data Lagasco'!$E:$E,'Dec 31 2018 OFFS'!$U363,'T1 2019 Pipeline Data Lagasco'!$G:$G,'Dec 31 2018 OFFS'!$W363),1))</f>
        <v>53415</v>
      </c>
      <c r="AM363" s="274">
        <f t="shared" si="59"/>
        <v>0</v>
      </c>
    </row>
    <row r="364" spans="1:39" ht="12.7">
      <c r="A364" s="193" t="s">
        <v>909</v>
      </c>
      <c r="B364" s="40" t="s">
        <v>918</v>
      </c>
      <c r="C364" s="40" t="s">
        <v>1266</v>
      </c>
      <c r="D364" s="40" t="s">
        <v>1077</v>
      </c>
      <c r="E364" s="40" t="s">
        <v>138</v>
      </c>
      <c r="F364" s="40"/>
      <c r="G364" s="41" t="s">
        <v>579</v>
      </c>
      <c r="H364" s="42">
        <v>42</v>
      </c>
      <c r="I364" s="43">
        <v>41</v>
      </c>
      <c r="J364" s="44">
        <v>3</v>
      </c>
      <c r="K364" s="45">
        <v>79</v>
      </c>
      <c r="L364" s="43">
        <v>31</v>
      </c>
      <c r="M364" s="46">
        <v>54</v>
      </c>
      <c r="N364" s="40" t="s">
        <v>619</v>
      </c>
      <c r="O364" s="42">
        <v>42</v>
      </c>
      <c r="P364" s="43">
        <v>40</v>
      </c>
      <c r="Q364" s="44">
        <v>43.02</v>
      </c>
      <c r="R364" s="45">
        <v>79</v>
      </c>
      <c r="S364" s="43">
        <v>30</v>
      </c>
      <c r="T364" s="46">
        <v>46.98</v>
      </c>
      <c r="U364" s="40">
        <v>4</v>
      </c>
      <c r="V364" s="47">
        <v>5399.9670352180001</v>
      </c>
      <c r="W364" s="48">
        <v>1994</v>
      </c>
      <c r="X364" s="40"/>
      <c r="Y364" s="52" t="s">
        <v>1081</v>
      </c>
      <c r="Z364" s="40" t="s">
        <v>910</v>
      </c>
      <c r="AA364" s="49">
        <f t="shared" si="52"/>
        <v>142829.1280815161</v>
      </c>
      <c r="AB364" s="71">
        <f t="shared" si="53"/>
        <v>0.68</v>
      </c>
      <c r="AC364" s="49">
        <f t="shared" si="54"/>
        <v>45705.32</v>
      </c>
      <c r="AD364" s="50">
        <f t="shared" si="55"/>
        <v>0</v>
      </c>
      <c r="AE364" s="50">
        <f t="shared" si="56"/>
        <v>0</v>
      </c>
      <c r="AF364" s="50">
        <f t="shared" si="57"/>
        <v>45705.32</v>
      </c>
      <c r="AG364" s="199">
        <f t="shared" si="58"/>
        <v>45705</v>
      </c>
      <c r="AH364" s="187"/>
      <c r="AI364" s="185" t="s">
        <v>1455</v>
      </c>
      <c r="AJ364" s="185"/>
      <c r="AK364" s="277">
        <f t="shared" si="51"/>
        <v>5399.97</v>
      </c>
      <c r="AL364" s="25">
        <f>(SUMIFS('T1 2019 Pipeline Data Lagasco'!$O:$O,'T1 2019 Pipeline Data Lagasco'!$A:$A,'Dec 31 2018 OFFS'!$AI364,'T1 2019 Pipeline Data Lagasco'!$Q:$Q,'Dec 31 2018 OFFS'!$AK364,'T1 2019 Pipeline Data Lagasco'!$E:$E,'Dec 31 2018 OFFS'!$U364,'T1 2019 Pipeline Data Lagasco'!$G:$G,'Dec 31 2018 OFFS'!$W364))/(MAX(COUNTIFS('T1 2019 Pipeline Data Lagasco'!$A:$A,'Dec 31 2018 OFFS'!$AI364,'T1 2019 Pipeline Data Lagasco'!$Q:$Q,'Dec 31 2018 OFFS'!$AK364,'T1 2019 Pipeline Data Lagasco'!$E:$E,'Dec 31 2018 OFFS'!$U364,'T1 2019 Pipeline Data Lagasco'!$G:$G,'Dec 31 2018 OFFS'!$W364),1))</f>
        <v>45705</v>
      </c>
      <c r="AM364" s="274">
        <f t="shared" si="59"/>
        <v>0</v>
      </c>
    </row>
    <row r="365" spans="1:39" ht="12.7">
      <c r="A365" s="193" t="s">
        <v>909</v>
      </c>
      <c r="B365" s="40" t="s">
        <v>918</v>
      </c>
      <c r="C365" s="40" t="s">
        <v>1266</v>
      </c>
      <c r="D365" s="40" t="s">
        <v>1077</v>
      </c>
      <c r="E365" s="40" t="s">
        <v>138</v>
      </c>
      <c r="F365" s="40"/>
      <c r="G365" s="41" t="s">
        <v>619</v>
      </c>
      <c r="H365" s="42">
        <v>42</v>
      </c>
      <c r="I365" s="43">
        <v>40</v>
      </c>
      <c r="J365" s="44">
        <v>43.02</v>
      </c>
      <c r="K365" s="45">
        <v>79</v>
      </c>
      <c r="L365" s="43">
        <v>30</v>
      </c>
      <c r="M365" s="46">
        <v>46.98</v>
      </c>
      <c r="N365" s="40" t="s">
        <v>620</v>
      </c>
      <c r="O365" s="42">
        <v>42</v>
      </c>
      <c r="P365" s="43">
        <v>40</v>
      </c>
      <c r="Q365" s="44">
        <v>45.18</v>
      </c>
      <c r="R365" s="45">
        <v>79</v>
      </c>
      <c r="S365" s="43">
        <v>29</v>
      </c>
      <c r="T365" s="46">
        <v>44.34</v>
      </c>
      <c r="U365" s="40">
        <v>4</v>
      </c>
      <c r="V365" s="47">
        <v>4684.8095756140001</v>
      </c>
      <c r="W365" s="48">
        <v>1994</v>
      </c>
      <c r="X365" s="40"/>
      <c r="Y365" s="52" t="s">
        <v>1081</v>
      </c>
      <c r="Z365" s="40" t="s">
        <v>910</v>
      </c>
      <c r="AA365" s="49">
        <f t="shared" si="52"/>
        <v>123913.2132749903</v>
      </c>
      <c r="AB365" s="71">
        <f t="shared" si="53"/>
        <v>0.68</v>
      </c>
      <c r="AC365" s="49">
        <f t="shared" si="54"/>
        <v>39652.230000000003</v>
      </c>
      <c r="AD365" s="50">
        <f t="shared" si="55"/>
        <v>0</v>
      </c>
      <c r="AE365" s="50">
        <f t="shared" si="56"/>
        <v>0</v>
      </c>
      <c r="AF365" s="50">
        <f t="shared" si="57"/>
        <v>39652.230000000003</v>
      </c>
      <c r="AG365" s="199">
        <f t="shared" si="58"/>
        <v>39652</v>
      </c>
      <c r="AH365" s="187"/>
      <c r="AI365" s="185" t="s">
        <v>1455</v>
      </c>
      <c r="AJ365" s="185"/>
      <c r="AK365" s="277">
        <f t="shared" si="51"/>
        <v>4684.8100000000004</v>
      </c>
      <c r="AL365" s="25">
        <f>(SUMIFS('T1 2019 Pipeline Data Lagasco'!$O:$O,'T1 2019 Pipeline Data Lagasco'!$A:$A,'Dec 31 2018 OFFS'!$AI365,'T1 2019 Pipeline Data Lagasco'!$Q:$Q,'Dec 31 2018 OFFS'!$AK365,'T1 2019 Pipeline Data Lagasco'!$E:$E,'Dec 31 2018 OFFS'!$U365,'T1 2019 Pipeline Data Lagasco'!$G:$G,'Dec 31 2018 OFFS'!$W365))/(MAX(COUNTIFS('T1 2019 Pipeline Data Lagasco'!$A:$A,'Dec 31 2018 OFFS'!$AI365,'T1 2019 Pipeline Data Lagasco'!$Q:$Q,'Dec 31 2018 OFFS'!$AK365,'T1 2019 Pipeline Data Lagasco'!$E:$E,'Dec 31 2018 OFFS'!$U365,'T1 2019 Pipeline Data Lagasco'!$G:$G,'Dec 31 2018 OFFS'!$W365),1))</f>
        <v>39652</v>
      </c>
      <c r="AM365" s="274">
        <f t="shared" si="59"/>
        <v>0</v>
      </c>
    </row>
    <row r="366" spans="1:39" ht="12.7">
      <c r="A366" s="193" t="s">
        <v>909</v>
      </c>
      <c r="B366" s="40" t="s">
        <v>918</v>
      </c>
      <c r="C366" s="40" t="s">
        <v>1266</v>
      </c>
      <c r="D366" s="40" t="s">
        <v>1077</v>
      </c>
      <c r="E366" s="40" t="s">
        <v>138</v>
      </c>
      <c r="F366" s="40"/>
      <c r="G366" s="41" t="s">
        <v>581</v>
      </c>
      <c r="H366" s="42">
        <v>42</v>
      </c>
      <c r="I366" s="43">
        <v>40</v>
      </c>
      <c r="J366" s="44">
        <v>9</v>
      </c>
      <c r="K366" s="45">
        <v>79</v>
      </c>
      <c r="L366" s="43">
        <v>34</v>
      </c>
      <c r="M366" s="46">
        <v>52.98</v>
      </c>
      <c r="N366" s="40" t="s">
        <v>582</v>
      </c>
      <c r="O366" s="42">
        <v>42</v>
      </c>
      <c r="P366" s="43">
        <v>39</v>
      </c>
      <c r="Q366" s="44">
        <v>43.98</v>
      </c>
      <c r="R366" s="45">
        <v>79</v>
      </c>
      <c r="S366" s="43">
        <v>36</v>
      </c>
      <c r="T366" s="46">
        <v>21</v>
      </c>
      <c r="U366" s="40">
        <v>3</v>
      </c>
      <c r="V366" s="47">
        <v>7048.0312919519993</v>
      </c>
      <c r="W366" s="48">
        <v>1991</v>
      </c>
      <c r="X366" s="40"/>
      <c r="Y366" s="52" t="s">
        <v>1081</v>
      </c>
      <c r="Z366" s="40" t="s">
        <v>910</v>
      </c>
      <c r="AA366" s="49">
        <f t="shared" si="52"/>
        <v>166263.05817714767</v>
      </c>
      <c r="AB366" s="71">
        <f t="shared" si="53"/>
        <v>0.72</v>
      </c>
      <c r="AC366" s="49">
        <f t="shared" si="54"/>
        <v>46553.66</v>
      </c>
      <c r="AD366" s="50">
        <f t="shared" si="55"/>
        <v>0</v>
      </c>
      <c r="AE366" s="50">
        <f t="shared" si="56"/>
        <v>0</v>
      </c>
      <c r="AF366" s="50">
        <f t="shared" si="57"/>
        <v>46553.66</v>
      </c>
      <c r="AG366" s="199">
        <f t="shared" si="58"/>
        <v>46553</v>
      </c>
      <c r="AH366" s="187"/>
      <c r="AI366" s="185" t="s">
        <v>1455</v>
      </c>
      <c r="AJ366" s="185"/>
      <c r="AK366" s="277">
        <f t="shared" si="51"/>
        <v>7048.03</v>
      </c>
      <c r="AL366" s="25">
        <f>(SUMIFS('T1 2019 Pipeline Data Lagasco'!$O:$O,'T1 2019 Pipeline Data Lagasco'!$A:$A,'Dec 31 2018 OFFS'!$AI366,'T1 2019 Pipeline Data Lagasco'!$Q:$Q,'Dec 31 2018 OFFS'!$AK366,'T1 2019 Pipeline Data Lagasco'!$E:$E,'Dec 31 2018 OFFS'!$U366,'T1 2019 Pipeline Data Lagasco'!$G:$G,'Dec 31 2018 OFFS'!$W366))/(MAX(COUNTIFS('T1 2019 Pipeline Data Lagasco'!$A:$A,'Dec 31 2018 OFFS'!$AI366,'T1 2019 Pipeline Data Lagasco'!$Q:$Q,'Dec 31 2018 OFFS'!$AK366,'T1 2019 Pipeline Data Lagasco'!$E:$E,'Dec 31 2018 OFFS'!$U366,'T1 2019 Pipeline Data Lagasco'!$G:$G,'Dec 31 2018 OFFS'!$W366),1))</f>
        <v>46553</v>
      </c>
      <c r="AM366" s="274">
        <f t="shared" si="59"/>
        <v>0</v>
      </c>
    </row>
    <row r="367" spans="1:39" ht="12.7">
      <c r="A367" s="193" t="s">
        <v>909</v>
      </c>
      <c r="B367" s="40" t="s">
        <v>918</v>
      </c>
      <c r="C367" s="40" t="s">
        <v>1266</v>
      </c>
      <c r="D367" s="40" t="s">
        <v>1077</v>
      </c>
      <c r="E367" s="40" t="s">
        <v>138</v>
      </c>
      <c r="F367" s="40"/>
      <c r="G367" s="41" t="s">
        <v>581</v>
      </c>
      <c r="H367" s="42">
        <v>42</v>
      </c>
      <c r="I367" s="43">
        <v>40</v>
      </c>
      <c r="J367" s="44">
        <v>9</v>
      </c>
      <c r="K367" s="45">
        <v>79</v>
      </c>
      <c r="L367" s="43">
        <v>34</v>
      </c>
      <c r="M367" s="46">
        <v>52.98</v>
      </c>
      <c r="N367" s="40" t="s">
        <v>583</v>
      </c>
      <c r="O367" s="42">
        <v>42</v>
      </c>
      <c r="P367" s="43">
        <v>39</v>
      </c>
      <c r="Q367" s="44">
        <v>39</v>
      </c>
      <c r="R367" s="45">
        <v>79</v>
      </c>
      <c r="S367" s="43">
        <v>35</v>
      </c>
      <c r="T367" s="46">
        <v>24</v>
      </c>
      <c r="U367" s="40">
        <v>3</v>
      </c>
      <c r="V367" s="47">
        <v>3820.8660310799996</v>
      </c>
      <c r="W367" s="48">
        <v>1994</v>
      </c>
      <c r="X367" s="40"/>
      <c r="Y367" s="52" t="s">
        <v>1081</v>
      </c>
      <c r="Z367" s="40" t="s">
        <v>910</v>
      </c>
      <c r="AA367" s="49">
        <f t="shared" si="52"/>
        <v>90134.229673177193</v>
      </c>
      <c r="AB367" s="71">
        <f t="shared" si="53"/>
        <v>0.68</v>
      </c>
      <c r="AC367" s="49">
        <f t="shared" si="54"/>
        <v>28842.95</v>
      </c>
      <c r="AD367" s="50">
        <f t="shared" si="55"/>
        <v>0</v>
      </c>
      <c r="AE367" s="50">
        <f t="shared" si="56"/>
        <v>0</v>
      </c>
      <c r="AF367" s="50">
        <f t="shared" si="57"/>
        <v>28842.95</v>
      </c>
      <c r="AG367" s="199">
        <f t="shared" si="58"/>
        <v>28842</v>
      </c>
      <c r="AH367" s="187"/>
      <c r="AI367" s="185" t="s">
        <v>1455</v>
      </c>
      <c r="AJ367" s="185"/>
      <c r="AK367" s="277">
        <f t="shared" si="51"/>
        <v>3820.87</v>
      </c>
      <c r="AL367" s="25">
        <f>(SUMIFS('T1 2019 Pipeline Data Lagasco'!$O:$O,'T1 2019 Pipeline Data Lagasco'!$A:$A,'Dec 31 2018 OFFS'!$AI367,'T1 2019 Pipeline Data Lagasco'!$Q:$Q,'Dec 31 2018 OFFS'!$AK367,'T1 2019 Pipeline Data Lagasco'!$E:$E,'Dec 31 2018 OFFS'!$U367,'T1 2019 Pipeline Data Lagasco'!$G:$G,'Dec 31 2018 OFFS'!$W367))/(MAX(COUNTIFS('T1 2019 Pipeline Data Lagasco'!$A:$A,'Dec 31 2018 OFFS'!$AI367,'T1 2019 Pipeline Data Lagasco'!$Q:$Q,'Dec 31 2018 OFFS'!$AK367,'T1 2019 Pipeline Data Lagasco'!$E:$E,'Dec 31 2018 OFFS'!$U367,'T1 2019 Pipeline Data Lagasco'!$G:$G,'Dec 31 2018 OFFS'!$W367),1))</f>
        <v>28842</v>
      </c>
      <c r="AM367" s="274">
        <f t="shared" si="59"/>
        <v>0</v>
      </c>
    </row>
    <row r="368" spans="1:39" ht="12.7">
      <c r="A368" s="193" t="s">
        <v>909</v>
      </c>
      <c r="B368" s="40" t="s">
        <v>918</v>
      </c>
      <c r="C368" s="40" t="s">
        <v>1266</v>
      </c>
      <c r="D368" s="40" t="s">
        <v>1077</v>
      </c>
      <c r="E368" s="40" t="s">
        <v>138</v>
      </c>
      <c r="F368" s="40"/>
      <c r="G368" s="41" t="s">
        <v>581</v>
      </c>
      <c r="H368" s="42">
        <v>42</v>
      </c>
      <c r="I368" s="43">
        <v>40</v>
      </c>
      <c r="J368" s="44">
        <v>9</v>
      </c>
      <c r="K368" s="45">
        <v>79</v>
      </c>
      <c r="L368" s="43">
        <v>34</v>
      </c>
      <c r="M368" s="46">
        <v>52.98</v>
      </c>
      <c r="N368" s="40" t="s">
        <v>584</v>
      </c>
      <c r="O368" s="42">
        <v>42</v>
      </c>
      <c r="P368" s="43">
        <v>40</v>
      </c>
      <c r="Q368" s="44">
        <v>12</v>
      </c>
      <c r="R368" s="45">
        <v>79</v>
      </c>
      <c r="S368" s="43">
        <v>33</v>
      </c>
      <c r="T368" s="46">
        <v>52.98</v>
      </c>
      <c r="U368" s="40">
        <v>3</v>
      </c>
      <c r="V368" s="47">
        <v>4493.339764886</v>
      </c>
      <c r="W368" s="48">
        <v>1995</v>
      </c>
      <c r="X368" s="40"/>
      <c r="Y368" s="52" t="s">
        <v>1081</v>
      </c>
      <c r="Z368" s="40" t="s">
        <v>910</v>
      </c>
      <c r="AA368" s="49">
        <f t="shared" si="52"/>
        <v>105997.88505366074</v>
      </c>
      <c r="AB368" s="71">
        <f t="shared" si="53"/>
        <v>0.67</v>
      </c>
      <c r="AC368" s="49">
        <f t="shared" si="54"/>
        <v>34979.300000000003</v>
      </c>
      <c r="AD368" s="50">
        <f t="shared" si="55"/>
        <v>0</v>
      </c>
      <c r="AE368" s="50">
        <f t="shared" si="56"/>
        <v>0</v>
      </c>
      <c r="AF368" s="50">
        <f t="shared" si="57"/>
        <v>34979.300000000003</v>
      </c>
      <c r="AG368" s="199">
        <f t="shared" si="58"/>
        <v>34979</v>
      </c>
      <c r="AH368" s="187"/>
      <c r="AI368" s="185" t="s">
        <v>1455</v>
      </c>
      <c r="AJ368" s="185"/>
      <c r="AK368" s="277">
        <f t="shared" si="51"/>
        <v>4493.34</v>
      </c>
      <c r="AL368" s="25">
        <f>(SUMIFS('T1 2019 Pipeline Data Lagasco'!$O:$O,'T1 2019 Pipeline Data Lagasco'!$A:$A,'Dec 31 2018 OFFS'!$AI368,'T1 2019 Pipeline Data Lagasco'!$Q:$Q,'Dec 31 2018 OFFS'!$AK368,'T1 2019 Pipeline Data Lagasco'!$E:$E,'Dec 31 2018 OFFS'!$U368,'T1 2019 Pipeline Data Lagasco'!$G:$G,'Dec 31 2018 OFFS'!$W368))/(MAX(COUNTIFS('T1 2019 Pipeline Data Lagasco'!$A:$A,'Dec 31 2018 OFFS'!$AI368,'T1 2019 Pipeline Data Lagasco'!$Q:$Q,'Dec 31 2018 OFFS'!$AK368,'T1 2019 Pipeline Data Lagasco'!$E:$E,'Dec 31 2018 OFFS'!$U368,'T1 2019 Pipeline Data Lagasco'!$G:$G,'Dec 31 2018 OFFS'!$W368),1))</f>
        <v>34979</v>
      </c>
      <c r="AM368" s="274">
        <f t="shared" si="59"/>
        <v>0</v>
      </c>
    </row>
    <row r="369" spans="1:39" ht="12.7">
      <c r="A369" s="193" t="s">
        <v>909</v>
      </c>
      <c r="B369" s="40" t="s">
        <v>918</v>
      </c>
      <c r="C369" s="40" t="s">
        <v>1266</v>
      </c>
      <c r="D369" s="40" t="s">
        <v>1077</v>
      </c>
      <c r="E369" s="40" t="s">
        <v>138</v>
      </c>
      <c r="F369" s="40"/>
      <c r="G369" s="41" t="s">
        <v>581</v>
      </c>
      <c r="H369" s="42">
        <v>42</v>
      </c>
      <c r="I369" s="43">
        <v>40</v>
      </c>
      <c r="J369" s="44">
        <v>9</v>
      </c>
      <c r="K369" s="45">
        <v>79</v>
      </c>
      <c r="L369" s="43">
        <v>34</v>
      </c>
      <c r="M369" s="46">
        <v>52.98</v>
      </c>
      <c r="N369" s="40" t="s">
        <v>605</v>
      </c>
      <c r="O369" s="42">
        <v>42</v>
      </c>
      <c r="P369" s="43">
        <v>39</v>
      </c>
      <c r="Q369" s="44">
        <v>24</v>
      </c>
      <c r="R369" s="45">
        <v>79</v>
      </c>
      <c r="S369" s="43">
        <v>33</v>
      </c>
      <c r="T369" s="46">
        <v>34.020000000000003</v>
      </c>
      <c r="U369" s="40">
        <v>4</v>
      </c>
      <c r="V369" s="47">
        <v>7454.7570019579998</v>
      </c>
      <c r="W369" s="48">
        <v>1982</v>
      </c>
      <c r="X369" s="40"/>
      <c r="Y369" s="52" t="s">
        <v>1081</v>
      </c>
      <c r="Z369" s="40" t="s">
        <v>910</v>
      </c>
      <c r="AA369" s="49">
        <f t="shared" si="52"/>
        <v>197178.32270178909</v>
      </c>
      <c r="AB369" s="71">
        <f t="shared" si="53"/>
        <v>0.80</v>
      </c>
      <c r="AC369" s="49">
        <f t="shared" si="54"/>
        <v>39435.660000000003</v>
      </c>
      <c r="AD369" s="50">
        <f t="shared" si="55"/>
        <v>0</v>
      </c>
      <c r="AE369" s="50">
        <f t="shared" si="56"/>
        <v>0</v>
      </c>
      <c r="AF369" s="50">
        <f t="shared" si="57"/>
        <v>39435.660000000003</v>
      </c>
      <c r="AG369" s="199">
        <f t="shared" si="58"/>
        <v>39435</v>
      </c>
      <c r="AH369" s="187"/>
      <c r="AI369" s="185" t="s">
        <v>1455</v>
      </c>
      <c r="AJ369" s="185"/>
      <c r="AK369" s="277">
        <f t="shared" si="51"/>
        <v>7454.76</v>
      </c>
      <c r="AL369" s="25">
        <f>(SUMIFS('T1 2019 Pipeline Data Lagasco'!$O:$O,'T1 2019 Pipeline Data Lagasco'!$A:$A,'Dec 31 2018 OFFS'!$AI369,'T1 2019 Pipeline Data Lagasco'!$Q:$Q,'Dec 31 2018 OFFS'!$AK369,'T1 2019 Pipeline Data Lagasco'!$E:$E,'Dec 31 2018 OFFS'!$U369,'T1 2019 Pipeline Data Lagasco'!$G:$G,'Dec 31 2018 OFFS'!$W369))/(MAX(COUNTIFS('T1 2019 Pipeline Data Lagasco'!$A:$A,'Dec 31 2018 OFFS'!$AI369,'T1 2019 Pipeline Data Lagasco'!$Q:$Q,'Dec 31 2018 OFFS'!$AK369,'T1 2019 Pipeline Data Lagasco'!$E:$E,'Dec 31 2018 OFFS'!$U369,'T1 2019 Pipeline Data Lagasco'!$G:$G,'Dec 31 2018 OFFS'!$W369),1))</f>
        <v>39435</v>
      </c>
      <c r="AM369" s="274">
        <f t="shared" si="59"/>
        <v>0</v>
      </c>
    </row>
    <row r="370" spans="1:39" ht="12.7">
      <c r="A370" s="193" t="s">
        <v>909</v>
      </c>
      <c r="B370" s="40" t="s">
        <v>918</v>
      </c>
      <c r="C370" s="40" t="s">
        <v>1266</v>
      </c>
      <c r="D370" s="40" t="s">
        <v>1077</v>
      </c>
      <c r="E370" s="40" t="s">
        <v>64</v>
      </c>
      <c r="F370" s="40"/>
      <c r="G370" s="41" t="s">
        <v>1210</v>
      </c>
      <c r="H370" s="42">
        <v>42</v>
      </c>
      <c r="I370" s="43">
        <v>44</v>
      </c>
      <c r="J370" s="44">
        <v>54.30</v>
      </c>
      <c r="K370" s="45">
        <v>79</v>
      </c>
      <c r="L370" s="43">
        <v>38</v>
      </c>
      <c r="M370" s="46">
        <v>15.30</v>
      </c>
      <c r="N370" s="41" t="s">
        <v>1211</v>
      </c>
      <c r="O370" s="42">
        <v>42</v>
      </c>
      <c r="P370" s="43">
        <v>44</v>
      </c>
      <c r="Q370" s="44">
        <v>44.89</v>
      </c>
      <c r="R370" s="45">
        <v>79</v>
      </c>
      <c r="S370" s="43">
        <v>37</v>
      </c>
      <c r="T370" s="46">
        <v>59.10</v>
      </c>
      <c r="U370" s="40">
        <v>3</v>
      </c>
      <c r="V370" s="47">
        <v>1233</v>
      </c>
      <c r="W370" s="48">
        <v>2004</v>
      </c>
      <c r="X370" s="40"/>
      <c r="Y370" s="52" t="s">
        <v>1081</v>
      </c>
      <c r="Z370" s="40" t="s">
        <v>910</v>
      </c>
      <c r="AA370" s="49">
        <f t="shared" si="52"/>
        <v>29086.47</v>
      </c>
      <c r="AB370" s="71">
        <f t="shared" si="53"/>
        <v>0.56000000000000005</v>
      </c>
      <c r="AC370" s="49">
        <f t="shared" si="54"/>
        <v>12798.05</v>
      </c>
      <c r="AD370" s="50">
        <f t="shared" si="55"/>
        <v>0</v>
      </c>
      <c r="AE370" s="50">
        <f t="shared" si="56"/>
        <v>0</v>
      </c>
      <c r="AF370" s="50">
        <f t="shared" si="57"/>
        <v>12798.05</v>
      </c>
      <c r="AG370" s="199">
        <f t="shared" si="58"/>
        <v>12798</v>
      </c>
      <c r="AH370" s="187"/>
      <c r="AI370" s="185" t="s">
        <v>1455</v>
      </c>
      <c r="AJ370" s="185"/>
      <c r="AK370" s="277">
        <f t="shared" si="51"/>
        <v>1233</v>
      </c>
      <c r="AL370" s="25">
        <f>(SUMIFS('T1 2019 Pipeline Data Lagasco'!$O:$O,'T1 2019 Pipeline Data Lagasco'!$A:$A,'Dec 31 2018 OFFS'!$AI370,'T1 2019 Pipeline Data Lagasco'!$Q:$Q,'Dec 31 2018 OFFS'!$AK370,'T1 2019 Pipeline Data Lagasco'!$E:$E,'Dec 31 2018 OFFS'!$U370,'T1 2019 Pipeline Data Lagasco'!$G:$G,'Dec 31 2018 OFFS'!$W370))/(MAX(COUNTIFS('T1 2019 Pipeline Data Lagasco'!$A:$A,'Dec 31 2018 OFFS'!$AI370,'T1 2019 Pipeline Data Lagasco'!$Q:$Q,'Dec 31 2018 OFFS'!$AK370,'T1 2019 Pipeline Data Lagasco'!$E:$E,'Dec 31 2018 OFFS'!$U370,'T1 2019 Pipeline Data Lagasco'!$G:$G,'Dec 31 2018 OFFS'!$W370),1))</f>
        <v>12798</v>
      </c>
      <c r="AM370" s="274">
        <f t="shared" si="59"/>
        <v>0</v>
      </c>
    </row>
    <row r="371" spans="1:39" ht="12.7">
      <c r="A371" s="193" t="s">
        <v>909</v>
      </c>
      <c r="B371" s="40" t="s">
        <v>918</v>
      </c>
      <c r="C371" s="40" t="s">
        <v>1266</v>
      </c>
      <c r="D371" s="40" t="s">
        <v>1077</v>
      </c>
      <c r="E371" s="40" t="s">
        <v>138</v>
      </c>
      <c r="F371" s="40" t="s">
        <v>1051</v>
      </c>
      <c r="G371" s="41" t="s">
        <v>621</v>
      </c>
      <c r="H371" s="42">
        <v>42</v>
      </c>
      <c r="I371" s="43">
        <v>42</v>
      </c>
      <c r="J371" s="44">
        <v>55.98</v>
      </c>
      <c r="K371" s="45">
        <v>79</v>
      </c>
      <c r="L371" s="43">
        <v>35</v>
      </c>
      <c r="M371" s="46">
        <v>16.98</v>
      </c>
      <c r="N371" s="40" t="s">
        <v>585</v>
      </c>
      <c r="O371" s="42">
        <v>42</v>
      </c>
      <c r="P371" s="43">
        <v>43</v>
      </c>
      <c r="Q371" s="44">
        <v>45.24</v>
      </c>
      <c r="R371" s="45">
        <v>79</v>
      </c>
      <c r="S371" s="43">
        <v>36</v>
      </c>
      <c r="T371" s="46">
        <v>9.9600000000000009</v>
      </c>
      <c r="U371" s="40">
        <v>3</v>
      </c>
      <c r="V371" s="47">
        <v>6365.4853799599996</v>
      </c>
      <c r="W371" s="48">
        <v>1994</v>
      </c>
      <c r="X371" s="40"/>
      <c r="Y371" s="52" t="s">
        <v>1081</v>
      </c>
      <c r="Z371" s="40" t="s">
        <v>910</v>
      </c>
      <c r="AA371" s="49">
        <f t="shared" si="52"/>
        <v>0</v>
      </c>
      <c r="AB371" s="71">
        <f t="shared" si="53"/>
        <v>0.68</v>
      </c>
      <c r="AC371" s="49">
        <f t="shared" si="54"/>
        <v>0</v>
      </c>
      <c r="AD371" s="50">
        <f t="shared" si="55"/>
        <v>0</v>
      </c>
      <c r="AE371" s="50">
        <f t="shared" si="56"/>
        <v>0</v>
      </c>
      <c r="AF371" s="50">
        <f t="shared" si="57"/>
        <v>0</v>
      </c>
      <c r="AG371" s="199">
        <f t="shared" si="58"/>
        <v>0</v>
      </c>
      <c r="AH371" s="187"/>
      <c r="AI371" s="185" t="s">
        <v>1455</v>
      </c>
      <c r="AJ371" s="185"/>
      <c r="AK371" s="277">
        <f t="shared" si="51"/>
        <v>6365.49</v>
      </c>
      <c r="AL371" s="25">
        <f>(SUMIFS('T1 2019 Pipeline Data Lagasco'!$O:$O,'T1 2019 Pipeline Data Lagasco'!$A:$A,'Dec 31 2018 OFFS'!$AI371,'T1 2019 Pipeline Data Lagasco'!$Q:$Q,'Dec 31 2018 OFFS'!$AK371,'T1 2019 Pipeline Data Lagasco'!$E:$E,'Dec 31 2018 OFFS'!$U371,'T1 2019 Pipeline Data Lagasco'!$G:$G,'Dec 31 2018 OFFS'!$W371))/(MAX(COUNTIFS('T1 2019 Pipeline Data Lagasco'!$A:$A,'Dec 31 2018 OFFS'!$AI371,'T1 2019 Pipeline Data Lagasco'!$Q:$Q,'Dec 31 2018 OFFS'!$AK371,'T1 2019 Pipeline Data Lagasco'!$E:$E,'Dec 31 2018 OFFS'!$U371,'T1 2019 Pipeline Data Lagasco'!$G:$G,'Dec 31 2018 OFFS'!$W371),1))</f>
        <v>0</v>
      </c>
      <c r="AM371" s="274">
        <f t="shared" si="59"/>
        <v>0</v>
      </c>
    </row>
    <row r="372" spans="1:39" ht="12.7">
      <c r="A372" s="193" t="s">
        <v>909</v>
      </c>
      <c r="B372" s="40" t="s">
        <v>918</v>
      </c>
      <c r="C372" s="40" t="s">
        <v>1266</v>
      </c>
      <c r="D372" s="40" t="s">
        <v>1077</v>
      </c>
      <c r="E372" s="40" t="s">
        <v>138</v>
      </c>
      <c r="F372" s="40"/>
      <c r="G372" s="41" t="s">
        <v>621</v>
      </c>
      <c r="H372" s="42">
        <v>42</v>
      </c>
      <c r="I372" s="43">
        <v>42</v>
      </c>
      <c r="J372" s="44">
        <v>55.98</v>
      </c>
      <c r="K372" s="45">
        <v>79</v>
      </c>
      <c r="L372" s="43">
        <v>35</v>
      </c>
      <c r="M372" s="46">
        <v>16.98</v>
      </c>
      <c r="N372" s="40" t="s">
        <v>577</v>
      </c>
      <c r="O372" s="42">
        <v>42</v>
      </c>
      <c r="P372" s="43">
        <v>42</v>
      </c>
      <c r="Q372" s="44">
        <v>13.02</v>
      </c>
      <c r="R372" s="45">
        <v>79</v>
      </c>
      <c r="S372" s="43">
        <v>34</v>
      </c>
      <c r="T372" s="46">
        <v>1.98</v>
      </c>
      <c r="U372" s="40">
        <v>4</v>
      </c>
      <c r="V372" s="47">
        <v>7091.0431017299998</v>
      </c>
      <c r="W372" s="48">
        <v>1994</v>
      </c>
      <c r="X372" s="40"/>
      <c r="Y372" s="52" t="s">
        <v>1081</v>
      </c>
      <c r="Z372" s="40" t="s">
        <v>910</v>
      </c>
      <c r="AA372" s="49">
        <f t="shared" si="52"/>
        <v>187558.09004075848</v>
      </c>
      <c r="AB372" s="71">
        <f t="shared" si="53"/>
        <v>0.68</v>
      </c>
      <c r="AC372" s="49">
        <f t="shared" si="54"/>
        <v>60018.59</v>
      </c>
      <c r="AD372" s="50">
        <f t="shared" si="55"/>
        <v>0</v>
      </c>
      <c r="AE372" s="50">
        <f t="shared" si="56"/>
        <v>0</v>
      </c>
      <c r="AF372" s="50">
        <f t="shared" si="57"/>
        <v>60018.59</v>
      </c>
      <c r="AG372" s="199">
        <f t="shared" si="58"/>
        <v>60018</v>
      </c>
      <c r="AH372" s="187"/>
      <c r="AI372" s="185" t="s">
        <v>1455</v>
      </c>
      <c r="AJ372" s="185"/>
      <c r="AK372" s="277">
        <f t="shared" si="51"/>
        <v>7091.04</v>
      </c>
      <c r="AL372" s="25">
        <f>(SUMIFS('T1 2019 Pipeline Data Lagasco'!$O:$O,'T1 2019 Pipeline Data Lagasco'!$A:$A,'Dec 31 2018 OFFS'!$AI372,'T1 2019 Pipeline Data Lagasco'!$Q:$Q,'Dec 31 2018 OFFS'!$AK372,'T1 2019 Pipeline Data Lagasco'!$E:$E,'Dec 31 2018 OFFS'!$U372,'T1 2019 Pipeline Data Lagasco'!$G:$G,'Dec 31 2018 OFFS'!$W372))/(MAX(COUNTIFS('T1 2019 Pipeline Data Lagasco'!$A:$A,'Dec 31 2018 OFFS'!$AI372,'T1 2019 Pipeline Data Lagasco'!$Q:$Q,'Dec 31 2018 OFFS'!$AK372,'T1 2019 Pipeline Data Lagasco'!$E:$E,'Dec 31 2018 OFFS'!$U372,'T1 2019 Pipeline Data Lagasco'!$G:$G,'Dec 31 2018 OFFS'!$W372),1))</f>
        <v>60018</v>
      </c>
      <c r="AM372" s="274">
        <f t="shared" si="59"/>
        <v>0</v>
      </c>
    </row>
    <row r="373" spans="1:39" ht="12.7">
      <c r="A373" s="193" t="s">
        <v>909</v>
      </c>
      <c r="B373" s="40" t="s">
        <v>918</v>
      </c>
      <c r="C373" s="40" t="s">
        <v>1266</v>
      </c>
      <c r="D373" s="40" t="s">
        <v>1077</v>
      </c>
      <c r="E373" s="40" t="s">
        <v>138</v>
      </c>
      <c r="F373" s="40"/>
      <c r="G373" s="41" t="s">
        <v>621</v>
      </c>
      <c r="H373" s="42">
        <v>42</v>
      </c>
      <c r="I373" s="43">
        <v>42</v>
      </c>
      <c r="J373" s="44">
        <v>55.98</v>
      </c>
      <c r="K373" s="45">
        <v>79</v>
      </c>
      <c r="L373" s="43">
        <v>35</v>
      </c>
      <c r="M373" s="46">
        <v>16.98</v>
      </c>
      <c r="N373" s="40" t="s">
        <v>563</v>
      </c>
      <c r="O373" s="42">
        <v>42</v>
      </c>
      <c r="P373" s="43">
        <v>47</v>
      </c>
      <c r="Q373" s="44">
        <v>48</v>
      </c>
      <c r="R373" s="45">
        <v>79</v>
      </c>
      <c r="S373" s="43">
        <v>29</v>
      </c>
      <c r="T373" s="46">
        <v>10.98</v>
      </c>
      <c r="U373" s="40">
        <v>6</v>
      </c>
      <c r="V373" s="56">
        <v>40249.506708389999</v>
      </c>
      <c r="W373" s="48">
        <v>1994</v>
      </c>
      <c r="X373" s="40"/>
      <c r="Y373" s="52" t="s">
        <v>1081</v>
      </c>
      <c r="Z373" s="40" t="s">
        <v>910</v>
      </c>
      <c r="AA373" s="49">
        <f t="shared" si="52"/>
        <v>1393840.4173115457</v>
      </c>
      <c r="AB373" s="71">
        <f t="shared" si="53"/>
        <v>0.68</v>
      </c>
      <c r="AC373" s="49">
        <f t="shared" si="54"/>
        <v>446028.93</v>
      </c>
      <c r="AD373" s="50">
        <f t="shared" si="55"/>
        <v>0</v>
      </c>
      <c r="AE373" s="50">
        <f t="shared" si="56"/>
        <v>0</v>
      </c>
      <c r="AF373" s="50">
        <f t="shared" si="57"/>
        <v>446028.93</v>
      </c>
      <c r="AG373" s="199">
        <f t="shared" si="58"/>
        <v>446028</v>
      </c>
      <c r="AH373" s="187"/>
      <c r="AI373" s="185" t="s">
        <v>1455</v>
      </c>
      <c r="AJ373" s="185"/>
      <c r="AK373" s="277">
        <f t="shared" si="51"/>
        <v>40249.51</v>
      </c>
      <c r="AL373" s="25">
        <f>(SUMIFS('T1 2019 Pipeline Data Lagasco'!$O:$O,'T1 2019 Pipeline Data Lagasco'!$A:$A,'Dec 31 2018 OFFS'!$AI373,'T1 2019 Pipeline Data Lagasco'!$Q:$Q,'Dec 31 2018 OFFS'!$AK373,'T1 2019 Pipeline Data Lagasco'!$E:$E,'Dec 31 2018 OFFS'!$U373,'T1 2019 Pipeline Data Lagasco'!$G:$G,'Dec 31 2018 OFFS'!$W373))/(MAX(COUNTIFS('T1 2019 Pipeline Data Lagasco'!$A:$A,'Dec 31 2018 OFFS'!$AI373,'T1 2019 Pipeline Data Lagasco'!$Q:$Q,'Dec 31 2018 OFFS'!$AK373,'T1 2019 Pipeline Data Lagasco'!$E:$E,'Dec 31 2018 OFFS'!$U373,'T1 2019 Pipeline Data Lagasco'!$G:$G,'Dec 31 2018 OFFS'!$W373),1))</f>
        <v>446028</v>
      </c>
      <c r="AM373" s="274">
        <f t="shared" si="59"/>
        <v>0</v>
      </c>
    </row>
    <row r="374" spans="1:39" ht="12.7">
      <c r="A374" s="193" t="s">
        <v>909</v>
      </c>
      <c r="B374" s="40" t="s">
        <v>918</v>
      </c>
      <c r="C374" s="40" t="s">
        <v>1266</v>
      </c>
      <c r="D374" s="40" t="s">
        <v>1077</v>
      </c>
      <c r="E374" s="40" t="s">
        <v>64</v>
      </c>
      <c r="F374" s="40"/>
      <c r="G374" s="40" t="s">
        <v>66</v>
      </c>
      <c r="H374" s="42">
        <v>42</v>
      </c>
      <c r="I374" s="43">
        <v>42</v>
      </c>
      <c r="J374" s="44">
        <v>31.91</v>
      </c>
      <c r="K374" s="45">
        <v>79</v>
      </c>
      <c r="L374" s="43">
        <v>38</v>
      </c>
      <c r="M374" s="46">
        <v>54.16</v>
      </c>
      <c r="N374" s="41" t="s">
        <v>586</v>
      </c>
      <c r="O374" s="42">
        <v>42</v>
      </c>
      <c r="P374" s="43">
        <v>42</v>
      </c>
      <c r="Q374" s="44">
        <v>13.02</v>
      </c>
      <c r="R374" s="45">
        <v>79</v>
      </c>
      <c r="S374" s="43">
        <v>38</v>
      </c>
      <c r="T374" s="46">
        <v>16.02</v>
      </c>
      <c r="U374" s="40">
        <v>3</v>
      </c>
      <c r="V374" s="47">
        <v>3430.6429452679999</v>
      </c>
      <c r="W374" s="48">
        <v>1982</v>
      </c>
      <c r="X374" s="40"/>
      <c r="Y374" s="52" t="s">
        <v>1081</v>
      </c>
      <c r="Z374" s="40" t="s">
        <v>910</v>
      </c>
      <c r="AA374" s="49">
        <f t="shared" si="52"/>
        <v>80928.867078872121</v>
      </c>
      <c r="AB374" s="71">
        <f t="shared" si="53"/>
        <v>0.80</v>
      </c>
      <c r="AC374" s="49">
        <f t="shared" si="54"/>
        <v>16185.77</v>
      </c>
      <c r="AD374" s="50">
        <f t="shared" si="55"/>
        <v>0</v>
      </c>
      <c r="AE374" s="50">
        <f t="shared" si="56"/>
        <v>0</v>
      </c>
      <c r="AF374" s="50">
        <f t="shared" si="57"/>
        <v>16185.77</v>
      </c>
      <c r="AG374" s="199">
        <f t="shared" si="58"/>
        <v>16185</v>
      </c>
      <c r="AH374" s="187"/>
      <c r="AI374" s="185" t="s">
        <v>1455</v>
      </c>
      <c r="AJ374" s="185"/>
      <c r="AK374" s="277">
        <f t="shared" si="51"/>
        <v>3430.64</v>
      </c>
      <c r="AL374" s="25">
        <f>(SUMIFS('T1 2019 Pipeline Data Lagasco'!$O:$O,'T1 2019 Pipeline Data Lagasco'!$A:$A,'Dec 31 2018 OFFS'!$AI374,'T1 2019 Pipeline Data Lagasco'!$Q:$Q,'Dec 31 2018 OFFS'!$AK374,'T1 2019 Pipeline Data Lagasco'!$E:$E,'Dec 31 2018 OFFS'!$U374,'T1 2019 Pipeline Data Lagasco'!$G:$G,'Dec 31 2018 OFFS'!$W374))/(MAX(COUNTIFS('T1 2019 Pipeline Data Lagasco'!$A:$A,'Dec 31 2018 OFFS'!$AI374,'T1 2019 Pipeline Data Lagasco'!$Q:$Q,'Dec 31 2018 OFFS'!$AK374,'T1 2019 Pipeline Data Lagasco'!$E:$E,'Dec 31 2018 OFFS'!$U374,'T1 2019 Pipeline Data Lagasco'!$G:$G,'Dec 31 2018 OFFS'!$W374),1))</f>
        <v>16185</v>
      </c>
      <c r="AM374" s="274">
        <f t="shared" si="59"/>
        <v>0</v>
      </c>
    </row>
    <row r="375" spans="1:39" ht="12.7">
      <c r="A375" s="193" t="s">
        <v>909</v>
      </c>
      <c r="B375" s="40" t="s">
        <v>918</v>
      </c>
      <c r="C375" s="40" t="s">
        <v>1266</v>
      </c>
      <c r="D375" s="40" t="s">
        <v>1077</v>
      </c>
      <c r="E375" s="40" t="s">
        <v>64</v>
      </c>
      <c r="F375" s="40"/>
      <c r="G375" s="41" t="s">
        <v>586</v>
      </c>
      <c r="H375" s="42">
        <v>42</v>
      </c>
      <c r="I375" s="43">
        <v>42</v>
      </c>
      <c r="J375" s="44">
        <v>13.02</v>
      </c>
      <c r="K375" s="45">
        <v>79</v>
      </c>
      <c r="L375" s="43">
        <v>38</v>
      </c>
      <c r="M375" s="46">
        <v>16.02</v>
      </c>
      <c r="N375" s="40" t="s">
        <v>587</v>
      </c>
      <c r="O375" s="42">
        <v>42</v>
      </c>
      <c r="P375" s="43">
        <v>42</v>
      </c>
      <c r="Q375" s="44">
        <v>43.98</v>
      </c>
      <c r="R375" s="45">
        <v>79</v>
      </c>
      <c r="S375" s="43">
        <v>37</v>
      </c>
      <c r="T375" s="46">
        <v>46.02</v>
      </c>
      <c r="U375" s="40">
        <v>3</v>
      </c>
      <c r="V375" s="47">
        <v>3852.8214107319995</v>
      </c>
      <c r="W375" s="48">
        <v>1982</v>
      </c>
      <c r="X375" s="40"/>
      <c r="Y375" s="52" t="s">
        <v>1081</v>
      </c>
      <c r="Z375" s="40" t="s">
        <v>910</v>
      </c>
      <c r="AA375" s="49">
        <f t="shared" si="52"/>
        <v>90888.057079167862</v>
      </c>
      <c r="AB375" s="71">
        <f t="shared" si="53"/>
        <v>0.80</v>
      </c>
      <c r="AC375" s="49">
        <f t="shared" si="54"/>
        <v>18177.61</v>
      </c>
      <c r="AD375" s="50">
        <f t="shared" si="55"/>
        <v>0</v>
      </c>
      <c r="AE375" s="50">
        <f t="shared" si="56"/>
        <v>0</v>
      </c>
      <c r="AF375" s="50">
        <f t="shared" si="57"/>
        <v>18177.61</v>
      </c>
      <c r="AG375" s="199">
        <f t="shared" si="58"/>
        <v>18177</v>
      </c>
      <c r="AH375" s="187"/>
      <c r="AI375" s="185" t="s">
        <v>1455</v>
      </c>
      <c r="AJ375" s="185"/>
      <c r="AK375" s="277">
        <f t="shared" si="51"/>
        <v>3852.82</v>
      </c>
      <c r="AL375" s="25">
        <f>(SUMIFS('T1 2019 Pipeline Data Lagasco'!$O:$O,'T1 2019 Pipeline Data Lagasco'!$A:$A,'Dec 31 2018 OFFS'!$AI375,'T1 2019 Pipeline Data Lagasco'!$Q:$Q,'Dec 31 2018 OFFS'!$AK375,'T1 2019 Pipeline Data Lagasco'!$E:$E,'Dec 31 2018 OFFS'!$U375,'T1 2019 Pipeline Data Lagasco'!$G:$G,'Dec 31 2018 OFFS'!$W375))/(MAX(COUNTIFS('T1 2019 Pipeline Data Lagasco'!$A:$A,'Dec 31 2018 OFFS'!$AI375,'T1 2019 Pipeline Data Lagasco'!$Q:$Q,'Dec 31 2018 OFFS'!$AK375,'T1 2019 Pipeline Data Lagasco'!$E:$E,'Dec 31 2018 OFFS'!$U375,'T1 2019 Pipeline Data Lagasco'!$G:$G,'Dec 31 2018 OFFS'!$W375),1))</f>
        <v>18177</v>
      </c>
      <c r="AM375" s="274">
        <f t="shared" si="59"/>
        <v>0</v>
      </c>
    </row>
    <row r="376" spans="1:39" ht="12.7">
      <c r="A376" s="193" t="s">
        <v>909</v>
      </c>
      <c r="B376" s="40" t="s">
        <v>918</v>
      </c>
      <c r="C376" s="40" t="s">
        <v>1266</v>
      </c>
      <c r="D376" s="40" t="s">
        <v>1077</v>
      </c>
      <c r="E376" s="40" t="s">
        <v>64</v>
      </c>
      <c r="F376" s="40"/>
      <c r="G376" s="41" t="s">
        <v>586</v>
      </c>
      <c r="H376" s="42">
        <v>42</v>
      </c>
      <c r="I376" s="43">
        <v>42</v>
      </c>
      <c r="J376" s="44">
        <v>13.02</v>
      </c>
      <c r="K376" s="45">
        <v>79</v>
      </c>
      <c r="L376" s="43">
        <v>38</v>
      </c>
      <c r="M376" s="46">
        <v>16.02</v>
      </c>
      <c r="N376" s="40" t="s">
        <v>588</v>
      </c>
      <c r="O376" s="42">
        <v>42</v>
      </c>
      <c r="P376" s="43">
        <v>41</v>
      </c>
      <c r="Q376" s="44">
        <v>43.02</v>
      </c>
      <c r="R376" s="45">
        <v>79</v>
      </c>
      <c r="S376" s="43">
        <v>37</v>
      </c>
      <c r="T376" s="46">
        <v>46.02</v>
      </c>
      <c r="U376" s="40">
        <v>3</v>
      </c>
      <c r="V376" s="47">
        <v>3774.3437227160002</v>
      </c>
      <c r="W376" s="48">
        <v>1982</v>
      </c>
      <c r="X376" s="40"/>
      <c r="Y376" s="52" t="s">
        <v>1081</v>
      </c>
      <c r="Z376" s="40" t="s">
        <v>910</v>
      </c>
      <c r="AA376" s="49">
        <f t="shared" si="52"/>
        <v>89036.768418870444</v>
      </c>
      <c r="AB376" s="71">
        <f t="shared" si="53"/>
        <v>0.80</v>
      </c>
      <c r="AC376" s="49">
        <f t="shared" si="54"/>
        <v>17807.349999999999</v>
      </c>
      <c r="AD376" s="50">
        <f t="shared" si="55"/>
        <v>0</v>
      </c>
      <c r="AE376" s="50">
        <f t="shared" si="56"/>
        <v>0</v>
      </c>
      <c r="AF376" s="50">
        <f t="shared" si="57"/>
        <v>17807.349999999999</v>
      </c>
      <c r="AG376" s="199">
        <f t="shared" si="58"/>
        <v>17807</v>
      </c>
      <c r="AH376" s="187"/>
      <c r="AI376" s="185" t="s">
        <v>1455</v>
      </c>
      <c r="AJ376" s="185"/>
      <c r="AK376" s="277">
        <f t="shared" si="51"/>
        <v>3774.34</v>
      </c>
      <c r="AL376" s="25">
        <f>(SUMIFS('T1 2019 Pipeline Data Lagasco'!$O:$O,'T1 2019 Pipeline Data Lagasco'!$A:$A,'Dec 31 2018 OFFS'!$AI376,'T1 2019 Pipeline Data Lagasco'!$Q:$Q,'Dec 31 2018 OFFS'!$AK376,'T1 2019 Pipeline Data Lagasco'!$E:$E,'Dec 31 2018 OFFS'!$U376,'T1 2019 Pipeline Data Lagasco'!$G:$G,'Dec 31 2018 OFFS'!$W376))/(MAX(COUNTIFS('T1 2019 Pipeline Data Lagasco'!$A:$A,'Dec 31 2018 OFFS'!$AI376,'T1 2019 Pipeline Data Lagasco'!$Q:$Q,'Dec 31 2018 OFFS'!$AK376,'T1 2019 Pipeline Data Lagasco'!$E:$E,'Dec 31 2018 OFFS'!$U376,'T1 2019 Pipeline Data Lagasco'!$G:$G,'Dec 31 2018 OFFS'!$W376),1))</f>
        <v>17807</v>
      </c>
      <c r="AM376" s="274">
        <f t="shared" si="59"/>
        <v>0</v>
      </c>
    </row>
    <row r="377" spans="1:39" ht="12.7">
      <c r="A377" s="193" t="s">
        <v>909</v>
      </c>
      <c r="B377" s="40" t="s">
        <v>918</v>
      </c>
      <c r="C377" s="40" t="s">
        <v>1266</v>
      </c>
      <c r="D377" s="40" t="s">
        <v>1077</v>
      </c>
      <c r="E377" s="40" t="s">
        <v>64</v>
      </c>
      <c r="F377" s="40"/>
      <c r="G377" s="40" t="s">
        <v>65</v>
      </c>
      <c r="H377" s="42">
        <v>42</v>
      </c>
      <c r="I377" s="43">
        <v>42</v>
      </c>
      <c r="J377" s="44">
        <v>49.71</v>
      </c>
      <c r="K377" s="45">
        <v>79</v>
      </c>
      <c r="L377" s="43">
        <v>39</v>
      </c>
      <c r="M377" s="46">
        <v>0.51</v>
      </c>
      <c r="N377" s="41" t="s">
        <v>589</v>
      </c>
      <c r="O377" s="42">
        <v>42</v>
      </c>
      <c r="P377" s="43">
        <v>43</v>
      </c>
      <c r="Q377" s="44">
        <v>6</v>
      </c>
      <c r="R377" s="45">
        <v>79</v>
      </c>
      <c r="S377" s="43">
        <v>38</v>
      </c>
      <c r="T377" s="46">
        <v>51</v>
      </c>
      <c r="U377" s="40">
        <v>3</v>
      </c>
      <c r="V377" s="47">
        <v>1795.6692393360001</v>
      </c>
      <c r="W377" s="48">
        <v>1988</v>
      </c>
      <c r="X377" s="40"/>
      <c r="Y377" s="52" t="s">
        <v>1081</v>
      </c>
      <c r="Z377" s="40" t="s">
        <v>910</v>
      </c>
      <c r="AA377" s="49">
        <f t="shared" si="52"/>
        <v>42359.837355936244</v>
      </c>
      <c r="AB377" s="71">
        <f t="shared" si="53"/>
        <v>0.76</v>
      </c>
      <c r="AC377" s="49">
        <f t="shared" si="54"/>
        <v>10166.36</v>
      </c>
      <c r="AD377" s="50">
        <f t="shared" si="55"/>
        <v>0</v>
      </c>
      <c r="AE377" s="50">
        <f t="shared" si="56"/>
        <v>0</v>
      </c>
      <c r="AF377" s="50">
        <f t="shared" si="57"/>
        <v>10166.36</v>
      </c>
      <c r="AG377" s="199">
        <f t="shared" si="58"/>
        <v>10166</v>
      </c>
      <c r="AH377" s="187"/>
      <c r="AI377" s="185" t="s">
        <v>1455</v>
      </c>
      <c r="AJ377" s="185"/>
      <c r="AK377" s="277">
        <f t="shared" si="51"/>
        <v>1795.67</v>
      </c>
      <c r="AL377" s="25">
        <f>(SUMIFS('T1 2019 Pipeline Data Lagasco'!$O:$O,'T1 2019 Pipeline Data Lagasco'!$A:$A,'Dec 31 2018 OFFS'!$AI377,'T1 2019 Pipeline Data Lagasco'!$Q:$Q,'Dec 31 2018 OFFS'!$AK377,'T1 2019 Pipeline Data Lagasco'!$E:$E,'Dec 31 2018 OFFS'!$U377,'T1 2019 Pipeline Data Lagasco'!$G:$G,'Dec 31 2018 OFFS'!$W377))/(MAX(COUNTIFS('T1 2019 Pipeline Data Lagasco'!$A:$A,'Dec 31 2018 OFFS'!$AI377,'T1 2019 Pipeline Data Lagasco'!$Q:$Q,'Dec 31 2018 OFFS'!$AK377,'T1 2019 Pipeline Data Lagasco'!$E:$E,'Dec 31 2018 OFFS'!$U377,'T1 2019 Pipeline Data Lagasco'!$G:$G,'Dec 31 2018 OFFS'!$W377),1))</f>
        <v>10166</v>
      </c>
      <c r="AM377" s="274">
        <f t="shared" si="59"/>
        <v>0</v>
      </c>
    </row>
    <row r="378" spans="1:39" ht="12.7">
      <c r="A378" s="193" t="s">
        <v>909</v>
      </c>
      <c r="B378" s="40" t="s">
        <v>918</v>
      </c>
      <c r="C378" s="40" t="s">
        <v>1266</v>
      </c>
      <c r="D378" s="40" t="s">
        <v>1077</v>
      </c>
      <c r="E378" s="40" t="s">
        <v>64</v>
      </c>
      <c r="F378" s="40"/>
      <c r="G378" s="40" t="s">
        <v>68</v>
      </c>
      <c r="H378" s="42">
        <v>42</v>
      </c>
      <c r="I378" s="43">
        <v>41</v>
      </c>
      <c r="J378" s="44">
        <v>20</v>
      </c>
      <c r="K378" s="45">
        <v>79</v>
      </c>
      <c r="L378" s="43">
        <v>38</v>
      </c>
      <c r="M378" s="46">
        <v>28.70</v>
      </c>
      <c r="N378" s="41" t="s">
        <v>588</v>
      </c>
      <c r="O378" s="42">
        <v>42</v>
      </c>
      <c r="P378" s="43">
        <v>41</v>
      </c>
      <c r="Q378" s="44">
        <v>43.02</v>
      </c>
      <c r="R378" s="45">
        <v>79</v>
      </c>
      <c r="S378" s="43">
        <v>37</v>
      </c>
      <c r="T378" s="46">
        <v>46.02</v>
      </c>
      <c r="U378" s="40">
        <v>3</v>
      </c>
      <c r="V378" s="47">
        <v>3948.9500168720001</v>
      </c>
      <c r="W378" s="48">
        <v>1982</v>
      </c>
      <c r="X378" s="40"/>
      <c r="Y378" s="52" t="s">
        <v>1081</v>
      </c>
      <c r="Z378" s="40" t="s">
        <v>910</v>
      </c>
      <c r="AA378" s="49">
        <f t="shared" si="52"/>
        <v>93155.730898010486</v>
      </c>
      <c r="AB378" s="71">
        <f t="shared" si="53"/>
        <v>0.80</v>
      </c>
      <c r="AC378" s="49">
        <f t="shared" si="54"/>
        <v>18631.150000000001</v>
      </c>
      <c r="AD378" s="50">
        <f t="shared" si="55"/>
        <v>0</v>
      </c>
      <c r="AE378" s="50">
        <f t="shared" si="56"/>
        <v>0</v>
      </c>
      <c r="AF378" s="50">
        <f t="shared" si="57"/>
        <v>18631.150000000001</v>
      </c>
      <c r="AG378" s="199">
        <f t="shared" si="58"/>
        <v>18631</v>
      </c>
      <c r="AH378" s="187"/>
      <c r="AI378" s="185" t="s">
        <v>1455</v>
      </c>
      <c r="AJ378" s="185"/>
      <c r="AK378" s="277">
        <f t="shared" si="51"/>
        <v>3948.95</v>
      </c>
      <c r="AL378" s="25">
        <f>(SUMIFS('T1 2019 Pipeline Data Lagasco'!$O:$O,'T1 2019 Pipeline Data Lagasco'!$A:$A,'Dec 31 2018 OFFS'!$AI378,'T1 2019 Pipeline Data Lagasco'!$Q:$Q,'Dec 31 2018 OFFS'!$AK378,'T1 2019 Pipeline Data Lagasco'!$E:$E,'Dec 31 2018 OFFS'!$U378,'T1 2019 Pipeline Data Lagasco'!$G:$G,'Dec 31 2018 OFFS'!$W378))/(MAX(COUNTIFS('T1 2019 Pipeline Data Lagasco'!$A:$A,'Dec 31 2018 OFFS'!$AI378,'T1 2019 Pipeline Data Lagasco'!$Q:$Q,'Dec 31 2018 OFFS'!$AK378,'T1 2019 Pipeline Data Lagasco'!$E:$E,'Dec 31 2018 OFFS'!$U378,'T1 2019 Pipeline Data Lagasco'!$G:$G,'Dec 31 2018 OFFS'!$W378),1))</f>
        <v>18631</v>
      </c>
      <c r="AM378" s="274">
        <f t="shared" si="59"/>
        <v>0</v>
      </c>
    </row>
    <row r="379" spans="1:39" ht="12.7">
      <c r="A379" s="193" t="s">
        <v>909</v>
      </c>
      <c r="B379" s="40" t="s">
        <v>918</v>
      </c>
      <c r="C379" s="40" t="s">
        <v>1266</v>
      </c>
      <c r="D379" s="40" t="s">
        <v>1077</v>
      </c>
      <c r="E379" s="40" t="s">
        <v>138</v>
      </c>
      <c r="F379" s="40"/>
      <c r="G379" s="41" t="s">
        <v>590</v>
      </c>
      <c r="H379" s="42">
        <v>42</v>
      </c>
      <c r="I379" s="43">
        <v>41</v>
      </c>
      <c r="J379" s="44">
        <v>42</v>
      </c>
      <c r="K379" s="45">
        <v>79</v>
      </c>
      <c r="L379" s="43">
        <v>37</v>
      </c>
      <c r="M379" s="46" t="s">
        <v>1121</v>
      </c>
      <c r="N379" s="40" t="s">
        <v>591</v>
      </c>
      <c r="O379" s="42">
        <v>42</v>
      </c>
      <c r="P379" s="43" t="s">
        <v>280</v>
      </c>
      <c r="Q379" s="44" t="s">
        <v>1122</v>
      </c>
      <c r="R379" s="45">
        <v>79</v>
      </c>
      <c r="S379" s="43">
        <v>37</v>
      </c>
      <c r="T379" s="46">
        <v>6</v>
      </c>
      <c r="U379" s="40">
        <v>3</v>
      </c>
      <c r="V379" s="47">
        <v>4276.0169365339998</v>
      </c>
      <c r="W379" s="48">
        <v>1984</v>
      </c>
      <c r="X379" s="40"/>
      <c r="Y379" s="52" t="s">
        <v>1081</v>
      </c>
      <c r="Z379" s="40" t="s">
        <v>910</v>
      </c>
      <c r="AA379" s="49">
        <f t="shared" si="52"/>
        <v>100871.23953283705</v>
      </c>
      <c r="AB379" s="71">
        <f t="shared" si="53"/>
        <v>0.80</v>
      </c>
      <c r="AC379" s="49">
        <f t="shared" si="54"/>
        <v>20174.25</v>
      </c>
      <c r="AD379" s="50">
        <f t="shared" si="55"/>
        <v>0</v>
      </c>
      <c r="AE379" s="50">
        <f t="shared" si="56"/>
        <v>0</v>
      </c>
      <c r="AF379" s="50">
        <f t="shared" si="57"/>
        <v>20174.25</v>
      </c>
      <c r="AG379" s="199">
        <f t="shared" si="58"/>
        <v>20174</v>
      </c>
      <c r="AH379" s="187"/>
      <c r="AI379" s="185" t="s">
        <v>1455</v>
      </c>
      <c r="AJ379" s="185"/>
      <c r="AK379" s="277">
        <f t="shared" si="51"/>
        <v>4276.0200000000004</v>
      </c>
      <c r="AL379" s="25">
        <f>(SUMIFS('T1 2019 Pipeline Data Lagasco'!$O:$O,'T1 2019 Pipeline Data Lagasco'!$A:$A,'Dec 31 2018 OFFS'!$AI379,'T1 2019 Pipeline Data Lagasco'!$Q:$Q,'Dec 31 2018 OFFS'!$AK379,'T1 2019 Pipeline Data Lagasco'!$E:$E,'Dec 31 2018 OFFS'!$U379,'T1 2019 Pipeline Data Lagasco'!$G:$G,'Dec 31 2018 OFFS'!$W379))/(MAX(COUNTIFS('T1 2019 Pipeline Data Lagasco'!$A:$A,'Dec 31 2018 OFFS'!$AI379,'T1 2019 Pipeline Data Lagasco'!$Q:$Q,'Dec 31 2018 OFFS'!$AK379,'T1 2019 Pipeline Data Lagasco'!$E:$E,'Dec 31 2018 OFFS'!$U379,'T1 2019 Pipeline Data Lagasco'!$G:$G,'Dec 31 2018 OFFS'!$W379),1))</f>
        <v>20174</v>
      </c>
      <c r="AM379" s="274">
        <f t="shared" si="59"/>
        <v>0</v>
      </c>
    </row>
    <row r="380" spans="1:39" ht="12.7">
      <c r="A380" s="193" t="s">
        <v>909</v>
      </c>
      <c r="B380" s="40" t="s">
        <v>918</v>
      </c>
      <c r="C380" s="40" t="s">
        <v>1266</v>
      </c>
      <c r="D380" s="40" t="s">
        <v>1077</v>
      </c>
      <c r="E380" s="40" t="s">
        <v>138</v>
      </c>
      <c r="F380" s="40"/>
      <c r="G380" s="41" t="s">
        <v>590</v>
      </c>
      <c r="H380" s="42">
        <v>42</v>
      </c>
      <c r="I380" s="43">
        <v>41</v>
      </c>
      <c r="J380" s="44">
        <v>42</v>
      </c>
      <c r="K380" s="45">
        <v>79</v>
      </c>
      <c r="L380" s="43">
        <v>37</v>
      </c>
      <c r="M380" s="46" t="s">
        <v>1121</v>
      </c>
      <c r="N380" s="40" t="s">
        <v>592</v>
      </c>
      <c r="O380" s="42">
        <v>42</v>
      </c>
      <c r="P380" s="43">
        <v>41</v>
      </c>
      <c r="Q380" s="44">
        <v>4.9800000000000004</v>
      </c>
      <c r="R380" s="45">
        <v>79</v>
      </c>
      <c r="S380" s="43">
        <v>35</v>
      </c>
      <c r="T380" s="46">
        <v>52.98</v>
      </c>
      <c r="U380" s="40">
        <v>4</v>
      </c>
      <c r="V380" s="47">
        <v>6253.7071679740002</v>
      </c>
      <c r="W380" s="48">
        <v>1996</v>
      </c>
      <c r="X380" s="40"/>
      <c r="Y380" s="52" t="s">
        <v>1081</v>
      </c>
      <c r="Z380" s="40" t="s">
        <v>910</v>
      </c>
      <c r="AA380" s="49">
        <f t="shared" si="52"/>
        <v>165410.55459291229</v>
      </c>
      <c r="AB380" s="71">
        <f t="shared" si="53"/>
        <v>0.66</v>
      </c>
      <c r="AC380" s="49">
        <f t="shared" si="54"/>
        <v>56239.59</v>
      </c>
      <c r="AD380" s="50">
        <f t="shared" si="55"/>
        <v>0</v>
      </c>
      <c r="AE380" s="50">
        <f t="shared" si="56"/>
        <v>0</v>
      </c>
      <c r="AF380" s="50">
        <f t="shared" si="57"/>
        <v>56239.59</v>
      </c>
      <c r="AG380" s="199">
        <f t="shared" si="58"/>
        <v>56239</v>
      </c>
      <c r="AH380" s="187"/>
      <c r="AI380" s="185" t="s">
        <v>1455</v>
      </c>
      <c r="AJ380" s="185"/>
      <c r="AK380" s="277">
        <f t="shared" si="51"/>
        <v>6253.71</v>
      </c>
      <c r="AL380" s="25">
        <f>(SUMIFS('T1 2019 Pipeline Data Lagasco'!$O:$O,'T1 2019 Pipeline Data Lagasco'!$A:$A,'Dec 31 2018 OFFS'!$AI380,'T1 2019 Pipeline Data Lagasco'!$Q:$Q,'Dec 31 2018 OFFS'!$AK380,'T1 2019 Pipeline Data Lagasco'!$E:$E,'Dec 31 2018 OFFS'!$U380,'T1 2019 Pipeline Data Lagasco'!$G:$G,'Dec 31 2018 OFFS'!$W380))/(MAX(COUNTIFS('T1 2019 Pipeline Data Lagasco'!$A:$A,'Dec 31 2018 OFFS'!$AI380,'T1 2019 Pipeline Data Lagasco'!$Q:$Q,'Dec 31 2018 OFFS'!$AK380,'T1 2019 Pipeline Data Lagasco'!$E:$E,'Dec 31 2018 OFFS'!$U380,'T1 2019 Pipeline Data Lagasco'!$G:$G,'Dec 31 2018 OFFS'!$W380),1))</f>
        <v>56239</v>
      </c>
      <c r="AM380" s="274">
        <f t="shared" si="59"/>
        <v>0</v>
      </c>
    </row>
    <row r="381" spans="1:39" ht="12.7">
      <c r="A381" s="193" t="s">
        <v>909</v>
      </c>
      <c r="B381" s="40" t="s">
        <v>918</v>
      </c>
      <c r="C381" s="40" t="s">
        <v>1266</v>
      </c>
      <c r="D381" s="40" t="s">
        <v>1077</v>
      </c>
      <c r="E381" s="40" t="s">
        <v>17</v>
      </c>
      <c r="F381" s="40"/>
      <c r="G381" s="41" t="s">
        <v>590</v>
      </c>
      <c r="H381" s="42">
        <v>42</v>
      </c>
      <c r="I381" s="43">
        <v>41</v>
      </c>
      <c r="J381" s="44">
        <v>42</v>
      </c>
      <c r="K381" s="45">
        <v>79</v>
      </c>
      <c r="L381" s="43">
        <v>37</v>
      </c>
      <c r="M381" s="46" t="s">
        <v>1121</v>
      </c>
      <c r="N381" s="40" t="s">
        <v>621</v>
      </c>
      <c r="O381" s="42">
        <v>42</v>
      </c>
      <c r="P381" s="43">
        <v>42</v>
      </c>
      <c r="Q381" s="44">
        <v>55.98</v>
      </c>
      <c r="R381" s="45">
        <v>79</v>
      </c>
      <c r="S381" s="43">
        <v>35</v>
      </c>
      <c r="T381" s="46">
        <v>16.98</v>
      </c>
      <c r="U381" s="40">
        <v>6</v>
      </c>
      <c r="V381" s="56">
        <v>10737.270030255999</v>
      </c>
      <c r="W381" s="48">
        <v>1984</v>
      </c>
      <c r="X381" s="40"/>
      <c r="Y381" s="52" t="s">
        <v>1081</v>
      </c>
      <c r="Z381" s="40" t="s">
        <v>910</v>
      </c>
      <c r="AA381" s="49">
        <f t="shared" si="52"/>
        <v>371831.66114776529</v>
      </c>
      <c r="AB381" s="71">
        <f t="shared" si="53"/>
        <v>0.80</v>
      </c>
      <c r="AC381" s="49">
        <f t="shared" si="54"/>
        <v>74366.33</v>
      </c>
      <c r="AD381" s="50">
        <f t="shared" si="55"/>
        <v>0</v>
      </c>
      <c r="AE381" s="50">
        <f t="shared" si="56"/>
        <v>0</v>
      </c>
      <c r="AF381" s="50">
        <f t="shared" si="57"/>
        <v>74366.33</v>
      </c>
      <c r="AG381" s="199">
        <f t="shared" si="58"/>
        <v>74366</v>
      </c>
      <c r="AH381" s="187"/>
      <c r="AI381" s="185" t="s">
        <v>1455</v>
      </c>
      <c r="AJ381" s="185"/>
      <c r="AK381" s="277">
        <f t="shared" si="51"/>
        <v>10737.27</v>
      </c>
      <c r="AL381" s="25">
        <f>(SUMIFS('T1 2019 Pipeline Data Lagasco'!$O:$O,'T1 2019 Pipeline Data Lagasco'!$A:$A,'Dec 31 2018 OFFS'!$AI381,'T1 2019 Pipeline Data Lagasco'!$Q:$Q,'Dec 31 2018 OFFS'!$AK381,'T1 2019 Pipeline Data Lagasco'!$E:$E,'Dec 31 2018 OFFS'!$U381,'T1 2019 Pipeline Data Lagasco'!$G:$G,'Dec 31 2018 OFFS'!$W381))/(MAX(COUNTIFS('T1 2019 Pipeline Data Lagasco'!$A:$A,'Dec 31 2018 OFFS'!$AI381,'T1 2019 Pipeline Data Lagasco'!$Q:$Q,'Dec 31 2018 OFFS'!$AK381,'T1 2019 Pipeline Data Lagasco'!$E:$E,'Dec 31 2018 OFFS'!$U381,'T1 2019 Pipeline Data Lagasco'!$G:$G,'Dec 31 2018 OFFS'!$W381),1))</f>
        <v>74366</v>
      </c>
      <c r="AM381" s="274">
        <f t="shared" si="59"/>
        <v>0</v>
      </c>
    </row>
    <row r="382" spans="1:39" ht="12.7">
      <c r="A382" s="193" t="s">
        <v>909</v>
      </c>
      <c r="B382" s="40" t="s">
        <v>918</v>
      </c>
      <c r="C382" s="40" t="s">
        <v>1266</v>
      </c>
      <c r="D382" s="40" t="s">
        <v>1077</v>
      </c>
      <c r="E382" s="40" t="s">
        <v>64</v>
      </c>
      <c r="F382" s="40"/>
      <c r="G382" s="41" t="s">
        <v>588</v>
      </c>
      <c r="H382" s="42">
        <v>42</v>
      </c>
      <c r="I382" s="43">
        <v>41</v>
      </c>
      <c r="J382" s="44">
        <v>43.02</v>
      </c>
      <c r="K382" s="45">
        <v>79</v>
      </c>
      <c r="L382" s="43">
        <v>37</v>
      </c>
      <c r="M382" s="46">
        <v>46.02</v>
      </c>
      <c r="N382" s="40" t="s">
        <v>590</v>
      </c>
      <c r="O382" s="42">
        <v>42</v>
      </c>
      <c r="P382" s="43">
        <v>41</v>
      </c>
      <c r="Q382" s="44">
        <v>42</v>
      </c>
      <c r="R382" s="45">
        <v>79</v>
      </c>
      <c r="S382" s="43">
        <v>37</v>
      </c>
      <c r="T382" s="46" t="s">
        <v>1121</v>
      </c>
      <c r="U382" s="40">
        <v>3</v>
      </c>
      <c r="V382" s="47">
        <v>3438.6153859819997</v>
      </c>
      <c r="W382" s="48">
        <v>1984</v>
      </c>
      <c r="X382" s="40"/>
      <c r="Y382" s="52" t="s">
        <v>1081</v>
      </c>
      <c r="Z382" s="40" t="s">
        <v>910</v>
      </c>
      <c r="AA382" s="49">
        <f t="shared" si="52"/>
        <v>81116.936955315367</v>
      </c>
      <c r="AB382" s="71">
        <f t="shared" si="53"/>
        <v>0.80</v>
      </c>
      <c r="AC382" s="49">
        <f t="shared" si="54"/>
        <v>16223.39</v>
      </c>
      <c r="AD382" s="50">
        <f t="shared" si="55"/>
        <v>0</v>
      </c>
      <c r="AE382" s="50">
        <f t="shared" si="56"/>
        <v>0</v>
      </c>
      <c r="AF382" s="50">
        <f t="shared" si="57"/>
        <v>16223.39</v>
      </c>
      <c r="AG382" s="199">
        <f t="shared" si="58"/>
        <v>16223</v>
      </c>
      <c r="AH382" s="187"/>
      <c r="AI382" s="185" t="s">
        <v>1455</v>
      </c>
      <c r="AJ382" s="185"/>
      <c r="AK382" s="277">
        <f t="shared" si="51"/>
        <v>3438.62</v>
      </c>
      <c r="AL382" s="25">
        <f>(SUMIFS('T1 2019 Pipeline Data Lagasco'!$O:$O,'T1 2019 Pipeline Data Lagasco'!$A:$A,'Dec 31 2018 OFFS'!$AI382,'T1 2019 Pipeline Data Lagasco'!$Q:$Q,'Dec 31 2018 OFFS'!$AK382,'T1 2019 Pipeline Data Lagasco'!$E:$E,'Dec 31 2018 OFFS'!$U382,'T1 2019 Pipeline Data Lagasco'!$G:$G,'Dec 31 2018 OFFS'!$W382))/(MAX(COUNTIFS('T1 2019 Pipeline Data Lagasco'!$A:$A,'Dec 31 2018 OFFS'!$AI382,'T1 2019 Pipeline Data Lagasco'!$Q:$Q,'Dec 31 2018 OFFS'!$AK382,'T1 2019 Pipeline Data Lagasco'!$E:$E,'Dec 31 2018 OFFS'!$U382,'T1 2019 Pipeline Data Lagasco'!$G:$G,'Dec 31 2018 OFFS'!$W382),1))</f>
        <v>16223</v>
      </c>
      <c r="AM382" s="274">
        <f t="shared" si="59"/>
        <v>0</v>
      </c>
    </row>
    <row r="383" spans="1:39" ht="12.7">
      <c r="A383" s="193" t="s">
        <v>909</v>
      </c>
      <c r="B383" s="40" t="s">
        <v>918</v>
      </c>
      <c r="C383" s="40" t="s">
        <v>1266</v>
      </c>
      <c r="D383" s="40" t="s">
        <v>1077</v>
      </c>
      <c r="E383" s="40" t="s">
        <v>138</v>
      </c>
      <c r="F383" s="40"/>
      <c r="G383" s="41" t="s">
        <v>1213</v>
      </c>
      <c r="H383" s="42">
        <v>42</v>
      </c>
      <c r="I383" s="43">
        <v>41</v>
      </c>
      <c r="J383" s="44">
        <v>41.16</v>
      </c>
      <c r="K383" s="45">
        <v>79</v>
      </c>
      <c r="L383" s="43">
        <v>35</v>
      </c>
      <c r="M383" s="46">
        <v>31.26</v>
      </c>
      <c r="N383" s="40" t="s">
        <v>1214</v>
      </c>
      <c r="O383" s="42">
        <v>42</v>
      </c>
      <c r="P383" s="43">
        <v>41</v>
      </c>
      <c r="Q383" s="44">
        <v>34.979999999999997</v>
      </c>
      <c r="R383" s="45">
        <v>79</v>
      </c>
      <c r="S383" s="43">
        <v>34</v>
      </c>
      <c r="T383" s="46">
        <v>48</v>
      </c>
      <c r="U383" s="40">
        <v>3</v>
      </c>
      <c r="V383" s="47">
        <v>3289</v>
      </c>
      <c r="W383" s="48">
        <v>2004</v>
      </c>
      <c r="X383" s="40"/>
      <c r="Y383" s="52" t="s">
        <v>1081</v>
      </c>
      <c r="Z383" s="40" t="s">
        <v>910</v>
      </c>
      <c r="AA383" s="49">
        <f t="shared" si="52"/>
        <v>77587.509999999995</v>
      </c>
      <c r="AB383" s="71">
        <f t="shared" si="53"/>
        <v>0.56000000000000005</v>
      </c>
      <c r="AC383" s="49">
        <f t="shared" si="54"/>
        <v>34138.50</v>
      </c>
      <c r="AD383" s="50">
        <f t="shared" si="55"/>
        <v>0</v>
      </c>
      <c r="AE383" s="50">
        <f t="shared" si="56"/>
        <v>0</v>
      </c>
      <c r="AF383" s="50">
        <f t="shared" si="57"/>
        <v>34138.50</v>
      </c>
      <c r="AG383" s="199">
        <f t="shared" si="58"/>
        <v>34138</v>
      </c>
      <c r="AH383" s="187"/>
      <c r="AI383" s="185" t="s">
        <v>1455</v>
      </c>
      <c r="AJ383" s="185"/>
      <c r="AK383" s="277">
        <f t="shared" si="51"/>
        <v>3289</v>
      </c>
      <c r="AL383" s="25">
        <f>(SUMIFS('T1 2019 Pipeline Data Lagasco'!$O:$O,'T1 2019 Pipeline Data Lagasco'!$A:$A,'Dec 31 2018 OFFS'!$AI383,'T1 2019 Pipeline Data Lagasco'!$Q:$Q,'Dec 31 2018 OFFS'!$AK383,'T1 2019 Pipeline Data Lagasco'!$E:$E,'Dec 31 2018 OFFS'!$U383,'T1 2019 Pipeline Data Lagasco'!$G:$G,'Dec 31 2018 OFFS'!$W383))/(MAX(COUNTIFS('T1 2019 Pipeline Data Lagasco'!$A:$A,'Dec 31 2018 OFFS'!$AI383,'T1 2019 Pipeline Data Lagasco'!$Q:$Q,'Dec 31 2018 OFFS'!$AK383,'T1 2019 Pipeline Data Lagasco'!$E:$E,'Dec 31 2018 OFFS'!$U383,'T1 2019 Pipeline Data Lagasco'!$G:$G,'Dec 31 2018 OFFS'!$W383),1))</f>
        <v>34138</v>
      </c>
      <c r="AM383" s="274">
        <f t="shared" si="59"/>
        <v>0</v>
      </c>
    </row>
    <row r="384" spans="1:39" ht="12.7">
      <c r="A384" s="193" t="s">
        <v>909</v>
      </c>
      <c r="B384" s="40" t="s">
        <v>918</v>
      </c>
      <c r="C384" s="40" t="s">
        <v>1266</v>
      </c>
      <c r="D384" s="40" t="s">
        <v>1077</v>
      </c>
      <c r="E384" s="40" t="s">
        <v>138</v>
      </c>
      <c r="F384" s="40"/>
      <c r="G384" s="41" t="s">
        <v>592</v>
      </c>
      <c r="H384" s="42">
        <v>42</v>
      </c>
      <c r="I384" s="43">
        <v>41</v>
      </c>
      <c r="J384" s="44">
        <v>4.9800000000000004</v>
      </c>
      <c r="K384" s="45">
        <v>79</v>
      </c>
      <c r="L384" s="43">
        <v>35</v>
      </c>
      <c r="M384" s="46">
        <v>52.98</v>
      </c>
      <c r="N384" s="40" t="s">
        <v>593</v>
      </c>
      <c r="O384" s="42">
        <v>42</v>
      </c>
      <c r="P384" s="43">
        <v>41</v>
      </c>
      <c r="Q384" s="44">
        <v>10.02</v>
      </c>
      <c r="R384" s="45">
        <v>79</v>
      </c>
      <c r="S384" s="43">
        <v>35</v>
      </c>
      <c r="T384" s="46">
        <v>52.02</v>
      </c>
      <c r="U384" s="40">
        <v>3</v>
      </c>
      <c r="V384" s="47">
        <v>515.28869898799996</v>
      </c>
      <c r="W384" s="48">
        <v>1994</v>
      </c>
      <c r="X384" s="40"/>
      <c r="Y384" s="52" t="s">
        <v>1081</v>
      </c>
      <c r="Z384" s="40" t="s">
        <v>910</v>
      </c>
      <c r="AA384" s="49">
        <f t="shared" si="52"/>
        <v>12155.660409126918</v>
      </c>
      <c r="AB384" s="71">
        <f t="shared" si="53"/>
        <v>0.68</v>
      </c>
      <c r="AC384" s="49">
        <f t="shared" si="54"/>
        <v>3889.81</v>
      </c>
      <c r="AD384" s="50">
        <f t="shared" si="55"/>
        <v>0</v>
      </c>
      <c r="AE384" s="50">
        <f t="shared" si="56"/>
        <v>0</v>
      </c>
      <c r="AF384" s="50">
        <f t="shared" si="57"/>
        <v>3889.81</v>
      </c>
      <c r="AG384" s="199">
        <f t="shared" si="58"/>
        <v>3889</v>
      </c>
      <c r="AH384" s="187"/>
      <c r="AI384" s="185" t="s">
        <v>1455</v>
      </c>
      <c r="AJ384" s="185"/>
      <c r="AK384" s="277">
        <f t="shared" si="51"/>
        <v>515.29</v>
      </c>
      <c r="AL384" s="25">
        <f>(SUMIFS('T1 2019 Pipeline Data Lagasco'!$O:$O,'T1 2019 Pipeline Data Lagasco'!$A:$A,'Dec 31 2018 OFFS'!$AI384,'T1 2019 Pipeline Data Lagasco'!$Q:$Q,'Dec 31 2018 OFFS'!$AK384,'T1 2019 Pipeline Data Lagasco'!$E:$E,'Dec 31 2018 OFFS'!$U384,'T1 2019 Pipeline Data Lagasco'!$G:$G,'Dec 31 2018 OFFS'!$W384))/(MAX(COUNTIFS('T1 2019 Pipeline Data Lagasco'!$A:$A,'Dec 31 2018 OFFS'!$AI384,'T1 2019 Pipeline Data Lagasco'!$Q:$Q,'Dec 31 2018 OFFS'!$AK384,'T1 2019 Pipeline Data Lagasco'!$E:$E,'Dec 31 2018 OFFS'!$U384,'T1 2019 Pipeline Data Lagasco'!$G:$G,'Dec 31 2018 OFFS'!$W384),1))</f>
        <v>3889</v>
      </c>
      <c r="AM384" s="274">
        <f t="shared" si="59"/>
        <v>0</v>
      </c>
    </row>
    <row r="385" spans="1:39" ht="12.7">
      <c r="A385" s="193" t="s">
        <v>909</v>
      </c>
      <c r="B385" s="40" t="s">
        <v>918</v>
      </c>
      <c r="C385" s="40" t="s">
        <v>1266</v>
      </c>
      <c r="D385" s="40" t="s">
        <v>1077</v>
      </c>
      <c r="E385" s="40" t="s">
        <v>138</v>
      </c>
      <c r="F385" s="40"/>
      <c r="G385" s="41" t="s">
        <v>592</v>
      </c>
      <c r="H385" s="42">
        <v>42</v>
      </c>
      <c r="I385" s="43">
        <v>41</v>
      </c>
      <c r="J385" s="44">
        <v>4.9800000000000004</v>
      </c>
      <c r="K385" s="45">
        <v>79</v>
      </c>
      <c r="L385" s="43">
        <v>35</v>
      </c>
      <c r="M385" s="46">
        <v>52.98</v>
      </c>
      <c r="N385" s="40" t="s">
        <v>622</v>
      </c>
      <c r="O385" s="42">
        <v>42</v>
      </c>
      <c r="P385" s="43">
        <v>40</v>
      </c>
      <c r="Q385" s="44">
        <v>43.02</v>
      </c>
      <c r="R385" s="45">
        <v>79</v>
      </c>
      <c r="S385" s="43">
        <v>35</v>
      </c>
      <c r="T385" s="46">
        <v>16.02</v>
      </c>
      <c r="U385" s="40">
        <v>4</v>
      </c>
      <c r="V385" s="47">
        <v>3544.980212298</v>
      </c>
      <c r="W385" s="48">
        <v>1991</v>
      </c>
      <c r="X385" s="40"/>
      <c r="Y385" s="52" t="s">
        <v>1081</v>
      </c>
      <c r="Z385" s="40" t="s">
        <v>910</v>
      </c>
      <c r="AA385" s="49">
        <f t="shared" si="52"/>
        <v>93764.726615282096</v>
      </c>
      <c r="AB385" s="71">
        <f t="shared" si="53"/>
        <v>0.72</v>
      </c>
      <c r="AC385" s="49">
        <f t="shared" si="54"/>
        <v>26254.12</v>
      </c>
      <c r="AD385" s="50">
        <f t="shared" si="55"/>
        <v>0</v>
      </c>
      <c r="AE385" s="50">
        <f t="shared" si="56"/>
        <v>0</v>
      </c>
      <c r="AF385" s="50">
        <f t="shared" si="57"/>
        <v>26254.12</v>
      </c>
      <c r="AG385" s="199">
        <f t="shared" si="58"/>
        <v>26254</v>
      </c>
      <c r="AH385" s="187"/>
      <c r="AI385" s="185" t="s">
        <v>1455</v>
      </c>
      <c r="AJ385" s="185"/>
      <c r="AK385" s="277">
        <f t="shared" si="51"/>
        <v>3544.98</v>
      </c>
      <c r="AL385" s="25">
        <f>(SUMIFS('T1 2019 Pipeline Data Lagasco'!$O:$O,'T1 2019 Pipeline Data Lagasco'!$A:$A,'Dec 31 2018 OFFS'!$AI385,'T1 2019 Pipeline Data Lagasco'!$Q:$Q,'Dec 31 2018 OFFS'!$AK385,'T1 2019 Pipeline Data Lagasco'!$E:$E,'Dec 31 2018 OFFS'!$U385,'T1 2019 Pipeline Data Lagasco'!$G:$G,'Dec 31 2018 OFFS'!$W385))/(MAX(COUNTIFS('T1 2019 Pipeline Data Lagasco'!$A:$A,'Dec 31 2018 OFFS'!$AI385,'T1 2019 Pipeline Data Lagasco'!$Q:$Q,'Dec 31 2018 OFFS'!$AK385,'T1 2019 Pipeline Data Lagasco'!$E:$E,'Dec 31 2018 OFFS'!$U385,'T1 2019 Pipeline Data Lagasco'!$G:$G,'Dec 31 2018 OFFS'!$W385),1))</f>
        <v>26254</v>
      </c>
      <c r="AM385" s="274">
        <f t="shared" si="59"/>
        <v>0</v>
      </c>
    </row>
    <row r="386" spans="1:39" ht="12.7">
      <c r="A386" s="193" t="s">
        <v>909</v>
      </c>
      <c r="B386" s="40" t="s">
        <v>918</v>
      </c>
      <c r="C386" s="40" t="s">
        <v>1266</v>
      </c>
      <c r="D386" s="40" t="s">
        <v>1077</v>
      </c>
      <c r="E386" s="40" t="s">
        <v>138</v>
      </c>
      <c r="F386" s="40"/>
      <c r="G386" s="41" t="s">
        <v>622</v>
      </c>
      <c r="H386" s="42">
        <v>42</v>
      </c>
      <c r="I386" s="43">
        <v>40</v>
      </c>
      <c r="J386" s="44">
        <v>43.02</v>
      </c>
      <c r="K386" s="45">
        <v>79</v>
      </c>
      <c r="L386" s="43">
        <v>35</v>
      </c>
      <c r="M386" s="46">
        <v>16.02</v>
      </c>
      <c r="N386" s="40" t="s">
        <v>581</v>
      </c>
      <c r="O386" s="42">
        <v>42</v>
      </c>
      <c r="P386" s="43">
        <v>40</v>
      </c>
      <c r="Q386" s="44">
        <v>9</v>
      </c>
      <c r="R386" s="45">
        <v>79</v>
      </c>
      <c r="S386" s="43">
        <v>34</v>
      </c>
      <c r="T386" s="46">
        <v>52.98</v>
      </c>
      <c r="U386" s="40">
        <v>4</v>
      </c>
      <c r="V386" s="47">
        <v>3850.6888648620002</v>
      </c>
      <c r="W386" s="48">
        <v>1991</v>
      </c>
      <c r="X386" s="40"/>
      <c r="Y386" s="52" t="s">
        <v>1081</v>
      </c>
      <c r="Z386" s="40" t="s">
        <v>910</v>
      </c>
      <c r="AA386" s="49">
        <f t="shared" si="52"/>
        <v>101850.7204755999</v>
      </c>
      <c r="AB386" s="71">
        <f t="shared" si="53"/>
        <v>0.72</v>
      </c>
      <c r="AC386" s="49">
        <f t="shared" si="54"/>
        <v>28518.20</v>
      </c>
      <c r="AD386" s="50">
        <f t="shared" si="55"/>
        <v>0</v>
      </c>
      <c r="AE386" s="50">
        <f t="shared" si="56"/>
        <v>0</v>
      </c>
      <c r="AF386" s="50">
        <f t="shared" si="57"/>
        <v>28518.20</v>
      </c>
      <c r="AG386" s="199">
        <f t="shared" si="58"/>
        <v>28518</v>
      </c>
      <c r="AH386" s="187"/>
      <c r="AI386" s="185" t="s">
        <v>1455</v>
      </c>
      <c r="AJ386" s="185"/>
      <c r="AK386" s="277">
        <f t="shared" si="51"/>
        <v>3850.69</v>
      </c>
      <c r="AL386" s="25">
        <f>(SUMIFS('T1 2019 Pipeline Data Lagasco'!$O:$O,'T1 2019 Pipeline Data Lagasco'!$A:$A,'Dec 31 2018 OFFS'!$AI386,'T1 2019 Pipeline Data Lagasco'!$Q:$Q,'Dec 31 2018 OFFS'!$AK386,'T1 2019 Pipeline Data Lagasco'!$E:$E,'Dec 31 2018 OFFS'!$U386,'T1 2019 Pipeline Data Lagasco'!$G:$G,'Dec 31 2018 OFFS'!$W386))/(MAX(COUNTIFS('T1 2019 Pipeline Data Lagasco'!$A:$A,'Dec 31 2018 OFFS'!$AI386,'T1 2019 Pipeline Data Lagasco'!$Q:$Q,'Dec 31 2018 OFFS'!$AK386,'T1 2019 Pipeline Data Lagasco'!$E:$E,'Dec 31 2018 OFFS'!$U386,'T1 2019 Pipeline Data Lagasco'!$G:$G,'Dec 31 2018 OFFS'!$W386),1))</f>
        <v>28518</v>
      </c>
      <c r="AM386" s="274">
        <f t="shared" si="59"/>
        <v>0</v>
      </c>
    </row>
    <row r="387" spans="1:39" ht="12.7">
      <c r="A387" s="193" t="s">
        <v>909</v>
      </c>
      <c r="B387" s="40" t="s">
        <v>918</v>
      </c>
      <c r="C387" s="40" t="s">
        <v>1266</v>
      </c>
      <c r="D387" s="40" t="s">
        <v>1077</v>
      </c>
      <c r="E387" s="40" t="s">
        <v>138</v>
      </c>
      <c r="F387" s="40"/>
      <c r="G387" s="41" t="s">
        <v>1196</v>
      </c>
      <c r="H387" s="42">
        <v>42</v>
      </c>
      <c r="I387" s="43">
        <v>40</v>
      </c>
      <c r="J387" s="44">
        <v>12</v>
      </c>
      <c r="K387" s="45">
        <v>79</v>
      </c>
      <c r="L387" s="43">
        <v>35</v>
      </c>
      <c r="M387" s="46">
        <v>55.86</v>
      </c>
      <c r="N387" s="40" t="s">
        <v>1197</v>
      </c>
      <c r="O387" s="42">
        <v>42</v>
      </c>
      <c r="P387" s="43">
        <v>40</v>
      </c>
      <c r="Q387" s="44">
        <v>48.30</v>
      </c>
      <c r="R387" s="45">
        <v>79</v>
      </c>
      <c r="S387" s="43">
        <v>36</v>
      </c>
      <c r="T387" s="46">
        <v>6.42</v>
      </c>
      <c r="U387" s="40">
        <v>3</v>
      </c>
      <c r="V387" s="47">
        <v>3754</v>
      </c>
      <c r="W387" s="48">
        <v>2004</v>
      </c>
      <c r="X387" s="40"/>
      <c r="Y387" s="52" t="s">
        <v>1081</v>
      </c>
      <c r="Z387" s="40" t="s">
        <v>910</v>
      </c>
      <c r="AA387" s="49">
        <f t="shared" si="52"/>
        <v>88556.86</v>
      </c>
      <c r="AB387" s="71">
        <f t="shared" si="53"/>
        <v>0.56000000000000005</v>
      </c>
      <c r="AC387" s="49">
        <f t="shared" si="54"/>
        <v>38965.019999999997</v>
      </c>
      <c r="AD387" s="50">
        <f t="shared" si="55"/>
        <v>0</v>
      </c>
      <c r="AE387" s="50">
        <f t="shared" si="56"/>
        <v>0</v>
      </c>
      <c r="AF387" s="50">
        <f t="shared" si="57"/>
        <v>38965.019999999997</v>
      </c>
      <c r="AG387" s="199">
        <f t="shared" si="58"/>
        <v>38965</v>
      </c>
      <c r="AH387" s="187"/>
      <c r="AI387" s="185" t="s">
        <v>1455</v>
      </c>
      <c r="AJ387" s="185"/>
      <c r="AK387" s="277">
        <f t="shared" si="60" ref="AK387:AK450">ROUND(V387,2)</f>
        <v>3754</v>
      </c>
      <c r="AL387" s="25">
        <f>(SUMIFS('T1 2019 Pipeline Data Lagasco'!$O:$O,'T1 2019 Pipeline Data Lagasco'!$A:$A,'Dec 31 2018 OFFS'!$AI387,'T1 2019 Pipeline Data Lagasco'!$Q:$Q,'Dec 31 2018 OFFS'!$AK387,'T1 2019 Pipeline Data Lagasco'!$E:$E,'Dec 31 2018 OFFS'!$U387,'T1 2019 Pipeline Data Lagasco'!$G:$G,'Dec 31 2018 OFFS'!$W387))/(MAX(COUNTIFS('T1 2019 Pipeline Data Lagasco'!$A:$A,'Dec 31 2018 OFFS'!$AI387,'T1 2019 Pipeline Data Lagasco'!$Q:$Q,'Dec 31 2018 OFFS'!$AK387,'T1 2019 Pipeline Data Lagasco'!$E:$E,'Dec 31 2018 OFFS'!$U387,'T1 2019 Pipeline Data Lagasco'!$G:$G,'Dec 31 2018 OFFS'!$W387),1))</f>
        <v>38965</v>
      </c>
      <c r="AM387" s="274">
        <f t="shared" si="59"/>
        <v>0</v>
      </c>
    </row>
    <row r="388" spans="1:39" ht="12.7">
      <c r="A388" s="193" t="s">
        <v>909</v>
      </c>
      <c r="B388" s="40" t="s">
        <v>918</v>
      </c>
      <c r="C388" s="40" t="s">
        <v>1266</v>
      </c>
      <c r="D388" s="40" t="s">
        <v>1077</v>
      </c>
      <c r="E388" s="40" t="s">
        <v>138</v>
      </c>
      <c r="F388" s="40"/>
      <c r="G388" s="41" t="s">
        <v>591</v>
      </c>
      <c r="H388" s="42">
        <v>42</v>
      </c>
      <c r="I388" s="43" t="s">
        <v>280</v>
      </c>
      <c r="J388" s="44" t="s">
        <v>1122</v>
      </c>
      <c r="K388" s="45">
        <v>79</v>
      </c>
      <c r="L388" s="43">
        <v>37</v>
      </c>
      <c r="M388" s="46">
        <v>6</v>
      </c>
      <c r="N388" s="40" t="s">
        <v>594</v>
      </c>
      <c r="O388" s="42">
        <v>42</v>
      </c>
      <c r="P388" s="43">
        <v>40</v>
      </c>
      <c r="Q388" s="44">
        <v>49.107999999999997</v>
      </c>
      <c r="R388" s="45">
        <v>79</v>
      </c>
      <c r="S388" s="43">
        <v>36</v>
      </c>
      <c r="T388" s="46">
        <v>6.4029999999999996</v>
      </c>
      <c r="U388" s="40">
        <v>3</v>
      </c>
      <c r="V388" s="47">
        <v>4586.5812320019995</v>
      </c>
      <c r="W388" s="48">
        <v>1985</v>
      </c>
      <c r="X388" s="40"/>
      <c r="Y388" s="52" t="s">
        <v>1081</v>
      </c>
      <c r="Z388" s="40" t="s">
        <v>910</v>
      </c>
      <c r="AA388" s="49">
        <f t="shared" si="61" ref="AA388:AA451">IF(F388="ABAND",0,(IF(Z388="steel",VLOOKUP(U388,steelrates,2,FALSE)*V388,VLOOKUP(U388,plasticrates,2,FALSE)*V388)))</f>
        <v>108197.45126292716</v>
      </c>
      <c r="AB388" s="71">
        <f t="shared" si="62" ref="AB388:AB451">IF(W388=0,0,(VLOOKUP(W388,depreciation,2)))</f>
        <v>0.80</v>
      </c>
      <c r="AC388" s="49">
        <f t="shared" si="63" ref="AC388:AC451">ROUND(+AA388-(+AA388*AB388),2)</f>
        <v>21639.49</v>
      </c>
      <c r="AD388" s="50">
        <f t="shared" si="64" ref="AD388:AD451">(IF(X388="LOOP",AC388*0.25,0))</f>
        <v>0</v>
      </c>
      <c r="AE388" s="50">
        <f t="shared" si="65" ref="AE388:AE451">(IF(F388="SUSP",AC388*0.2,0))</f>
        <v>0</v>
      </c>
      <c r="AF388" s="50">
        <f t="shared" si="66" ref="AF388:AF451">+AC388-AD388-AE388</f>
        <v>21639.49</v>
      </c>
      <c r="AG388" s="199">
        <f t="shared" si="67" ref="AG388:AG451">ROUNDDOWN(AF388,0)</f>
        <v>21639</v>
      </c>
      <c r="AH388" s="187"/>
      <c r="AI388" s="185" t="s">
        <v>1455</v>
      </c>
      <c r="AJ388" s="185"/>
      <c r="AK388" s="277">
        <f t="shared" si="60"/>
        <v>4586.58</v>
      </c>
      <c r="AL388" s="25">
        <f>(SUMIFS('T1 2019 Pipeline Data Lagasco'!$O:$O,'T1 2019 Pipeline Data Lagasco'!$A:$A,'Dec 31 2018 OFFS'!$AI388,'T1 2019 Pipeline Data Lagasco'!$Q:$Q,'Dec 31 2018 OFFS'!$AK388,'T1 2019 Pipeline Data Lagasco'!$E:$E,'Dec 31 2018 OFFS'!$U388,'T1 2019 Pipeline Data Lagasco'!$G:$G,'Dec 31 2018 OFFS'!$W388))/(MAX(COUNTIFS('T1 2019 Pipeline Data Lagasco'!$A:$A,'Dec 31 2018 OFFS'!$AI388,'T1 2019 Pipeline Data Lagasco'!$Q:$Q,'Dec 31 2018 OFFS'!$AK388,'T1 2019 Pipeline Data Lagasco'!$E:$E,'Dec 31 2018 OFFS'!$U388,'T1 2019 Pipeline Data Lagasco'!$G:$G,'Dec 31 2018 OFFS'!$W388),1))</f>
        <v>21639</v>
      </c>
      <c r="AM388" s="274">
        <f t="shared" si="68" ref="AM388:AM451">AG388-AL388</f>
        <v>0</v>
      </c>
    </row>
    <row r="389" spans="1:39" ht="12.7">
      <c r="A389" s="193" t="s">
        <v>909</v>
      </c>
      <c r="B389" s="40" t="s">
        <v>918</v>
      </c>
      <c r="C389" s="40" t="s">
        <v>1266</v>
      </c>
      <c r="D389" s="40" t="s">
        <v>1077</v>
      </c>
      <c r="E389" s="40" t="s">
        <v>138</v>
      </c>
      <c r="F389" s="40"/>
      <c r="G389" s="41" t="s">
        <v>1190</v>
      </c>
      <c r="H389" s="42">
        <v>42</v>
      </c>
      <c r="I389" s="43">
        <v>40</v>
      </c>
      <c r="J389" s="44">
        <v>25.20</v>
      </c>
      <c r="K389" s="45">
        <v>79</v>
      </c>
      <c r="L389" s="43">
        <v>37</v>
      </c>
      <c r="M389" s="46">
        <v>17.28</v>
      </c>
      <c r="N389" s="139" t="s">
        <v>1406</v>
      </c>
      <c r="O389" s="42">
        <v>42</v>
      </c>
      <c r="P389" s="43">
        <v>40</v>
      </c>
      <c r="Q389" s="44">
        <v>59.82</v>
      </c>
      <c r="R389" s="45">
        <v>79</v>
      </c>
      <c r="S389" s="43">
        <v>37</v>
      </c>
      <c r="T389" s="46">
        <v>5.94</v>
      </c>
      <c r="U389" s="40">
        <v>3</v>
      </c>
      <c r="V389" s="47">
        <v>3602</v>
      </c>
      <c r="W389" s="48">
        <v>2004</v>
      </c>
      <c r="X389" s="40"/>
      <c r="Y389" s="52" t="s">
        <v>1081</v>
      </c>
      <c r="Z389" s="40" t="s">
        <v>910</v>
      </c>
      <c r="AA389" s="49">
        <f t="shared" si="61"/>
        <v>84971.18</v>
      </c>
      <c r="AB389" s="71">
        <f t="shared" si="62"/>
        <v>0.56000000000000005</v>
      </c>
      <c r="AC389" s="49">
        <f t="shared" si="63"/>
        <v>37387.32</v>
      </c>
      <c r="AD389" s="50">
        <f t="shared" si="64"/>
        <v>0</v>
      </c>
      <c r="AE389" s="50">
        <f t="shared" si="65"/>
        <v>0</v>
      </c>
      <c r="AF389" s="50">
        <f t="shared" si="66"/>
        <v>37387.32</v>
      </c>
      <c r="AG389" s="199">
        <f t="shared" si="67"/>
        <v>37387</v>
      </c>
      <c r="AH389" s="187"/>
      <c r="AI389" s="185" t="s">
        <v>1455</v>
      </c>
      <c r="AJ389" s="185"/>
      <c r="AK389" s="277">
        <f t="shared" si="60"/>
        <v>3602</v>
      </c>
      <c r="AL389" s="25">
        <f>(SUMIFS('T1 2019 Pipeline Data Lagasco'!$O:$O,'T1 2019 Pipeline Data Lagasco'!$A:$A,'Dec 31 2018 OFFS'!$AI389,'T1 2019 Pipeline Data Lagasco'!$Q:$Q,'Dec 31 2018 OFFS'!$AK389,'T1 2019 Pipeline Data Lagasco'!$E:$E,'Dec 31 2018 OFFS'!$U389,'T1 2019 Pipeline Data Lagasco'!$G:$G,'Dec 31 2018 OFFS'!$W389))/(MAX(COUNTIFS('T1 2019 Pipeline Data Lagasco'!$A:$A,'Dec 31 2018 OFFS'!$AI389,'T1 2019 Pipeline Data Lagasco'!$Q:$Q,'Dec 31 2018 OFFS'!$AK389,'T1 2019 Pipeline Data Lagasco'!$E:$E,'Dec 31 2018 OFFS'!$U389,'T1 2019 Pipeline Data Lagasco'!$G:$G,'Dec 31 2018 OFFS'!$W389),1))</f>
        <v>37387</v>
      </c>
      <c r="AM389" s="274">
        <f t="shared" si="68"/>
        <v>0</v>
      </c>
    </row>
    <row r="390" spans="1:39" ht="12.7">
      <c r="A390" s="193" t="s">
        <v>909</v>
      </c>
      <c r="B390" s="40" t="s">
        <v>918</v>
      </c>
      <c r="C390" s="40" t="s">
        <v>1266</v>
      </c>
      <c r="D390" s="40" t="s">
        <v>1077</v>
      </c>
      <c r="E390" s="40" t="s">
        <v>138</v>
      </c>
      <c r="F390" s="40"/>
      <c r="G390" s="40" t="s">
        <v>168</v>
      </c>
      <c r="H390" s="42">
        <v>42</v>
      </c>
      <c r="I390" s="43">
        <v>40</v>
      </c>
      <c r="J390" s="44">
        <v>44.55</v>
      </c>
      <c r="K390" s="45">
        <v>79</v>
      </c>
      <c r="L390" s="43">
        <v>38</v>
      </c>
      <c r="M390" s="46">
        <v>15.56</v>
      </c>
      <c r="N390" s="41" t="s">
        <v>590</v>
      </c>
      <c r="O390" s="42">
        <v>42</v>
      </c>
      <c r="P390" s="43">
        <v>41</v>
      </c>
      <c r="Q390" s="44">
        <v>42</v>
      </c>
      <c r="R390" s="45">
        <v>79</v>
      </c>
      <c r="S390" s="43">
        <v>37</v>
      </c>
      <c r="T390" s="46" t="s">
        <v>1121</v>
      </c>
      <c r="U390" s="40">
        <v>6</v>
      </c>
      <c r="V390" s="56">
        <v>8104.888216725999</v>
      </c>
      <c r="W390" s="48">
        <v>1985</v>
      </c>
      <c r="X390" s="40"/>
      <c r="Y390" s="52" t="s">
        <v>1081</v>
      </c>
      <c r="Z390" s="40" t="s">
        <v>910</v>
      </c>
      <c r="AA390" s="49">
        <f t="shared" si="61"/>
        <v>280672.27894522139</v>
      </c>
      <c r="AB390" s="71">
        <f t="shared" si="62"/>
        <v>0.80</v>
      </c>
      <c r="AC390" s="49">
        <f t="shared" si="63"/>
        <v>56134.46</v>
      </c>
      <c r="AD390" s="50">
        <f t="shared" si="64"/>
        <v>0</v>
      </c>
      <c r="AE390" s="50">
        <f t="shared" si="65"/>
        <v>0</v>
      </c>
      <c r="AF390" s="50">
        <f t="shared" si="66"/>
        <v>56134.46</v>
      </c>
      <c r="AG390" s="199">
        <f t="shared" si="67"/>
        <v>56134</v>
      </c>
      <c r="AH390" s="187"/>
      <c r="AI390" s="185" t="s">
        <v>1455</v>
      </c>
      <c r="AJ390" s="185"/>
      <c r="AK390" s="277">
        <f t="shared" si="60"/>
        <v>8104.89</v>
      </c>
      <c r="AL390" s="25">
        <f>(SUMIFS('T1 2019 Pipeline Data Lagasco'!$O:$O,'T1 2019 Pipeline Data Lagasco'!$A:$A,'Dec 31 2018 OFFS'!$AI390,'T1 2019 Pipeline Data Lagasco'!$Q:$Q,'Dec 31 2018 OFFS'!$AK390,'T1 2019 Pipeline Data Lagasco'!$E:$E,'Dec 31 2018 OFFS'!$U390,'T1 2019 Pipeline Data Lagasco'!$G:$G,'Dec 31 2018 OFFS'!$W390))/(MAX(COUNTIFS('T1 2019 Pipeline Data Lagasco'!$A:$A,'Dec 31 2018 OFFS'!$AI390,'T1 2019 Pipeline Data Lagasco'!$Q:$Q,'Dec 31 2018 OFFS'!$AK390,'T1 2019 Pipeline Data Lagasco'!$E:$E,'Dec 31 2018 OFFS'!$U390,'T1 2019 Pipeline Data Lagasco'!$G:$G,'Dec 31 2018 OFFS'!$W390),1))</f>
        <v>56134</v>
      </c>
      <c r="AM390" s="274">
        <f t="shared" si="68"/>
        <v>0</v>
      </c>
    </row>
    <row r="391" spans="1:39" ht="12.7">
      <c r="A391" s="193" t="s">
        <v>909</v>
      </c>
      <c r="B391" s="40" t="s">
        <v>918</v>
      </c>
      <c r="C391" s="40" t="s">
        <v>1266</v>
      </c>
      <c r="D391" s="40" t="s">
        <v>1077</v>
      </c>
      <c r="E391" s="40" t="s">
        <v>138</v>
      </c>
      <c r="F391" s="40" t="s">
        <v>1051</v>
      </c>
      <c r="G391" s="41" t="s">
        <v>595</v>
      </c>
      <c r="H391" s="42">
        <v>42</v>
      </c>
      <c r="I391" s="43">
        <v>39</v>
      </c>
      <c r="J391" s="44">
        <v>6</v>
      </c>
      <c r="K391" s="45">
        <v>79</v>
      </c>
      <c r="L391" s="43">
        <v>35</v>
      </c>
      <c r="M391" s="46">
        <v>49.02</v>
      </c>
      <c r="N391" s="41" t="s">
        <v>596</v>
      </c>
      <c r="O391" s="42">
        <v>42</v>
      </c>
      <c r="P391" s="43">
        <v>39</v>
      </c>
      <c r="Q391" s="44">
        <v>13.02</v>
      </c>
      <c r="R391" s="45">
        <v>79</v>
      </c>
      <c r="S391" s="43">
        <v>34</v>
      </c>
      <c r="T391" s="46">
        <v>45</v>
      </c>
      <c r="U391" s="40">
        <v>3</v>
      </c>
      <c r="V391" s="47">
        <v>4837.24</v>
      </c>
      <c r="W391" s="48">
        <v>1983</v>
      </c>
      <c r="X391" s="40"/>
      <c r="Y391" s="52"/>
      <c r="Z391" s="40" t="s">
        <v>910</v>
      </c>
      <c r="AA391" s="49">
        <f t="shared" si="61"/>
        <v>0</v>
      </c>
      <c r="AB391" s="71">
        <f t="shared" si="62"/>
        <v>0.80</v>
      </c>
      <c r="AC391" s="49">
        <f t="shared" si="63"/>
        <v>0</v>
      </c>
      <c r="AD391" s="50">
        <f t="shared" si="64"/>
        <v>0</v>
      </c>
      <c r="AE391" s="50">
        <f t="shared" si="65"/>
        <v>0</v>
      </c>
      <c r="AF391" s="50">
        <f t="shared" si="66"/>
        <v>0</v>
      </c>
      <c r="AG391" s="199">
        <f t="shared" si="67"/>
        <v>0</v>
      </c>
      <c r="AH391" s="187"/>
      <c r="AI391" s="185" t="s">
        <v>1455</v>
      </c>
      <c r="AJ391" s="185"/>
      <c r="AK391" s="277">
        <f t="shared" si="60"/>
        <v>4837.24</v>
      </c>
      <c r="AL391" s="25">
        <f>(SUMIFS('T1 2019 Pipeline Data Lagasco'!$O:$O,'T1 2019 Pipeline Data Lagasco'!$A:$A,'Dec 31 2018 OFFS'!$AI391,'T1 2019 Pipeline Data Lagasco'!$Q:$Q,'Dec 31 2018 OFFS'!$AK391,'T1 2019 Pipeline Data Lagasco'!$E:$E,'Dec 31 2018 OFFS'!$U391,'T1 2019 Pipeline Data Lagasco'!$G:$G,'Dec 31 2018 OFFS'!$W391))/(MAX(COUNTIFS('T1 2019 Pipeline Data Lagasco'!$A:$A,'Dec 31 2018 OFFS'!$AI391,'T1 2019 Pipeline Data Lagasco'!$Q:$Q,'Dec 31 2018 OFFS'!$AK391,'T1 2019 Pipeline Data Lagasco'!$E:$E,'Dec 31 2018 OFFS'!$U391,'T1 2019 Pipeline Data Lagasco'!$G:$G,'Dec 31 2018 OFFS'!$W391),1))</f>
        <v>0</v>
      </c>
      <c r="AM391" s="274">
        <f t="shared" si="68"/>
        <v>0</v>
      </c>
    </row>
    <row r="392" spans="1:39" ht="12.7">
      <c r="A392" s="193" t="s">
        <v>909</v>
      </c>
      <c r="B392" s="40" t="s">
        <v>918</v>
      </c>
      <c r="C392" s="40" t="s">
        <v>1266</v>
      </c>
      <c r="D392" s="40" t="s">
        <v>1077</v>
      </c>
      <c r="E392" s="40" t="s">
        <v>138</v>
      </c>
      <c r="F392" s="40" t="s">
        <v>1051</v>
      </c>
      <c r="G392" s="41" t="s">
        <v>595</v>
      </c>
      <c r="H392" s="42">
        <v>42</v>
      </c>
      <c r="I392" s="43">
        <v>39</v>
      </c>
      <c r="J392" s="44">
        <v>6</v>
      </c>
      <c r="K392" s="45">
        <v>79</v>
      </c>
      <c r="L392" s="43">
        <v>35</v>
      </c>
      <c r="M392" s="46">
        <v>49.02</v>
      </c>
      <c r="N392" s="54" t="s">
        <v>597</v>
      </c>
      <c r="O392" s="42">
        <v>42</v>
      </c>
      <c r="P392" s="43">
        <v>38</v>
      </c>
      <c r="Q392" s="44">
        <v>40.98</v>
      </c>
      <c r="R392" s="45">
        <v>79</v>
      </c>
      <c r="S392" s="43">
        <v>35</v>
      </c>
      <c r="T392" s="46">
        <v>43.98</v>
      </c>
      <c r="U392" s="40">
        <v>3</v>
      </c>
      <c r="V392" s="47">
        <v>2561.0891646760001</v>
      </c>
      <c r="W392" s="48">
        <v>1984</v>
      </c>
      <c r="X392" s="40"/>
      <c r="Y392" s="52" t="s">
        <v>1081</v>
      </c>
      <c r="Z392" s="40" t="s">
        <v>910</v>
      </c>
      <c r="AA392" s="49">
        <f t="shared" si="61"/>
        <v>0</v>
      </c>
      <c r="AB392" s="71">
        <f t="shared" si="62"/>
        <v>0.80</v>
      </c>
      <c r="AC392" s="49">
        <f t="shared" si="63"/>
        <v>0</v>
      </c>
      <c r="AD392" s="50">
        <f t="shared" si="64"/>
        <v>0</v>
      </c>
      <c r="AE392" s="50">
        <f t="shared" si="65"/>
        <v>0</v>
      </c>
      <c r="AF392" s="50">
        <f t="shared" si="66"/>
        <v>0</v>
      </c>
      <c r="AG392" s="199">
        <f t="shared" si="67"/>
        <v>0</v>
      </c>
      <c r="AH392" s="187"/>
      <c r="AI392" s="185" t="s">
        <v>1455</v>
      </c>
      <c r="AJ392" s="185"/>
      <c r="AK392" s="277">
        <f t="shared" si="60"/>
        <v>2561.09</v>
      </c>
      <c r="AL392" s="25">
        <f>(SUMIFS('T1 2019 Pipeline Data Lagasco'!$O:$O,'T1 2019 Pipeline Data Lagasco'!$A:$A,'Dec 31 2018 OFFS'!$AI392,'T1 2019 Pipeline Data Lagasco'!$Q:$Q,'Dec 31 2018 OFFS'!$AK392,'T1 2019 Pipeline Data Lagasco'!$E:$E,'Dec 31 2018 OFFS'!$U392,'T1 2019 Pipeline Data Lagasco'!$G:$G,'Dec 31 2018 OFFS'!$W392))/(MAX(COUNTIFS('T1 2019 Pipeline Data Lagasco'!$A:$A,'Dec 31 2018 OFFS'!$AI392,'T1 2019 Pipeline Data Lagasco'!$Q:$Q,'Dec 31 2018 OFFS'!$AK392,'T1 2019 Pipeline Data Lagasco'!$E:$E,'Dec 31 2018 OFFS'!$U392,'T1 2019 Pipeline Data Lagasco'!$G:$G,'Dec 31 2018 OFFS'!$W392),1))</f>
        <v>0</v>
      </c>
      <c r="AM392" s="274">
        <f t="shared" si="68"/>
        <v>0</v>
      </c>
    </row>
    <row r="393" spans="1:39" ht="12.7">
      <c r="A393" s="193" t="s">
        <v>909</v>
      </c>
      <c r="B393" s="40" t="s">
        <v>918</v>
      </c>
      <c r="C393" s="40" t="s">
        <v>1266</v>
      </c>
      <c r="D393" s="40" t="s">
        <v>1077</v>
      </c>
      <c r="E393" s="40" t="s">
        <v>138</v>
      </c>
      <c r="F393" s="40"/>
      <c r="G393" s="41" t="s">
        <v>598</v>
      </c>
      <c r="H393" s="42">
        <v>42</v>
      </c>
      <c r="I393" s="43">
        <v>39</v>
      </c>
      <c r="J393" s="44">
        <v>48</v>
      </c>
      <c r="K393" s="45">
        <v>79</v>
      </c>
      <c r="L393" s="43">
        <v>37</v>
      </c>
      <c r="M393" s="46">
        <v>40.020000000000003</v>
      </c>
      <c r="N393" s="40" t="s">
        <v>599</v>
      </c>
      <c r="O393" s="42">
        <v>42</v>
      </c>
      <c r="P393" s="43">
        <v>39</v>
      </c>
      <c r="Q393" s="44">
        <v>11.535</v>
      </c>
      <c r="R393" s="45">
        <v>79</v>
      </c>
      <c r="S393" s="43">
        <v>38</v>
      </c>
      <c r="T393" s="46">
        <v>13.495</v>
      </c>
      <c r="U393" s="40">
        <v>3</v>
      </c>
      <c r="V393" s="47">
        <v>4459.7111569359995</v>
      </c>
      <c r="W393" s="48">
        <v>1985</v>
      </c>
      <c r="X393" s="40"/>
      <c r="Y393" s="52" t="s">
        <v>1081</v>
      </c>
      <c r="Z393" s="40" t="s">
        <v>910</v>
      </c>
      <c r="AA393" s="49">
        <f t="shared" si="61"/>
        <v>105204.58619212023</v>
      </c>
      <c r="AB393" s="71">
        <f t="shared" si="62"/>
        <v>0.80</v>
      </c>
      <c r="AC393" s="49">
        <f t="shared" si="63"/>
        <v>21040.92</v>
      </c>
      <c r="AD393" s="50">
        <f t="shared" si="64"/>
        <v>0</v>
      </c>
      <c r="AE393" s="50">
        <f t="shared" si="65"/>
        <v>0</v>
      </c>
      <c r="AF393" s="50">
        <f t="shared" si="66"/>
        <v>21040.92</v>
      </c>
      <c r="AG393" s="199">
        <f t="shared" si="67"/>
        <v>21040</v>
      </c>
      <c r="AH393" s="187"/>
      <c r="AI393" s="185" t="s">
        <v>1455</v>
      </c>
      <c r="AJ393" s="185"/>
      <c r="AK393" s="277">
        <f t="shared" si="60"/>
        <v>4459.71</v>
      </c>
      <c r="AL393" s="25">
        <f>(SUMIFS('T1 2019 Pipeline Data Lagasco'!$O:$O,'T1 2019 Pipeline Data Lagasco'!$A:$A,'Dec 31 2018 OFFS'!$AI393,'T1 2019 Pipeline Data Lagasco'!$Q:$Q,'Dec 31 2018 OFFS'!$AK393,'T1 2019 Pipeline Data Lagasco'!$E:$E,'Dec 31 2018 OFFS'!$U393,'T1 2019 Pipeline Data Lagasco'!$G:$G,'Dec 31 2018 OFFS'!$W393))/(MAX(COUNTIFS('T1 2019 Pipeline Data Lagasco'!$A:$A,'Dec 31 2018 OFFS'!$AI393,'T1 2019 Pipeline Data Lagasco'!$Q:$Q,'Dec 31 2018 OFFS'!$AK393,'T1 2019 Pipeline Data Lagasco'!$E:$E,'Dec 31 2018 OFFS'!$U393,'T1 2019 Pipeline Data Lagasco'!$G:$G,'Dec 31 2018 OFFS'!$W393),1))</f>
        <v>21040</v>
      </c>
      <c r="AM393" s="274">
        <f t="shared" si="68"/>
        <v>0</v>
      </c>
    </row>
    <row r="394" spans="1:39" ht="12.7">
      <c r="A394" s="193" t="s">
        <v>909</v>
      </c>
      <c r="B394" s="40" t="s">
        <v>918</v>
      </c>
      <c r="C394" s="40" t="s">
        <v>1266</v>
      </c>
      <c r="D394" s="40" t="s">
        <v>1077</v>
      </c>
      <c r="E394" s="40" t="s">
        <v>138</v>
      </c>
      <c r="F394" s="40"/>
      <c r="G394" s="40" t="s">
        <v>70</v>
      </c>
      <c r="H394" s="42">
        <v>42</v>
      </c>
      <c r="I394" s="43">
        <v>39</v>
      </c>
      <c r="J394" s="44">
        <v>51.80</v>
      </c>
      <c r="K394" s="45">
        <v>79</v>
      </c>
      <c r="L394" s="43">
        <v>37</v>
      </c>
      <c r="M394" s="46">
        <v>55.75</v>
      </c>
      <c r="N394" s="41" t="s">
        <v>598</v>
      </c>
      <c r="O394" s="42">
        <v>42</v>
      </c>
      <c r="P394" s="43">
        <v>39</v>
      </c>
      <c r="Q394" s="44">
        <v>48</v>
      </c>
      <c r="R394" s="45">
        <v>79</v>
      </c>
      <c r="S394" s="43">
        <v>37</v>
      </c>
      <c r="T394" s="46">
        <v>40.020000000000003</v>
      </c>
      <c r="U394" s="40">
        <v>3</v>
      </c>
      <c r="V394" s="47">
        <v>1236.7453710079999</v>
      </c>
      <c r="W394" s="48">
        <v>1985</v>
      </c>
      <c r="X394" s="40"/>
      <c r="Y394" s="52" t="s">
        <v>1081</v>
      </c>
      <c r="Z394" s="40" t="s">
        <v>910</v>
      </c>
      <c r="AA394" s="49">
        <f t="shared" si="61"/>
        <v>29174.823302078716</v>
      </c>
      <c r="AB394" s="71">
        <f t="shared" si="62"/>
        <v>0.80</v>
      </c>
      <c r="AC394" s="49">
        <f t="shared" si="63"/>
        <v>5834.96</v>
      </c>
      <c r="AD394" s="50">
        <f t="shared" si="64"/>
        <v>0</v>
      </c>
      <c r="AE394" s="50">
        <f t="shared" si="65"/>
        <v>0</v>
      </c>
      <c r="AF394" s="50">
        <f t="shared" si="66"/>
        <v>5834.96</v>
      </c>
      <c r="AG394" s="199">
        <f t="shared" si="67"/>
        <v>5834</v>
      </c>
      <c r="AH394" s="187"/>
      <c r="AI394" s="185" t="s">
        <v>1455</v>
      </c>
      <c r="AJ394" s="185"/>
      <c r="AK394" s="277">
        <f t="shared" si="60"/>
        <v>1236.75</v>
      </c>
      <c r="AL394" s="25">
        <f>(SUMIFS('T1 2019 Pipeline Data Lagasco'!$O:$O,'T1 2019 Pipeline Data Lagasco'!$A:$A,'Dec 31 2018 OFFS'!$AI394,'T1 2019 Pipeline Data Lagasco'!$Q:$Q,'Dec 31 2018 OFFS'!$AK394,'T1 2019 Pipeline Data Lagasco'!$E:$E,'Dec 31 2018 OFFS'!$U394,'T1 2019 Pipeline Data Lagasco'!$G:$G,'Dec 31 2018 OFFS'!$W394))/(MAX(COUNTIFS('T1 2019 Pipeline Data Lagasco'!$A:$A,'Dec 31 2018 OFFS'!$AI394,'T1 2019 Pipeline Data Lagasco'!$Q:$Q,'Dec 31 2018 OFFS'!$AK394,'T1 2019 Pipeline Data Lagasco'!$E:$E,'Dec 31 2018 OFFS'!$U394,'T1 2019 Pipeline Data Lagasco'!$G:$G,'Dec 31 2018 OFFS'!$W394),1))</f>
        <v>5834</v>
      </c>
      <c r="AM394" s="274">
        <f t="shared" si="68"/>
        <v>0</v>
      </c>
    </row>
    <row r="395" spans="1:39" ht="12.7">
      <c r="A395" s="193" t="s">
        <v>909</v>
      </c>
      <c r="B395" s="40" t="s">
        <v>918</v>
      </c>
      <c r="C395" s="40" t="s">
        <v>1266</v>
      </c>
      <c r="D395" s="40" t="s">
        <v>1077</v>
      </c>
      <c r="E395" s="40" t="s">
        <v>138</v>
      </c>
      <c r="F395" s="40"/>
      <c r="G395" s="41" t="s">
        <v>1194</v>
      </c>
      <c r="H395" s="42">
        <v>42</v>
      </c>
      <c r="I395" s="43">
        <v>39</v>
      </c>
      <c r="J395" s="44">
        <v>24.78</v>
      </c>
      <c r="K395" s="45">
        <v>79</v>
      </c>
      <c r="L395" s="43">
        <v>38</v>
      </c>
      <c r="M395" s="46">
        <v>55.14</v>
      </c>
      <c r="N395" s="41" t="s">
        <v>1195</v>
      </c>
      <c r="O395" s="42">
        <v>42</v>
      </c>
      <c r="P395" s="43">
        <v>39</v>
      </c>
      <c r="Q395" s="44">
        <v>11.52</v>
      </c>
      <c r="R395" s="45">
        <v>79</v>
      </c>
      <c r="S395" s="43">
        <v>38</v>
      </c>
      <c r="T395" s="46">
        <v>13.44</v>
      </c>
      <c r="U395" s="40">
        <v>3</v>
      </c>
      <c r="V395" s="47">
        <v>3391</v>
      </c>
      <c r="W395" s="48">
        <v>2004</v>
      </c>
      <c r="X395" s="40"/>
      <c r="Y395" s="52" t="s">
        <v>1081</v>
      </c>
      <c r="Z395" s="40" t="s">
        <v>910</v>
      </c>
      <c r="AA395" s="49">
        <f t="shared" si="61"/>
        <v>79993.69</v>
      </c>
      <c r="AB395" s="71">
        <f t="shared" si="62"/>
        <v>0.56000000000000005</v>
      </c>
      <c r="AC395" s="49">
        <f t="shared" si="63"/>
        <v>35197.22</v>
      </c>
      <c r="AD395" s="50">
        <f t="shared" si="64"/>
        <v>0</v>
      </c>
      <c r="AE395" s="50">
        <f t="shared" si="65"/>
        <v>0</v>
      </c>
      <c r="AF395" s="50">
        <f t="shared" si="66"/>
        <v>35197.22</v>
      </c>
      <c r="AG395" s="199">
        <f t="shared" si="67"/>
        <v>35197</v>
      </c>
      <c r="AH395" s="187"/>
      <c r="AI395" s="185" t="s">
        <v>1455</v>
      </c>
      <c r="AJ395" s="185"/>
      <c r="AK395" s="277">
        <f t="shared" si="60"/>
        <v>3391</v>
      </c>
      <c r="AL395" s="25">
        <f>(SUMIFS('T1 2019 Pipeline Data Lagasco'!$O:$O,'T1 2019 Pipeline Data Lagasco'!$A:$A,'Dec 31 2018 OFFS'!$AI395,'T1 2019 Pipeline Data Lagasco'!$Q:$Q,'Dec 31 2018 OFFS'!$AK395,'T1 2019 Pipeline Data Lagasco'!$E:$E,'Dec 31 2018 OFFS'!$U395,'T1 2019 Pipeline Data Lagasco'!$G:$G,'Dec 31 2018 OFFS'!$W395))/(MAX(COUNTIFS('T1 2019 Pipeline Data Lagasco'!$A:$A,'Dec 31 2018 OFFS'!$AI395,'T1 2019 Pipeline Data Lagasco'!$Q:$Q,'Dec 31 2018 OFFS'!$AK395,'T1 2019 Pipeline Data Lagasco'!$E:$E,'Dec 31 2018 OFFS'!$U395,'T1 2019 Pipeline Data Lagasco'!$G:$G,'Dec 31 2018 OFFS'!$W395),1))</f>
        <v>35197</v>
      </c>
      <c r="AM395" s="274">
        <f t="shared" si="68"/>
        <v>0</v>
      </c>
    </row>
    <row r="396" spans="1:39" ht="12.7">
      <c r="A396" s="193" t="s">
        <v>909</v>
      </c>
      <c r="B396" s="40" t="s">
        <v>918</v>
      </c>
      <c r="C396" s="40" t="s">
        <v>1266</v>
      </c>
      <c r="D396" s="40" t="s">
        <v>1077</v>
      </c>
      <c r="E396" s="40" t="s">
        <v>138</v>
      </c>
      <c r="F396" s="40"/>
      <c r="G396" s="40" t="s">
        <v>155</v>
      </c>
      <c r="H396" s="42">
        <v>42</v>
      </c>
      <c r="I396" s="43">
        <v>38</v>
      </c>
      <c r="J396" s="44">
        <v>53.28</v>
      </c>
      <c r="K396" s="45">
        <v>79</v>
      </c>
      <c r="L396" s="43">
        <v>37</v>
      </c>
      <c r="M396" s="46">
        <v>34.880000000000003</v>
      </c>
      <c r="N396" s="41" t="s">
        <v>595</v>
      </c>
      <c r="O396" s="42">
        <v>42</v>
      </c>
      <c r="P396" s="43">
        <v>39</v>
      </c>
      <c r="Q396" s="44">
        <v>6</v>
      </c>
      <c r="R396" s="45">
        <v>79</v>
      </c>
      <c r="S396" s="43">
        <v>35</v>
      </c>
      <c r="T396" s="46">
        <v>49.02</v>
      </c>
      <c r="U396" s="40">
        <v>3</v>
      </c>
      <c r="V396" s="47">
        <v>8016.1743085339995</v>
      </c>
      <c r="W396" s="48">
        <v>1988</v>
      </c>
      <c r="X396" s="40" t="s">
        <v>2</v>
      </c>
      <c r="Y396" s="52" t="s">
        <v>1081</v>
      </c>
      <c r="Z396" s="40" t="s">
        <v>910</v>
      </c>
      <c r="AA396" s="49">
        <f t="shared" si="61"/>
        <v>189101.55193831705</v>
      </c>
      <c r="AB396" s="71">
        <f t="shared" si="62"/>
        <v>0.76</v>
      </c>
      <c r="AC396" s="49">
        <f t="shared" si="63"/>
        <v>45384.37</v>
      </c>
      <c r="AD396" s="50">
        <f t="shared" si="64"/>
        <v>11346.092500000001</v>
      </c>
      <c r="AE396" s="50">
        <f t="shared" si="65"/>
        <v>0</v>
      </c>
      <c r="AF396" s="50">
        <f t="shared" si="66"/>
        <v>34038.277500000004</v>
      </c>
      <c r="AG396" s="199">
        <f t="shared" si="67"/>
        <v>34038</v>
      </c>
      <c r="AH396" s="187"/>
      <c r="AI396" s="185" t="s">
        <v>1455</v>
      </c>
      <c r="AJ396" s="185"/>
      <c r="AK396" s="277">
        <f t="shared" si="60"/>
        <v>8016.17</v>
      </c>
      <c r="AL396" s="25">
        <f>(SUMIFS('T1 2019 Pipeline Data Lagasco'!$O:$O,'T1 2019 Pipeline Data Lagasco'!$A:$A,'Dec 31 2018 OFFS'!$AI396,'T1 2019 Pipeline Data Lagasco'!$Q:$Q,'Dec 31 2018 OFFS'!$AK396,'T1 2019 Pipeline Data Lagasco'!$E:$E,'Dec 31 2018 OFFS'!$U396,'T1 2019 Pipeline Data Lagasco'!$G:$G,'Dec 31 2018 OFFS'!$W396))/(MAX(COUNTIFS('T1 2019 Pipeline Data Lagasco'!$A:$A,'Dec 31 2018 OFFS'!$AI396,'T1 2019 Pipeline Data Lagasco'!$Q:$Q,'Dec 31 2018 OFFS'!$AK396,'T1 2019 Pipeline Data Lagasco'!$E:$E,'Dec 31 2018 OFFS'!$U396,'T1 2019 Pipeline Data Lagasco'!$G:$G,'Dec 31 2018 OFFS'!$W396),1))</f>
        <v>34038</v>
      </c>
      <c r="AM396" s="274">
        <f t="shared" si="68"/>
        <v>0</v>
      </c>
    </row>
    <row r="397" spans="1:39" ht="12.7">
      <c r="A397" s="193" t="s">
        <v>909</v>
      </c>
      <c r="B397" s="40" t="s">
        <v>918</v>
      </c>
      <c r="C397" s="40" t="s">
        <v>1266</v>
      </c>
      <c r="D397" s="40" t="s">
        <v>1077</v>
      </c>
      <c r="E397" s="40" t="s">
        <v>138</v>
      </c>
      <c r="F397" s="40"/>
      <c r="G397" s="40" t="s">
        <v>159</v>
      </c>
      <c r="H397" s="42">
        <v>42</v>
      </c>
      <c r="I397" s="43">
        <v>38</v>
      </c>
      <c r="J397" s="44">
        <v>15.95</v>
      </c>
      <c r="K397" s="45">
        <v>79</v>
      </c>
      <c r="L397" s="43">
        <v>37</v>
      </c>
      <c r="M397" s="46">
        <v>21.04</v>
      </c>
      <c r="N397" s="41" t="s">
        <v>600</v>
      </c>
      <c r="O397" s="42">
        <v>42</v>
      </c>
      <c r="P397" s="43">
        <v>38</v>
      </c>
      <c r="Q397" s="44">
        <v>21</v>
      </c>
      <c r="R397" s="45">
        <v>79</v>
      </c>
      <c r="S397" s="43">
        <v>36</v>
      </c>
      <c r="T397" s="46">
        <v>46.02</v>
      </c>
      <c r="U397" s="40">
        <v>3</v>
      </c>
      <c r="V397" s="47">
        <v>2667.355565798</v>
      </c>
      <c r="W397" s="48">
        <v>1988</v>
      </c>
      <c r="X397" s="40"/>
      <c r="Y397" s="52" t="s">
        <v>1081</v>
      </c>
      <c r="Z397" s="40" t="s">
        <v>910</v>
      </c>
      <c r="AA397" s="49">
        <f t="shared" si="61"/>
        <v>62922.917797174821</v>
      </c>
      <c r="AB397" s="71">
        <f t="shared" si="62"/>
        <v>0.76</v>
      </c>
      <c r="AC397" s="49">
        <f t="shared" si="63"/>
        <v>15101.50</v>
      </c>
      <c r="AD397" s="50">
        <f t="shared" si="64"/>
        <v>0</v>
      </c>
      <c r="AE397" s="50">
        <f t="shared" si="65"/>
        <v>0</v>
      </c>
      <c r="AF397" s="50">
        <f t="shared" si="66"/>
        <v>15101.50</v>
      </c>
      <c r="AG397" s="199">
        <f t="shared" si="67"/>
        <v>15101</v>
      </c>
      <c r="AH397" s="187"/>
      <c r="AI397" s="185" t="s">
        <v>1455</v>
      </c>
      <c r="AJ397" s="185"/>
      <c r="AK397" s="277">
        <f t="shared" si="60"/>
        <v>2667.36</v>
      </c>
      <c r="AL397" s="25">
        <f>(SUMIFS('T1 2019 Pipeline Data Lagasco'!$O:$O,'T1 2019 Pipeline Data Lagasco'!$A:$A,'Dec 31 2018 OFFS'!$AI397,'T1 2019 Pipeline Data Lagasco'!$Q:$Q,'Dec 31 2018 OFFS'!$AK397,'T1 2019 Pipeline Data Lagasco'!$E:$E,'Dec 31 2018 OFFS'!$U397,'T1 2019 Pipeline Data Lagasco'!$G:$G,'Dec 31 2018 OFFS'!$W397))/(MAX(COUNTIFS('T1 2019 Pipeline Data Lagasco'!$A:$A,'Dec 31 2018 OFFS'!$AI397,'T1 2019 Pipeline Data Lagasco'!$Q:$Q,'Dec 31 2018 OFFS'!$AK397,'T1 2019 Pipeline Data Lagasco'!$E:$E,'Dec 31 2018 OFFS'!$U397,'T1 2019 Pipeline Data Lagasco'!$G:$G,'Dec 31 2018 OFFS'!$W397),1))</f>
        <v>15101</v>
      </c>
      <c r="AM397" s="274">
        <f t="shared" si="68"/>
        <v>0</v>
      </c>
    </row>
    <row r="398" spans="1:39" ht="12.7">
      <c r="A398" s="288" t="s">
        <v>909</v>
      </c>
      <c r="B398" s="289" t="s">
        <v>918</v>
      </c>
      <c r="C398" s="289" t="s">
        <v>1266</v>
      </c>
      <c r="D398" s="289" t="s">
        <v>1077</v>
      </c>
      <c r="E398" s="289" t="s">
        <v>138</v>
      </c>
      <c r="F398" s="290" t="s">
        <v>1051</v>
      </c>
      <c r="G398" s="297" t="s">
        <v>601</v>
      </c>
      <c r="H398" s="292">
        <v>42</v>
      </c>
      <c r="I398" s="293">
        <v>37</v>
      </c>
      <c r="J398" s="294">
        <v>12</v>
      </c>
      <c r="K398" s="295">
        <v>79</v>
      </c>
      <c r="L398" s="293">
        <v>36</v>
      </c>
      <c r="M398" s="296">
        <v>45</v>
      </c>
      <c r="N398" s="290" t="s">
        <v>1407</v>
      </c>
      <c r="O398" s="292">
        <v>42</v>
      </c>
      <c r="P398" s="293">
        <v>36</v>
      </c>
      <c r="Q398" s="294">
        <v>34.015</v>
      </c>
      <c r="R398" s="295">
        <v>79</v>
      </c>
      <c r="S398" s="293">
        <v>36</v>
      </c>
      <c r="T398" s="296">
        <v>7.5010000000000003</v>
      </c>
      <c r="U398" s="289">
        <v>3</v>
      </c>
      <c r="V398" s="184">
        <v>4759.7439566459998</v>
      </c>
      <c r="W398" s="298">
        <v>1984</v>
      </c>
      <c r="X398" s="289"/>
      <c r="Y398" s="52" t="s">
        <v>1081</v>
      </c>
      <c r="Z398" s="289" t="s">
        <v>910</v>
      </c>
      <c r="AA398" s="299">
        <f t="shared" si="61"/>
        <v>0</v>
      </c>
      <c r="AB398" s="300">
        <f t="shared" si="62"/>
        <v>0.80</v>
      </c>
      <c r="AC398" s="299">
        <f t="shared" si="63"/>
        <v>0</v>
      </c>
      <c r="AD398" s="301">
        <f t="shared" si="64"/>
        <v>0</v>
      </c>
      <c r="AE398" s="301">
        <f t="shared" si="65"/>
        <v>0</v>
      </c>
      <c r="AF398" s="301">
        <f t="shared" si="66"/>
        <v>0</v>
      </c>
      <c r="AG398" s="302">
        <f t="shared" si="67"/>
        <v>0</v>
      </c>
      <c r="AH398" s="303"/>
      <c r="AI398" s="186" t="s">
        <v>1455</v>
      </c>
      <c r="AJ398" s="186" t="s">
        <v>1558</v>
      </c>
      <c r="AK398" s="277">
        <f t="shared" si="60"/>
        <v>4759.74</v>
      </c>
      <c r="AL398" s="25">
        <f>(SUMIFS('T1 2019 Pipeline Data Lagasco'!$O:$O,'T1 2019 Pipeline Data Lagasco'!$A:$A,'Dec 31 2018 OFFS'!$AI398,'T1 2019 Pipeline Data Lagasco'!$Q:$Q,'Dec 31 2018 OFFS'!$AK398,'T1 2019 Pipeline Data Lagasco'!$E:$E,'Dec 31 2018 OFFS'!$U398,'T1 2019 Pipeline Data Lagasco'!$G:$G,'Dec 31 2018 OFFS'!$W398))/(MAX(COUNTIFS('T1 2019 Pipeline Data Lagasco'!$A:$A,'Dec 31 2018 OFFS'!$AI398,'T1 2019 Pipeline Data Lagasco'!$Q:$Q,'Dec 31 2018 OFFS'!$AK398,'T1 2019 Pipeline Data Lagasco'!$E:$E,'Dec 31 2018 OFFS'!$U398,'T1 2019 Pipeline Data Lagasco'!$G:$G,'Dec 31 2018 OFFS'!$W398),1))</f>
        <v>0</v>
      </c>
      <c r="AM398" s="274">
        <f t="shared" si="68"/>
        <v>0</v>
      </c>
    </row>
    <row r="399" spans="1:39" ht="12.7">
      <c r="A399" s="193" t="s">
        <v>909</v>
      </c>
      <c r="B399" s="40" t="s">
        <v>918</v>
      </c>
      <c r="C399" s="40" t="s">
        <v>1266</v>
      </c>
      <c r="D399" s="40" t="s">
        <v>1077</v>
      </c>
      <c r="E399" s="40" t="s">
        <v>138</v>
      </c>
      <c r="F399" s="40"/>
      <c r="G399" s="41" t="s">
        <v>601</v>
      </c>
      <c r="H399" s="42">
        <v>42</v>
      </c>
      <c r="I399" s="43">
        <v>37</v>
      </c>
      <c r="J399" s="44">
        <v>12</v>
      </c>
      <c r="K399" s="45">
        <v>79</v>
      </c>
      <c r="L399" s="43">
        <v>36</v>
      </c>
      <c r="M399" s="46">
        <v>45</v>
      </c>
      <c r="N399" s="40" t="s">
        <v>603</v>
      </c>
      <c r="O399" s="42">
        <v>42</v>
      </c>
      <c r="P399" s="43">
        <v>37</v>
      </c>
      <c r="Q399" s="44">
        <v>7.98</v>
      </c>
      <c r="R399" s="45">
        <v>79</v>
      </c>
      <c r="S399" s="43">
        <v>35</v>
      </c>
      <c r="T399" s="46">
        <v>43.02</v>
      </c>
      <c r="U399" s="40">
        <v>3</v>
      </c>
      <c r="V399" s="47">
        <v>4652.5261119819997</v>
      </c>
      <c r="W399" s="48">
        <v>1988</v>
      </c>
      <c r="X399" s="40"/>
      <c r="Y399" s="52" t="s">
        <v>1081</v>
      </c>
      <c r="Z399" s="40" t="s">
        <v>910</v>
      </c>
      <c r="AA399" s="49">
        <f t="shared" si="61"/>
        <v>109753.09098165538</v>
      </c>
      <c r="AB399" s="71">
        <f t="shared" si="62"/>
        <v>0.76</v>
      </c>
      <c r="AC399" s="49">
        <f t="shared" si="63"/>
        <v>26340.74</v>
      </c>
      <c r="AD399" s="50">
        <f t="shared" si="64"/>
        <v>0</v>
      </c>
      <c r="AE399" s="50">
        <f t="shared" si="65"/>
        <v>0</v>
      </c>
      <c r="AF399" s="50">
        <f t="shared" si="66"/>
        <v>26340.74</v>
      </c>
      <c r="AG399" s="199">
        <f t="shared" si="67"/>
        <v>26340</v>
      </c>
      <c r="AH399" s="187"/>
      <c r="AI399" s="185" t="s">
        <v>1455</v>
      </c>
      <c r="AJ399" s="185"/>
      <c r="AK399" s="277">
        <f t="shared" si="60"/>
        <v>4652.53</v>
      </c>
      <c r="AL399" s="25">
        <f>(SUMIFS('T1 2019 Pipeline Data Lagasco'!$O:$O,'T1 2019 Pipeline Data Lagasco'!$A:$A,'Dec 31 2018 OFFS'!$AI399,'T1 2019 Pipeline Data Lagasco'!$Q:$Q,'Dec 31 2018 OFFS'!$AK399,'T1 2019 Pipeline Data Lagasco'!$E:$E,'Dec 31 2018 OFFS'!$U399,'T1 2019 Pipeline Data Lagasco'!$G:$G,'Dec 31 2018 OFFS'!$W399))/(MAX(COUNTIFS('T1 2019 Pipeline Data Lagasco'!$A:$A,'Dec 31 2018 OFFS'!$AI399,'T1 2019 Pipeline Data Lagasco'!$Q:$Q,'Dec 31 2018 OFFS'!$AK399,'T1 2019 Pipeline Data Lagasco'!$E:$E,'Dec 31 2018 OFFS'!$U399,'T1 2019 Pipeline Data Lagasco'!$G:$G,'Dec 31 2018 OFFS'!$W399),1))</f>
        <v>26340</v>
      </c>
      <c r="AM399" s="274">
        <f t="shared" si="68"/>
        <v>0</v>
      </c>
    </row>
    <row r="400" spans="1:39" ht="12.7">
      <c r="A400" s="193" t="s">
        <v>909</v>
      </c>
      <c r="B400" s="40" t="s">
        <v>918</v>
      </c>
      <c r="C400" s="40" t="s">
        <v>1266</v>
      </c>
      <c r="D400" s="40" t="s">
        <v>1077</v>
      </c>
      <c r="E400" s="40" t="s">
        <v>138</v>
      </c>
      <c r="F400" s="40"/>
      <c r="G400" s="40" t="s">
        <v>161</v>
      </c>
      <c r="H400" s="42">
        <v>42</v>
      </c>
      <c r="I400" s="43">
        <v>37</v>
      </c>
      <c r="J400" s="44">
        <v>11.57</v>
      </c>
      <c r="K400" s="45">
        <v>79</v>
      </c>
      <c r="L400" s="43">
        <v>36</v>
      </c>
      <c r="M400" s="46">
        <v>58.47</v>
      </c>
      <c r="N400" s="41" t="s">
        <v>601</v>
      </c>
      <c r="O400" s="42">
        <v>42</v>
      </c>
      <c r="P400" s="43">
        <v>37</v>
      </c>
      <c r="Q400" s="44">
        <v>12</v>
      </c>
      <c r="R400" s="45">
        <v>79</v>
      </c>
      <c r="S400" s="43">
        <v>36</v>
      </c>
      <c r="T400" s="46">
        <v>45</v>
      </c>
      <c r="U400" s="40">
        <v>3</v>
      </c>
      <c r="V400" s="47">
        <v>1008.169262142</v>
      </c>
      <c r="W400" s="48">
        <v>1984</v>
      </c>
      <c r="X400" s="40"/>
      <c r="Y400" s="52" t="s">
        <v>1081</v>
      </c>
      <c r="Z400" s="40" t="s">
        <v>910</v>
      </c>
      <c r="AA400" s="49">
        <f t="shared" si="61"/>
        <v>23782.71289392978</v>
      </c>
      <c r="AB400" s="71">
        <f t="shared" si="62"/>
        <v>0.80</v>
      </c>
      <c r="AC400" s="49">
        <f t="shared" si="63"/>
        <v>4756.54</v>
      </c>
      <c r="AD400" s="50">
        <f t="shared" si="64"/>
        <v>0</v>
      </c>
      <c r="AE400" s="50">
        <f t="shared" si="65"/>
        <v>0</v>
      </c>
      <c r="AF400" s="50">
        <f t="shared" si="66"/>
        <v>4756.54</v>
      </c>
      <c r="AG400" s="199">
        <f t="shared" si="67"/>
        <v>4756</v>
      </c>
      <c r="AH400" s="187"/>
      <c r="AI400" s="185" t="s">
        <v>1455</v>
      </c>
      <c r="AJ400" s="185"/>
      <c r="AK400" s="277">
        <f t="shared" si="60"/>
        <v>1008.17</v>
      </c>
      <c r="AL400" s="25">
        <f>(SUMIFS('T1 2019 Pipeline Data Lagasco'!$O:$O,'T1 2019 Pipeline Data Lagasco'!$A:$A,'Dec 31 2018 OFFS'!$AI400,'T1 2019 Pipeline Data Lagasco'!$Q:$Q,'Dec 31 2018 OFFS'!$AK400,'T1 2019 Pipeline Data Lagasco'!$E:$E,'Dec 31 2018 OFFS'!$U400,'T1 2019 Pipeline Data Lagasco'!$G:$G,'Dec 31 2018 OFFS'!$W400))/(MAX(COUNTIFS('T1 2019 Pipeline Data Lagasco'!$A:$A,'Dec 31 2018 OFFS'!$AI400,'T1 2019 Pipeline Data Lagasco'!$Q:$Q,'Dec 31 2018 OFFS'!$AK400,'T1 2019 Pipeline Data Lagasco'!$E:$E,'Dec 31 2018 OFFS'!$U400,'T1 2019 Pipeline Data Lagasco'!$G:$G,'Dec 31 2018 OFFS'!$W400),1))</f>
        <v>4756</v>
      </c>
      <c r="AM400" s="274">
        <f t="shared" si="68"/>
        <v>0</v>
      </c>
    </row>
    <row r="401" spans="1:39" ht="12.7">
      <c r="A401" s="288" t="s">
        <v>909</v>
      </c>
      <c r="B401" s="289" t="s">
        <v>918</v>
      </c>
      <c r="C401" s="289" t="s">
        <v>1266</v>
      </c>
      <c r="D401" s="289" t="s">
        <v>1077</v>
      </c>
      <c r="E401" s="289" t="s">
        <v>138</v>
      </c>
      <c r="F401" s="290" t="s">
        <v>1051</v>
      </c>
      <c r="G401" s="297" t="s">
        <v>602</v>
      </c>
      <c r="H401" s="292">
        <v>42</v>
      </c>
      <c r="I401" s="293">
        <v>36</v>
      </c>
      <c r="J401" s="294">
        <v>34.015</v>
      </c>
      <c r="K401" s="295">
        <v>79</v>
      </c>
      <c r="L401" s="293">
        <v>36</v>
      </c>
      <c r="M401" s="296">
        <v>7.5010000000000003</v>
      </c>
      <c r="N401" s="289" t="s">
        <v>604</v>
      </c>
      <c r="O401" s="292">
        <v>42</v>
      </c>
      <c r="P401" s="293">
        <v>35</v>
      </c>
      <c r="Q401" s="294">
        <v>52.98</v>
      </c>
      <c r="R401" s="295">
        <v>79</v>
      </c>
      <c r="S401" s="293">
        <v>36</v>
      </c>
      <c r="T401" s="296">
        <v>16.02</v>
      </c>
      <c r="U401" s="289">
        <v>3</v>
      </c>
      <c r="V401" s="184">
        <v>4203.280718168</v>
      </c>
      <c r="W401" s="298">
        <v>1985</v>
      </c>
      <c r="X401" s="289"/>
      <c r="Y401" s="52" t="s">
        <v>1081</v>
      </c>
      <c r="Z401" s="289" t="s">
        <v>910</v>
      </c>
      <c r="AA401" s="299">
        <f t="shared" si="61"/>
        <v>0</v>
      </c>
      <c r="AB401" s="300">
        <f t="shared" si="62"/>
        <v>0.80</v>
      </c>
      <c r="AC401" s="299">
        <f t="shared" si="63"/>
        <v>0</v>
      </c>
      <c r="AD401" s="301">
        <f t="shared" si="64"/>
        <v>0</v>
      </c>
      <c r="AE401" s="301">
        <f t="shared" si="65"/>
        <v>0</v>
      </c>
      <c r="AF401" s="301">
        <f t="shared" si="66"/>
        <v>0</v>
      </c>
      <c r="AG401" s="302">
        <f t="shared" si="67"/>
        <v>0</v>
      </c>
      <c r="AH401" s="303"/>
      <c r="AI401" s="186" t="s">
        <v>1455</v>
      </c>
      <c r="AJ401" s="186" t="s">
        <v>1558</v>
      </c>
      <c r="AK401" s="277">
        <f t="shared" si="60"/>
        <v>4203.28</v>
      </c>
      <c r="AL401" s="25">
        <f>(SUMIFS('T1 2019 Pipeline Data Lagasco'!$O:$O,'T1 2019 Pipeline Data Lagasco'!$A:$A,'Dec 31 2018 OFFS'!$AI401,'T1 2019 Pipeline Data Lagasco'!$Q:$Q,'Dec 31 2018 OFFS'!$AK401,'T1 2019 Pipeline Data Lagasco'!$E:$E,'Dec 31 2018 OFFS'!$U401,'T1 2019 Pipeline Data Lagasco'!$G:$G,'Dec 31 2018 OFFS'!$W401))/(MAX(COUNTIFS('T1 2019 Pipeline Data Lagasco'!$A:$A,'Dec 31 2018 OFFS'!$AI401,'T1 2019 Pipeline Data Lagasco'!$Q:$Q,'Dec 31 2018 OFFS'!$AK401,'T1 2019 Pipeline Data Lagasco'!$E:$E,'Dec 31 2018 OFFS'!$U401,'T1 2019 Pipeline Data Lagasco'!$G:$G,'Dec 31 2018 OFFS'!$W401),1))</f>
        <v>0</v>
      </c>
      <c r="AM401" s="274">
        <f t="shared" si="68"/>
        <v>0</v>
      </c>
    </row>
    <row r="402" spans="1:39" ht="12.7">
      <c r="A402" s="193" t="s">
        <v>909</v>
      </c>
      <c r="B402" s="40" t="s">
        <v>918</v>
      </c>
      <c r="C402" s="40" t="s">
        <v>1266</v>
      </c>
      <c r="D402" s="40" t="s">
        <v>1077</v>
      </c>
      <c r="E402" s="40" t="s">
        <v>138</v>
      </c>
      <c r="F402" s="40"/>
      <c r="G402" s="41" t="s">
        <v>605</v>
      </c>
      <c r="H402" s="42">
        <v>42</v>
      </c>
      <c r="I402" s="43">
        <v>39</v>
      </c>
      <c r="J402" s="44">
        <v>24</v>
      </c>
      <c r="K402" s="45">
        <v>79</v>
      </c>
      <c r="L402" s="43">
        <v>33</v>
      </c>
      <c r="M402" s="46">
        <v>34.020000000000003</v>
      </c>
      <c r="N402" s="41" t="s">
        <v>595</v>
      </c>
      <c r="O402" s="42">
        <v>42</v>
      </c>
      <c r="P402" s="43">
        <v>39</v>
      </c>
      <c r="Q402" s="44">
        <v>6</v>
      </c>
      <c r="R402" s="45">
        <v>79</v>
      </c>
      <c r="S402" s="43">
        <v>35</v>
      </c>
      <c r="T402" s="46">
        <v>49.02</v>
      </c>
      <c r="U402" s="40">
        <v>3</v>
      </c>
      <c r="V402" s="47">
        <v>10252.624374999999</v>
      </c>
      <c r="W402" s="48">
        <v>1982</v>
      </c>
      <c r="X402" s="40" t="s">
        <v>2</v>
      </c>
      <c r="Y402" s="52" t="s">
        <v>1081</v>
      </c>
      <c r="Z402" s="40" t="s">
        <v>910</v>
      </c>
      <c r="AA402" s="49">
        <f t="shared" si="61"/>
        <v>241859.40900624997</v>
      </c>
      <c r="AB402" s="71">
        <f t="shared" si="62"/>
        <v>0.80</v>
      </c>
      <c r="AC402" s="49">
        <f t="shared" si="63"/>
        <v>48371.88</v>
      </c>
      <c r="AD402" s="50">
        <f t="shared" si="64"/>
        <v>12092.97</v>
      </c>
      <c r="AE402" s="50">
        <f t="shared" si="65"/>
        <v>0</v>
      </c>
      <c r="AF402" s="50">
        <f t="shared" si="66"/>
        <v>36278.909999999996</v>
      </c>
      <c r="AG402" s="199">
        <f t="shared" si="67"/>
        <v>36278</v>
      </c>
      <c r="AH402" s="187"/>
      <c r="AI402" s="185" t="s">
        <v>1455</v>
      </c>
      <c r="AJ402" s="185"/>
      <c r="AK402" s="277">
        <f t="shared" si="60"/>
        <v>10252.620000000001</v>
      </c>
      <c r="AL402" s="25">
        <f>(SUMIFS('T1 2019 Pipeline Data Lagasco'!$O:$O,'T1 2019 Pipeline Data Lagasco'!$A:$A,'Dec 31 2018 OFFS'!$AI402,'T1 2019 Pipeline Data Lagasco'!$Q:$Q,'Dec 31 2018 OFFS'!$AK402,'T1 2019 Pipeline Data Lagasco'!$E:$E,'Dec 31 2018 OFFS'!$U402,'T1 2019 Pipeline Data Lagasco'!$G:$G,'Dec 31 2018 OFFS'!$W402))/(MAX(COUNTIFS('T1 2019 Pipeline Data Lagasco'!$A:$A,'Dec 31 2018 OFFS'!$AI402,'T1 2019 Pipeline Data Lagasco'!$Q:$Q,'Dec 31 2018 OFFS'!$AK402,'T1 2019 Pipeline Data Lagasco'!$E:$E,'Dec 31 2018 OFFS'!$U402,'T1 2019 Pipeline Data Lagasco'!$G:$G,'Dec 31 2018 OFFS'!$W402),1))</f>
        <v>36278</v>
      </c>
      <c r="AM402" s="274">
        <f t="shared" si="68"/>
        <v>0</v>
      </c>
    </row>
    <row r="403" spans="1:39" ht="12.7">
      <c r="A403" s="193" t="s">
        <v>909</v>
      </c>
      <c r="B403" s="40" t="s">
        <v>918</v>
      </c>
      <c r="C403" s="40" t="s">
        <v>1266</v>
      </c>
      <c r="D403" s="40" t="s">
        <v>1077</v>
      </c>
      <c r="E403" s="40" t="s">
        <v>138</v>
      </c>
      <c r="F403" s="40"/>
      <c r="G403" s="41" t="s">
        <v>605</v>
      </c>
      <c r="H403" s="42">
        <v>42</v>
      </c>
      <c r="I403" s="43">
        <v>39</v>
      </c>
      <c r="J403" s="44">
        <v>24</v>
      </c>
      <c r="K403" s="45">
        <v>79</v>
      </c>
      <c r="L403" s="43">
        <v>33</v>
      </c>
      <c r="M403" s="46">
        <v>34.020000000000003</v>
      </c>
      <c r="N403" s="40" t="s">
        <v>606</v>
      </c>
      <c r="O403" s="42">
        <v>42</v>
      </c>
      <c r="P403" s="43">
        <v>38</v>
      </c>
      <c r="Q403" s="44">
        <v>43.02</v>
      </c>
      <c r="R403" s="45">
        <v>79</v>
      </c>
      <c r="S403" s="43">
        <v>33</v>
      </c>
      <c r="T403" s="46">
        <v>49.98</v>
      </c>
      <c r="U403" s="40">
        <v>3</v>
      </c>
      <c r="V403" s="47">
        <v>4317.2899012180005</v>
      </c>
      <c r="W403" s="48">
        <v>1991</v>
      </c>
      <c r="X403" s="40"/>
      <c r="Y403" s="52" t="s">
        <v>1081</v>
      </c>
      <c r="Z403" s="40" t="s">
        <v>910</v>
      </c>
      <c r="AA403" s="49">
        <f t="shared" si="61"/>
        <v>101844.86876973264</v>
      </c>
      <c r="AB403" s="71">
        <f t="shared" si="62"/>
        <v>0.72</v>
      </c>
      <c r="AC403" s="49">
        <f t="shared" si="63"/>
        <v>28516.56</v>
      </c>
      <c r="AD403" s="50">
        <f t="shared" si="64"/>
        <v>0</v>
      </c>
      <c r="AE403" s="50">
        <f t="shared" si="65"/>
        <v>0</v>
      </c>
      <c r="AF403" s="50">
        <f t="shared" si="66"/>
        <v>28516.56</v>
      </c>
      <c r="AG403" s="199">
        <f t="shared" si="67"/>
        <v>28516</v>
      </c>
      <c r="AH403" s="187"/>
      <c r="AI403" s="185" t="s">
        <v>1455</v>
      </c>
      <c r="AJ403" s="185"/>
      <c r="AK403" s="277">
        <f t="shared" si="60"/>
        <v>4317.29</v>
      </c>
      <c r="AL403" s="25">
        <f>(SUMIFS('T1 2019 Pipeline Data Lagasco'!$O:$O,'T1 2019 Pipeline Data Lagasco'!$A:$A,'Dec 31 2018 OFFS'!$AI403,'T1 2019 Pipeline Data Lagasco'!$Q:$Q,'Dec 31 2018 OFFS'!$AK403,'T1 2019 Pipeline Data Lagasco'!$E:$E,'Dec 31 2018 OFFS'!$U403,'T1 2019 Pipeline Data Lagasco'!$G:$G,'Dec 31 2018 OFFS'!$W403))/(MAX(COUNTIFS('T1 2019 Pipeline Data Lagasco'!$A:$A,'Dec 31 2018 OFFS'!$AI403,'T1 2019 Pipeline Data Lagasco'!$Q:$Q,'Dec 31 2018 OFFS'!$AK403,'T1 2019 Pipeline Data Lagasco'!$E:$E,'Dec 31 2018 OFFS'!$U403,'T1 2019 Pipeline Data Lagasco'!$G:$G,'Dec 31 2018 OFFS'!$W403),1))</f>
        <v>28516</v>
      </c>
      <c r="AM403" s="274">
        <f t="shared" si="68"/>
        <v>0</v>
      </c>
    </row>
    <row r="404" spans="1:39" ht="12.7">
      <c r="A404" s="193" t="s">
        <v>909</v>
      </c>
      <c r="B404" s="40" t="s">
        <v>918</v>
      </c>
      <c r="C404" s="40" t="s">
        <v>1266</v>
      </c>
      <c r="D404" s="40" t="s">
        <v>1077</v>
      </c>
      <c r="E404" s="40" t="s">
        <v>138</v>
      </c>
      <c r="F404" s="40"/>
      <c r="G404" s="41" t="s">
        <v>605</v>
      </c>
      <c r="H404" s="42">
        <v>42</v>
      </c>
      <c r="I404" s="43">
        <v>39</v>
      </c>
      <c r="J404" s="44">
        <v>24</v>
      </c>
      <c r="K404" s="45">
        <v>79</v>
      </c>
      <c r="L404" s="43">
        <v>33</v>
      </c>
      <c r="M404" s="46">
        <v>34.020000000000003</v>
      </c>
      <c r="N404" s="40" t="s">
        <v>623</v>
      </c>
      <c r="O404" s="42">
        <v>42</v>
      </c>
      <c r="P404" s="43">
        <v>38</v>
      </c>
      <c r="Q404" s="44">
        <v>43.02</v>
      </c>
      <c r="R404" s="45">
        <v>79</v>
      </c>
      <c r="S404" s="43">
        <v>32</v>
      </c>
      <c r="T404" s="46">
        <v>45</v>
      </c>
      <c r="U404" s="40">
        <v>4</v>
      </c>
      <c r="V404" s="47">
        <v>5535.2688685700004</v>
      </c>
      <c r="W404" s="48">
        <v>1994</v>
      </c>
      <c r="X404" s="40"/>
      <c r="Y404" s="52" t="s">
        <v>1081</v>
      </c>
      <c r="Z404" s="40" t="s">
        <v>910</v>
      </c>
      <c r="AA404" s="49">
        <f t="shared" si="61"/>
        <v>146407.86157367652</v>
      </c>
      <c r="AB404" s="71">
        <f t="shared" si="62"/>
        <v>0.68</v>
      </c>
      <c r="AC404" s="49">
        <f t="shared" si="63"/>
        <v>46850.52</v>
      </c>
      <c r="AD404" s="50">
        <f t="shared" si="64"/>
        <v>0</v>
      </c>
      <c r="AE404" s="50">
        <f t="shared" si="65"/>
        <v>0</v>
      </c>
      <c r="AF404" s="50">
        <f t="shared" si="66"/>
        <v>46850.52</v>
      </c>
      <c r="AG404" s="199">
        <f t="shared" si="67"/>
        <v>46850</v>
      </c>
      <c r="AH404" s="187"/>
      <c r="AI404" s="185" t="s">
        <v>1455</v>
      </c>
      <c r="AJ404" s="185"/>
      <c r="AK404" s="277">
        <f t="shared" si="60"/>
        <v>5535.27</v>
      </c>
      <c r="AL404" s="25">
        <f>(SUMIFS('T1 2019 Pipeline Data Lagasco'!$O:$O,'T1 2019 Pipeline Data Lagasco'!$A:$A,'Dec 31 2018 OFFS'!$AI404,'T1 2019 Pipeline Data Lagasco'!$Q:$Q,'Dec 31 2018 OFFS'!$AK404,'T1 2019 Pipeline Data Lagasco'!$E:$E,'Dec 31 2018 OFFS'!$U404,'T1 2019 Pipeline Data Lagasco'!$G:$G,'Dec 31 2018 OFFS'!$W404))/(MAX(COUNTIFS('T1 2019 Pipeline Data Lagasco'!$A:$A,'Dec 31 2018 OFFS'!$AI404,'T1 2019 Pipeline Data Lagasco'!$Q:$Q,'Dec 31 2018 OFFS'!$AK404,'T1 2019 Pipeline Data Lagasco'!$E:$E,'Dec 31 2018 OFFS'!$U404,'T1 2019 Pipeline Data Lagasco'!$G:$G,'Dec 31 2018 OFFS'!$W404),1))</f>
        <v>46850</v>
      </c>
      <c r="AM404" s="274">
        <f t="shared" si="68"/>
        <v>0</v>
      </c>
    </row>
    <row r="405" spans="1:39" ht="12.7">
      <c r="A405" s="193" t="s">
        <v>909</v>
      </c>
      <c r="B405" s="40" t="s">
        <v>918</v>
      </c>
      <c r="C405" s="40" t="s">
        <v>1266</v>
      </c>
      <c r="D405" s="40" t="s">
        <v>1077</v>
      </c>
      <c r="E405" s="40" t="s">
        <v>138</v>
      </c>
      <c r="F405" s="40"/>
      <c r="G405" s="41" t="s">
        <v>623</v>
      </c>
      <c r="H405" s="42">
        <v>42</v>
      </c>
      <c r="I405" s="43">
        <v>38</v>
      </c>
      <c r="J405" s="44">
        <v>43.02</v>
      </c>
      <c r="K405" s="45">
        <v>79</v>
      </c>
      <c r="L405" s="43">
        <v>32</v>
      </c>
      <c r="M405" s="46">
        <v>45</v>
      </c>
      <c r="N405" s="40" t="s">
        <v>607</v>
      </c>
      <c r="O405" s="42">
        <v>42</v>
      </c>
      <c r="P405" s="43">
        <v>38</v>
      </c>
      <c r="Q405" s="44">
        <v>25.98</v>
      </c>
      <c r="R405" s="45">
        <v>79</v>
      </c>
      <c r="S405" s="43">
        <v>31</v>
      </c>
      <c r="T405" s="46">
        <v>49.02</v>
      </c>
      <c r="U405" s="40">
        <v>4</v>
      </c>
      <c r="V405" s="47">
        <v>4526.2465880799991</v>
      </c>
      <c r="W405" s="48">
        <v>1994</v>
      </c>
      <c r="X405" s="40"/>
      <c r="Y405" s="52" t="s">
        <v>1081</v>
      </c>
      <c r="Z405" s="40" t="s">
        <v>910</v>
      </c>
      <c r="AA405" s="49">
        <f t="shared" si="61"/>
        <v>119719.22225471598</v>
      </c>
      <c r="AB405" s="71">
        <f t="shared" si="62"/>
        <v>0.68</v>
      </c>
      <c r="AC405" s="49">
        <f t="shared" si="63"/>
        <v>38310.15</v>
      </c>
      <c r="AD405" s="50">
        <f t="shared" si="64"/>
        <v>0</v>
      </c>
      <c r="AE405" s="50">
        <f t="shared" si="65"/>
        <v>0</v>
      </c>
      <c r="AF405" s="50">
        <f t="shared" si="66"/>
        <v>38310.15</v>
      </c>
      <c r="AG405" s="199">
        <f t="shared" si="67"/>
        <v>38310</v>
      </c>
      <c r="AH405" s="187"/>
      <c r="AI405" s="185" t="s">
        <v>1455</v>
      </c>
      <c r="AJ405" s="185"/>
      <c r="AK405" s="277">
        <f t="shared" si="60"/>
        <v>4526.25</v>
      </c>
      <c r="AL405" s="25">
        <f>(SUMIFS('T1 2019 Pipeline Data Lagasco'!$O:$O,'T1 2019 Pipeline Data Lagasco'!$A:$A,'Dec 31 2018 OFFS'!$AI405,'T1 2019 Pipeline Data Lagasco'!$Q:$Q,'Dec 31 2018 OFFS'!$AK405,'T1 2019 Pipeline Data Lagasco'!$E:$E,'Dec 31 2018 OFFS'!$U405,'T1 2019 Pipeline Data Lagasco'!$G:$G,'Dec 31 2018 OFFS'!$W405))/(MAX(COUNTIFS('T1 2019 Pipeline Data Lagasco'!$A:$A,'Dec 31 2018 OFFS'!$AI405,'T1 2019 Pipeline Data Lagasco'!$Q:$Q,'Dec 31 2018 OFFS'!$AK405,'T1 2019 Pipeline Data Lagasco'!$E:$E,'Dec 31 2018 OFFS'!$U405,'T1 2019 Pipeline Data Lagasco'!$G:$G,'Dec 31 2018 OFFS'!$W405),1))</f>
        <v>38310</v>
      </c>
      <c r="AM405" s="274">
        <f t="shared" si="68"/>
        <v>0</v>
      </c>
    </row>
    <row r="406" spans="1:39" ht="12.7">
      <c r="A406" s="193" t="s">
        <v>909</v>
      </c>
      <c r="B406" s="40" t="s">
        <v>918</v>
      </c>
      <c r="C406" s="40" t="s">
        <v>1266</v>
      </c>
      <c r="D406" s="40" t="s">
        <v>1077</v>
      </c>
      <c r="E406" s="40" t="s">
        <v>138</v>
      </c>
      <c r="F406" s="40"/>
      <c r="G406" s="41" t="s">
        <v>607</v>
      </c>
      <c r="H406" s="42">
        <v>42</v>
      </c>
      <c r="I406" s="43">
        <v>38</v>
      </c>
      <c r="J406" s="44">
        <v>25.98</v>
      </c>
      <c r="K406" s="45">
        <v>79</v>
      </c>
      <c r="L406" s="43">
        <v>31</v>
      </c>
      <c r="M406" s="46">
        <v>49.02</v>
      </c>
      <c r="N406" s="40" t="s">
        <v>608</v>
      </c>
      <c r="O406" s="42">
        <v>42</v>
      </c>
      <c r="P406" s="43">
        <v>37</v>
      </c>
      <c r="Q406" s="44">
        <v>49.02</v>
      </c>
      <c r="R406" s="45">
        <v>79</v>
      </c>
      <c r="S406" s="43">
        <v>32</v>
      </c>
      <c r="T406" s="46">
        <v>16.02</v>
      </c>
      <c r="U406" s="40">
        <v>3</v>
      </c>
      <c r="V406" s="47">
        <v>4251.8699556060001</v>
      </c>
      <c r="W406" s="48">
        <v>1994</v>
      </c>
      <c r="X406" s="40"/>
      <c r="Y406" s="52" t="s">
        <v>1081</v>
      </c>
      <c r="Z406" s="40" t="s">
        <v>910</v>
      </c>
      <c r="AA406" s="49">
        <f t="shared" si="61"/>
        <v>100301.61225274554</v>
      </c>
      <c r="AB406" s="71">
        <f t="shared" si="62"/>
        <v>0.68</v>
      </c>
      <c r="AC406" s="49">
        <f t="shared" si="63"/>
        <v>32096.52</v>
      </c>
      <c r="AD406" s="50">
        <f t="shared" si="64"/>
        <v>0</v>
      </c>
      <c r="AE406" s="50">
        <f t="shared" si="65"/>
        <v>0</v>
      </c>
      <c r="AF406" s="50">
        <f t="shared" si="66"/>
        <v>32096.52</v>
      </c>
      <c r="AG406" s="199">
        <f t="shared" si="67"/>
        <v>32096</v>
      </c>
      <c r="AH406" s="187"/>
      <c r="AI406" s="185" t="s">
        <v>1455</v>
      </c>
      <c r="AJ406" s="185"/>
      <c r="AK406" s="277">
        <f t="shared" si="60"/>
        <v>4251.87</v>
      </c>
      <c r="AL406" s="25">
        <f>(SUMIFS('T1 2019 Pipeline Data Lagasco'!$O:$O,'T1 2019 Pipeline Data Lagasco'!$A:$A,'Dec 31 2018 OFFS'!$AI406,'T1 2019 Pipeline Data Lagasco'!$Q:$Q,'Dec 31 2018 OFFS'!$AK406,'T1 2019 Pipeline Data Lagasco'!$E:$E,'Dec 31 2018 OFFS'!$U406,'T1 2019 Pipeline Data Lagasco'!$G:$G,'Dec 31 2018 OFFS'!$W406))/(MAX(COUNTIFS('T1 2019 Pipeline Data Lagasco'!$A:$A,'Dec 31 2018 OFFS'!$AI406,'T1 2019 Pipeline Data Lagasco'!$Q:$Q,'Dec 31 2018 OFFS'!$AK406,'T1 2019 Pipeline Data Lagasco'!$E:$E,'Dec 31 2018 OFFS'!$U406,'T1 2019 Pipeline Data Lagasco'!$G:$G,'Dec 31 2018 OFFS'!$W406),1))</f>
        <v>32096</v>
      </c>
      <c r="AM406" s="274">
        <f t="shared" si="68"/>
        <v>0</v>
      </c>
    </row>
    <row r="407" spans="1:39" ht="12.7">
      <c r="A407" s="193" t="s">
        <v>909</v>
      </c>
      <c r="B407" s="40" t="s">
        <v>918</v>
      </c>
      <c r="C407" s="40" t="s">
        <v>1266</v>
      </c>
      <c r="D407" s="40" t="s">
        <v>1077</v>
      </c>
      <c r="E407" s="40" t="s">
        <v>138</v>
      </c>
      <c r="F407" s="40"/>
      <c r="G407" s="41" t="s">
        <v>607</v>
      </c>
      <c r="H407" s="42">
        <v>42</v>
      </c>
      <c r="I407" s="43">
        <v>38</v>
      </c>
      <c r="J407" s="44">
        <v>25.98</v>
      </c>
      <c r="K407" s="45">
        <v>79</v>
      </c>
      <c r="L407" s="43">
        <v>31</v>
      </c>
      <c r="M407" s="46">
        <v>49.02</v>
      </c>
      <c r="N407" s="40" t="s">
        <v>1315</v>
      </c>
      <c r="O407" s="42">
        <v>42</v>
      </c>
      <c r="P407" s="43">
        <v>38</v>
      </c>
      <c r="Q407" s="44">
        <v>18</v>
      </c>
      <c r="R407" s="45">
        <v>79</v>
      </c>
      <c r="S407" s="43">
        <v>30</v>
      </c>
      <c r="T407" s="46">
        <v>43.98</v>
      </c>
      <c r="U407" s="40">
        <v>4</v>
      </c>
      <c r="V407" s="47">
        <v>4928.7400147439994</v>
      </c>
      <c r="W407" s="48">
        <v>1994</v>
      </c>
      <c r="X407" s="40"/>
      <c r="Y407" s="52" t="s">
        <v>1081</v>
      </c>
      <c r="Z407" s="40" t="s">
        <v>910</v>
      </c>
      <c r="AA407" s="49">
        <f t="shared" si="61"/>
        <v>130365.17338997878</v>
      </c>
      <c r="AB407" s="71">
        <f t="shared" si="62"/>
        <v>0.68</v>
      </c>
      <c r="AC407" s="49">
        <f t="shared" si="63"/>
        <v>41716.86</v>
      </c>
      <c r="AD407" s="50">
        <f t="shared" si="64"/>
        <v>0</v>
      </c>
      <c r="AE407" s="50">
        <f t="shared" si="65"/>
        <v>0</v>
      </c>
      <c r="AF407" s="50">
        <f t="shared" si="66"/>
        <v>41716.86</v>
      </c>
      <c r="AG407" s="199">
        <f t="shared" si="67"/>
        <v>41716</v>
      </c>
      <c r="AH407" s="187"/>
      <c r="AI407" s="185" t="s">
        <v>1455</v>
      </c>
      <c r="AJ407" s="185"/>
      <c r="AK407" s="277">
        <f t="shared" si="60"/>
        <v>4928.74</v>
      </c>
      <c r="AL407" s="25">
        <f>(SUMIFS('T1 2019 Pipeline Data Lagasco'!$O:$O,'T1 2019 Pipeline Data Lagasco'!$A:$A,'Dec 31 2018 OFFS'!$AI407,'T1 2019 Pipeline Data Lagasco'!$Q:$Q,'Dec 31 2018 OFFS'!$AK407,'T1 2019 Pipeline Data Lagasco'!$E:$E,'Dec 31 2018 OFFS'!$U407,'T1 2019 Pipeline Data Lagasco'!$G:$G,'Dec 31 2018 OFFS'!$W407))/(MAX(COUNTIFS('T1 2019 Pipeline Data Lagasco'!$A:$A,'Dec 31 2018 OFFS'!$AI407,'T1 2019 Pipeline Data Lagasco'!$Q:$Q,'Dec 31 2018 OFFS'!$AK407,'T1 2019 Pipeline Data Lagasco'!$E:$E,'Dec 31 2018 OFFS'!$U407,'T1 2019 Pipeline Data Lagasco'!$G:$G,'Dec 31 2018 OFFS'!$W407),1))</f>
        <v>41716</v>
      </c>
      <c r="AM407" s="274">
        <f t="shared" si="68"/>
        <v>0</v>
      </c>
    </row>
    <row r="408" spans="1:39" ht="12.7">
      <c r="A408" s="193" t="s">
        <v>909</v>
      </c>
      <c r="B408" s="40" t="s">
        <v>918</v>
      </c>
      <c r="C408" s="40" t="s">
        <v>1266</v>
      </c>
      <c r="D408" s="40" t="s">
        <v>1077</v>
      </c>
      <c r="E408" s="40" t="s">
        <v>138</v>
      </c>
      <c r="F408" s="40"/>
      <c r="G408" s="41" t="s">
        <v>1315</v>
      </c>
      <c r="H408" s="42">
        <v>42</v>
      </c>
      <c r="I408" s="43">
        <v>38</v>
      </c>
      <c r="J408" s="44">
        <v>18</v>
      </c>
      <c r="K408" s="45">
        <v>79</v>
      </c>
      <c r="L408" s="43">
        <v>30</v>
      </c>
      <c r="M408" s="46">
        <v>43.98</v>
      </c>
      <c r="N408" s="40" t="s">
        <v>609</v>
      </c>
      <c r="O408" s="42">
        <v>42</v>
      </c>
      <c r="P408" s="43">
        <v>38</v>
      </c>
      <c r="Q408" s="44">
        <v>18</v>
      </c>
      <c r="R408" s="45">
        <v>79</v>
      </c>
      <c r="S408" s="43">
        <v>29</v>
      </c>
      <c r="T408" s="46">
        <v>43.98</v>
      </c>
      <c r="U408" s="40">
        <v>3</v>
      </c>
      <c r="V408" s="47">
        <v>4485.4001325700001</v>
      </c>
      <c r="W408" s="48">
        <v>1991</v>
      </c>
      <c r="X408" s="40"/>
      <c r="Y408" s="52" t="s">
        <v>1081</v>
      </c>
      <c r="Z408" s="40" t="s">
        <v>910</v>
      </c>
      <c r="AA408" s="49">
        <f t="shared" si="61"/>
        <v>105810.5891273263</v>
      </c>
      <c r="AB408" s="71">
        <f t="shared" si="62"/>
        <v>0.72</v>
      </c>
      <c r="AC408" s="49">
        <f t="shared" si="63"/>
        <v>29626.96</v>
      </c>
      <c r="AD408" s="50">
        <f t="shared" si="64"/>
        <v>0</v>
      </c>
      <c r="AE408" s="50">
        <f t="shared" si="65"/>
        <v>0</v>
      </c>
      <c r="AF408" s="50">
        <f t="shared" si="66"/>
        <v>29626.96</v>
      </c>
      <c r="AG408" s="199">
        <f t="shared" si="67"/>
        <v>29626</v>
      </c>
      <c r="AH408" s="187"/>
      <c r="AI408" s="185" t="s">
        <v>1455</v>
      </c>
      <c r="AJ408" s="185"/>
      <c r="AK408" s="277">
        <f t="shared" si="60"/>
        <v>4485.3999999999996</v>
      </c>
      <c r="AL408" s="25">
        <f>(SUMIFS('T1 2019 Pipeline Data Lagasco'!$O:$O,'T1 2019 Pipeline Data Lagasco'!$A:$A,'Dec 31 2018 OFFS'!$AI408,'T1 2019 Pipeline Data Lagasco'!$Q:$Q,'Dec 31 2018 OFFS'!$AK408,'T1 2019 Pipeline Data Lagasco'!$E:$E,'Dec 31 2018 OFFS'!$U408,'T1 2019 Pipeline Data Lagasco'!$G:$G,'Dec 31 2018 OFFS'!$W408))/(MAX(COUNTIFS('T1 2019 Pipeline Data Lagasco'!$A:$A,'Dec 31 2018 OFFS'!$AI408,'T1 2019 Pipeline Data Lagasco'!$Q:$Q,'Dec 31 2018 OFFS'!$AK408,'T1 2019 Pipeline Data Lagasco'!$E:$E,'Dec 31 2018 OFFS'!$U408,'T1 2019 Pipeline Data Lagasco'!$G:$G,'Dec 31 2018 OFFS'!$W408),1))</f>
        <v>29626</v>
      </c>
      <c r="AM408" s="274">
        <f t="shared" si="68"/>
        <v>0</v>
      </c>
    </row>
    <row r="409" spans="1:39" ht="12.7">
      <c r="A409" s="193" t="s">
        <v>909</v>
      </c>
      <c r="B409" s="40" t="s">
        <v>918</v>
      </c>
      <c r="C409" s="40" t="s">
        <v>1266</v>
      </c>
      <c r="D409" s="40" t="s">
        <v>1077</v>
      </c>
      <c r="E409" s="40" t="s">
        <v>138</v>
      </c>
      <c r="F409" s="40"/>
      <c r="G409" s="41" t="s">
        <v>1315</v>
      </c>
      <c r="H409" s="42">
        <v>42</v>
      </c>
      <c r="I409" s="43">
        <v>38</v>
      </c>
      <c r="J409" s="44">
        <v>18</v>
      </c>
      <c r="K409" s="45">
        <v>79</v>
      </c>
      <c r="L409" s="43">
        <v>30</v>
      </c>
      <c r="M409" s="46">
        <v>43.98</v>
      </c>
      <c r="N409" s="41" t="s">
        <v>624</v>
      </c>
      <c r="O409" s="42">
        <v>42</v>
      </c>
      <c r="P409" s="43">
        <v>39</v>
      </c>
      <c r="Q409" s="44">
        <v>5.16</v>
      </c>
      <c r="R409" s="45">
        <v>79</v>
      </c>
      <c r="S409" s="43">
        <v>29</v>
      </c>
      <c r="T409" s="46">
        <v>49.50</v>
      </c>
      <c r="U409" s="40">
        <v>4</v>
      </c>
      <c r="V409" s="47">
        <v>6275.6887946339994</v>
      </c>
      <c r="W409" s="48">
        <v>1997</v>
      </c>
      <c r="X409" s="40"/>
      <c r="Y409" s="52" t="s">
        <v>1081</v>
      </c>
      <c r="Z409" s="40" t="s">
        <v>910</v>
      </c>
      <c r="AA409" s="49">
        <f t="shared" si="61"/>
        <v>165991.96861806928</v>
      </c>
      <c r="AB409" s="71">
        <f t="shared" si="62"/>
        <v>0.65</v>
      </c>
      <c r="AC409" s="49">
        <f t="shared" si="63"/>
        <v>58097.19</v>
      </c>
      <c r="AD409" s="50">
        <f t="shared" si="64"/>
        <v>0</v>
      </c>
      <c r="AE409" s="50">
        <f t="shared" si="65"/>
        <v>0</v>
      </c>
      <c r="AF409" s="50">
        <f t="shared" si="66"/>
        <v>58097.19</v>
      </c>
      <c r="AG409" s="199">
        <f t="shared" si="67"/>
        <v>58097</v>
      </c>
      <c r="AH409" s="187"/>
      <c r="AI409" s="185" t="s">
        <v>1455</v>
      </c>
      <c r="AJ409" s="185"/>
      <c r="AK409" s="277">
        <f t="shared" si="60"/>
        <v>6275.69</v>
      </c>
      <c r="AL409" s="25">
        <f>(SUMIFS('T1 2019 Pipeline Data Lagasco'!$O:$O,'T1 2019 Pipeline Data Lagasco'!$A:$A,'Dec 31 2018 OFFS'!$AI409,'T1 2019 Pipeline Data Lagasco'!$Q:$Q,'Dec 31 2018 OFFS'!$AK409,'T1 2019 Pipeline Data Lagasco'!$E:$E,'Dec 31 2018 OFFS'!$U409,'T1 2019 Pipeline Data Lagasco'!$G:$G,'Dec 31 2018 OFFS'!$W409))/(MAX(COUNTIFS('T1 2019 Pipeline Data Lagasco'!$A:$A,'Dec 31 2018 OFFS'!$AI409,'T1 2019 Pipeline Data Lagasco'!$Q:$Q,'Dec 31 2018 OFFS'!$AK409,'T1 2019 Pipeline Data Lagasco'!$E:$E,'Dec 31 2018 OFFS'!$U409,'T1 2019 Pipeline Data Lagasco'!$G:$G,'Dec 31 2018 OFFS'!$W409),1))</f>
        <v>58097</v>
      </c>
      <c r="AM409" s="274">
        <f t="shared" si="68"/>
        <v>0</v>
      </c>
    </row>
    <row r="410" spans="1:39" ht="12.7">
      <c r="A410" s="193" t="s">
        <v>909</v>
      </c>
      <c r="B410" s="40" t="s">
        <v>918</v>
      </c>
      <c r="C410" s="40" t="s">
        <v>1266</v>
      </c>
      <c r="D410" s="40" t="s">
        <v>1077</v>
      </c>
      <c r="E410" s="40" t="s">
        <v>138</v>
      </c>
      <c r="F410" s="40" t="s">
        <v>1051</v>
      </c>
      <c r="G410" s="41" t="s">
        <v>608</v>
      </c>
      <c r="H410" s="42">
        <v>42</v>
      </c>
      <c r="I410" s="43">
        <v>37</v>
      </c>
      <c r="J410" s="44">
        <v>49.02</v>
      </c>
      <c r="K410" s="45">
        <v>79</v>
      </c>
      <c r="L410" s="43">
        <v>32</v>
      </c>
      <c r="M410" s="46">
        <v>16.02</v>
      </c>
      <c r="N410" s="41" t="s">
        <v>610</v>
      </c>
      <c r="O410" s="42">
        <v>42</v>
      </c>
      <c r="P410" s="43">
        <v>37</v>
      </c>
      <c r="Q410" s="44">
        <v>49.98</v>
      </c>
      <c r="R410" s="45">
        <v>79</v>
      </c>
      <c r="S410" s="43">
        <v>33</v>
      </c>
      <c r="T410" s="46">
        <v>13.02</v>
      </c>
      <c r="U410" s="40">
        <v>3</v>
      </c>
      <c r="V410" s="47">
        <v>4262.70</v>
      </c>
      <c r="W410" s="48">
        <v>1991</v>
      </c>
      <c r="X410" s="40"/>
      <c r="Y410" s="52" t="s">
        <v>1081</v>
      </c>
      <c r="Z410" s="40" t="s">
        <v>910</v>
      </c>
      <c r="AA410" s="49">
        <f t="shared" si="61"/>
        <v>0</v>
      </c>
      <c r="AB410" s="71">
        <f t="shared" si="62"/>
        <v>0.72</v>
      </c>
      <c r="AC410" s="49">
        <f t="shared" si="63"/>
        <v>0</v>
      </c>
      <c r="AD410" s="50">
        <f t="shared" si="64"/>
        <v>0</v>
      </c>
      <c r="AE410" s="50">
        <f t="shared" si="65"/>
        <v>0</v>
      </c>
      <c r="AF410" s="50">
        <f t="shared" si="66"/>
        <v>0</v>
      </c>
      <c r="AG410" s="199">
        <f t="shared" si="67"/>
        <v>0</v>
      </c>
      <c r="AH410" s="187"/>
      <c r="AI410" s="185" t="s">
        <v>1455</v>
      </c>
      <c r="AJ410" s="185"/>
      <c r="AK410" s="277">
        <f t="shared" si="60"/>
        <v>4262.70</v>
      </c>
      <c r="AL410" s="25">
        <f>(SUMIFS('T1 2019 Pipeline Data Lagasco'!$O:$O,'T1 2019 Pipeline Data Lagasco'!$A:$A,'Dec 31 2018 OFFS'!$AI410,'T1 2019 Pipeline Data Lagasco'!$Q:$Q,'Dec 31 2018 OFFS'!$AK410,'T1 2019 Pipeline Data Lagasco'!$E:$E,'Dec 31 2018 OFFS'!$U410,'T1 2019 Pipeline Data Lagasco'!$G:$G,'Dec 31 2018 OFFS'!$W410))/(MAX(COUNTIFS('T1 2019 Pipeline Data Lagasco'!$A:$A,'Dec 31 2018 OFFS'!$AI410,'T1 2019 Pipeline Data Lagasco'!$Q:$Q,'Dec 31 2018 OFFS'!$AK410,'T1 2019 Pipeline Data Lagasco'!$E:$E,'Dec 31 2018 OFFS'!$U410,'T1 2019 Pipeline Data Lagasco'!$G:$G,'Dec 31 2018 OFFS'!$W410),1))</f>
        <v>0</v>
      </c>
      <c r="AM410" s="274">
        <f t="shared" si="68"/>
        <v>0</v>
      </c>
    </row>
    <row r="411" spans="1:39" ht="12.7">
      <c r="A411" s="193" t="s">
        <v>909</v>
      </c>
      <c r="B411" s="40" t="s">
        <v>918</v>
      </c>
      <c r="C411" s="40" t="s">
        <v>1266</v>
      </c>
      <c r="D411" s="40" t="s">
        <v>1077</v>
      </c>
      <c r="E411" s="40" t="s">
        <v>138</v>
      </c>
      <c r="F411" s="40"/>
      <c r="G411" s="41" t="s">
        <v>608</v>
      </c>
      <c r="H411" s="42">
        <v>42</v>
      </c>
      <c r="I411" s="43">
        <v>37</v>
      </c>
      <c r="J411" s="44">
        <v>49.02</v>
      </c>
      <c r="K411" s="45">
        <v>79</v>
      </c>
      <c r="L411" s="43">
        <v>32</v>
      </c>
      <c r="M411" s="46">
        <v>16.02</v>
      </c>
      <c r="N411" s="41" t="s">
        <v>610</v>
      </c>
      <c r="O411" s="42">
        <v>42</v>
      </c>
      <c r="P411" s="43">
        <v>37</v>
      </c>
      <c r="Q411" s="44">
        <v>49.98</v>
      </c>
      <c r="R411" s="45">
        <v>79</v>
      </c>
      <c r="S411" s="43">
        <v>33</v>
      </c>
      <c r="T411" s="46">
        <v>13.02</v>
      </c>
      <c r="U411" s="40">
        <v>3</v>
      </c>
      <c r="V411" s="47">
        <v>4250</v>
      </c>
      <c r="W411" s="48">
        <v>2008</v>
      </c>
      <c r="X411" s="40"/>
      <c r="Y411" s="52" t="s">
        <v>1081</v>
      </c>
      <c r="Z411" s="40" t="s">
        <v>910</v>
      </c>
      <c r="AA411" s="49">
        <f t="shared" si="61"/>
        <v>100257.50</v>
      </c>
      <c r="AB411" s="71">
        <f t="shared" si="62"/>
        <v>0.49</v>
      </c>
      <c r="AC411" s="49">
        <f t="shared" si="63"/>
        <v>51131.33</v>
      </c>
      <c r="AD411" s="50">
        <f t="shared" si="64"/>
        <v>0</v>
      </c>
      <c r="AE411" s="50">
        <f t="shared" si="65"/>
        <v>0</v>
      </c>
      <c r="AF411" s="50">
        <f t="shared" si="66"/>
        <v>51131.33</v>
      </c>
      <c r="AG411" s="199">
        <f t="shared" si="67"/>
        <v>51131</v>
      </c>
      <c r="AH411" s="187"/>
      <c r="AI411" s="185" t="s">
        <v>1455</v>
      </c>
      <c r="AJ411" s="185"/>
      <c r="AK411" s="277">
        <f t="shared" si="60"/>
        <v>4250</v>
      </c>
      <c r="AL411" s="25">
        <f>(SUMIFS('T1 2019 Pipeline Data Lagasco'!$O:$O,'T1 2019 Pipeline Data Lagasco'!$A:$A,'Dec 31 2018 OFFS'!$AI411,'T1 2019 Pipeline Data Lagasco'!$Q:$Q,'Dec 31 2018 OFFS'!$AK411,'T1 2019 Pipeline Data Lagasco'!$E:$E,'Dec 31 2018 OFFS'!$U411,'T1 2019 Pipeline Data Lagasco'!$G:$G,'Dec 31 2018 OFFS'!$W411))/(MAX(COUNTIFS('T1 2019 Pipeline Data Lagasco'!$A:$A,'Dec 31 2018 OFFS'!$AI411,'T1 2019 Pipeline Data Lagasco'!$Q:$Q,'Dec 31 2018 OFFS'!$AK411,'T1 2019 Pipeline Data Lagasco'!$E:$E,'Dec 31 2018 OFFS'!$U411,'T1 2019 Pipeline Data Lagasco'!$G:$G,'Dec 31 2018 OFFS'!$W411),1))</f>
        <v>51131</v>
      </c>
      <c r="AM411" s="274">
        <f t="shared" si="68"/>
        <v>0</v>
      </c>
    </row>
    <row r="412" spans="1:39" ht="12.7">
      <c r="A412" s="193" t="s">
        <v>909</v>
      </c>
      <c r="B412" s="40" t="s">
        <v>918</v>
      </c>
      <c r="C412" s="40" t="s">
        <v>1266</v>
      </c>
      <c r="D412" s="40" t="s">
        <v>1077</v>
      </c>
      <c r="E412" s="40" t="s">
        <v>138</v>
      </c>
      <c r="F412" s="40"/>
      <c r="G412" s="41" t="s">
        <v>611</v>
      </c>
      <c r="H412" s="42">
        <v>42</v>
      </c>
      <c r="I412" s="43">
        <v>39</v>
      </c>
      <c r="J412" s="44">
        <v>34.973999999999997</v>
      </c>
      <c r="K412" s="45">
        <v>79</v>
      </c>
      <c r="L412" s="43">
        <v>28</v>
      </c>
      <c r="M412" s="46">
        <v>50.106000000000002</v>
      </c>
      <c r="N412" s="41" t="s">
        <v>612</v>
      </c>
      <c r="O412" s="42">
        <v>42</v>
      </c>
      <c r="P412" s="43">
        <v>39</v>
      </c>
      <c r="Q412" s="44">
        <v>45.12</v>
      </c>
      <c r="R412" s="45">
        <v>79</v>
      </c>
      <c r="S412" s="43">
        <v>27</v>
      </c>
      <c r="T412" s="46">
        <v>44.88</v>
      </c>
      <c r="U412" s="40">
        <v>3</v>
      </c>
      <c r="V412" s="47">
        <v>4981.3974935339993</v>
      </c>
      <c r="W412" s="48">
        <v>1965</v>
      </c>
      <c r="X412" s="40"/>
      <c r="Y412" s="52" t="s">
        <v>1081</v>
      </c>
      <c r="Z412" s="40" t="s">
        <v>910</v>
      </c>
      <c r="AA412" s="49">
        <f t="shared" si="61"/>
        <v>117511.16687246705</v>
      </c>
      <c r="AB412" s="71">
        <f t="shared" si="62"/>
        <v>0.80</v>
      </c>
      <c r="AC412" s="49">
        <f t="shared" si="63"/>
        <v>23502.23</v>
      </c>
      <c r="AD412" s="50">
        <f t="shared" si="64"/>
        <v>0</v>
      </c>
      <c r="AE412" s="50">
        <f t="shared" si="65"/>
        <v>0</v>
      </c>
      <c r="AF412" s="50">
        <f t="shared" si="66"/>
        <v>23502.23</v>
      </c>
      <c r="AG412" s="199">
        <f t="shared" si="67"/>
        <v>23502</v>
      </c>
      <c r="AH412" s="187"/>
      <c r="AI412" s="185" t="s">
        <v>1455</v>
      </c>
      <c r="AJ412" s="185"/>
      <c r="AK412" s="277">
        <f t="shared" si="60"/>
        <v>4981.3999999999996</v>
      </c>
      <c r="AL412" s="25">
        <f>(SUMIFS('T1 2019 Pipeline Data Lagasco'!$O:$O,'T1 2019 Pipeline Data Lagasco'!$A:$A,'Dec 31 2018 OFFS'!$AI412,'T1 2019 Pipeline Data Lagasco'!$Q:$Q,'Dec 31 2018 OFFS'!$AK412,'T1 2019 Pipeline Data Lagasco'!$E:$E,'Dec 31 2018 OFFS'!$U412,'T1 2019 Pipeline Data Lagasco'!$G:$G,'Dec 31 2018 OFFS'!$W412))/(MAX(COUNTIFS('T1 2019 Pipeline Data Lagasco'!$A:$A,'Dec 31 2018 OFFS'!$AI412,'T1 2019 Pipeline Data Lagasco'!$Q:$Q,'Dec 31 2018 OFFS'!$AK412,'T1 2019 Pipeline Data Lagasco'!$E:$E,'Dec 31 2018 OFFS'!$U412,'T1 2019 Pipeline Data Lagasco'!$G:$G,'Dec 31 2018 OFFS'!$W412),1))</f>
        <v>23502</v>
      </c>
      <c r="AM412" s="274">
        <f t="shared" si="68"/>
        <v>0</v>
      </c>
    </row>
    <row r="413" spans="1:39" ht="12.7">
      <c r="A413" s="193" t="s">
        <v>909</v>
      </c>
      <c r="B413" s="40" t="s">
        <v>918</v>
      </c>
      <c r="C413" s="40" t="s">
        <v>1266</v>
      </c>
      <c r="D413" s="40" t="s">
        <v>1077</v>
      </c>
      <c r="E413" s="40" t="s">
        <v>138</v>
      </c>
      <c r="F413" s="40"/>
      <c r="G413" s="41" t="s">
        <v>613</v>
      </c>
      <c r="H413" s="42">
        <v>42</v>
      </c>
      <c r="I413" s="43">
        <v>39</v>
      </c>
      <c r="J413" s="44">
        <v>25.98</v>
      </c>
      <c r="K413" s="45">
        <v>79</v>
      </c>
      <c r="L413" s="43">
        <v>29</v>
      </c>
      <c r="M413" s="46">
        <v>48</v>
      </c>
      <c r="N413" s="40" t="s">
        <v>611</v>
      </c>
      <c r="O413" s="42">
        <v>42</v>
      </c>
      <c r="P413" s="43">
        <v>39</v>
      </c>
      <c r="Q413" s="44">
        <v>34.973999999999997</v>
      </c>
      <c r="R413" s="45">
        <v>79</v>
      </c>
      <c r="S413" s="43">
        <v>28</v>
      </c>
      <c r="T413" s="46">
        <v>50.106000000000002</v>
      </c>
      <c r="U413" s="40">
        <v>3</v>
      </c>
      <c r="V413" s="47">
        <v>4421.3581396740001</v>
      </c>
      <c r="W413" s="48">
        <v>1965</v>
      </c>
      <c r="X413" s="40"/>
      <c r="Y413" s="52" t="s">
        <v>1081</v>
      </c>
      <c r="Z413" s="40" t="s">
        <v>910</v>
      </c>
      <c r="AA413" s="49">
        <f t="shared" si="61"/>
        <v>104299.83851490966</v>
      </c>
      <c r="AB413" s="71">
        <f t="shared" si="62"/>
        <v>0.80</v>
      </c>
      <c r="AC413" s="49">
        <f t="shared" si="63"/>
        <v>20859.97</v>
      </c>
      <c r="AD413" s="50">
        <f t="shared" si="64"/>
        <v>0</v>
      </c>
      <c r="AE413" s="50">
        <f t="shared" si="65"/>
        <v>0</v>
      </c>
      <c r="AF413" s="50">
        <f t="shared" si="66"/>
        <v>20859.97</v>
      </c>
      <c r="AG413" s="199">
        <f t="shared" si="67"/>
        <v>20859</v>
      </c>
      <c r="AH413" s="187"/>
      <c r="AI413" s="185" t="s">
        <v>1455</v>
      </c>
      <c r="AJ413" s="185"/>
      <c r="AK413" s="277">
        <f t="shared" si="60"/>
        <v>4421.3599999999997</v>
      </c>
      <c r="AL413" s="25">
        <f>(SUMIFS('T1 2019 Pipeline Data Lagasco'!$O:$O,'T1 2019 Pipeline Data Lagasco'!$A:$A,'Dec 31 2018 OFFS'!$AI413,'T1 2019 Pipeline Data Lagasco'!$Q:$Q,'Dec 31 2018 OFFS'!$AK413,'T1 2019 Pipeline Data Lagasco'!$E:$E,'Dec 31 2018 OFFS'!$U413,'T1 2019 Pipeline Data Lagasco'!$G:$G,'Dec 31 2018 OFFS'!$W413))/(MAX(COUNTIFS('T1 2019 Pipeline Data Lagasco'!$A:$A,'Dec 31 2018 OFFS'!$AI413,'T1 2019 Pipeline Data Lagasco'!$Q:$Q,'Dec 31 2018 OFFS'!$AK413,'T1 2019 Pipeline Data Lagasco'!$E:$E,'Dec 31 2018 OFFS'!$U413,'T1 2019 Pipeline Data Lagasco'!$G:$G,'Dec 31 2018 OFFS'!$W413),1))</f>
        <v>20859</v>
      </c>
      <c r="AM413" s="274">
        <f t="shared" si="68"/>
        <v>0</v>
      </c>
    </row>
    <row r="414" spans="1:39" ht="12.7">
      <c r="A414" s="193" t="s">
        <v>909</v>
      </c>
      <c r="B414" s="40" t="s">
        <v>918</v>
      </c>
      <c r="C414" s="40" t="s">
        <v>1266</v>
      </c>
      <c r="D414" s="40" t="s">
        <v>1077</v>
      </c>
      <c r="E414" s="40" t="s">
        <v>138</v>
      </c>
      <c r="F414" s="40" t="s">
        <v>1051</v>
      </c>
      <c r="G414" s="41" t="s">
        <v>613</v>
      </c>
      <c r="H414" s="42">
        <v>42</v>
      </c>
      <c r="I414" s="43">
        <v>39</v>
      </c>
      <c r="J414" s="44">
        <v>25.98</v>
      </c>
      <c r="K414" s="45">
        <v>79</v>
      </c>
      <c r="L414" s="43">
        <v>29</v>
      </c>
      <c r="M414" s="46">
        <v>48</v>
      </c>
      <c r="N414" s="41" t="s">
        <v>1309</v>
      </c>
      <c r="O414" s="42">
        <v>42</v>
      </c>
      <c r="P414" s="43">
        <v>39</v>
      </c>
      <c r="Q414" s="44">
        <v>34.973999999999997</v>
      </c>
      <c r="R414" s="45">
        <v>79</v>
      </c>
      <c r="S414" s="43">
        <v>28</v>
      </c>
      <c r="T414" s="46">
        <v>50.106000000000002</v>
      </c>
      <c r="U414" s="40">
        <v>3</v>
      </c>
      <c r="V414" s="47">
        <v>1078</v>
      </c>
      <c r="W414" s="48">
        <v>2008</v>
      </c>
      <c r="X414" s="40"/>
      <c r="Y414" s="52" t="s">
        <v>1081</v>
      </c>
      <c r="Z414" s="40" t="s">
        <v>910</v>
      </c>
      <c r="AA414" s="49">
        <f t="shared" si="61"/>
        <v>0</v>
      </c>
      <c r="AB414" s="71">
        <f t="shared" si="62"/>
        <v>0.49</v>
      </c>
      <c r="AC414" s="49">
        <f t="shared" si="63"/>
        <v>0</v>
      </c>
      <c r="AD414" s="50">
        <f t="shared" si="64"/>
        <v>0</v>
      </c>
      <c r="AE414" s="50">
        <f t="shared" si="65"/>
        <v>0</v>
      </c>
      <c r="AF414" s="50">
        <f t="shared" si="66"/>
        <v>0</v>
      </c>
      <c r="AG414" s="199">
        <f t="shared" si="67"/>
        <v>0</v>
      </c>
      <c r="AH414" s="187"/>
      <c r="AI414" s="185" t="s">
        <v>1455</v>
      </c>
      <c r="AJ414" s="185"/>
      <c r="AK414" s="277">
        <f t="shared" si="60"/>
        <v>1078</v>
      </c>
      <c r="AL414" s="25">
        <f>(SUMIFS('T1 2019 Pipeline Data Lagasco'!$O:$O,'T1 2019 Pipeline Data Lagasco'!$A:$A,'Dec 31 2018 OFFS'!$AI414,'T1 2019 Pipeline Data Lagasco'!$Q:$Q,'Dec 31 2018 OFFS'!$AK414,'T1 2019 Pipeline Data Lagasco'!$E:$E,'Dec 31 2018 OFFS'!$U414,'T1 2019 Pipeline Data Lagasco'!$G:$G,'Dec 31 2018 OFFS'!$W414))/(MAX(COUNTIFS('T1 2019 Pipeline Data Lagasco'!$A:$A,'Dec 31 2018 OFFS'!$AI414,'T1 2019 Pipeline Data Lagasco'!$Q:$Q,'Dec 31 2018 OFFS'!$AK414,'T1 2019 Pipeline Data Lagasco'!$E:$E,'Dec 31 2018 OFFS'!$U414,'T1 2019 Pipeline Data Lagasco'!$G:$G,'Dec 31 2018 OFFS'!$W414),1))</f>
        <v>0</v>
      </c>
      <c r="AM414" s="274">
        <f t="shared" si="68"/>
        <v>0</v>
      </c>
    </row>
    <row r="415" spans="1:39" ht="12.7">
      <c r="A415" s="193" t="s">
        <v>909</v>
      </c>
      <c r="B415" s="40" t="s">
        <v>918</v>
      </c>
      <c r="C415" s="40" t="s">
        <v>1266</v>
      </c>
      <c r="D415" s="40" t="s">
        <v>1077</v>
      </c>
      <c r="E415" s="40" t="s">
        <v>138</v>
      </c>
      <c r="F415" s="40"/>
      <c r="G415" s="40" t="s">
        <v>609</v>
      </c>
      <c r="H415" s="42">
        <v>42</v>
      </c>
      <c r="I415" s="43">
        <v>38</v>
      </c>
      <c r="J415" s="44">
        <v>18</v>
      </c>
      <c r="K415" s="45">
        <v>79</v>
      </c>
      <c r="L415" s="43">
        <v>29</v>
      </c>
      <c r="M415" s="46">
        <v>43.98</v>
      </c>
      <c r="N415" s="40" t="s">
        <v>1183</v>
      </c>
      <c r="O415" s="42">
        <v>42</v>
      </c>
      <c r="P415" s="43">
        <v>38</v>
      </c>
      <c r="Q415" s="44">
        <v>9.9600000000000009</v>
      </c>
      <c r="R415" s="45">
        <v>79</v>
      </c>
      <c r="S415" s="43">
        <v>28</v>
      </c>
      <c r="T415" s="46">
        <v>30.96</v>
      </c>
      <c r="U415" s="40">
        <v>3</v>
      </c>
      <c r="V415" s="47">
        <v>5514</v>
      </c>
      <c r="W415" s="48">
        <v>2003</v>
      </c>
      <c r="X415" s="40"/>
      <c r="Y415" s="52" t="s">
        <v>1081</v>
      </c>
      <c r="Z415" s="40" t="s">
        <v>910</v>
      </c>
      <c r="AA415" s="49">
        <f t="shared" si="61"/>
        <v>130075.26</v>
      </c>
      <c r="AB415" s="71">
        <f t="shared" si="62"/>
        <v>0.56999999999999995</v>
      </c>
      <c r="AC415" s="49">
        <f t="shared" si="63"/>
        <v>55932.36</v>
      </c>
      <c r="AD415" s="50">
        <f t="shared" si="64"/>
        <v>0</v>
      </c>
      <c r="AE415" s="50">
        <f t="shared" si="65"/>
        <v>0</v>
      </c>
      <c r="AF415" s="50">
        <f t="shared" si="66"/>
        <v>55932.36</v>
      </c>
      <c r="AG415" s="199">
        <f t="shared" si="67"/>
        <v>55932</v>
      </c>
      <c r="AH415" s="187"/>
      <c r="AI415" s="185" t="s">
        <v>1455</v>
      </c>
      <c r="AJ415" s="185"/>
      <c r="AK415" s="277">
        <f t="shared" si="60"/>
        <v>5514</v>
      </c>
      <c r="AL415" s="25">
        <f>(SUMIFS('T1 2019 Pipeline Data Lagasco'!$O:$O,'T1 2019 Pipeline Data Lagasco'!$A:$A,'Dec 31 2018 OFFS'!$AI415,'T1 2019 Pipeline Data Lagasco'!$Q:$Q,'Dec 31 2018 OFFS'!$AK415,'T1 2019 Pipeline Data Lagasco'!$E:$E,'Dec 31 2018 OFFS'!$U415,'T1 2019 Pipeline Data Lagasco'!$G:$G,'Dec 31 2018 OFFS'!$W415))/(MAX(COUNTIFS('T1 2019 Pipeline Data Lagasco'!$A:$A,'Dec 31 2018 OFFS'!$AI415,'T1 2019 Pipeline Data Lagasco'!$Q:$Q,'Dec 31 2018 OFFS'!$AK415,'T1 2019 Pipeline Data Lagasco'!$E:$E,'Dec 31 2018 OFFS'!$U415,'T1 2019 Pipeline Data Lagasco'!$G:$G,'Dec 31 2018 OFFS'!$W415),1))</f>
        <v>55932</v>
      </c>
      <c r="AM415" s="274">
        <f t="shared" si="68"/>
        <v>0</v>
      </c>
    </row>
    <row r="416" spans="1:39" ht="12.7">
      <c r="A416" s="193" t="s">
        <v>909</v>
      </c>
      <c r="B416" s="40" t="s">
        <v>918</v>
      </c>
      <c r="C416" s="40" t="s">
        <v>1266</v>
      </c>
      <c r="D416" s="40" t="s">
        <v>1077</v>
      </c>
      <c r="E416" s="40" t="s">
        <v>17</v>
      </c>
      <c r="F416" s="139" t="s">
        <v>1051</v>
      </c>
      <c r="G416" s="40" t="s">
        <v>635</v>
      </c>
      <c r="H416" s="42">
        <v>42</v>
      </c>
      <c r="I416" s="43">
        <v>50</v>
      </c>
      <c r="J416" s="44">
        <v>45</v>
      </c>
      <c r="K416" s="45">
        <v>79</v>
      </c>
      <c r="L416" s="43">
        <v>27</v>
      </c>
      <c r="M416" s="46">
        <v>40</v>
      </c>
      <c r="N416" s="41" t="s">
        <v>627</v>
      </c>
      <c r="O416" s="42">
        <v>42</v>
      </c>
      <c r="P416" s="43">
        <v>51</v>
      </c>
      <c r="Q416" s="44">
        <v>34</v>
      </c>
      <c r="R416" s="45">
        <v>79</v>
      </c>
      <c r="S416" s="43">
        <v>28</v>
      </c>
      <c r="T416" s="46">
        <v>20</v>
      </c>
      <c r="U416" s="40">
        <v>6</v>
      </c>
      <c r="V416" s="56">
        <v>5783</v>
      </c>
      <c r="W416" s="48">
        <v>1977</v>
      </c>
      <c r="X416" s="40"/>
      <c r="Y416" s="52" t="s">
        <v>1081</v>
      </c>
      <c r="Z416" s="40" t="s">
        <v>910</v>
      </c>
      <c r="AA416" s="49">
        <f t="shared" si="61"/>
        <v>0</v>
      </c>
      <c r="AB416" s="71">
        <f t="shared" si="62"/>
        <v>0.80</v>
      </c>
      <c r="AC416" s="49">
        <f t="shared" si="63"/>
        <v>0</v>
      </c>
      <c r="AD416" s="50">
        <f t="shared" si="64"/>
        <v>0</v>
      </c>
      <c r="AE416" s="50">
        <f t="shared" si="65"/>
        <v>0</v>
      </c>
      <c r="AF416" s="50">
        <f t="shared" si="66"/>
        <v>0</v>
      </c>
      <c r="AG416" s="199">
        <f t="shared" si="67"/>
        <v>0</v>
      </c>
      <c r="AH416" s="187"/>
      <c r="AI416" s="185" t="s">
        <v>1455</v>
      </c>
      <c r="AJ416" s="185"/>
      <c r="AK416" s="277">
        <f t="shared" si="60"/>
        <v>5783</v>
      </c>
      <c r="AL416" s="25">
        <f>(SUMIFS('T1 2019 Pipeline Data Lagasco'!$O:$O,'T1 2019 Pipeline Data Lagasco'!$A:$A,'Dec 31 2018 OFFS'!$AI416,'T1 2019 Pipeline Data Lagasco'!$Q:$Q,'Dec 31 2018 OFFS'!$AK416,'T1 2019 Pipeline Data Lagasco'!$E:$E,'Dec 31 2018 OFFS'!$U416,'T1 2019 Pipeline Data Lagasco'!$G:$G,'Dec 31 2018 OFFS'!$W416))/(MAX(COUNTIFS('T1 2019 Pipeline Data Lagasco'!$A:$A,'Dec 31 2018 OFFS'!$AI416,'T1 2019 Pipeline Data Lagasco'!$Q:$Q,'Dec 31 2018 OFFS'!$AK416,'T1 2019 Pipeline Data Lagasco'!$E:$E,'Dec 31 2018 OFFS'!$U416,'T1 2019 Pipeline Data Lagasco'!$G:$G,'Dec 31 2018 OFFS'!$W416),1))</f>
        <v>0</v>
      </c>
      <c r="AM416" s="274">
        <f t="shared" si="68"/>
        <v>0</v>
      </c>
    </row>
    <row r="417" spans="1:39" ht="12.7">
      <c r="A417" s="193" t="s">
        <v>909</v>
      </c>
      <c r="B417" s="40" t="s">
        <v>918</v>
      </c>
      <c r="C417" s="40" t="s">
        <v>1266</v>
      </c>
      <c r="D417" s="40" t="s">
        <v>1077</v>
      </c>
      <c r="E417" s="40" t="s">
        <v>1221</v>
      </c>
      <c r="F417" s="40"/>
      <c r="G417" s="41" t="s">
        <v>635</v>
      </c>
      <c r="H417" s="42">
        <v>42</v>
      </c>
      <c r="I417" s="43">
        <v>50</v>
      </c>
      <c r="J417" s="44">
        <v>47.886000000000003</v>
      </c>
      <c r="K417" s="45">
        <v>79</v>
      </c>
      <c r="L417" s="43">
        <v>27</v>
      </c>
      <c r="M417" s="46">
        <v>41.673999999999999</v>
      </c>
      <c r="N417" s="41" t="s">
        <v>627</v>
      </c>
      <c r="O417" s="42">
        <v>42</v>
      </c>
      <c r="P417" s="43">
        <v>51</v>
      </c>
      <c r="Q417" s="44">
        <v>34</v>
      </c>
      <c r="R417" s="45">
        <v>79</v>
      </c>
      <c r="S417" s="43">
        <v>28</v>
      </c>
      <c r="T417" s="46">
        <v>20</v>
      </c>
      <c r="U417" s="40">
        <v>6</v>
      </c>
      <c r="V417" s="56">
        <v>5473.0969543599995</v>
      </c>
      <c r="W417" s="48">
        <v>1983</v>
      </c>
      <c r="X417" s="40" t="s">
        <v>2</v>
      </c>
      <c r="Y417" s="52" t="s">
        <v>1081</v>
      </c>
      <c r="Z417" s="40" t="s">
        <v>910</v>
      </c>
      <c r="AA417" s="49">
        <f t="shared" si="61"/>
        <v>189533.34752948678</v>
      </c>
      <c r="AB417" s="71">
        <f t="shared" si="62"/>
        <v>0.80</v>
      </c>
      <c r="AC417" s="49">
        <f t="shared" si="63"/>
        <v>37906.67</v>
      </c>
      <c r="AD417" s="50">
        <f t="shared" si="64"/>
        <v>9476.6674999999996</v>
      </c>
      <c r="AE417" s="50">
        <f t="shared" si="65"/>
        <v>0</v>
      </c>
      <c r="AF417" s="50">
        <f t="shared" si="66"/>
        <v>28430.002499999999</v>
      </c>
      <c r="AG417" s="199">
        <f t="shared" si="67"/>
        <v>28430</v>
      </c>
      <c r="AH417" s="187"/>
      <c r="AI417" s="185" t="s">
        <v>1455</v>
      </c>
      <c r="AJ417" s="185"/>
      <c r="AK417" s="277">
        <f t="shared" si="60"/>
        <v>5473.10</v>
      </c>
      <c r="AL417" s="25">
        <f>(SUMIFS('T1 2019 Pipeline Data Lagasco'!$O:$O,'T1 2019 Pipeline Data Lagasco'!$A:$A,'Dec 31 2018 OFFS'!$AI417,'T1 2019 Pipeline Data Lagasco'!$Q:$Q,'Dec 31 2018 OFFS'!$AK417,'T1 2019 Pipeline Data Lagasco'!$E:$E,'Dec 31 2018 OFFS'!$U417,'T1 2019 Pipeline Data Lagasco'!$G:$G,'Dec 31 2018 OFFS'!$W417))/(MAX(COUNTIFS('T1 2019 Pipeline Data Lagasco'!$A:$A,'Dec 31 2018 OFFS'!$AI417,'T1 2019 Pipeline Data Lagasco'!$Q:$Q,'Dec 31 2018 OFFS'!$AK417,'T1 2019 Pipeline Data Lagasco'!$E:$E,'Dec 31 2018 OFFS'!$U417,'T1 2019 Pipeline Data Lagasco'!$G:$G,'Dec 31 2018 OFFS'!$W417),1))</f>
        <v>28430</v>
      </c>
      <c r="AM417" s="274">
        <f t="shared" si="68"/>
        <v>0</v>
      </c>
    </row>
    <row r="418" spans="1:39" ht="12.7">
      <c r="A418" s="193" t="s">
        <v>909</v>
      </c>
      <c r="B418" s="40" t="s">
        <v>918</v>
      </c>
      <c r="C418" s="40" t="s">
        <v>1266</v>
      </c>
      <c r="D418" s="40" t="s">
        <v>1077</v>
      </c>
      <c r="E418" s="40" t="s">
        <v>1221</v>
      </c>
      <c r="F418" s="40"/>
      <c r="G418" s="41" t="s">
        <v>627</v>
      </c>
      <c r="H418" s="42">
        <v>42</v>
      </c>
      <c r="I418" s="43">
        <v>51</v>
      </c>
      <c r="J418" s="44">
        <v>34</v>
      </c>
      <c r="K418" s="45">
        <v>79</v>
      </c>
      <c r="L418" s="43">
        <v>28</v>
      </c>
      <c r="M418" s="46">
        <v>20</v>
      </c>
      <c r="N418" s="40" t="s">
        <v>1267</v>
      </c>
      <c r="O418" s="42">
        <v>42</v>
      </c>
      <c r="P418" s="43">
        <v>50</v>
      </c>
      <c r="Q418" s="44">
        <v>42.34</v>
      </c>
      <c r="R418" s="45">
        <v>79</v>
      </c>
      <c r="S418" s="43">
        <v>28</v>
      </c>
      <c r="T418" s="46">
        <v>15.05</v>
      </c>
      <c r="U418" s="40">
        <v>8</v>
      </c>
      <c r="V418" s="56">
        <v>5243.831869136</v>
      </c>
      <c r="W418" s="48">
        <v>1983</v>
      </c>
      <c r="X418" s="40"/>
      <c r="Y418" s="52" t="s">
        <v>1081</v>
      </c>
      <c r="Z418" s="40" t="s">
        <v>910</v>
      </c>
      <c r="AA418" s="49">
        <f t="shared" si="61"/>
        <v>258520.91114840479</v>
      </c>
      <c r="AB418" s="71">
        <f t="shared" si="62"/>
        <v>0.80</v>
      </c>
      <c r="AC418" s="49">
        <f t="shared" si="63"/>
        <v>51704.18</v>
      </c>
      <c r="AD418" s="50">
        <f t="shared" si="64"/>
        <v>0</v>
      </c>
      <c r="AE418" s="50">
        <f t="shared" si="65"/>
        <v>0</v>
      </c>
      <c r="AF418" s="50">
        <f t="shared" si="66"/>
        <v>51704.18</v>
      </c>
      <c r="AG418" s="199">
        <f t="shared" si="67"/>
        <v>51704</v>
      </c>
      <c r="AH418" s="187"/>
      <c r="AI418" s="185" t="s">
        <v>1455</v>
      </c>
      <c r="AJ418" s="185"/>
      <c r="AK418" s="277">
        <f t="shared" si="60"/>
        <v>5243.83</v>
      </c>
      <c r="AL418" s="25">
        <f>(SUMIFS('T1 2019 Pipeline Data Lagasco'!$O:$O,'T1 2019 Pipeline Data Lagasco'!$A:$A,'Dec 31 2018 OFFS'!$AI418,'T1 2019 Pipeline Data Lagasco'!$Q:$Q,'Dec 31 2018 OFFS'!$AK418,'T1 2019 Pipeline Data Lagasco'!$E:$E,'Dec 31 2018 OFFS'!$U418,'T1 2019 Pipeline Data Lagasco'!$G:$G,'Dec 31 2018 OFFS'!$W418))/(MAX(COUNTIFS('T1 2019 Pipeline Data Lagasco'!$A:$A,'Dec 31 2018 OFFS'!$AI418,'T1 2019 Pipeline Data Lagasco'!$Q:$Q,'Dec 31 2018 OFFS'!$AK418,'T1 2019 Pipeline Data Lagasco'!$E:$E,'Dec 31 2018 OFFS'!$U418,'T1 2019 Pipeline Data Lagasco'!$G:$G,'Dec 31 2018 OFFS'!$W418),1))</f>
        <v>51704</v>
      </c>
      <c r="AM418" s="274">
        <f t="shared" si="68"/>
        <v>0</v>
      </c>
    </row>
    <row r="419" spans="1:39" ht="12.7">
      <c r="A419" s="193" t="s">
        <v>909</v>
      </c>
      <c r="B419" s="40" t="s">
        <v>918</v>
      </c>
      <c r="C419" s="40" t="s">
        <v>1266</v>
      </c>
      <c r="D419" s="40" t="s">
        <v>1077</v>
      </c>
      <c r="E419" s="40" t="s">
        <v>1221</v>
      </c>
      <c r="F419" s="40"/>
      <c r="G419" s="139" t="s">
        <v>1267</v>
      </c>
      <c r="H419" s="42">
        <v>42</v>
      </c>
      <c r="I419" s="43">
        <v>50</v>
      </c>
      <c r="J419" s="44">
        <v>42.34</v>
      </c>
      <c r="K419" s="45">
        <v>79</v>
      </c>
      <c r="L419" s="43">
        <v>28</v>
      </c>
      <c r="M419" s="46">
        <v>15.05</v>
      </c>
      <c r="N419" s="40" t="s">
        <v>1268</v>
      </c>
      <c r="O419" s="42">
        <v>42</v>
      </c>
      <c r="P419" s="43">
        <v>50</v>
      </c>
      <c r="Q419" s="44">
        <v>3.55</v>
      </c>
      <c r="R419" s="45">
        <v>79</v>
      </c>
      <c r="S419" s="43">
        <v>28</v>
      </c>
      <c r="T419" s="46">
        <v>29.47</v>
      </c>
      <c r="U419" s="40">
        <v>8</v>
      </c>
      <c r="V419" s="56">
        <v>4072.0143177700002</v>
      </c>
      <c r="W419" s="48">
        <v>1983</v>
      </c>
      <c r="X419" s="40"/>
      <c r="Y419" s="52" t="s">
        <v>1081</v>
      </c>
      <c r="Z419" s="40" t="s">
        <v>910</v>
      </c>
      <c r="AA419" s="49">
        <f t="shared" si="61"/>
        <v>200750.30586606098</v>
      </c>
      <c r="AB419" s="71">
        <f t="shared" si="62"/>
        <v>0.80</v>
      </c>
      <c r="AC419" s="49">
        <f t="shared" si="63"/>
        <v>40150.06</v>
      </c>
      <c r="AD419" s="50">
        <f t="shared" si="64"/>
        <v>0</v>
      </c>
      <c r="AE419" s="50">
        <f t="shared" si="65"/>
        <v>0</v>
      </c>
      <c r="AF419" s="50">
        <f t="shared" si="66"/>
        <v>40150.06</v>
      </c>
      <c r="AG419" s="199">
        <f t="shared" si="67"/>
        <v>40150</v>
      </c>
      <c r="AH419" s="187"/>
      <c r="AI419" s="185" t="s">
        <v>1455</v>
      </c>
      <c r="AJ419" s="185"/>
      <c r="AK419" s="277">
        <f t="shared" si="60"/>
        <v>4072.01</v>
      </c>
      <c r="AL419" s="25">
        <f>(SUMIFS('T1 2019 Pipeline Data Lagasco'!$O:$O,'T1 2019 Pipeline Data Lagasco'!$A:$A,'Dec 31 2018 OFFS'!$AI419,'T1 2019 Pipeline Data Lagasco'!$Q:$Q,'Dec 31 2018 OFFS'!$AK419,'T1 2019 Pipeline Data Lagasco'!$E:$E,'Dec 31 2018 OFFS'!$U419,'T1 2019 Pipeline Data Lagasco'!$G:$G,'Dec 31 2018 OFFS'!$W419))/(MAX(COUNTIFS('T1 2019 Pipeline Data Lagasco'!$A:$A,'Dec 31 2018 OFFS'!$AI419,'T1 2019 Pipeline Data Lagasco'!$Q:$Q,'Dec 31 2018 OFFS'!$AK419,'T1 2019 Pipeline Data Lagasco'!$E:$E,'Dec 31 2018 OFFS'!$U419,'T1 2019 Pipeline Data Lagasco'!$G:$G,'Dec 31 2018 OFFS'!$W419),1))</f>
        <v>40150</v>
      </c>
      <c r="AM419" s="274">
        <f t="shared" si="68"/>
        <v>0</v>
      </c>
    </row>
    <row r="420" spans="1:39" ht="12.7">
      <c r="A420" s="193" t="s">
        <v>909</v>
      </c>
      <c r="B420" s="40" t="s">
        <v>918</v>
      </c>
      <c r="C420" s="40" t="s">
        <v>1266</v>
      </c>
      <c r="D420" s="40" t="s">
        <v>1077</v>
      </c>
      <c r="E420" s="40" t="s">
        <v>1221</v>
      </c>
      <c r="F420" s="40"/>
      <c r="G420" s="40" t="s">
        <v>1268</v>
      </c>
      <c r="H420" s="42">
        <v>42</v>
      </c>
      <c r="I420" s="43">
        <v>50</v>
      </c>
      <c r="J420" s="44">
        <v>3.55</v>
      </c>
      <c r="K420" s="45">
        <v>79</v>
      </c>
      <c r="L420" s="43">
        <v>28</v>
      </c>
      <c r="M420" s="46">
        <v>29.47</v>
      </c>
      <c r="N420" s="40" t="s">
        <v>1269</v>
      </c>
      <c r="O420" s="42">
        <v>42</v>
      </c>
      <c r="P420" s="43">
        <v>49</v>
      </c>
      <c r="Q420" s="44">
        <v>17.15</v>
      </c>
      <c r="R420" s="45">
        <v>79</v>
      </c>
      <c r="S420" s="43">
        <v>29</v>
      </c>
      <c r="T420" s="46">
        <v>3.28</v>
      </c>
      <c r="U420" s="40">
        <v>8</v>
      </c>
      <c r="V420" s="56">
        <v>5331.3318666019995</v>
      </c>
      <c r="W420" s="48">
        <v>1983</v>
      </c>
      <c r="X420" s="40"/>
      <c r="Y420" s="52" t="s">
        <v>1081</v>
      </c>
      <c r="Z420" s="40" t="s">
        <v>910</v>
      </c>
      <c r="AA420" s="49">
        <f t="shared" si="61"/>
        <v>262834.66102347855</v>
      </c>
      <c r="AB420" s="71">
        <f t="shared" si="62"/>
        <v>0.80</v>
      </c>
      <c r="AC420" s="49">
        <f t="shared" si="63"/>
        <v>52566.93</v>
      </c>
      <c r="AD420" s="50">
        <f t="shared" si="64"/>
        <v>0</v>
      </c>
      <c r="AE420" s="50">
        <f t="shared" si="65"/>
        <v>0</v>
      </c>
      <c r="AF420" s="50">
        <f t="shared" si="66"/>
        <v>52566.93</v>
      </c>
      <c r="AG420" s="199">
        <f t="shared" si="67"/>
        <v>52566</v>
      </c>
      <c r="AH420" s="187"/>
      <c r="AI420" s="185" t="s">
        <v>1455</v>
      </c>
      <c r="AJ420" s="185"/>
      <c r="AK420" s="277">
        <f t="shared" si="60"/>
        <v>5331.33</v>
      </c>
      <c r="AL420" s="25">
        <f>(SUMIFS('T1 2019 Pipeline Data Lagasco'!$O:$O,'T1 2019 Pipeline Data Lagasco'!$A:$A,'Dec 31 2018 OFFS'!$AI420,'T1 2019 Pipeline Data Lagasco'!$Q:$Q,'Dec 31 2018 OFFS'!$AK420,'T1 2019 Pipeline Data Lagasco'!$E:$E,'Dec 31 2018 OFFS'!$U420,'T1 2019 Pipeline Data Lagasco'!$G:$G,'Dec 31 2018 OFFS'!$W420))/(MAX(COUNTIFS('T1 2019 Pipeline Data Lagasco'!$A:$A,'Dec 31 2018 OFFS'!$AI420,'T1 2019 Pipeline Data Lagasco'!$Q:$Q,'Dec 31 2018 OFFS'!$AK420,'T1 2019 Pipeline Data Lagasco'!$E:$E,'Dec 31 2018 OFFS'!$U420,'T1 2019 Pipeline Data Lagasco'!$G:$G,'Dec 31 2018 OFFS'!$W420),1))</f>
        <v>52566</v>
      </c>
      <c r="AM420" s="274">
        <f t="shared" si="68"/>
        <v>0</v>
      </c>
    </row>
    <row r="421" spans="1:39" ht="12.7">
      <c r="A421" s="193" t="s">
        <v>909</v>
      </c>
      <c r="B421" s="40" t="s">
        <v>918</v>
      </c>
      <c r="C421" s="40" t="s">
        <v>1266</v>
      </c>
      <c r="D421" s="40" t="s">
        <v>1077</v>
      </c>
      <c r="E421" s="40" t="s">
        <v>1221</v>
      </c>
      <c r="F421" s="40"/>
      <c r="G421" s="40" t="s">
        <v>1269</v>
      </c>
      <c r="H421" s="42">
        <v>42</v>
      </c>
      <c r="I421" s="43">
        <v>49</v>
      </c>
      <c r="J421" s="44">
        <v>17.15</v>
      </c>
      <c r="K421" s="45">
        <v>79</v>
      </c>
      <c r="L421" s="43">
        <v>29</v>
      </c>
      <c r="M421" s="46">
        <v>3.28</v>
      </c>
      <c r="N421" s="41" t="s">
        <v>538</v>
      </c>
      <c r="O421" s="42">
        <v>42</v>
      </c>
      <c r="P421" s="43">
        <v>48</v>
      </c>
      <c r="Q421" s="44">
        <v>45</v>
      </c>
      <c r="R421" s="45">
        <v>79</v>
      </c>
      <c r="S421" s="43">
        <v>29</v>
      </c>
      <c r="T421" s="46">
        <v>39</v>
      </c>
      <c r="U421" s="40">
        <v>8</v>
      </c>
      <c r="V421" s="56">
        <v>4205.5773060279998</v>
      </c>
      <c r="W421" s="48">
        <v>1983</v>
      </c>
      <c r="X421" s="40"/>
      <c r="Y421" s="52" t="s">
        <v>1081</v>
      </c>
      <c r="Z421" s="40" t="s">
        <v>910</v>
      </c>
      <c r="AA421" s="49">
        <f t="shared" si="61"/>
        <v>207334.96118718039</v>
      </c>
      <c r="AB421" s="71">
        <f t="shared" si="62"/>
        <v>0.80</v>
      </c>
      <c r="AC421" s="49">
        <f t="shared" si="63"/>
        <v>41466.99</v>
      </c>
      <c r="AD421" s="50">
        <f t="shared" si="64"/>
        <v>0</v>
      </c>
      <c r="AE421" s="50">
        <f t="shared" si="65"/>
        <v>0</v>
      </c>
      <c r="AF421" s="50">
        <f t="shared" si="66"/>
        <v>41466.99</v>
      </c>
      <c r="AG421" s="199">
        <f t="shared" si="67"/>
        <v>41466</v>
      </c>
      <c r="AH421" s="187">
        <f>SUM(AF270:AF421)</f>
        <v>4609412.6100000003</v>
      </c>
      <c r="AI421" s="185" t="s">
        <v>1455</v>
      </c>
      <c r="AJ421" s="185"/>
      <c r="AK421" s="277">
        <f t="shared" si="60"/>
        <v>4205.58</v>
      </c>
      <c r="AL421" s="25">
        <f>(SUMIFS('T1 2019 Pipeline Data Lagasco'!$O:$O,'T1 2019 Pipeline Data Lagasco'!$A:$A,'Dec 31 2018 OFFS'!$AI421,'T1 2019 Pipeline Data Lagasco'!$Q:$Q,'Dec 31 2018 OFFS'!$AK421,'T1 2019 Pipeline Data Lagasco'!$E:$E,'Dec 31 2018 OFFS'!$U421,'T1 2019 Pipeline Data Lagasco'!$G:$G,'Dec 31 2018 OFFS'!$W421))/(MAX(COUNTIFS('T1 2019 Pipeline Data Lagasco'!$A:$A,'Dec 31 2018 OFFS'!$AI421,'T1 2019 Pipeline Data Lagasco'!$Q:$Q,'Dec 31 2018 OFFS'!$AK421,'T1 2019 Pipeline Data Lagasco'!$E:$E,'Dec 31 2018 OFFS'!$U421,'T1 2019 Pipeline Data Lagasco'!$G:$G,'Dec 31 2018 OFFS'!$W421),1))</f>
        <v>41466</v>
      </c>
      <c r="AM421" s="274">
        <f t="shared" si="68"/>
        <v>0</v>
      </c>
    </row>
    <row r="422" spans="1:39" ht="12.7">
      <c r="A422" s="193" t="s">
        <v>909</v>
      </c>
      <c r="B422" s="40" t="s">
        <v>918</v>
      </c>
      <c r="C422" s="40" t="s">
        <v>1266</v>
      </c>
      <c r="D422" s="40" t="s">
        <v>17</v>
      </c>
      <c r="E422" s="40" t="s">
        <v>138</v>
      </c>
      <c r="F422" s="40"/>
      <c r="G422" s="41" t="s">
        <v>1164</v>
      </c>
      <c r="H422" s="42">
        <v>42</v>
      </c>
      <c r="I422" s="43">
        <v>39</v>
      </c>
      <c r="J422" s="44">
        <v>6.96</v>
      </c>
      <c r="K422" s="45">
        <v>79</v>
      </c>
      <c r="L422" s="43">
        <v>44</v>
      </c>
      <c r="M422" s="46">
        <v>13.98</v>
      </c>
      <c r="N422" s="41" t="s">
        <v>146</v>
      </c>
      <c r="O422" s="42">
        <v>42</v>
      </c>
      <c r="P422" s="43">
        <v>38</v>
      </c>
      <c r="Q422" s="44">
        <v>44.399000000000001</v>
      </c>
      <c r="R422" s="45">
        <v>79</v>
      </c>
      <c r="S422" s="43">
        <v>44</v>
      </c>
      <c r="T422" s="46">
        <v>38.055999999999997</v>
      </c>
      <c r="U422" s="40">
        <v>3</v>
      </c>
      <c r="V422" s="47">
        <v>2911</v>
      </c>
      <c r="W422" s="48">
        <v>1982</v>
      </c>
      <c r="X422" s="40"/>
      <c r="Y422" s="52" t="s">
        <v>1081</v>
      </c>
      <c r="Z422" s="40" t="s">
        <v>910</v>
      </c>
      <c r="AA422" s="49">
        <f t="shared" si="61"/>
        <v>68670.490000000005</v>
      </c>
      <c r="AB422" s="71">
        <f t="shared" si="62"/>
        <v>0.80</v>
      </c>
      <c r="AC422" s="49">
        <f t="shared" si="63"/>
        <v>13734.10</v>
      </c>
      <c r="AD422" s="50">
        <f t="shared" si="64"/>
        <v>0</v>
      </c>
      <c r="AE422" s="50">
        <f t="shared" si="65"/>
        <v>0</v>
      </c>
      <c r="AF422" s="50">
        <f t="shared" si="66"/>
        <v>13734.10</v>
      </c>
      <c r="AG422" s="199">
        <f t="shared" si="67"/>
        <v>13734</v>
      </c>
      <c r="AH422" s="187"/>
      <c r="AI422" s="185" t="s">
        <v>1456</v>
      </c>
      <c r="AJ422" s="185"/>
      <c r="AK422" s="277">
        <f t="shared" si="60"/>
        <v>2911</v>
      </c>
      <c r="AL422" s="25">
        <f>(SUMIFS('T1 2019 Pipeline Data Lagasco'!$O:$O,'T1 2019 Pipeline Data Lagasco'!$A:$A,'Dec 31 2018 OFFS'!$AI422,'T1 2019 Pipeline Data Lagasco'!$Q:$Q,'Dec 31 2018 OFFS'!$AK422,'T1 2019 Pipeline Data Lagasco'!$E:$E,'Dec 31 2018 OFFS'!$U422,'T1 2019 Pipeline Data Lagasco'!$G:$G,'Dec 31 2018 OFFS'!$W422))/(MAX(COUNTIFS('T1 2019 Pipeline Data Lagasco'!$A:$A,'Dec 31 2018 OFFS'!$AI422,'T1 2019 Pipeline Data Lagasco'!$Q:$Q,'Dec 31 2018 OFFS'!$AK422,'T1 2019 Pipeline Data Lagasco'!$E:$E,'Dec 31 2018 OFFS'!$U422,'T1 2019 Pipeline Data Lagasco'!$G:$G,'Dec 31 2018 OFFS'!$W422),1))</f>
        <v>13734</v>
      </c>
      <c r="AM422" s="274">
        <f t="shared" si="68"/>
        <v>0</v>
      </c>
    </row>
    <row r="423" spans="1:39" ht="12.7">
      <c r="A423" s="193" t="s">
        <v>909</v>
      </c>
      <c r="B423" s="40" t="s">
        <v>918</v>
      </c>
      <c r="C423" s="40" t="s">
        <v>1266</v>
      </c>
      <c r="D423" s="40" t="s">
        <v>17</v>
      </c>
      <c r="E423" s="40" t="s">
        <v>1056</v>
      </c>
      <c r="F423" s="40" t="s">
        <v>1051</v>
      </c>
      <c r="G423" s="41" t="s">
        <v>31</v>
      </c>
      <c r="H423" s="42">
        <v>42</v>
      </c>
      <c r="I423" s="43">
        <v>48</v>
      </c>
      <c r="J423" s="44">
        <v>8.8800000000000008</v>
      </c>
      <c r="K423" s="45">
        <v>79</v>
      </c>
      <c r="L423" s="43">
        <v>53</v>
      </c>
      <c r="M423" s="46">
        <v>27.60</v>
      </c>
      <c r="N423" s="40" t="s">
        <v>32</v>
      </c>
      <c r="O423" s="42">
        <v>42</v>
      </c>
      <c r="P423" s="43">
        <v>47</v>
      </c>
      <c r="Q423" s="44">
        <v>45</v>
      </c>
      <c r="R423" s="45">
        <v>79</v>
      </c>
      <c r="S423" s="43">
        <v>52</v>
      </c>
      <c r="T423" s="46">
        <v>57.42</v>
      </c>
      <c r="U423" s="40">
        <v>3</v>
      </c>
      <c r="V423" s="47">
        <v>3302.82</v>
      </c>
      <c r="W423" s="48">
        <v>1986</v>
      </c>
      <c r="X423" s="40"/>
      <c r="Y423" s="52" t="s">
        <v>1081</v>
      </c>
      <c r="Z423" s="40" t="s">
        <v>910</v>
      </c>
      <c r="AA423" s="49">
        <f t="shared" si="61"/>
        <v>0</v>
      </c>
      <c r="AB423" s="71">
        <f t="shared" si="62"/>
        <v>0.79</v>
      </c>
      <c r="AC423" s="49">
        <f t="shared" si="63"/>
        <v>0</v>
      </c>
      <c r="AD423" s="50">
        <f t="shared" si="64"/>
        <v>0</v>
      </c>
      <c r="AE423" s="50">
        <f t="shared" si="65"/>
        <v>0</v>
      </c>
      <c r="AF423" s="50">
        <f t="shared" si="66"/>
        <v>0</v>
      </c>
      <c r="AG423" s="199">
        <f t="shared" si="67"/>
        <v>0</v>
      </c>
      <c r="AH423" s="187"/>
      <c r="AI423" s="185" t="s">
        <v>1456</v>
      </c>
      <c r="AJ423" s="185"/>
      <c r="AK423" s="277">
        <f t="shared" si="60"/>
        <v>3302.82</v>
      </c>
      <c r="AL423" s="25">
        <f>(SUMIFS('T1 2019 Pipeline Data Lagasco'!$O:$O,'T1 2019 Pipeline Data Lagasco'!$A:$A,'Dec 31 2018 OFFS'!$AI423,'T1 2019 Pipeline Data Lagasco'!$Q:$Q,'Dec 31 2018 OFFS'!$AK423,'T1 2019 Pipeline Data Lagasco'!$E:$E,'Dec 31 2018 OFFS'!$U423,'T1 2019 Pipeline Data Lagasco'!$G:$G,'Dec 31 2018 OFFS'!$W423))/(MAX(COUNTIFS('T1 2019 Pipeline Data Lagasco'!$A:$A,'Dec 31 2018 OFFS'!$AI423,'T1 2019 Pipeline Data Lagasco'!$Q:$Q,'Dec 31 2018 OFFS'!$AK423,'T1 2019 Pipeline Data Lagasco'!$E:$E,'Dec 31 2018 OFFS'!$U423,'T1 2019 Pipeline Data Lagasco'!$G:$G,'Dec 31 2018 OFFS'!$W423),1))</f>
        <v>0</v>
      </c>
      <c r="AM423" s="274">
        <f t="shared" si="68"/>
        <v>0</v>
      </c>
    </row>
    <row r="424" spans="1:39" ht="12.7">
      <c r="A424" s="193" t="s">
        <v>909</v>
      </c>
      <c r="B424" s="40" t="s">
        <v>918</v>
      </c>
      <c r="C424" s="40" t="s">
        <v>1266</v>
      </c>
      <c r="D424" s="40" t="s">
        <v>17</v>
      </c>
      <c r="E424" s="40" t="s">
        <v>1056</v>
      </c>
      <c r="F424" s="40" t="s">
        <v>1051</v>
      </c>
      <c r="G424" s="41" t="s">
        <v>929</v>
      </c>
      <c r="H424" s="42">
        <v>42</v>
      </c>
      <c r="I424" s="43">
        <v>47</v>
      </c>
      <c r="J424" s="44">
        <v>33</v>
      </c>
      <c r="K424" s="45">
        <v>79</v>
      </c>
      <c r="L424" s="43">
        <v>52</v>
      </c>
      <c r="M424" s="46">
        <v>19.079999999999998</v>
      </c>
      <c r="N424" s="51" t="s">
        <v>16</v>
      </c>
      <c r="O424" s="42">
        <v>42</v>
      </c>
      <c r="P424" s="43">
        <v>47</v>
      </c>
      <c r="Q424" s="44">
        <v>16.38</v>
      </c>
      <c r="R424" s="45">
        <v>79</v>
      </c>
      <c r="S424" s="43">
        <v>52</v>
      </c>
      <c r="T424" s="44">
        <v>38.700000000000003</v>
      </c>
      <c r="U424" s="40">
        <v>2</v>
      </c>
      <c r="V424" s="125">
        <v>2228</v>
      </c>
      <c r="W424" s="48">
        <v>1978</v>
      </c>
      <c r="X424" s="40"/>
      <c r="Y424" s="52"/>
      <c r="Z424" s="40" t="s">
        <v>910</v>
      </c>
      <c r="AA424" s="49">
        <f t="shared" si="61"/>
        <v>0</v>
      </c>
      <c r="AB424" s="71">
        <f t="shared" si="62"/>
        <v>0.80</v>
      </c>
      <c r="AC424" s="49">
        <f t="shared" si="63"/>
        <v>0</v>
      </c>
      <c r="AD424" s="50">
        <f t="shared" si="64"/>
        <v>0</v>
      </c>
      <c r="AE424" s="50">
        <f t="shared" si="65"/>
        <v>0</v>
      </c>
      <c r="AF424" s="50">
        <f t="shared" si="66"/>
        <v>0</v>
      </c>
      <c r="AG424" s="199">
        <f t="shared" si="67"/>
        <v>0</v>
      </c>
      <c r="AH424" s="187"/>
      <c r="AI424" s="185" t="s">
        <v>1456</v>
      </c>
      <c r="AJ424" s="185"/>
      <c r="AK424" s="277">
        <f t="shared" si="60"/>
        <v>2228</v>
      </c>
      <c r="AL424" s="25">
        <f>(SUMIFS('T1 2019 Pipeline Data Lagasco'!$O:$O,'T1 2019 Pipeline Data Lagasco'!$A:$A,'Dec 31 2018 OFFS'!$AI424,'T1 2019 Pipeline Data Lagasco'!$Q:$Q,'Dec 31 2018 OFFS'!$AK424,'T1 2019 Pipeline Data Lagasco'!$E:$E,'Dec 31 2018 OFFS'!$U424,'T1 2019 Pipeline Data Lagasco'!$G:$G,'Dec 31 2018 OFFS'!$W424))/(MAX(COUNTIFS('T1 2019 Pipeline Data Lagasco'!$A:$A,'Dec 31 2018 OFFS'!$AI424,'T1 2019 Pipeline Data Lagasco'!$Q:$Q,'Dec 31 2018 OFFS'!$AK424,'T1 2019 Pipeline Data Lagasco'!$E:$E,'Dec 31 2018 OFFS'!$U424,'T1 2019 Pipeline Data Lagasco'!$G:$G,'Dec 31 2018 OFFS'!$W424),1))</f>
        <v>0</v>
      </c>
      <c r="AM424" s="274">
        <f t="shared" si="68"/>
        <v>0</v>
      </c>
    </row>
    <row r="425" spans="1:39" ht="12.7">
      <c r="A425" s="193" t="s">
        <v>909</v>
      </c>
      <c r="B425" s="40" t="s">
        <v>918</v>
      </c>
      <c r="C425" s="40" t="s">
        <v>1266</v>
      </c>
      <c r="D425" s="40" t="s">
        <v>17</v>
      </c>
      <c r="E425" s="40" t="s">
        <v>1056</v>
      </c>
      <c r="F425" s="40" t="s">
        <v>1051</v>
      </c>
      <c r="G425" s="41" t="s">
        <v>32</v>
      </c>
      <c r="H425" s="42">
        <v>42</v>
      </c>
      <c r="I425" s="43">
        <v>47</v>
      </c>
      <c r="J425" s="44">
        <v>45</v>
      </c>
      <c r="K425" s="45">
        <v>79</v>
      </c>
      <c r="L425" s="43">
        <v>52</v>
      </c>
      <c r="M425" s="46">
        <v>57.42</v>
      </c>
      <c r="N425" s="51" t="s">
        <v>16</v>
      </c>
      <c r="O425" s="42">
        <v>42</v>
      </c>
      <c r="P425" s="43">
        <v>47</v>
      </c>
      <c r="Q425" s="44">
        <v>16.38</v>
      </c>
      <c r="R425" s="45">
        <v>79</v>
      </c>
      <c r="S425" s="43">
        <v>52</v>
      </c>
      <c r="T425" s="46">
        <v>38.700000000000003</v>
      </c>
      <c r="U425" s="40">
        <v>3</v>
      </c>
      <c r="V425" s="47">
        <v>3216.34</v>
      </c>
      <c r="W425" s="48">
        <v>1978</v>
      </c>
      <c r="X425" s="40"/>
      <c r="Y425" s="52" t="s">
        <v>1081</v>
      </c>
      <c r="Z425" s="40" t="s">
        <v>910</v>
      </c>
      <c r="AA425" s="49">
        <f t="shared" si="61"/>
        <v>0</v>
      </c>
      <c r="AB425" s="71">
        <f t="shared" si="62"/>
        <v>0.80</v>
      </c>
      <c r="AC425" s="49">
        <f t="shared" si="63"/>
        <v>0</v>
      </c>
      <c r="AD425" s="50">
        <f t="shared" si="64"/>
        <v>0</v>
      </c>
      <c r="AE425" s="50">
        <f t="shared" si="65"/>
        <v>0</v>
      </c>
      <c r="AF425" s="50">
        <f t="shared" si="66"/>
        <v>0</v>
      </c>
      <c r="AG425" s="199">
        <f t="shared" si="67"/>
        <v>0</v>
      </c>
      <c r="AH425" s="187"/>
      <c r="AI425" s="185" t="s">
        <v>1456</v>
      </c>
      <c r="AJ425" s="185"/>
      <c r="AK425" s="277">
        <f t="shared" si="60"/>
        <v>3216.34</v>
      </c>
      <c r="AL425" s="25">
        <f>(SUMIFS('T1 2019 Pipeline Data Lagasco'!$O:$O,'T1 2019 Pipeline Data Lagasco'!$A:$A,'Dec 31 2018 OFFS'!$AI425,'T1 2019 Pipeline Data Lagasco'!$Q:$Q,'Dec 31 2018 OFFS'!$AK425,'T1 2019 Pipeline Data Lagasco'!$E:$E,'Dec 31 2018 OFFS'!$U425,'T1 2019 Pipeline Data Lagasco'!$G:$G,'Dec 31 2018 OFFS'!$W425))/(MAX(COUNTIFS('T1 2019 Pipeline Data Lagasco'!$A:$A,'Dec 31 2018 OFFS'!$AI425,'T1 2019 Pipeline Data Lagasco'!$Q:$Q,'Dec 31 2018 OFFS'!$AK425,'T1 2019 Pipeline Data Lagasco'!$E:$E,'Dec 31 2018 OFFS'!$U425,'T1 2019 Pipeline Data Lagasco'!$G:$G,'Dec 31 2018 OFFS'!$W425),1))</f>
        <v>0</v>
      </c>
      <c r="AM425" s="274">
        <f t="shared" si="68"/>
        <v>0</v>
      </c>
    </row>
    <row r="426" spans="1:39" ht="12.7">
      <c r="A426" s="193" t="s">
        <v>909</v>
      </c>
      <c r="B426" s="40" t="s">
        <v>918</v>
      </c>
      <c r="C426" s="40" t="s">
        <v>1266</v>
      </c>
      <c r="D426" s="40" t="s">
        <v>17</v>
      </c>
      <c r="E426" s="40" t="s">
        <v>1056</v>
      </c>
      <c r="F426" s="40" t="s">
        <v>1051</v>
      </c>
      <c r="G426" s="41" t="s">
        <v>33</v>
      </c>
      <c r="H426" s="42">
        <v>42</v>
      </c>
      <c r="I426" s="43">
        <v>46</v>
      </c>
      <c r="J426" s="44">
        <v>50.58</v>
      </c>
      <c r="K426" s="45">
        <v>79</v>
      </c>
      <c r="L426" s="43">
        <v>54</v>
      </c>
      <c r="M426" s="46">
        <v>21.90</v>
      </c>
      <c r="N426" s="41" t="s">
        <v>18</v>
      </c>
      <c r="O426" s="42">
        <v>42</v>
      </c>
      <c r="P426" s="43">
        <v>46</v>
      </c>
      <c r="Q426" s="44">
        <v>31.98</v>
      </c>
      <c r="R426" s="45">
        <v>79</v>
      </c>
      <c r="S426" s="43">
        <v>53</v>
      </c>
      <c r="T426" s="46">
        <v>36</v>
      </c>
      <c r="U426" s="40">
        <v>3</v>
      </c>
      <c r="V426" s="47">
        <v>3907.1193094220002</v>
      </c>
      <c r="W426" s="48">
        <v>1989</v>
      </c>
      <c r="X426" s="40"/>
      <c r="Y426" s="52" t="s">
        <v>1081</v>
      </c>
      <c r="Z426" s="40" t="s">
        <v>910</v>
      </c>
      <c r="AA426" s="49">
        <f t="shared" si="61"/>
        <v>0</v>
      </c>
      <c r="AB426" s="71">
        <f t="shared" si="62"/>
        <v>0.75</v>
      </c>
      <c r="AC426" s="49">
        <f t="shared" si="63"/>
        <v>0</v>
      </c>
      <c r="AD426" s="50">
        <f t="shared" si="64"/>
        <v>0</v>
      </c>
      <c r="AE426" s="50">
        <f t="shared" si="65"/>
        <v>0</v>
      </c>
      <c r="AF426" s="50">
        <f t="shared" si="66"/>
        <v>0</v>
      </c>
      <c r="AG426" s="199">
        <f t="shared" si="67"/>
        <v>0</v>
      </c>
      <c r="AH426" s="187"/>
      <c r="AI426" s="185" t="s">
        <v>1456</v>
      </c>
      <c r="AJ426" s="185"/>
      <c r="AK426" s="277">
        <f t="shared" si="60"/>
        <v>3907.12</v>
      </c>
      <c r="AL426" s="25">
        <f>(SUMIFS('T1 2019 Pipeline Data Lagasco'!$O:$O,'T1 2019 Pipeline Data Lagasco'!$A:$A,'Dec 31 2018 OFFS'!$AI426,'T1 2019 Pipeline Data Lagasco'!$Q:$Q,'Dec 31 2018 OFFS'!$AK426,'T1 2019 Pipeline Data Lagasco'!$E:$E,'Dec 31 2018 OFFS'!$U426,'T1 2019 Pipeline Data Lagasco'!$G:$G,'Dec 31 2018 OFFS'!$W426))/(MAX(COUNTIFS('T1 2019 Pipeline Data Lagasco'!$A:$A,'Dec 31 2018 OFFS'!$AI426,'T1 2019 Pipeline Data Lagasco'!$Q:$Q,'Dec 31 2018 OFFS'!$AK426,'T1 2019 Pipeline Data Lagasco'!$E:$E,'Dec 31 2018 OFFS'!$U426,'T1 2019 Pipeline Data Lagasco'!$G:$G,'Dec 31 2018 OFFS'!$W426),1))</f>
        <v>0</v>
      </c>
      <c r="AM426" s="274">
        <f t="shared" si="68"/>
        <v>0</v>
      </c>
    </row>
    <row r="427" spans="1:39" ht="12.7">
      <c r="A427" s="193" t="s">
        <v>909</v>
      </c>
      <c r="B427" s="40" t="s">
        <v>918</v>
      </c>
      <c r="C427" s="40" t="s">
        <v>1266</v>
      </c>
      <c r="D427" s="40" t="s">
        <v>17</v>
      </c>
      <c r="E427" s="40" t="s">
        <v>1056</v>
      </c>
      <c r="F427" s="40" t="s">
        <v>1051</v>
      </c>
      <c r="G427" s="41" t="s">
        <v>18</v>
      </c>
      <c r="H427" s="42">
        <v>42</v>
      </c>
      <c r="I427" s="43">
        <v>46</v>
      </c>
      <c r="J427" s="44">
        <v>31.98</v>
      </c>
      <c r="K427" s="45">
        <v>79</v>
      </c>
      <c r="L427" s="43">
        <v>53</v>
      </c>
      <c r="M427" s="46">
        <v>36</v>
      </c>
      <c r="N427" s="51" t="s">
        <v>21</v>
      </c>
      <c r="O427" s="42">
        <v>42</v>
      </c>
      <c r="P427" s="43">
        <v>46</v>
      </c>
      <c r="Q427" s="44">
        <v>8.52</v>
      </c>
      <c r="R427" s="45">
        <v>79</v>
      </c>
      <c r="S427" s="43">
        <v>53</v>
      </c>
      <c r="T427" s="46">
        <v>25.38</v>
      </c>
      <c r="U427" s="40">
        <v>3</v>
      </c>
      <c r="V427" s="47">
        <v>2503.8385101659997</v>
      </c>
      <c r="W427" s="48">
        <v>1978</v>
      </c>
      <c r="X427" s="40"/>
      <c r="Y427" s="52" t="s">
        <v>1081</v>
      </c>
      <c r="Z427" s="40" t="s">
        <v>910</v>
      </c>
      <c r="AA427" s="49">
        <f t="shared" si="61"/>
        <v>0</v>
      </c>
      <c r="AB427" s="71">
        <f t="shared" si="62"/>
        <v>0.80</v>
      </c>
      <c r="AC427" s="49">
        <f t="shared" si="63"/>
        <v>0</v>
      </c>
      <c r="AD427" s="50">
        <f t="shared" si="64"/>
        <v>0</v>
      </c>
      <c r="AE427" s="50">
        <f t="shared" si="65"/>
        <v>0</v>
      </c>
      <c r="AF427" s="50">
        <f t="shared" si="66"/>
        <v>0</v>
      </c>
      <c r="AG427" s="199">
        <f t="shared" si="67"/>
        <v>0</v>
      </c>
      <c r="AH427" s="187"/>
      <c r="AI427" s="185" t="s">
        <v>1456</v>
      </c>
      <c r="AJ427" s="185"/>
      <c r="AK427" s="277">
        <f t="shared" si="60"/>
        <v>2503.84</v>
      </c>
      <c r="AL427" s="25">
        <f>(SUMIFS('T1 2019 Pipeline Data Lagasco'!$O:$O,'T1 2019 Pipeline Data Lagasco'!$A:$A,'Dec 31 2018 OFFS'!$AI427,'T1 2019 Pipeline Data Lagasco'!$Q:$Q,'Dec 31 2018 OFFS'!$AK427,'T1 2019 Pipeline Data Lagasco'!$E:$E,'Dec 31 2018 OFFS'!$U427,'T1 2019 Pipeline Data Lagasco'!$G:$G,'Dec 31 2018 OFFS'!$W427))/(MAX(COUNTIFS('T1 2019 Pipeline Data Lagasco'!$A:$A,'Dec 31 2018 OFFS'!$AI427,'T1 2019 Pipeline Data Lagasco'!$Q:$Q,'Dec 31 2018 OFFS'!$AK427,'T1 2019 Pipeline Data Lagasco'!$E:$E,'Dec 31 2018 OFFS'!$U427,'T1 2019 Pipeline Data Lagasco'!$G:$G,'Dec 31 2018 OFFS'!$W427),1))</f>
        <v>0</v>
      </c>
      <c r="AM427" s="274">
        <f t="shared" si="68"/>
        <v>0</v>
      </c>
    </row>
    <row r="428" spans="1:39" ht="12.7">
      <c r="A428" s="193" t="s">
        <v>909</v>
      </c>
      <c r="B428" s="40" t="s">
        <v>918</v>
      </c>
      <c r="C428" s="40" t="s">
        <v>1266</v>
      </c>
      <c r="D428" s="40" t="s">
        <v>17</v>
      </c>
      <c r="E428" s="40" t="s">
        <v>1056</v>
      </c>
      <c r="F428" s="40" t="s">
        <v>1051</v>
      </c>
      <c r="G428" s="41" t="s">
        <v>21</v>
      </c>
      <c r="H428" s="42">
        <v>42</v>
      </c>
      <c r="I428" s="43">
        <v>46</v>
      </c>
      <c r="J428" s="44">
        <v>8.52</v>
      </c>
      <c r="K428" s="45">
        <v>79</v>
      </c>
      <c r="L428" s="43">
        <v>53</v>
      </c>
      <c r="M428" s="46">
        <v>25.38</v>
      </c>
      <c r="N428" s="51" t="s">
        <v>22</v>
      </c>
      <c r="O428" s="42">
        <v>42</v>
      </c>
      <c r="P428" s="43">
        <v>45</v>
      </c>
      <c r="Q428" s="44">
        <v>31.02</v>
      </c>
      <c r="R428" s="45">
        <v>79</v>
      </c>
      <c r="S428" s="43">
        <v>53</v>
      </c>
      <c r="T428" s="46">
        <v>16.98</v>
      </c>
      <c r="U428" s="40">
        <v>2</v>
      </c>
      <c r="V428" s="47">
        <v>3848.0313846240001</v>
      </c>
      <c r="W428" s="48">
        <v>1978</v>
      </c>
      <c r="X428" s="40"/>
      <c r="Y428" s="52" t="s">
        <v>1081</v>
      </c>
      <c r="Z428" s="40" t="s">
        <v>910</v>
      </c>
      <c r="AA428" s="49">
        <f t="shared" si="61"/>
        <v>0</v>
      </c>
      <c r="AB428" s="71">
        <f t="shared" si="62"/>
        <v>0.80</v>
      </c>
      <c r="AC428" s="49">
        <f t="shared" si="63"/>
        <v>0</v>
      </c>
      <c r="AD428" s="50">
        <f t="shared" si="64"/>
        <v>0</v>
      </c>
      <c r="AE428" s="50">
        <f t="shared" si="65"/>
        <v>0</v>
      </c>
      <c r="AF428" s="50">
        <f t="shared" si="66"/>
        <v>0</v>
      </c>
      <c r="AG428" s="199">
        <f t="shared" si="67"/>
        <v>0</v>
      </c>
      <c r="AH428" s="187"/>
      <c r="AI428" s="185" t="s">
        <v>1456</v>
      </c>
      <c r="AJ428" s="185"/>
      <c r="AK428" s="277">
        <f t="shared" si="60"/>
        <v>3848.03</v>
      </c>
      <c r="AL428" s="25">
        <f>(SUMIFS('T1 2019 Pipeline Data Lagasco'!$O:$O,'T1 2019 Pipeline Data Lagasco'!$A:$A,'Dec 31 2018 OFFS'!$AI428,'T1 2019 Pipeline Data Lagasco'!$Q:$Q,'Dec 31 2018 OFFS'!$AK428,'T1 2019 Pipeline Data Lagasco'!$E:$E,'Dec 31 2018 OFFS'!$U428,'T1 2019 Pipeline Data Lagasco'!$G:$G,'Dec 31 2018 OFFS'!$W428))/(MAX(COUNTIFS('T1 2019 Pipeline Data Lagasco'!$A:$A,'Dec 31 2018 OFFS'!$AI428,'T1 2019 Pipeline Data Lagasco'!$Q:$Q,'Dec 31 2018 OFFS'!$AK428,'T1 2019 Pipeline Data Lagasco'!$E:$E,'Dec 31 2018 OFFS'!$U428,'T1 2019 Pipeline Data Lagasco'!$G:$G,'Dec 31 2018 OFFS'!$W428),1))</f>
        <v>0</v>
      </c>
      <c r="AM428" s="274">
        <f t="shared" si="68"/>
        <v>0</v>
      </c>
    </row>
    <row r="429" spans="1:39" ht="12.7">
      <c r="A429" s="193" t="s">
        <v>909</v>
      </c>
      <c r="B429" s="40" t="s">
        <v>918</v>
      </c>
      <c r="C429" s="40" t="s">
        <v>1266</v>
      </c>
      <c r="D429" s="40" t="s">
        <v>17</v>
      </c>
      <c r="E429" s="40" t="s">
        <v>1056</v>
      </c>
      <c r="F429" s="40" t="s">
        <v>1051</v>
      </c>
      <c r="G429" s="41" t="s">
        <v>930</v>
      </c>
      <c r="H429" s="42">
        <v>42</v>
      </c>
      <c r="I429" s="43">
        <v>46</v>
      </c>
      <c r="J429" s="44">
        <v>29.10</v>
      </c>
      <c r="K429" s="45">
        <v>79</v>
      </c>
      <c r="L429" s="43">
        <v>52</v>
      </c>
      <c r="M429" s="46">
        <v>12.18</v>
      </c>
      <c r="N429" s="41" t="s">
        <v>18</v>
      </c>
      <c r="O429" s="42">
        <v>42</v>
      </c>
      <c r="P429" s="43">
        <v>46</v>
      </c>
      <c r="Q429" s="44">
        <v>31.98</v>
      </c>
      <c r="R429" s="45">
        <v>79</v>
      </c>
      <c r="S429" s="43">
        <v>53</v>
      </c>
      <c r="T429" s="46">
        <v>36</v>
      </c>
      <c r="U429" s="40">
        <v>2</v>
      </c>
      <c r="V429" s="125">
        <v>6259</v>
      </c>
      <c r="W429" s="48">
        <v>1978</v>
      </c>
      <c r="X429" s="40"/>
      <c r="Y429" s="52"/>
      <c r="Z429" s="40" t="s">
        <v>910</v>
      </c>
      <c r="AA429" s="49">
        <f t="shared" si="61"/>
        <v>0</v>
      </c>
      <c r="AB429" s="71">
        <f t="shared" si="62"/>
        <v>0.80</v>
      </c>
      <c r="AC429" s="49">
        <f t="shared" si="63"/>
        <v>0</v>
      </c>
      <c r="AD429" s="50">
        <f t="shared" si="64"/>
        <v>0</v>
      </c>
      <c r="AE429" s="50">
        <f t="shared" si="65"/>
        <v>0</v>
      </c>
      <c r="AF429" s="50">
        <f t="shared" si="66"/>
        <v>0</v>
      </c>
      <c r="AG429" s="199">
        <f t="shared" si="67"/>
        <v>0</v>
      </c>
      <c r="AH429" s="187"/>
      <c r="AI429" s="185" t="s">
        <v>1456</v>
      </c>
      <c r="AJ429" s="185"/>
      <c r="AK429" s="277">
        <f t="shared" si="60"/>
        <v>6259</v>
      </c>
      <c r="AL429" s="25">
        <f>(SUMIFS('T1 2019 Pipeline Data Lagasco'!$O:$O,'T1 2019 Pipeline Data Lagasco'!$A:$A,'Dec 31 2018 OFFS'!$AI429,'T1 2019 Pipeline Data Lagasco'!$Q:$Q,'Dec 31 2018 OFFS'!$AK429,'T1 2019 Pipeline Data Lagasco'!$E:$E,'Dec 31 2018 OFFS'!$U429,'T1 2019 Pipeline Data Lagasco'!$G:$G,'Dec 31 2018 OFFS'!$W429))/(MAX(COUNTIFS('T1 2019 Pipeline Data Lagasco'!$A:$A,'Dec 31 2018 OFFS'!$AI429,'T1 2019 Pipeline Data Lagasco'!$Q:$Q,'Dec 31 2018 OFFS'!$AK429,'T1 2019 Pipeline Data Lagasco'!$E:$E,'Dec 31 2018 OFFS'!$U429,'T1 2019 Pipeline Data Lagasco'!$G:$G,'Dec 31 2018 OFFS'!$W429),1))</f>
        <v>0</v>
      </c>
      <c r="AM429" s="274">
        <f t="shared" si="68"/>
        <v>0</v>
      </c>
    </row>
    <row r="430" spans="1:39" ht="12.7">
      <c r="A430" s="193" t="s">
        <v>909</v>
      </c>
      <c r="B430" s="40" t="s">
        <v>918</v>
      </c>
      <c r="C430" s="40" t="s">
        <v>1266</v>
      </c>
      <c r="D430" s="40" t="s">
        <v>17</v>
      </c>
      <c r="E430" s="40" t="s">
        <v>1056</v>
      </c>
      <c r="F430" s="139" t="s">
        <v>1051</v>
      </c>
      <c r="G430" s="41" t="s">
        <v>1187</v>
      </c>
      <c r="H430" s="42">
        <v>42</v>
      </c>
      <c r="I430" s="43">
        <v>46</v>
      </c>
      <c r="J430" s="44">
        <v>46.98</v>
      </c>
      <c r="K430" s="45">
        <v>79</v>
      </c>
      <c r="L430" s="43">
        <v>51</v>
      </c>
      <c r="M430" s="46">
        <v>41.22</v>
      </c>
      <c r="N430" s="40" t="s">
        <v>20</v>
      </c>
      <c r="O430" s="42">
        <v>42</v>
      </c>
      <c r="P430" s="43">
        <v>45</v>
      </c>
      <c r="Q430" s="44">
        <v>45</v>
      </c>
      <c r="R430" s="45">
        <v>79</v>
      </c>
      <c r="S430" s="43">
        <v>50</v>
      </c>
      <c r="T430" s="46">
        <v>13.98</v>
      </c>
      <c r="U430" s="40">
        <v>2</v>
      </c>
      <c r="V430" s="47">
        <v>9035</v>
      </c>
      <c r="W430" s="48">
        <v>1978</v>
      </c>
      <c r="X430" s="40"/>
      <c r="Y430" s="52" t="s">
        <v>1081</v>
      </c>
      <c r="Z430" s="40" t="s">
        <v>910</v>
      </c>
      <c r="AA430" s="49">
        <f t="shared" si="61"/>
        <v>0</v>
      </c>
      <c r="AB430" s="71">
        <f t="shared" si="62"/>
        <v>0.80</v>
      </c>
      <c r="AC430" s="49">
        <f t="shared" si="63"/>
        <v>0</v>
      </c>
      <c r="AD430" s="50">
        <f t="shared" si="64"/>
        <v>0</v>
      </c>
      <c r="AE430" s="50">
        <f t="shared" si="65"/>
        <v>0</v>
      </c>
      <c r="AF430" s="50">
        <f t="shared" si="66"/>
        <v>0</v>
      </c>
      <c r="AG430" s="199">
        <f t="shared" si="67"/>
        <v>0</v>
      </c>
      <c r="AH430" s="187"/>
      <c r="AI430" s="185" t="s">
        <v>1456</v>
      </c>
      <c r="AJ430" s="185"/>
      <c r="AK430" s="277">
        <f t="shared" si="60"/>
        <v>9035</v>
      </c>
      <c r="AL430" s="25">
        <f>(SUMIFS('T1 2019 Pipeline Data Lagasco'!$O:$O,'T1 2019 Pipeline Data Lagasco'!$A:$A,'Dec 31 2018 OFFS'!$AI430,'T1 2019 Pipeline Data Lagasco'!$Q:$Q,'Dec 31 2018 OFFS'!$AK430,'T1 2019 Pipeline Data Lagasco'!$E:$E,'Dec 31 2018 OFFS'!$U430,'T1 2019 Pipeline Data Lagasco'!$G:$G,'Dec 31 2018 OFFS'!$W430))/(MAX(COUNTIFS('T1 2019 Pipeline Data Lagasco'!$A:$A,'Dec 31 2018 OFFS'!$AI430,'T1 2019 Pipeline Data Lagasco'!$Q:$Q,'Dec 31 2018 OFFS'!$AK430,'T1 2019 Pipeline Data Lagasco'!$E:$E,'Dec 31 2018 OFFS'!$U430,'T1 2019 Pipeline Data Lagasco'!$G:$G,'Dec 31 2018 OFFS'!$W430),1))</f>
        <v>0</v>
      </c>
      <c r="AM430" s="274">
        <f t="shared" si="68"/>
        <v>0</v>
      </c>
    </row>
    <row r="431" spans="1:39" ht="12.7">
      <c r="A431" s="193" t="s">
        <v>909</v>
      </c>
      <c r="B431" s="40" t="s">
        <v>918</v>
      </c>
      <c r="C431" s="40" t="s">
        <v>1266</v>
      </c>
      <c r="D431" s="40" t="s">
        <v>17</v>
      </c>
      <c r="E431" s="40" t="s">
        <v>1056</v>
      </c>
      <c r="F431" s="40"/>
      <c r="G431" s="41" t="s">
        <v>20</v>
      </c>
      <c r="H431" s="42">
        <v>42</v>
      </c>
      <c r="I431" s="43">
        <v>45</v>
      </c>
      <c r="J431" s="44">
        <v>45</v>
      </c>
      <c r="K431" s="45">
        <v>79</v>
      </c>
      <c r="L431" s="43">
        <v>50</v>
      </c>
      <c r="M431" s="46">
        <v>13.98</v>
      </c>
      <c r="N431" s="40" t="s">
        <v>34</v>
      </c>
      <c r="O431" s="42">
        <v>42</v>
      </c>
      <c r="P431" s="43">
        <v>46</v>
      </c>
      <c r="Q431" s="44">
        <v>10.02</v>
      </c>
      <c r="R431" s="45">
        <v>79</v>
      </c>
      <c r="S431" s="43">
        <v>49</v>
      </c>
      <c r="T431" s="46">
        <v>16.98</v>
      </c>
      <c r="U431" s="40">
        <v>3</v>
      </c>
      <c r="V431" s="47">
        <v>4949.4749222799992</v>
      </c>
      <c r="W431" s="48">
        <v>1996</v>
      </c>
      <c r="X431" s="40"/>
      <c r="Y431" s="52" t="s">
        <v>1081</v>
      </c>
      <c r="Z431" s="40" t="s">
        <v>910</v>
      </c>
      <c r="AA431" s="49">
        <f t="shared" si="61"/>
        <v>116758.11341658518</v>
      </c>
      <c r="AB431" s="71">
        <f t="shared" si="62"/>
        <v>0.66</v>
      </c>
      <c r="AC431" s="49">
        <f t="shared" si="63"/>
        <v>39697.76</v>
      </c>
      <c r="AD431" s="50">
        <f t="shared" si="64"/>
        <v>0</v>
      </c>
      <c r="AE431" s="50">
        <f t="shared" si="65"/>
        <v>0</v>
      </c>
      <c r="AF431" s="50">
        <f t="shared" si="66"/>
        <v>39697.76</v>
      </c>
      <c r="AG431" s="199">
        <f t="shared" si="67"/>
        <v>39697</v>
      </c>
      <c r="AH431" s="187"/>
      <c r="AI431" s="185" t="s">
        <v>1456</v>
      </c>
      <c r="AJ431" s="185"/>
      <c r="AK431" s="277">
        <f t="shared" si="60"/>
        <v>4949.47</v>
      </c>
      <c r="AL431" s="25">
        <f>(SUMIFS('T1 2019 Pipeline Data Lagasco'!$O:$O,'T1 2019 Pipeline Data Lagasco'!$A:$A,'Dec 31 2018 OFFS'!$AI431,'T1 2019 Pipeline Data Lagasco'!$Q:$Q,'Dec 31 2018 OFFS'!$AK431,'T1 2019 Pipeline Data Lagasco'!$E:$E,'Dec 31 2018 OFFS'!$U431,'T1 2019 Pipeline Data Lagasco'!$G:$G,'Dec 31 2018 OFFS'!$W431))/(MAX(COUNTIFS('T1 2019 Pipeline Data Lagasco'!$A:$A,'Dec 31 2018 OFFS'!$AI431,'T1 2019 Pipeline Data Lagasco'!$Q:$Q,'Dec 31 2018 OFFS'!$AK431,'T1 2019 Pipeline Data Lagasco'!$E:$E,'Dec 31 2018 OFFS'!$U431,'T1 2019 Pipeline Data Lagasco'!$G:$G,'Dec 31 2018 OFFS'!$W431),1))</f>
        <v>39697</v>
      </c>
      <c r="AM431" s="274">
        <f t="shared" si="68"/>
        <v>0</v>
      </c>
    </row>
    <row r="432" spans="1:39" ht="12.7">
      <c r="A432" s="193" t="s">
        <v>909</v>
      </c>
      <c r="B432" s="40" t="s">
        <v>918</v>
      </c>
      <c r="C432" s="40" t="s">
        <v>1266</v>
      </c>
      <c r="D432" s="40" t="s">
        <v>17</v>
      </c>
      <c r="E432" s="40" t="s">
        <v>1056</v>
      </c>
      <c r="F432" s="40"/>
      <c r="G432" s="41" t="s">
        <v>19</v>
      </c>
      <c r="H432" s="42">
        <v>42</v>
      </c>
      <c r="I432" s="43">
        <v>45</v>
      </c>
      <c r="J432" s="44">
        <v>49.08</v>
      </c>
      <c r="K432" s="45">
        <v>79</v>
      </c>
      <c r="L432" s="43">
        <v>51</v>
      </c>
      <c r="M432" s="46">
        <v>50.88</v>
      </c>
      <c r="N432" s="51" t="s">
        <v>20</v>
      </c>
      <c r="O432" s="42">
        <v>42</v>
      </c>
      <c r="P432" s="43">
        <v>45</v>
      </c>
      <c r="Q432" s="44">
        <v>45</v>
      </c>
      <c r="R432" s="45">
        <v>79</v>
      </c>
      <c r="S432" s="43">
        <v>50</v>
      </c>
      <c r="T432" s="46">
        <v>13.98</v>
      </c>
      <c r="U432" s="40">
        <v>3</v>
      </c>
      <c r="V432" s="47">
        <v>7240.6493966099988</v>
      </c>
      <c r="W432" s="48">
        <v>1974</v>
      </c>
      <c r="X432" s="40"/>
      <c r="Y432" s="52" t="s">
        <v>1081</v>
      </c>
      <c r="Z432" s="40" t="s">
        <v>910</v>
      </c>
      <c r="AA432" s="49">
        <f t="shared" si="61"/>
        <v>170806.91926602987</v>
      </c>
      <c r="AB432" s="71">
        <f t="shared" si="62"/>
        <v>0.80</v>
      </c>
      <c r="AC432" s="49">
        <f t="shared" si="63"/>
        <v>34161.379999999997</v>
      </c>
      <c r="AD432" s="50">
        <f t="shared" si="64"/>
        <v>0</v>
      </c>
      <c r="AE432" s="50">
        <f t="shared" si="65"/>
        <v>0</v>
      </c>
      <c r="AF432" s="50">
        <f t="shared" si="66"/>
        <v>34161.379999999997</v>
      </c>
      <c r="AG432" s="199">
        <f t="shared" si="67"/>
        <v>34161</v>
      </c>
      <c r="AH432" s="187"/>
      <c r="AI432" s="185" t="s">
        <v>1456</v>
      </c>
      <c r="AJ432" s="185"/>
      <c r="AK432" s="277">
        <f t="shared" si="60"/>
        <v>7240.65</v>
      </c>
      <c r="AL432" s="25">
        <f>(SUMIFS('T1 2019 Pipeline Data Lagasco'!$O:$O,'T1 2019 Pipeline Data Lagasco'!$A:$A,'Dec 31 2018 OFFS'!$AI432,'T1 2019 Pipeline Data Lagasco'!$Q:$Q,'Dec 31 2018 OFFS'!$AK432,'T1 2019 Pipeline Data Lagasco'!$E:$E,'Dec 31 2018 OFFS'!$U432,'T1 2019 Pipeline Data Lagasco'!$G:$G,'Dec 31 2018 OFFS'!$W432))/(MAX(COUNTIFS('T1 2019 Pipeline Data Lagasco'!$A:$A,'Dec 31 2018 OFFS'!$AI432,'T1 2019 Pipeline Data Lagasco'!$Q:$Q,'Dec 31 2018 OFFS'!$AK432,'T1 2019 Pipeline Data Lagasco'!$E:$E,'Dec 31 2018 OFFS'!$U432,'T1 2019 Pipeline Data Lagasco'!$G:$G,'Dec 31 2018 OFFS'!$W432),1))</f>
        <v>34161</v>
      </c>
      <c r="AM432" s="274">
        <f t="shared" si="68"/>
        <v>0</v>
      </c>
    </row>
    <row r="433" spans="1:39" ht="12.7">
      <c r="A433" s="193" t="s">
        <v>909</v>
      </c>
      <c r="B433" s="40" t="s">
        <v>918</v>
      </c>
      <c r="C433" s="40" t="s">
        <v>1266</v>
      </c>
      <c r="D433" s="40" t="s">
        <v>17</v>
      </c>
      <c r="E433" s="40" t="s">
        <v>1056</v>
      </c>
      <c r="F433" s="40" t="s">
        <v>1051</v>
      </c>
      <c r="G433" s="41" t="s">
        <v>931</v>
      </c>
      <c r="H433" s="42">
        <v>42</v>
      </c>
      <c r="I433" s="43">
        <v>45</v>
      </c>
      <c r="J433" s="44">
        <v>50.82</v>
      </c>
      <c r="K433" s="45">
        <v>79</v>
      </c>
      <c r="L433" s="43">
        <v>52</v>
      </c>
      <c r="M433" s="46">
        <v>25.32</v>
      </c>
      <c r="N433" s="41" t="s">
        <v>19</v>
      </c>
      <c r="O433" s="42">
        <v>42</v>
      </c>
      <c r="P433" s="43">
        <v>45</v>
      </c>
      <c r="Q433" s="44">
        <v>49.08</v>
      </c>
      <c r="R433" s="45">
        <v>79</v>
      </c>
      <c r="S433" s="43">
        <v>51</v>
      </c>
      <c r="T433" s="46">
        <v>50.88</v>
      </c>
      <c r="U433" s="40">
        <v>2</v>
      </c>
      <c r="V433" s="125">
        <v>2575</v>
      </c>
      <c r="W433" s="48">
        <v>1986</v>
      </c>
      <c r="X433" s="40"/>
      <c r="Y433" s="52"/>
      <c r="Z433" s="40" t="s">
        <v>910</v>
      </c>
      <c r="AA433" s="49">
        <f t="shared" si="61"/>
        <v>0</v>
      </c>
      <c r="AB433" s="71">
        <f t="shared" si="62"/>
        <v>0.79</v>
      </c>
      <c r="AC433" s="49">
        <f t="shared" si="63"/>
        <v>0</v>
      </c>
      <c r="AD433" s="50">
        <f t="shared" si="64"/>
        <v>0</v>
      </c>
      <c r="AE433" s="50">
        <f t="shared" si="65"/>
        <v>0</v>
      </c>
      <c r="AF433" s="50">
        <f t="shared" si="66"/>
        <v>0</v>
      </c>
      <c r="AG433" s="199">
        <f t="shared" si="67"/>
        <v>0</v>
      </c>
      <c r="AH433" s="187"/>
      <c r="AI433" s="185" t="s">
        <v>1456</v>
      </c>
      <c r="AJ433" s="185"/>
      <c r="AK433" s="277">
        <f t="shared" si="60"/>
        <v>2575</v>
      </c>
      <c r="AL433" s="25">
        <f>(SUMIFS('T1 2019 Pipeline Data Lagasco'!$O:$O,'T1 2019 Pipeline Data Lagasco'!$A:$A,'Dec 31 2018 OFFS'!$AI433,'T1 2019 Pipeline Data Lagasco'!$Q:$Q,'Dec 31 2018 OFFS'!$AK433,'T1 2019 Pipeline Data Lagasco'!$E:$E,'Dec 31 2018 OFFS'!$U433,'T1 2019 Pipeline Data Lagasco'!$G:$G,'Dec 31 2018 OFFS'!$W433))/(MAX(COUNTIFS('T1 2019 Pipeline Data Lagasco'!$A:$A,'Dec 31 2018 OFFS'!$AI433,'T1 2019 Pipeline Data Lagasco'!$Q:$Q,'Dec 31 2018 OFFS'!$AK433,'T1 2019 Pipeline Data Lagasco'!$E:$E,'Dec 31 2018 OFFS'!$U433,'T1 2019 Pipeline Data Lagasco'!$G:$G,'Dec 31 2018 OFFS'!$W433),1))</f>
        <v>0</v>
      </c>
      <c r="AM433" s="274">
        <f t="shared" si="68"/>
        <v>0</v>
      </c>
    </row>
    <row r="434" spans="1:39" ht="12.7">
      <c r="A434" s="193" t="s">
        <v>909</v>
      </c>
      <c r="B434" s="40" t="s">
        <v>918</v>
      </c>
      <c r="C434" s="40" t="s">
        <v>1266</v>
      </c>
      <c r="D434" s="40" t="s">
        <v>17</v>
      </c>
      <c r="E434" s="40" t="s">
        <v>1056</v>
      </c>
      <c r="F434" s="40" t="s">
        <v>1051</v>
      </c>
      <c r="G434" s="41" t="s">
        <v>22</v>
      </c>
      <c r="H434" s="42">
        <v>42</v>
      </c>
      <c r="I434" s="43">
        <v>45</v>
      </c>
      <c r="J434" s="44">
        <v>31.02</v>
      </c>
      <c r="K434" s="45">
        <v>79</v>
      </c>
      <c r="L434" s="43">
        <v>53</v>
      </c>
      <c r="M434" s="46">
        <v>16.98</v>
      </c>
      <c r="N434" s="51" t="s">
        <v>23</v>
      </c>
      <c r="O434" s="42">
        <v>42</v>
      </c>
      <c r="P434" s="43">
        <v>44</v>
      </c>
      <c r="Q434" s="44">
        <v>46.98</v>
      </c>
      <c r="R434" s="45">
        <v>79</v>
      </c>
      <c r="S434" s="43">
        <v>52</v>
      </c>
      <c r="T434" s="46">
        <v>45.48</v>
      </c>
      <c r="U434" s="40">
        <v>2</v>
      </c>
      <c r="V434" s="47">
        <v>5040.3541847399993</v>
      </c>
      <c r="W434" s="48">
        <v>1986</v>
      </c>
      <c r="X434" s="40"/>
      <c r="Y434" s="52" t="s">
        <v>1081</v>
      </c>
      <c r="Z434" s="40" t="s">
        <v>910</v>
      </c>
      <c r="AA434" s="49">
        <f t="shared" si="61"/>
        <v>0</v>
      </c>
      <c r="AB434" s="71">
        <f t="shared" si="62"/>
        <v>0.79</v>
      </c>
      <c r="AC434" s="49">
        <f t="shared" si="63"/>
        <v>0</v>
      </c>
      <c r="AD434" s="50">
        <f t="shared" si="64"/>
        <v>0</v>
      </c>
      <c r="AE434" s="50">
        <f t="shared" si="65"/>
        <v>0</v>
      </c>
      <c r="AF434" s="50">
        <f t="shared" si="66"/>
        <v>0</v>
      </c>
      <c r="AG434" s="199">
        <f t="shared" si="67"/>
        <v>0</v>
      </c>
      <c r="AH434" s="187"/>
      <c r="AI434" s="185" t="s">
        <v>1456</v>
      </c>
      <c r="AJ434" s="185"/>
      <c r="AK434" s="277">
        <f t="shared" si="60"/>
        <v>5040.3500000000004</v>
      </c>
      <c r="AL434" s="25">
        <f>(SUMIFS('T1 2019 Pipeline Data Lagasco'!$O:$O,'T1 2019 Pipeline Data Lagasco'!$A:$A,'Dec 31 2018 OFFS'!$AI434,'T1 2019 Pipeline Data Lagasco'!$Q:$Q,'Dec 31 2018 OFFS'!$AK434,'T1 2019 Pipeline Data Lagasco'!$E:$E,'Dec 31 2018 OFFS'!$U434,'T1 2019 Pipeline Data Lagasco'!$G:$G,'Dec 31 2018 OFFS'!$W434))/(MAX(COUNTIFS('T1 2019 Pipeline Data Lagasco'!$A:$A,'Dec 31 2018 OFFS'!$AI434,'T1 2019 Pipeline Data Lagasco'!$Q:$Q,'Dec 31 2018 OFFS'!$AK434,'T1 2019 Pipeline Data Lagasco'!$E:$E,'Dec 31 2018 OFFS'!$U434,'T1 2019 Pipeline Data Lagasco'!$G:$G,'Dec 31 2018 OFFS'!$W434),1))</f>
        <v>0</v>
      </c>
      <c r="AM434" s="274">
        <f t="shared" si="68"/>
        <v>0</v>
      </c>
    </row>
    <row r="435" spans="1:39" ht="12.7">
      <c r="A435" s="193" t="s">
        <v>909</v>
      </c>
      <c r="B435" s="40" t="s">
        <v>918</v>
      </c>
      <c r="C435" s="40" t="s">
        <v>1266</v>
      </c>
      <c r="D435" s="40" t="s">
        <v>17</v>
      </c>
      <c r="E435" s="40" t="s">
        <v>37</v>
      </c>
      <c r="F435" s="40"/>
      <c r="G435" s="41" t="s">
        <v>1280</v>
      </c>
      <c r="H435" s="42">
        <v>42</v>
      </c>
      <c r="I435" s="43">
        <v>48</v>
      </c>
      <c r="J435" s="44">
        <v>47.58</v>
      </c>
      <c r="K435" s="45">
        <v>79</v>
      </c>
      <c r="L435" s="43">
        <v>48</v>
      </c>
      <c r="M435" s="46">
        <v>12.72</v>
      </c>
      <c r="N435" s="41" t="s">
        <v>1228</v>
      </c>
      <c r="O435" s="42">
        <v>42</v>
      </c>
      <c r="P435" s="43">
        <v>48</v>
      </c>
      <c r="Q435" s="44">
        <f>60*0.146</f>
        <v>8.76</v>
      </c>
      <c r="R435" s="45">
        <v>79</v>
      </c>
      <c r="S435" s="43">
        <v>47</v>
      </c>
      <c r="T435" s="46">
        <f>60*0.517</f>
        <v>31.02</v>
      </c>
      <c r="U435" s="40">
        <v>3</v>
      </c>
      <c r="V435" s="47">
        <v>5005</v>
      </c>
      <c r="W435" s="48">
        <v>2006</v>
      </c>
      <c r="X435" s="40"/>
      <c r="Y435" s="52"/>
      <c r="Z435" s="40" t="s">
        <v>910</v>
      </c>
      <c r="AA435" s="49">
        <f t="shared" si="61"/>
        <v>118067.95</v>
      </c>
      <c r="AB435" s="71">
        <f t="shared" si="62"/>
        <v>0.52</v>
      </c>
      <c r="AC435" s="49">
        <f t="shared" si="63"/>
        <v>56672.62</v>
      </c>
      <c r="AD435" s="50">
        <f t="shared" si="64"/>
        <v>0</v>
      </c>
      <c r="AE435" s="50">
        <f t="shared" si="65"/>
        <v>0</v>
      </c>
      <c r="AF435" s="50">
        <f t="shared" si="66"/>
        <v>56672.62</v>
      </c>
      <c r="AG435" s="199">
        <f t="shared" si="67"/>
        <v>56672</v>
      </c>
      <c r="AH435" s="187"/>
      <c r="AI435" s="185" t="s">
        <v>1456</v>
      </c>
      <c r="AJ435" s="185"/>
      <c r="AK435" s="277">
        <f t="shared" si="60"/>
        <v>5005</v>
      </c>
      <c r="AL435" s="25">
        <f>(SUMIFS('T1 2019 Pipeline Data Lagasco'!$O:$O,'T1 2019 Pipeline Data Lagasco'!$A:$A,'Dec 31 2018 OFFS'!$AI435,'T1 2019 Pipeline Data Lagasco'!$Q:$Q,'Dec 31 2018 OFFS'!$AK435,'T1 2019 Pipeline Data Lagasco'!$E:$E,'Dec 31 2018 OFFS'!$U435,'T1 2019 Pipeline Data Lagasco'!$G:$G,'Dec 31 2018 OFFS'!$W435))/(MAX(COUNTIFS('T1 2019 Pipeline Data Lagasco'!$A:$A,'Dec 31 2018 OFFS'!$AI435,'T1 2019 Pipeline Data Lagasco'!$Q:$Q,'Dec 31 2018 OFFS'!$AK435,'T1 2019 Pipeline Data Lagasco'!$E:$E,'Dec 31 2018 OFFS'!$U435,'T1 2019 Pipeline Data Lagasco'!$G:$G,'Dec 31 2018 OFFS'!$W435),1))</f>
        <v>56672</v>
      </c>
      <c r="AM435" s="274">
        <f t="shared" si="68"/>
        <v>0</v>
      </c>
    </row>
    <row r="436" spans="1:39" ht="12.7">
      <c r="A436" s="193" t="s">
        <v>909</v>
      </c>
      <c r="B436" s="40" t="s">
        <v>918</v>
      </c>
      <c r="C436" s="40" t="s">
        <v>1266</v>
      </c>
      <c r="D436" s="40" t="s">
        <v>17</v>
      </c>
      <c r="E436" s="40" t="s">
        <v>37</v>
      </c>
      <c r="F436" s="40" t="s">
        <v>1051</v>
      </c>
      <c r="G436" s="41" t="s">
        <v>35</v>
      </c>
      <c r="H436" s="42">
        <v>42</v>
      </c>
      <c r="I436" s="43">
        <v>48</v>
      </c>
      <c r="J436" s="44">
        <v>10.98</v>
      </c>
      <c r="K436" s="45">
        <v>79</v>
      </c>
      <c r="L436" s="43">
        <v>48</v>
      </c>
      <c r="M436" s="46">
        <v>45</v>
      </c>
      <c r="N436" s="40" t="s">
        <v>36</v>
      </c>
      <c r="O436" s="42">
        <v>42</v>
      </c>
      <c r="P436" s="43">
        <v>48</v>
      </c>
      <c r="Q436" s="44">
        <v>45</v>
      </c>
      <c r="R436" s="45">
        <v>79</v>
      </c>
      <c r="S436" s="43">
        <v>49</v>
      </c>
      <c r="T436" s="46">
        <v>40.020000000000003</v>
      </c>
      <c r="U436" s="40">
        <v>3</v>
      </c>
      <c r="V436" s="47">
        <v>5356.0693986939996</v>
      </c>
      <c r="W436" s="48">
        <v>1981</v>
      </c>
      <c r="X436" s="40"/>
      <c r="Y436" s="52" t="s">
        <v>1081</v>
      </c>
      <c r="Z436" s="40" t="s">
        <v>910</v>
      </c>
      <c r="AA436" s="49">
        <f t="shared" si="61"/>
        <v>0</v>
      </c>
      <c r="AB436" s="71">
        <f t="shared" si="62"/>
        <v>0.80</v>
      </c>
      <c r="AC436" s="49">
        <f t="shared" si="63"/>
        <v>0</v>
      </c>
      <c r="AD436" s="50">
        <f t="shared" si="64"/>
        <v>0</v>
      </c>
      <c r="AE436" s="50">
        <f t="shared" si="65"/>
        <v>0</v>
      </c>
      <c r="AF436" s="50">
        <f t="shared" si="66"/>
        <v>0</v>
      </c>
      <c r="AG436" s="199">
        <f t="shared" si="67"/>
        <v>0</v>
      </c>
      <c r="AH436" s="187"/>
      <c r="AI436" s="185" t="s">
        <v>1456</v>
      </c>
      <c r="AJ436" s="185"/>
      <c r="AK436" s="277">
        <f t="shared" si="60"/>
        <v>5356.07</v>
      </c>
      <c r="AL436" s="25">
        <f>(SUMIFS('T1 2019 Pipeline Data Lagasco'!$O:$O,'T1 2019 Pipeline Data Lagasco'!$A:$A,'Dec 31 2018 OFFS'!$AI436,'T1 2019 Pipeline Data Lagasco'!$Q:$Q,'Dec 31 2018 OFFS'!$AK436,'T1 2019 Pipeline Data Lagasco'!$E:$E,'Dec 31 2018 OFFS'!$U436,'T1 2019 Pipeline Data Lagasco'!$G:$G,'Dec 31 2018 OFFS'!$W436))/(MAX(COUNTIFS('T1 2019 Pipeline Data Lagasco'!$A:$A,'Dec 31 2018 OFFS'!$AI436,'T1 2019 Pipeline Data Lagasco'!$Q:$Q,'Dec 31 2018 OFFS'!$AK436,'T1 2019 Pipeline Data Lagasco'!$E:$E,'Dec 31 2018 OFFS'!$U436,'T1 2019 Pipeline Data Lagasco'!$G:$G,'Dec 31 2018 OFFS'!$W436),1))</f>
        <v>0</v>
      </c>
      <c r="AM436" s="274">
        <f t="shared" si="68"/>
        <v>0</v>
      </c>
    </row>
    <row r="437" spans="1:39" ht="12.7">
      <c r="A437" s="193" t="s">
        <v>909</v>
      </c>
      <c r="B437" s="40" t="s">
        <v>918</v>
      </c>
      <c r="C437" s="40" t="s">
        <v>1266</v>
      </c>
      <c r="D437" s="40" t="s">
        <v>17</v>
      </c>
      <c r="E437" s="40" t="s">
        <v>37</v>
      </c>
      <c r="F437" s="40"/>
      <c r="G437" s="41" t="s">
        <v>1228</v>
      </c>
      <c r="H437" s="42">
        <v>42</v>
      </c>
      <c r="I437" s="43">
        <v>48</v>
      </c>
      <c r="J437" s="44">
        <f>60*0.146</f>
        <v>8.76</v>
      </c>
      <c r="K437" s="45">
        <v>79</v>
      </c>
      <c r="L437" s="43">
        <v>47</v>
      </c>
      <c r="M437" s="46">
        <f>60*0.517</f>
        <v>31.02</v>
      </c>
      <c r="N437" s="41" t="s">
        <v>1229</v>
      </c>
      <c r="O437" s="42">
        <v>42</v>
      </c>
      <c r="P437" s="43">
        <v>47</v>
      </c>
      <c r="Q437" s="44">
        <f>60*0.398</f>
        <v>23.880000000000003</v>
      </c>
      <c r="R437" s="45">
        <v>79</v>
      </c>
      <c r="S437" s="43">
        <v>47</v>
      </c>
      <c r="T437" s="46">
        <f>60*0.53</f>
        <v>31.80</v>
      </c>
      <c r="U437" s="40">
        <v>3</v>
      </c>
      <c r="V437" s="47">
        <v>4510</v>
      </c>
      <c r="W437" s="48">
        <v>2005</v>
      </c>
      <c r="X437" s="40"/>
      <c r="Y437" s="52"/>
      <c r="Z437" s="40" t="s">
        <v>910</v>
      </c>
      <c r="AA437" s="49">
        <f t="shared" si="61"/>
        <v>106390.90</v>
      </c>
      <c r="AB437" s="71">
        <f t="shared" si="62"/>
        <v>0.54</v>
      </c>
      <c r="AC437" s="49">
        <f t="shared" si="63"/>
        <v>48939.81</v>
      </c>
      <c r="AD437" s="50">
        <f t="shared" si="64"/>
        <v>0</v>
      </c>
      <c r="AE437" s="50">
        <f t="shared" si="65"/>
        <v>0</v>
      </c>
      <c r="AF437" s="50">
        <f t="shared" si="66"/>
        <v>48939.81</v>
      </c>
      <c r="AG437" s="199">
        <f t="shared" si="67"/>
        <v>48939</v>
      </c>
      <c r="AH437" s="187"/>
      <c r="AI437" s="185" t="s">
        <v>1456</v>
      </c>
      <c r="AJ437" s="185"/>
      <c r="AK437" s="277">
        <f t="shared" si="60"/>
        <v>4510</v>
      </c>
      <c r="AL437" s="25">
        <f>(SUMIFS('T1 2019 Pipeline Data Lagasco'!$O:$O,'T1 2019 Pipeline Data Lagasco'!$A:$A,'Dec 31 2018 OFFS'!$AI437,'T1 2019 Pipeline Data Lagasco'!$Q:$Q,'Dec 31 2018 OFFS'!$AK437,'T1 2019 Pipeline Data Lagasco'!$E:$E,'Dec 31 2018 OFFS'!$U437,'T1 2019 Pipeline Data Lagasco'!$G:$G,'Dec 31 2018 OFFS'!$W437))/(MAX(COUNTIFS('T1 2019 Pipeline Data Lagasco'!$A:$A,'Dec 31 2018 OFFS'!$AI437,'T1 2019 Pipeline Data Lagasco'!$Q:$Q,'Dec 31 2018 OFFS'!$AK437,'T1 2019 Pipeline Data Lagasco'!$E:$E,'Dec 31 2018 OFFS'!$U437,'T1 2019 Pipeline Data Lagasco'!$G:$G,'Dec 31 2018 OFFS'!$W437),1))</f>
        <v>48939</v>
      </c>
      <c r="AM437" s="274">
        <f t="shared" si="68"/>
        <v>0</v>
      </c>
    </row>
    <row r="438" spans="1:39" ht="12.7">
      <c r="A438" s="193" t="s">
        <v>909</v>
      </c>
      <c r="B438" s="40" t="s">
        <v>918</v>
      </c>
      <c r="C438" s="40" t="s">
        <v>1266</v>
      </c>
      <c r="D438" s="40" t="s">
        <v>17</v>
      </c>
      <c r="E438" s="40" t="s">
        <v>37</v>
      </c>
      <c r="F438" s="40"/>
      <c r="G438" s="41" t="s">
        <v>1225</v>
      </c>
      <c r="H438" s="42">
        <v>42</v>
      </c>
      <c r="I438" s="43">
        <v>47</v>
      </c>
      <c r="J438" s="44">
        <f>60*0.021</f>
        <v>1.26</v>
      </c>
      <c r="K438" s="45">
        <v>79</v>
      </c>
      <c r="L438" s="43">
        <v>45</v>
      </c>
      <c r="M438" s="46">
        <f>60*0.578</f>
        <v>34.68</v>
      </c>
      <c r="N438" s="41" t="s">
        <v>44</v>
      </c>
      <c r="O438" s="42">
        <v>42</v>
      </c>
      <c r="P438" s="43">
        <v>46</v>
      </c>
      <c r="Q438" s="44">
        <f>60*0.526</f>
        <v>31.56</v>
      </c>
      <c r="R438" s="45">
        <v>79</v>
      </c>
      <c r="S438" s="43">
        <v>46</v>
      </c>
      <c r="T438" s="46">
        <f>60*0.47</f>
        <v>28.20</v>
      </c>
      <c r="U438" s="40">
        <v>3</v>
      </c>
      <c r="V438" s="47">
        <v>4936</v>
      </c>
      <c r="W438" s="48">
        <v>2005</v>
      </c>
      <c r="X438" s="40"/>
      <c r="Y438" s="52"/>
      <c r="Z438" s="40" t="s">
        <v>910</v>
      </c>
      <c r="AA438" s="49">
        <f t="shared" si="61"/>
        <v>116440.24</v>
      </c>
      <c r="AB438" s="71">
        <f t="shared" si="62"/>
        <v>0.54</v>
      </c>
      <c r="AC438" s="49">
        <f t="shared" si="63"/>
        <v>53562.51</v>
      </c>
      <c r="AD438" s="50">
        <f t="shared" si="64"/>
        <v>0</v>
      </c>
      <c r="AE438" s="50">
        <f t="shared" si="65"/>
        <v>0</v>
      </c>
      <c r="AF438" s="50">
        <f t="shared" si="66"/>
        <v>53562.51</v>
      </c>
      <c r="AG438" s="199">
        <f t="shared" si="67"/>
        <v>53562</v>
      </c>
      <c r="AH438" s="187"/>
      <c r="AI438" s="185" t="s">
        <v>1456</v>
      </c>
      <c r="AJ438" s="185"/>
      <c r="AK438" s="277">
        <f t="shared" si="60"/>
        <v>4936</v>
      </c>
      <c r="AL438" s="25">
        <f>(SUMIFS('T1 2019 Pipeline Data Lagasco'!$O:$O,'T1 2019 Pipeline Data Lagasco'!$A:$A,'Dec 31 2018 OFFS'!$AI438,'T1 2019 Pipeline Data Lagasco'!$Q:$Q,'Dec 31 2018 OFFS'!$AK438,'T1 2019 Pipeline Data Lagasco'!$E:$E,'Dec 31 2018 OFFS'!$U438,'T1 2019 Pipeline Data Lagasco'!$G:$G,'Dec 31 2018 OFFS'!$W438))/(MAX(COUNTIFS('T1 2019 Pipeline Data Lagasco'!$A:$A,'Dec 31 2018 OFFS'!$AI438,'T1 2019 Pipeline Data Lagasco'!$Q:$Q,'Dec 31 2018 OFFS'!$AK438,'T1 2019 Pipeline Data Lagasco'!$E:$E,'Dec 31 2018 OFFS'!$U438,'T1 2019 Pipeline Data Lagasco'!$G:$G,'Dec 31 2018 OFFS'!$W438),1))</f>
        <v>53562</v>
      </c>
      <c r="AM438" s="274">
        <f t="shared" si="68"/>
        <v>0</v>
      </c>
    </row>
    <row r="439" spans="1:39" ht="12.7">
      <c r="A439" s="193" t="s">
        <v>909</v>
      </c>
      <c r="B439" s="40" t="s">
        <v>918</v>
      </c>
      <c r="C439" s="40" t="s">
        <v>1266</v>
      </c>
      <c r="D439" s="40" t="s">
        <v>17</v>
      </c>
      <c r="E439" s="40" t="s">
        <v>37</v>
      </c>
      <c r="F439" s="40"/>
      <c r="G439" s="41" t="s">
        <v>38</v>
      </c>
      <c r="H439" s="42">
        <v>42</v>
      </c>
      <c r="I439" s="43">
        <v>47</v>
      </c>
      <c r="J439" s="44">
        <v>46.02</v>
      </c>
      <c r="K439" s="45">
        <v>79</v>
      </c>
      <c r="L439" s="43">
        <v>46</v>
      </c>
      <c r="M439" s="46">
        <v>16.02</v>
      </c>
      <c r="N439" s="40" t="s">
        <v>39</v>
      </c>
      <c r="O439" s="42">
        <v>42</v>
      </c>
      <c r="P439" s="43">
        <v>48</v>
      </c>
      <c r="Q439" s="44">
        <v>39</v>
      </c>
      <c r="R439" s="45">
        <v>79</v>
      </c>
      <c r="S439" s="43">
        <v>46</v>
      </c>
      <c r="T439" s="46">
        <v>45</v>
      </c>
      <c r="U439" s="40">
        <v>3</v>
      </c>
      <c r="V439" s="47">
        <v>5782.8738482759991</v>
      </c>
      <c r="W439" s="48">
        <v>1977</v>
      </c>
      <c r="X439" s="40"/>
      <c r="Y439" s="52" t="s">
        <v>1081</v>
      </c>
      <c r="Z439" s="40" t="s">
        <v>910</v>
      </c>
      <c r="AA439" s="49">
        <f t="shared" si="61"/>
        <v>136417.99408083083</v>
      </c>
      <c r="AB439" s="71">
        <f t="shared" si="62"/>
        <v>0.80</v>
      </c>
      <c r="AC439" s="49">
        <f t="shared" si="63"/>
        <v>27283.60</v>
      </c>
      <c r="AD439" s="50">
        <f t="shared" si="64"/>
        <v>0</v>
      </c>
      <c r="AE439" s="50">
        <f t="shared" si="65"/>
        <v>0</v>
      </c>
      <c r="AF439" s="50">
        <f t="shared" si="66"/>
        <v>27283.60</v>
      </c>
      <c r="AG439" s="199">
        <f t="shared" si="67"/>
        <v>27283</v>
      </c>
      <c r="AH439" s="187"/>
      <c r="AI439" s="185" t="s">
        <v>1456</v>
      </c>
      <c r="AJ439" s="185"/>
      <c r="AK439" s="277">
        <f t="shared" si="60"/>
        <v>5782.87</v>
      </c>
      <c r="AL439" s="25">
        <f>(SUMIFS('T1 2019 Pipeline Data Lagasco'!$O:$O,'T1 2019 Pipeline Data Lagasco'!$A:$A,'Dec 31 2018 OFFS'!$AI439,'T1 2019 Pipeline Data Lagasco'!$Q:$Q,'Dec 31 2018 OFFS'!$AK439,'T1 2019 Pipeline Data Lagasco'!$E:$E,'Dec 31 2018 OFFS'!$U439,'T1 2019 Pipeline Data Lagasco'!$G:$G,'Dec 31 2018 OFFS'!$W439))/(MAX(COUNTIFS('T1 2019 Pipeline Data Lagasco'!$A:$A,'Dec 31 2018 OFFS'!$AI439,'T1 2019 Pipeline Data Lagasco'!$Q:$Q,'Dec 31 2018 OFFS'!$AK439,'T1 2019 Pipeline Data Lagasco'!$E:$E,'Dec 31 2018 OFFS'!$U439,'T1 2019 Pipeline Data Lagasco'!$G:$G,'Dec 31 2018 OFFS'!$W439),1))</f>
        <v>27283</v>
      </c>
      <c r="AM439" s="274">
        <f t="shared" si="68"/>
        <v>0</v>
      </c>
    </row>
    <row r="440" spans="1:39" ht="12.7">
      <c r="A440" s="193" t="s">
        <v>909</v>
      </c>
      <c r="B440" s="40" t="s">
        <v>918</v>
      </c>
      <c r="C440" s="40" t="s">
        <v>1266</v>
      </c>
      <c r="D440" s="40" t="s">
        <v>17</v>
      </c>
      <c r="E440" s="40" t="s">
        <v>37</v>
      </c>
      <c r="F440" s="40"/>
      <c r="G440" s="41" t="s">
        <v>38</v>
      </c>
      <c r="H440" s="42">
        <v>42</v>
      </c>
      <c r="I440" s="43">
        <v>47</v>
      </c>
      <c r="J440" s="44">
        <f>60*0.767</f>
        <v>46.02</v>
      </c>
      <c r="K440" s="45">
        <v>79</v>
      </c>
      <c r="L440" s="43">
        <v>46</v>
      </c>
      <c r="M440" s="46">
        <f>60*0.267</f>
        <v>16.02</v>
      </c>
      <c r="N440" s="40" t="s">
        <v>1225</v>
      </c>
      <c r="O440" s="42">
        <v>42</v>
      </c>
      <c r="P440" s="43">
        <v>47</v>
      </c>
      <c r="Q440" s="44">
        <f>60*0.02</f>
        <v>1.20</v>
      </c>
      <c r="R440" s="45">
        <v>79</v>
      </c>
      <c r="S440" s="43">
        <v>45</v>
      </c>
      <c r="T440" s="46">
        <f>60*0.572</f>
        <v>34.32</v>
      </c>
      <c r="U440" s="40">
        <v>3</v>
      </c>
      <c r="V440" s="47">
        <v>5360</v>
      </c>
      <c r="W440" s="48">
        <v>2005</v>
      </c>
      <c r="X440" s="40"/>
      <c r="Y440" s="52"/>
      <c r="Z440" s="40" t="s">
        <v>910</v>
      </c>
      <c r="AA440" s="49">
        <f t="shared" si="61"/>
        <v>126442.40</v>
      </c>
      <c r="AB440" s="71">
        <f t="shared" si="62"/>
        <v>0.54</v>
      </c>
      <c r="AC440" s="49">
        <f t="shared" si="63"/>
        <v>58163.50</v>
      </c>
      <c r="AD440" s="50">
        <f t="shared" si="64"/>
        <v>0</v>
      </c>
      <c r="AE440" s="50">
        <f t="shared" si="65"/>
        <v>0</v>
      </c>
      <c r="AF440" s="50">
        <f t="shared" si="66"/>
        <v>58163.50</v>
      </c>
      <c r="AG440" s="199">
        <f t="shared" si="67"/>
        <v>58163</v>
      </c>
      <c r="AH440" s="187"/>
      <c r="AI440" s="185" t="s">
        <v>1456</v>
      </c>
      <c r="AJ440" s="185"/>
      <c r="AK440" s="277">
        <f t="shared" si="60"/>
        <v>5360</v>
      </c>
      <c r="AL440" s="25">
        <f>(SUMIFS('T1 2019 Pipeline Data Lagasco'!$O:$O,'T1 2019 Pipeline Data Lagasco'!$A:$A,'Dec 31 2018 OFFS'!$AI440,'T1 2019 Pipeline Data Lagasco'!$Q:$Q,'Dec 31 2018 OFFS'!$AK440,'T1 2019 Pipeline Data Lagasco'!$E:$E,'Dec 31 2018 OFFS'!$U440,'T1 2019 Pipeline Data Lagasco'!$G:$G,'Dec 31 2018 OFFS'!$W440))/(MAX(COUNTIFS('T1 2019 Pipeline Data Lagasco'!$A:$A,'Dec 31 2018 OFFS'!$AI440,'T1 2019 Pipeline Data Lagasco'!$Q:$Q,'Dec 31 2018 OFFS'!$AK440,'T1 2019 Pipeline Data Lagasco'!$E:$E,'Dec 31 2018 OFFS'!$U440,'T1 2019 Pipeline Data Lagasco'!$G:$G,'Dec 31 2018 OFFS'!$W440),1))</f>
        <v>58163</v>
      </c>
      <c r="AM440" s="274">
        <f t="shared" si="68"/>
        <v>0</v>
      </c>
    </row>
    <row r="441" spans="1:39" ht="12.7">
      <c r="A441" s="193" t="s">
        <v>909</v>
      </c>
      <c r="B441" s="40" t="s">
        <v>918</v>
      </c>
      <c r="C441" s="40" t="s">
        <v>1266</v>
      </c>
      <c r="D441" s="40" t="s">
        <v>17</v>
      </c>
      <c r="E441" s="40" t="s">
        <v>37</v>
      </c>
      <c r="F441" s="40"/>
      <c r="G441" s="41" t="s">
        <v>1226</v>
      </c>
      <c r="H441" s="42">
        <v>42</v>
      </c>
      <c r="I441" s="43">
        <v>47</v>
      </c>
      <c r="J441" s="44">
        <f>60*0.398</f>
        <v>23.880000000000003</v>
      </c>
      <c r="K441" s="45">
        <v>79</v>
      </c>
      <c r="L441" s="43">
        <v>47</v>
      </c>
      <c r="M441" s="46">
        <f>60*0.53</f>
        <v>31.80</v>
      </c>
      <c r="N441" s="41" t="s">
        <v>1227</v>
      </c>
      <c r="O441" s="42">
        <v>42</v>
      </c>
      <c r="P441" s="43">
        <v>46</v>
      </c>
      <c r="Q441" s="44">
        <f>60*0.839</f>
        <v>50.34</v>
      </c>
      <c r="R441" s="45">
        <v>79</v>
      </c>
      <c r="S441" s="43">
        <v>48</v>
      </c>
      <c r="T441" s="46">
        <f>60*0.062</f>
        <v>3.72</v>
      </c>
      <c r="U441" s="40">
        <v>3</v>
      </c>
      <c r="V441" s="47">
        <v>4095</v>
      </c>
      <c r="W441" s="48">
        <v>2005</v>
      </c>
      <c r="X441" s="40"/>
      <c r="Y441" s="53" t="s">
        <v>1082</v>
      </c>
      <c r="Z441" s="40" t="s">
        <v>910</v>
      </c>
      <c r="AA441" s="49">
        <f t="shared" si="61"/>
        <v>96601.05</v>
      </c>
      <c r="AB441" s="71">
        <f t="shared" si="62"/>
        <v>0.54</v>
      </c>
      <c r="AC441" s="49">
        <f t="shared" si="63"/>
        <v>44436.48</v>
      </c>
      <c r="AD441" s="50">
        <f t="shared" si="64"/>
        <v>0</v>
      </c>
      <c r="AE441" s="50">
        <f t="shared" si="65"/>
        <v>0</v>
      </c>
      <c r="AF441" s="50">
        <f t="shared" si="66"/>
        <v>44436.48</v>
      </c>
      <c r="AG441" s="199">
        <f t="shared" si="67"/>
        <v>44436</v>
      </c>
      <c r="AH441" s="187"/>
      <c r="AI441" s="185" t="s">
        <v>1456</v>
      </c>
      <c r="AJ441" s="185"/>
      <c r="AK441" s="277">
        <f t="shared" si="60"/>
        <v>4095</v>
      </c>
      <c r="AL441" s="25">
        <f>(SUMIFS('T1 2019 Pipeline Data Lagasco'!$O:$O,'T1 2019 Pipeline Data Lagasco'!$A:$A,'Dec 31 2018 OFFS'!$AI441,'T1 2019 Pipeline Data Lagasco'!$Q:$Q,'Dec 31 2018 OFFS'!$AK441,'T1 2019 Pipeline Data Lagasco'!$E:$E,'Dec 31 2018 OFFS'!$U441,'T1 2019 Pipeline Data Lagasco'!$G:$G,'Dec 31 2018 OFFS'!$W441))/(MAX(COUNTIFS('T1 2019 Pipeline Data Lagasco'!$A:$A,'Dec 31 2018 OFFS'!$AI441,'T1 2019 Pipeline Data Lagasco'!$Q:$Q,'Dec 31 2018 OFFS'!$AK441,'T1 2019 Pipeline Data Lagasco'!$E:$E,'Dec 31 2018 OFFS'!$U441,'T1 2019 Pipeline Data Lagasco'!$G:$G,'Dec 31 2018 OFFS'!$W441),1))</f>
        <v>44436</v>
      </c>
      <c r="AM441" s="274">
        <f t="shared" si="68"/>
        <v>0</v>
      </c>
    </row>
    <row r="442" spans="1:39" ht="12.7">
      <c r="A442" s="193" t="s">
        <v>909</v>
      </c>
      <c r="B442" s="40" t="s">
        <v>918</v>
      </c>
      <c r="C442" s="40" t="s">
        <v>1266</v>
      </c>
      <c r="D442" s="40" t="s">
        <v>17</v>
      </c>
      <c r="E442" s="40" t="s">
        <v>37</v>
      </c>
      <c r="F442" s="40"/>
      <c r="G442" s="41" t="s">
        <v>41</v>
      </c>
      <c r="H442" s="42">
        <v>42</v>
      </c>
      <c r="I442" s="43">
        <v>47</v>
      </c>
      <c r="J442" s="44">
        <v>13.02</v>
      </c>
      <c r="K442" s="45">
        <v>79</v>
      </c>
      <c r="L442" s="43">
        <v>49</v>
      </c>
      <c r="M442" s="46">
        <v>16.02</v>
      </c>
      <c r="N442" s="40" t="s">
        <v>40</v>
      </c>
      <c r="O442" s="42">
        <v>42</v>
      </c>
      <c r="P442" s="43">
        <v>47</v>
      </c>
      <c r="Q442" s="44">
        <v>28.98</v>
      </c>
      <c r="R442" s="45">
        <v>79</v>
      </c>
      <c r="S442" s="43">
        <v>48</v>
      </c>
      <c r="T442" s="46">
        <v>31.02</v>
      </c>
      <c r="U442" s="40">
        <v>3</v>
      </c>
      <c r="V442" s="47">
        <v>3724.4749577560001</v>
      </c>
      <c r="W442" s="48">
        <v>1980</v>
      </c>
      <c r="X442" s="40"/>
      <c r="Y442" s="52" t="s">
        <v>1081</v>
      </c>
      <c r="Z442" s="40" t="s">
        <v>910</v>
      </c>
      <c r="AA442" s="49">
        <f t="shared" si="61"/>
        <v>87860.364253464038</v>
      </c>
      <c r="AB442" s="71">
        <f t="shared" si="62"/>
        <v>0.80</v>
      </c>
      <c r="AC442" s="49">
        <f t="shared" si="63"/>
        <v>17572.07</v>
      </c>
      <c r="AD442" s="50">
        <f t="shared" si="64"/>
        <v>0</v>
      </c>
      <c r="AE442" s="50">
        <f t="shared" si="65"/>
        <v>0</v>
      </c>
      <c r="AF442" s="50">
        <f t="shared" si="66"/>
        <v>17572.07</v>
      </c>
      <c r="AG442" s="199">
        <f t="shared" si="67"/>
        <v>17572</v>
      </c>
      <c r="AH442" s="187"/>
      <c r="AI442" s="185" t="s">
        <v>1456</v>
      </c>
      <c r="AJ442" s="185"/>
      <c r="AK442" s="277">
        <f t="shared" si="60"/>
        <v>3724.47</v>
      </c>
      <c r="AL442" s="25">
        <f>(SUMIFS('T1 2019 Pipeline Data Lagasco'!$O:$O,'T1 2019 Pipeline Data Lagasco'!$A:$A,'Dec 31 2018 OFFS'!$AI442,'T1 2019 Pipeline Data Lagasco'!$Q:$Q,'Dec 31 2018 OFFS'!$AK442,'T1 2019 Pipeline Data Lagasco'!$E:$E,'Dec 31 2018 OFFS'!$U442,'T1 2019 Pipeline Data Lagasco'!$G:$G,'Dec 31 2018 OFFS'!$W442))/(MAX(COUNTIFS('T1 2019 Pipeline Data Lagasco'!$A:$A,'Dec 31 2018 OFFS'!$AI442,'T1 2019 Pipeline Data Lagasco'!$Q:$Q,'Dec 31 2018 OFFS'!$AK442,'T1 2019 Pipeline Data Lagasco'!$E:$E,'Dec 31 2018 OFFS'!$U442,'T1 2019 Pipeline Data Lagasco'!$G:$G,'Dec 31 2018 OFFS'!$W442),1))</f>
        <v>17572</v>
      </c>
      <c r="AM442" s="274">
        <f t="shared" si="68"/>
        <v>0</v>
      </c>
    </row>
    <row r="443" spans="1:39" ht="12.7">
      <c r="A443" s="193" t="s">
        <v>909</v>
      </c>
      <c r="B443" s="40" t="s">
        <v>918</v>
      </c>
      <c r="C443" s="40" t="s">
        <v>1266</v>
      </c>
      <c r="D443" s="40" t="s">
        <v>17</v>
      </c>
      <c r="E443" s="40" t="s">
        <v>37</v>
      </c>
      <c r="F443" s="40"/>
      <c r="G443" s="41" t="s">
        <v>41</v>
      </c>
      <c r="H443" s="42">
        <v>42</v>
      </c>
      <c r="I443" s="43">
        <v>47</v>
      </c>
      <c r="J443" s="44">
        <v>13.02</v>
      </c>
      <c r="K443" s="45">
        <v>79</v>
      </c>
      <c r="L443" s="43">
        <v>49</v>
      </c>
      <c r="M443" s="46">
        <v>16.02</v>
      </c>
      <c r="N443" s="40" t="s">
        <v>42</v>
      </c>
      <c r="O443" s="42">
        <v>42</v>
      </c>
      <c r="P443" s="43">
        <v>47</v>
      </c>
      <c r="Q443" s="44">
        <v>45</v>
      </c>
      <c r="R443" s="45">
        <v>79</v>
      </c>
      <c r="S443" s="43">
        <v>49</v>
      </c>
      <c r="T443" s="46">
        <v>46.98</v>
      </c>
      <c r="U443" s="40">
        <v>3</v>
      </c>
      <c r="V443" s="47">
        <v>3976.6074963859996</v>
      </c>
      <c r="W443" s="48">
        <v>1983</v>
      </c>
      <c r="X443" s="40"/>
      <c r="Y443" s="52" t="s">
        <v>1081</v>
      </c>
      <c r="Z443" s="40" t="s">
        <v>910</v>
      </c>
      <c r="AA443" s="49">
        <f t="shared" si="61"/>
        <v>93808.170839745726</v>
      </c>
      <c r="AB443" s="71">
        <f t="shared" si="62"/>
        <v>0.80</v>
      </c>
      <c r="AC443" s="49">
        <f t="shared" si="63"/>
        <v>18761.63</v>
      </c>
      <c r="AD443" s="50">
        <f t="shared" si="64"/>
        <v>0</v>
      </c>
      <c r="AE443" s="50">
        <f t="shared" si="65"/>
        <v>0</v>
      </c>
      <c r="AF443" s="50">
        <f t="shared" si="66"/>
        <v>18761.63</v>
      </c>
      <c r="AG443" s="199">
        <f t="shared" si="67"/>
        <v>18761</v>
      </c>
      <c r="AH443" s="187"/>
      <c r="AI443" s="185" t="s">
        <v>1456</v>
      </c>
      <c r="AJ443" s="185"/>
      <c r="AK443" s="277">
        <f t="shared" si="60"/>
        <v>3976.61</v>
      </c>
      <c r="AL443" s="25">
        <f>(SUMIFS('T1 2019 Pipeline Data Lagasco'!$O:$O,'T1 2019 Pipeline Data Lagasco'!$A:$A,'Dec 31 2018 OFFS'!$AI443,'T1 2019 Pipeline Data Lagasco'!$Q:$Q,'Dec 31 2018 OFFS'!$AK443,'T1 2019 Pipeline Data Lagasco'!$E:$E,'Dec 31 2018 OFFS'!$U443,'T1 2019 Pipeline Data Lagasco'!$G:$G,'Dec 31 2018 OFFS'!$W443))/(MAX(COUNTIFS('T1 2019 Pipeline Data Lagasco'!$A:$A,'Dec 31 2018 OFFS'!$AI443,'T1 2019 Pipeline Data Lagasco'!$Q:$Q,'Dec 31 2018 OFFS'!$AK443,'T1 2019 Pipeline Data Lagasco'!$E:$E,'Dec 31 2018 OFFS'!$U443,'T1 2019 Pipeline Data Lagasco'!$G:$G,'Dec 31 2018 OFFS'!$W443),1))</f>
        <v>18761</v>
      </c>
      <c r="AM443" s="274">
        <f t="shared" si="68"/>
        <v>0</v>
      </c>
    </row>
    <row r="444" spans="1:39" ht="12.7">
      <c r="A444" s="193" t="s">
        <v>909</v>
      </c>
      <c r="B444" s="40" t="s">
        <v>918</v>
      </c>
      <c r="C444" s="40" t="s">
        <v>1266</v>
      </c>
      <c r="D444" s="40" t="s">
        <v>17</v>
      </c>
      <c r="E444" s="40" t="s">
        <v>37</v>
      </c>
      <c r="F444" s="40"/>
      <c r="G444" s="41" t="s">
        <v>41</v>
      </c>
      <c r="H444" s="42">
        <v>42</v>
      </c>
      <c r="I444" s="43">
        <v>47</v>
      </c>
      <c r="J444" s="44">
        <v>13.02</v>
      </c>
      <c r="K444" s="45">
        <v>79</v>
      </c>
      <c r="L444" s="43">
        <v>49</v>
      </c>
      <c r="M444" s="46">
        <v>16.02</v>
      </c>
      <c r="N444" s="40" t="s">
        <v>35</v>
      </c>
      <c r="O444" s="42">
        <v>42</v>
      </c>
      <c r="P444" s="43">
        <v>48</v>
      </c>
      <c r="Q444" s="44">
        <v>10.98</v>
      </c>
      <c r="R444" s="45">
        <v>79</v>
      </c>
      <c r="S444" s="43">
        <v>48</v>
      </c>
      <c r="T444" s="46">
        <v>45</v>
      </c>
      <c r="U444" s="40">
        <v>3</v>
      </c>
      <c r="V444" s="47">
        <v>6307.6113658879995</v>
      </c>
      <c r="W444" s="48">
        <v>1981</v>
      </c>
      <c r="X444" s="40"/>
      <c r="Y444" s="52" t="s">
        <v>1081</v>
      </c>
      <c r="Z444" s="40" t="s">
        <v>910</v>
      </c>
      <c r="AA444" s="49">
        <f t="shared" si="61"/>
        <v>148796.55212129789</v>
      </c>
      <c r="AB444" s="71">
        <f t="shared" si="62"/>
        <v>0.80</v>
      </c>
      <c r="AC444" s="49">
        <f t="shared" si="63"/>
        <v>29759.31</v>
      </c>
      <c r="AD444" s="50">
        <f t="shared" si="64"/>
        <v>0</v>
      </c>
      <c r="AE444" s="50">
        <f t="shared" si="65"/>
        <v>0</v>
      </c>
      <c r="AF444" s="50">
        <f t="shared" si="66"/>
        <v>29759.31</v>
      </c>
      <c r="AG444" s="199">
        <f t="shared" si="67"/>
        <v>29759</v>
      </c>
      <c r="AH444" s="187"/>
      <c r="AI444" s="185" t="s">
        <v>1456</v>
      </c>
      <c r="AJ444" s="185"/>
      <c r="AK444" s="277">
        <f t="shared" si="60"/>
        <v>6307.61</v>
      </c>
      <c r="AL444" s="25">
        <f>(SUMIFS('T1 2019 Pipeline Data Lagasco'!$O:$O,'T1 2019 Pipeline Data Lagasco'!$A:$A,'Dec 31 2018 OFFS'!$AI444,'T1 2019 Pipeline Data Lagasco'!$Q:$Q,'Dec 31 2018 OFFS'!$AK444,'T1 2019 Pipeline Data Lagasco'!$E:$E,'Dec 31 2018 OFFS'!$U444,'T1 2019 Pipeline Data Lagasco'!$G:$G,'Dec 31 2018 OFFS'!$W444))/(MAX(COUNTIFS('T1 2019 Pipeline Data Lagasco'!$A:$A,'Dec 31 2018 OFFS'!$AI444,'T1 2019 Pipeline Data Lagasco'!$Q:$Q,'Dec 31 2018 OFFS'!$AK444,'T1 2019 Pipeline Data Lagasco'!$E:$E,'Dec 31 2018 OFFS'!$U444,'T1 2019 Pipeline Data Lagasco'!$G:$G,'Dec 31 2018 OFFS'!$W444),1))</f>
        <v>29759</v>
      </c>
      <c r="AM444" s="274">
        <f t="shared" si="68"/>
        <v>0</v>
      </c>
    </row>
    <row r="445" spans="1:39" ht="12.7">
      <c r="A445" s="193" t="s">
        <v>909</v>
      </c>
      <c r="B445" s="40" t="s">
        <v>918</v>
      </c>
      <c r="C445" s="40" t="s">
        <v>1266</v>
      </c>
      <c r="D445" s="40" t="s">
        <v>17</v>
      </c>
      <c r="E445" s="40" t="s">
        <v>37</v>
      </c>
      <c r="F445" s="40"/>
      <c r="G445" s="41" t="s">
        <v>34</v>
      </c>
      <c r="H445" s="42">
        <v>42</v>
      </c>
      <c r="I445" s="43">
        <v>46</v>
      </c>
      <c r="J445" s="44">
        <v>10.02</v>
      </c>
      <c r="K445" s="45">
        <v>79</v>
      </c>
      <c r="L445" s="43">
        <v>49</v>
      </c>
      <c r="M445" s="46">
        <v>16.98</v>
      </c>
      <c r="N445" s="40" t="s">
        <v>43</v>
      </c>
      <c r="O445" s="42">
        <v>42</v>
      </c>
      <c r="P445" s="43">
        <v>46</v>
      </c>
      <c r="Q445" s="44">
        <v>49.98</v>
      </c>
      <c r="R445" s="45">
        <v>79</v>
      </c>
      <c r="S445" s="43">
        <v>48</v>
      </c>
      <c r="T445" s="46">
        <v>45</v>
      </c>
      <c r="U445" s="40">
        <v>3</v>
      </c>
      <c r="V445" s="47">
        <v>4696.6205988940001</v>
      </c>
      <c r="W445" s="48">
        <v>1981</v>
      </c>
      <c r="X445" s="40"/>
      <c r="Y445" s="52" t="s">
        <v>1081</v>
      </c>
      <c r="Z445" s="40" t="s">
        <v>910</v>
      </c>
      <c r="AA445" s="49">
        <f t="shared" si="61"/>
        <v>110793.27992790946</v>
      </c>
      <c r="AB445" s="71">
        <f t="shared" si="62"/>
        <v>0.80</v>
      </c>
      <c r="AC445" s="49">
        <f t="shared" si="63"/>
        <v>22158.66</v>
      </c>
      <c r="AD445" s="50">
        <f t="shared" si="64"/>
        <v>0</v>
      </c>
      <c r="AE445" s="50">
        <f t="shared" si="65"/>
        <v>0</v>
      </c>
      <c r="AF445" s="50">
        <f t="shared" si="66"/>
        <v>22158.66</v>
      </c>
      <c r="AG445" s="199">
        <f t="shared" si="67"/>
        <v>22158</v>
      </c>
      <c r="AH445" s="187"/>
      <c r="AI445" s="185" t="s">
        <v>1456</v>
      </c>
      <c r="AJ445" s="185"/>
      <c r="AK445" s="277">
        <f t="shared" si="60"/>
        <v>4696.62</v>
      </c>
      <c r="AL445" s="25">
        <f>(SUMIFS('T1 2019 Pipeline Data Lagasco'!$O:$O,'T1 2019 Pipeline Data Lagasco'!$A:$A,'Dec 31 2018 OFFS'!$AI445,'T1 2019 Pipeline Data Lagasco'!$Q:$Q,'Dec 31 2018 OFFS'!$AK445,'T1 2019 Pipeline Data Lagasco'!$E:$E,'Dec 31 2018 OFFS'!$U445,'T1 2019 Pipeline Data Lagasco'!$G:$G,'Dec 31 2018 OFFS'!$W445))/(MAX(COUNTIFS('T1 2019 Pipeline Data Lagasco'!$A:$A,'Dec 31 2018 OFFS'!$AI445,'T1 2019 Pipeline Data Lagasco'!$Q:$Q,'Dec 31 2018 OFFS'!$AK445,'T1 2019 Pipeline Data Lagasco'!$E:$E,'Dec 31 2018 OFFS'!$U445,'T1 2019 Pipeline Data Lagasco'!$G:$G,'Dec 31 2018 OFFS'!$W445),1))</f>
        <v>22158</v>
      </c>
      <c r="AM445" s="274">
        <f t="shared" si="68"/>
        <v>0</v>
      </c>
    </row>
    <row r="446" spans="1:39" ht="12.7">
      <c r="A446" s="193" t="s">
        <v>909</v>
      </c>
      <c r="B446" s="40" t="s">
        <v>918</v>
      </c>
      <c r="C446" s="40" t="s">
        <v>1266</v>
      </c>
      <c r="D446" s="40" t="s">
        <v>17</v>
      </c>
      <c r="E446" s="40" t="s">
        <v>37</v>
      </c>
      <c r="F446" s="40"/>
      <c r="G446" s="41" t="s">
        <v>43</v>
      </c>
      <c r="H446" s="42">
        <v>42</v>
      </c>
      <c r="I446" s="43">
        <v>46</v>
      </c>
      <c r="J446" s="44">
        <v>49.98</v>
      </c>
      <c r="K446" s="45">
        <v>79</v>
      </c>
      <c r="L446" s="43">
        <v>48</v>
      </c>
      <c r="M446" s="46">
        <v>45</v>
      </c>
      <c r="N446" s="40" t="s">
        <v>44</v>
      </c>
      <c r="O446" s="42">
        <v>42</v>
      </c>
      <c r="P446" s="43">
        <v>46</v>
      </c>
      <c r="Q446" s="44">
        <v>31.98</v>
      </c>
      <c r="R446" s="45">
        <v>79</v>
      </c>
      <c r="S446" s="43">
        <v>46</v>
      </c>
      <c r="T446" s="46">
        <v>28.98</v>
      </c>
      <c r="U446" s="40">
        <v>3</v>
      </c>
      <c r="V446" s="47">
        <v>10307.315974466001</v>
      </c>
      <c r="W446" s="48">
        <v>1981</v>
      </c>
      <c r="X446" s="40"/>
      <c r="Y446" s="52" t="s">
        <v>1081</v>
      </c>
      <c r="Z446" s="40" t="s">
        <v>910</v>
      </c>
      <c r="AA446" s="49">
        <f t="shared" si="61"/>
        <v>243149.58383765296</v>
      </c>
      <c r="AB446" s="71">
        <f t="shared" si="62"/>
        <v>0.80</v>
      </c>
      <c r="AC446" s="49">
        <f t="shared" si="63"/>
        <v>48629.92</v>
      </c>
      <c r="AD446" s="50">
        <f t="shared" si="64"/>
        <v>0</v>
      </c>
      <c r="AE446" s="50">
        <f t="shared" si="65"/>
        <v>0</v>
      </c>
      <c r="AF446" s="50">
        <f t="shared" si="66"/>
        <v>48629.92</v>
      </c>
      <c r="AG446" s="199">
        <f t="shared" si="67"/>
        <v>48629</v>
      </c>
      <c r="AH446" s="187"/>
      <c r="AI446" s="185" t="s">
        <v>1456</v>
      </c>
      <c r="AJ446" s="185"/>
      <c r="AK446" s="277">
        <f t="shared" si="60"/>
        <v>10307.32</v>
      </c>
      <c r="AL446" s="25">
        <f>(SUMIFS('T1 2019 Pipeline Data Lagasco'!$O:$O,'T1 2019 Pipeline Data Lagasco'!$A:$A,'Dec 31 2018 OFFS'!$AI446,'T1 2019 Pipeline Data Lagasco'!$Q:$Q,'Dec 31 2018 OFFS'!$AK446,'T1 2019 Pipeline Data Lagasco'!$E:$E,'Dec 31 2018 OFFS'!$U446,'T1 2019 Pipeline Data Lagasco'!$G:$G,'Dec 31 2018 OFFS'!$W446))/(MAX(COUNTIFS('T1 2019 Pipeline Data Lagasco'!$A:$A,'Dec 31 2018 OFFS'!$AI446,'T1 2019 Pipeline Data Lagasco'!$Q:$Q,'Dec 31 2018 OFFS'!$AK446,'T1 2019 Pipeline Data Lagasco'!$E:$E,'Dec 31 2018 OFFS'!$U446,'T1 2019 Pipeline Data Lagasco'!$G:$G,'Dec 31 2018 OFFS'!$W446),1))</f>
        <v>48629</v>
      </c>
      <c r="AM446" s="274">
        <f t="shared" si="68"/>
        <v>0</v>
      </c>
    </row>
    <row r="447" spans="1:39" ht="12.7">
      <c r="A447" s="193" t="s">
        <v>909</v>
      </c>
      <c r="B447" s="40" t="s">
        <v>918</v>
      </c>
      <c r="C447" s="40" t="s">
        <v>1266</v>
      </c>
      <c r="D447" s="40" t="s">
        <v>17</v>
      </c>
      <c r="E447" s="40" t="s">
        <v>17</v>
      </c>
      <c r="F447" s="40"/>
      <c r="G447" s="41" t="s">
        <v>44</v>
      </c>
      <c r="H447" s="42">
        <v>42</v>
      </c>
      <c r="I447" s="43">
        <v>46</v>
      </c>
      <c r="J447" s="44">
        <v>31.98</v>
      </c>
      <c r="K447" s="45">
        <v>79</v>
      </c>
      <c r="L447" s="43">
        <v>46</v>
      </c>
      <c r="M447" s="46">
        <v>28.98</v>
      </c>
      <c r="N447" s="40" t="s">
        <v>41</v>
      </c>
      <c r="O447" s="42">
        <v>42</v>
      </c>
      <c r="P447" s="43">
        <v>47</v>
      </c>
      <c r="Q447" s="44">
        <v>13.02</v>
      </c>
      <c r="R447" s="45">
        <v>79</v>
      </c>
      <c r="S447" s="43">
        <v>49</v>
      </c>
      <c r="T447" s="46">
        <v>16.02</v>
      </c>
      <c r="U447" s="40">
        <v>3</v>
      </c>
      <c r="V447" s="47">
        <v>13132.54555144</v>
      </c>
      <c r="W447" s="48">
        <v>1981</v>
      </c>
      <c r="X447" s="40"/>
      <c r="Y447" s="52" t="s">
        <v>1081</v>
      </c>
      <c r="Z447" s="40" t="s">
        <v>910</v>
      </c>
      <c r="AA447" s="49">
        <f t="shared" si="61"/>
        <v>309796.74955846957</v>
      </c>
      <c r="AB447" s="71">
        <f t="shared" si="62"/>
        <v>0.80</v>
      </c>
      <c r="AC447" s="49">
        <f t="shared" si="63"/>
        <v>61959.35</v>
      </c>
      <c r="AD447" s="50">
        <f t="shared" si="64"/>
        <v>0</v>
      </c>
      <c r="AE447" s="50">
        <f t="shared" si="65"/>
        <v>0</v>
      </c>
      <c r="AF447" s="50">
        <f t="shared" si="66"/>
        <v>61959.35</v>
      </c>
      <c r="AG447" s="199">
        <f t="shared" si="67"/>
        <v>61959</v>
      </c>
      <c r="AH447" s="187"/>
      <c r="AI447" s="185" t="s">
        <v>1456</v>
      </c>
      <c r="AJ447" s="185"/>
      <c r="AK447" s="277">
        <f t="shared" si="60"/>
        <v>13132.55</v>
      </c>
      <c r="AL447" s="25">
        <f>(SUMIFS('T1 2019 Pipeline Data Lagasco'!$O:$O,'T1 2019 Pipeline Data Lagasco'!$A:$A,'Dec 31 2018 OFFS'!$AI447,'T1 2019 Pipeline Data Lagasco'!$Q:$Q,'Dec 31 2018 OFFS'!$AK447,'T1 2019 Pipeline Data Lagasco'!$E:$E,'Dec 31 2018 OFFS'!$U447,'T1 2019 Pipeline Data Lagasco'!$G:$G,'Dec 31 2018 OFFS'!$W447))/(MAX(COUNTIFS('T1 2019 Pipeline Data Lagasco'!$A:$A,'Dec 31 2018 OFFS'!$AI447,'T1 2019 Pipeline Data Lagasco'!$Q:$Q,'Dec 31 2018 OFFS'!$AK447,'T1 2019 Pipeline Data Lagasco'!$E:$E,'Dec 31 2018 OFFS'!$U447,'T1 2019 Pipeline Data Lagasco'!$G:$G,'Dec 31 2018 OFFS'!$W447),1))</f>
        <v>61959</v>
      </c>
      <c r="AM447" s="274">
        <f t="shared" si="68"/>
        <v>0</v>
      </c>
    </row>
    <row r="448" spans="1:39" ht="12.7">
      <c r="A448" s="193" t="s">
        <v>909</v>
      </c>
      <c r="B448" s="40" t="s">
        <v>918</v>
      </c>
      <c r="C448" s="40" t="s">
        <v>1266</v>
      </c>
      <c r="D448" s="40" t="s">
        <v>17</v>
      </c>
      <c r="E448" s="40" t="s">
        <v>17</v>
      </c>
      <c r="F448" s="40" t="s">
        <v>1051</v>
      </c>
      <c r="G448" s="41" t="s">
        <v>44</v>
      </c>
      <c r="H448" s="42">
        <v>42</v>
      </c>
      <c r="I448" s="43">
        <v>46</v>
      </c>
      <c r="J448" s="44">
        <v>31.98</v>
      </c>
      <c r="K448" s="45">
        <v>79</v>
      </c>
      <c r="L448" s="43">
        <v>46</v>
      </c>
      <c r="M448" s="46">
        <v>28.98</v>
      </c>
      <c r="N448" s="40" t="s">
        <v>38</v>
      </c>
      <c r="O448" s="42">
        <v>42</v>
      </c>
      <c r="P448" s="43">
        <v>47</v>
      </c>
      <c r="Q448" s="44">
        <v>46.02</v>
      </c>
      <c r="R448" s="45">
        <v>79</v>
      </c>
      <c r="S448" s="43">
        <v>46</v>
      </c>
      <c r="T448" s="46">
        <v>16.02</v>
      </c>
      <c r="U448" s="40">
        <v>3</v>
      </c>
      <c r="V448" s="47">
        <v>7558.4315396379998</v>
      </c>
      <c r="W448" s="48">
        <v>1981</v>
      </c>
      <c r="X448" s="40"/>
      <c r="Y448" s="52" t="s">
        <v>1081</v>
      </c>
      <c r="Z448" s="40" t="s">
        <v>910</v>
      </c>
      <c r="AA448" s="49">
        <f t="shared" si="61"/>
        <v>0</v>
      </c>
      <c r="AB448" s="71">
        <f t="shared" si="62"/>
        <v>0.80</v>
      </c>
      <c r="AC448" s="49">
        <f t="shared" si="63"/>
        <v>0</v>
      </c>
      <c r="AD448" s="50">
        <f t="shared" si="64"/>
        <v>0</v>
      </c>
      <c r="AE448" s="50">
        <f t="shared" si="65"/>
        <v>0</v>
      </c>
      <c r="AF448" s="50">
        <f t="shared" si="66"/>
        <v>0</v>
      </c>
      <c r="AG448" s="199">
        <f t="shared" si="67"/>
        <v>0</v>
      </c>
      <c r="AH448" s="187"/>
      <c r="AI448" s="185" t="s">
        <v>1456</v>
      </c>
      <c r="AJ448" s="185"/>
      <c r="AK448" s="277">
        <f t="shared" si="60"/>
        <v>7558.43</v>
      </c>
      <c r="AL448" s="25">
        <f>(SUMIFS('T1 2019 Pipeline Data Lagasco'!$O:$O,'T1 2019 Pipeline Data Lagasco'!$A:$A,'Dec 31 2018 OFFS'!$AI448,'T1 2019 Pipeline Data Lagasco'!$Q:$Q,'Dec 31 2018 OFFS'!$AK448,'T1 2019 Pipeline Data Lagasco'!$E:$E,'Dec 31 2018 OFFS'!$U448,'T1 2019 Pipeline Data Lagasco'!$G:$G,'Dec 31 2018 OFFS'!$W448))/(MAX(COUNTIFS('T1 2019 Pipeline Data Lagasco'!$A:$A,'Dec 31 2018 OFFS'!$AI448,'T1 2019 Pipeline Data Lagasco'!$Q:$Q,'Dec 31 2018 OFFS'!$AK448,'T1 2019 Pipeline Data Lagasco'!$E:$E,'Dec 31 2018 OFFS'!$U448,'T1 2019 Pipeline Data Lagasco'!$G:$G,'Dec 31 2018 OFFS'!$W448),1))</f>
        <v>0</v>
      </c>
      <c r="AM448" s="274">
        <f t="shared" si="68"/>
        <v>0</v>
      </c>
    </row>
    <row r="449" spans="1:39" ht="12.7">
      <c r="A449" s="193" t="s">
        <v>909</v>
      </c>
      <c r="B449" s="40" t="s">
        <v>918</v>
      </c>
      <c r="C449" s="40" t="s">
        <v>1266</v>
      </c>
      <c r="D449" s="40" t="s">
        <v>17</v>
      </c>
      <c r="E449" s="40" t="s">
        <v>37</v>
      </c>
      <c r="F449" s="40"/>
      <c r="G449" s="41" t="s">
        <v>44</v>
      </c>
      <c r="H449" s="42">
        <v>42</v>
      </c>
      <c r="I449" s="43">
        <v>46</v>
      </c>
      <c r="J449" s="44">
        <v>31.98</v>
      </c>
      <c r="K449" s="45">
        <v>79</v>
      </c>
      <c r="L449" s="43">
        <v>46</v>
      </c>
      <c r="M449" s="46">
        <v>28.98</v>
      </c>
      <c r="N449" s="40" t="s">
        <v>45</v>
      </c>
      <c r="O449" s="42">
        <v>42</v>
      </c>
      <c r="P449" s="43">
        <v>45</v>
      </c>
      <c r="Q449" s="44">
        <v>46.02</v>
      </c>
      <c r="R449" s="45">
        <v>79</v>
      </c>
      <c r="S449" s="43">
        <v>48</v>
      </c>
      <c r="T449" s="46">
        <v>13.98</v>
      </c>
      <c r="U449" s="40">
        <v>3</v>
      </c>
      <c r="V449" s="47">
        <v>9110.4656154259992</v>
      </c>
      <c r="W449" s="48">
        <v>1981</v>
      </c>
      <c r="X449" s="40"/>
      <c r="Y449" s="52" t="s">
        <v>1081</v>
      </c>
      <c r="Z449" s="40" t="s">
        <v>910</v>
      </c>
      <c r="AA449" s="49">
        <f t="shared" si="61"/>
        <v>214915.88386789933</v>
      </c>
      <c r="AB449" s="71">
        <f t="shared" si="62"/>
        <v>0.80</v>
      </c>
      <c r="AC449" s="49">
        <f t="shared" si="63"/>
        <v>42983.18</v>
      </c>
      <c r="AD449" s="50">
        <f t="shared" si="64"/>
        <v>0</v>
      </c>
      <c r="AE449" s="50">
        <f t="shared" si="65"/>
        <v>0</v>
      </c>
      <c r="AF449" s="50">
        <f t="shared" si="66"/>
        <v>42983.18</v>
      </c>
      <c r="AG449" s="199">
        <f t="shared" si="67"/>
        <v>42983</v>
      </c>
      <c r="AH449" s="187"/>
      <c r="AI449" s="185" t="s">
        <v>1456</v>
      </c>
      <c r="AJ449" s="185"/>
      <c r="AK449" s="277">
        <f t="shared" si="60"/>
        <v>9110.4699999999993</v>
      </c>
      <c r="AL449" s="25">
        <f>(SUMIFS('T1 2019 Pipeline Data Lagasco'!$O:$O,'T1 2019 Pipeline Data Lagasco'!$A:$A,'Dec 31 2018 OFFS'!$AI449,'T1 2019 Pipeline Data Lagasco'!$Q:$Q,'Dec 31 2018 OFFS'!$AK449,'T1 2019 Pipeline Data Lagasco'!$E:$E,'Dec 31 2018 OFFS'!$U449,'T1 2019 Pipeline Data Lagasco'!$G:$G,'Dec 31 2018 OFFS'!$W449))/(MAX(COUNTIFS('T1 2019 Pipeline Data Lagasco'!$A:$A,'Dec 31 2018 OFFS'!$AI449,'T1 2019 Pipeline Data Lagasco'!$Q:$Q,'Dec 31 2018 OFFS'!$AK449,'T1 2019 Pipeline Data Lagasco'!$E:$E,'Dec 31 2018 OFFS'!$U449,'T1 2019 Pipeline Data Lagasco'!$G:$G,'Dec 31 2018 OFFS'!$W449),1))</f>
        <v>42983</v>
      </c>
      <c r="AM449" s="274">
        <f t="shared" si="68"/>
        <v>0</v>
      </c>
    </row>
    <row r="450" spans="1:39" ht="12.7">
      <c r="A450" s="193" t="s">
        <v>909</v>
      </c>
      <c r="B450" s="40" t="s">
        <v>918</v>
      </c>
      <c r="C450" s="40" t="s">
        <v>1266</v>
      </c>
      <c r="D450" s="40" t="s">
        <v>17</v>
      </c>
      <c r="E450" s="40" t="s">
        <v>37</v>
      </c>
      <c r="F450" s="40"/>
      <c r="G450" s="41" t="s">
        <v>44</v>
      </c>
      <c r="H450" s="42">
        <v>42</v>
      </c>
      <c r="I450" s="43">
        <v>46</v>
      </c>
      <c r="J450" s="44">
        <v>31.98</v>
      </c>
      <c r="K450" s="45">
        <v>79</v>
      </c>
      <c r="L450" s="43">
        <v>46</v>
      </c>
      <c r="M450" s="46">
        <v>28.98</v>
      </c>
      <c r="N450" s="40" t="s">
        <v>46</v>
      </c>
      <c r="O450" s="42">
        <v>42</v>
      </c>
      <c r="P450" s="43">
        <v>45</v>
      </c>
      <c r="Q450" s="44">
        <v>25.98</v>
      </c>
      <c r="R450" s="45">
        <v>79</v>
      </c>
      <c r="S450" s="43">
        <v>47</v>
      </c>
      <c r="T450" s="46">
        <v>33</v>
      </c>
      <c r="U450" s="40">
        <v>3</v>
      </c>
      <c r="V450" s="47">
        <v>8213.4840141059994</v>
      </c>
      <c r="W450" s="48">
        <v>1981</v>
      </c>
      <c r="X450" s="40"/>
      <c r="Y450" s="52" t="s">
        <v>1081</v>
      </c>
      <c r="Z450" s="40" t="s">
        <v>910</v>
      </c>
      <c r="AA450" s="49">
        <f t="shared" si="61"/>
        <v>193756.08789276052</v>
      </c>
      <c r="AB450" s="71">
        <f t="shared" si="62"/>
        <v>0.80</v>
      </c>
      <c r="AC450" s="49">
        <f t="shared" si="63"/>
        <v>38751.22</v>
      </c>
      <c r="AD450" s="50">
        <f t="shared" si="64"/>
        <v>0</v>
      </c>
      <c r="AE450" s="50">
        <f t="shared" si="65"/>
        <v>0</v>
      </c>
      <c r="AF450" s="50">
        <f t="shared" si="66"/>
        <v>38751.22</v>
      </c>
      <c r="AG450" s="199">
        <f t="shared" si="67"/>
        <v>38751</v>
      </c>
      <c r="AH450" s="187"/>
      <c r="AI450" s="185" t="s">
        <v>1456</v>
      </c>
      <c r="AJ450" s="185"/>
      <c r="AK450" s="277">
        <f t="shared" si="60"/>
        <v>8213.48</v>
      </c>
      <c r="AL450" s="25">
        <f>(SUMIFS('T1 2019 Pipeline Data Lagasco'!$O:$O,'T1 2019 Pipeline Data Lagasco'!$A:$A,'Dec 31 2018 OFFS'!$AI450,'T1 2019 Pipeline Data Lagasco'!$Q:$Q,'Dec 31 2018 OFFS'!$AK450,'T1 2019 Pipeline Data Lagasco'!$E:$E,'Dec 31 2018 OFFS'!$U450,'T1 2019 Pipeline Data Lagasco'!$G:$G,'Dec 31 2018 OFFS'!$W450))/(MAX(COUNTIFS('T1 2019 Pipeline Data Lagasco'!$A:$A,'Dec 31 2018 OFFS'!$AI450,'T1 2019 Pipeline Data Lagasco'!$Q:$Q,'Dec 31 2018 OFFS'!$AK450,'T1 2019 Pipeline Data Lagasco'!$E:$E,'Dec 31 2018 OFFS'!$U450,'T1 2019 Pipeline Data Lagasco'!$G:$G,'Dec 31 2018 OFFS'!$W450),1))</f>
        <v>38751</v>
      </c>
      <c r="AM450" s="274">
        <f t="shared" si="68"/>
        <v>0</v>
      </c>
    </row>
    <row r="451" spans="1:39" ht="12.7">
      <c r="A451" s="193" t="s">
        <v>909</v>
      </c>
      <c r="B451" s="40" t="s">
        <v>918</v>
      </c>
      <c r="C451" s="40" t="s">
        <v>1266</v>
      </c>
      <c r="D451" s="40" t="s">
        <v>17</v>
      </c>
      <c r="E451" s="40" t="s">
        <v>37</v>
      </c>
      <c r="F451" s="40"/>
      <c r="G451" s="41" t="s">
        <v>44</v>
      </c>
      <c r="H451" s="42">
        <v>42</v>
      </c>
      <c r="I451" s="43">
        <v>46</v>
      </c>
      <c r="J451" s="44">
        <v>31.98</v>
      </c>
      <c r="K451" s="45">
        <v>79</v>
      </c>
      <c r="L451" s="43">
        <v>46</v>
      </c>
      <c r="M451" s="46">
        <v>28.98</v>
      </c>
      <c r="N451" s="40" t="s">
        <v>47</v>
      </c>
      <c r="O451" s="42">
        <v>42</v>
      </c>
      <c r="P451" s="43">
        <v>46</v>
      </c>
      <c r="Q451" s="44">
        <v>30</v>
      </c>
      <c r="R451" s="45">
        <v>79</v>
      </c>
      <c r="S451" s="43">
        <v>46</v>
      </c>
      <c r="T451" s="46">
        <v>28.02</v>
      </c>
      <c r="U451" s="40">
        <v>3</v>
      </c>
      <c r="V451" s="47">
        <v>212.86088622399998</v>
      </c>
      <c r="W451" s="48">
        <v>1977</v>
      </c>
      <c r="X451" s="40"/>
      <c r="Y451" s="52" t="s">
        <v>1081</v>
      </c>
      <c r="Z451" s="40" t="s">
        <v>910</v>
      </c>
      <c r="AA451" s="49">
        <f t="shared" si="61"/>
        <v>5021.3883060241596</v>
      </c>
      <c r="AB451" s="71">
        <f t="shared" si="62"/>
        <v>0.80</v>
      </c>
      <c r="AC451" s="49">
        <f t="shared" si="63"/>
        <v>1004.28</v>
      </c>
      <c r="AD451" s="50">
        <f t="shared" si="64"/>
        <v>0</v>
      </c>
      <c r="AE451" s="50">
        <f t="shared" si="65"/>
        <v>0</v>
      </c>
      <c r="AF451" s="50">
        <f t="shared" si="66"/>
        <v>1004.28</v>
      </c>
      <c r="AG451" s="199">
        <f t="shared" si="67"/>
        <v>1004</v>
      </c>
      <c r="AH451" s="187"/>
      <c r="AI451" s="185" t="s">
        <v>1456</v>
      </c>
      <c r="AJ451" s="185"/>
      <c r="AK451" s="277">
        <f t="shared" si="69" ref="AK451:AK514">ROUND(V451,2)</f>
        <v>212.86</v>
      </c>
      <c r="AL451" s="25">
        <f>(SUMIFS('T1 2019 Pipeline Data Lagasco'!$O:$O,'T1 2019 Pipeline Data Lagasco'!$A:$A,'Dec 31 2018 OFFS'!$AI451,'T1 2019 Pipeline Data Lagasco'!$Q:$Q,'Dec 31 2018 OFFS'!$AK451,'T1 2019 Pipeline Data Lagasco'!$E:$E,'Dec 31 2018 OFFS'!$U451,'T1 2019 Pipeline Data Lagasco'!$G:$G,'Dec 31 2018 OFFS'!$W451))/(MAX(COUNTIFS('T1 2019 Pipeline Data Lagasco'!$A:$A,'Dec 31 2018 OFFS'!$AI451,'T1 2019 Pipeline Data Lagasco'!$Q:$Q,'Dec 31 2018 OFFS'!$AK451,'T1 2019 Pipeline Data Lagasco'!$E:$E,'Dec 31 2018 OFFS'!$U451,'T1 2019 Pipeline Data Lagasco'!$G:$G,'Dec 31 2018 OFFS'!$W451),1))</f>
        <v>1004</v>
      </c>
      <c r="AM451" s="274">
        <f t="shared" si="68"/>
        <v>0</v>
      </c>
    </row>
    <row r="452" spans="1:39" ht="12.7">
      <c r="A452" s="193" t="s">
        <v>909</v>
      </c>
      <c r="B452" s="40" t="s">
        <v>918</v>
      </c>
      <c r="C452" s="40" t="s">
        <v>1266</v>
      </c>
      <c r="D452" s="40" t="s">
        <v>17</v>
      </c>
      <c r="E452" s="40" t="s">
        <v>37</v>
      </c>
      <c r="F452" s="40"/>
      <c r="G452" s="41" t="s">
        <v>44</v>
      </c>
      <c r="H452" s="42">
        <v>42</v>
      </c>
      <c r="I452" s="43">
        <v>46</v>
      </c>
      <c r="J452" s="44">
        <v>31.98</v>
      </c>
      <c r="K452" s="45">
        <v>79</v>
      </c>
      <c r="L452" s="43">
        <v>46</v>
      </c>
      <c r="M452" s="46">
        <v>28.98</v>
      </c>
      <c r="N452" s="41" t="s">
        <v>48</v>
      </c>
      <c r="O452" s="42">
        <v>42</v>
      </c>
      <c r="P452" s="43">
        <v>45</v>
      </c>
      <c r="Q452" s="44">
        <v>41.296999999999997</v>
      </c>
      <c r="R452" s="45">
        <v>79</v>
      </c>
      <c r="S452" s="43">
        <v>46</v>
      </c>
      <c r="T452" s="46">
        <v>28.998999999999999</v>
      </c>
      <c r="U452" s="40">
        <v>3</v>
      </c>
      <c r="V452" s="47">
        <v>5131.5287227819999</v>
      </c>
      <c r="W452" s="48">
        <v>1981</v>
      </c>
      <c r="X452" s="40"/>
      <c r="Y452" s="52" t="s">
        <v>1081</v>
      </c>
      <c r="Z452" s="40" t="s">
        <v>910</v>
      </c>
      <c r="AA452" s="49">
        <f t="shared" si="70" ref="AA452:AA515">IF(F452="ABAND",0,(IF(Z452="steel",VLOOKUP(U452,steelrates,2,FALSE)*V452,VLOOKUP(U452,plasticrates,2,FALSE)*V452)))</f>
        <v>121052.76257042738</v>
      </c>
      <c r="AB452" s="71">
        <f t="shared" si="71" ref="AB452:AB515">IF(W452=0,0,(VLOOKUP(W452,depreciation,2)))</f>
        <v>0.80</v>
      </c>
      <c r="AC452" s="49">
        <f t="shared" si="72" ref="AC452:AC515">ROUND(+AA452-(+AA452*AB452),2)</f>
        <v>24210.55</v>
      </c>
      <c r="AD452" s="50">
        <f t="shared" si="73" ref="AD452:AD515">(IF(X452="LOOP",AC452*0.25,0))</f>
        <v>0</v>
      </c>
      <c r="AE452" s="50">
        <f t="shared" si="74" ref="AE452:AE515">(IF(F452="SUSP",AC452*0.2,0))</f>
        <v>0</v>
      </c>
      <c r="AF452" s="50">
        <f t="shared" si="75" ref="AF452:AF515">+AC452-AD452-AE452</f>
        <v>24210.55</v>
      </c>
      <c r="AG452" s="199">
        <f t="shared" si="76" ref="AG452:AG515">ROUNDDOWN(AF452,0)</f>
        <v>24210</v>
      </c>
      <c r="AH452" s="187"/>
      <c r="AI452" s="185" t="s">
        <v>1456</v>
      </c>
      <c r="AJ452" s="185"/>
      <c r="AK452" s="277">
        <f t="shared" si="69"/>
        <v>5131.53</v>
      </c>
      <c r="AL452" s="25">
        <f>(SUMIFS('T1 2019 Pipeline Data Lagasco'!$O:$O,'T1 2019 Pipeline Data Lagasco'!$A:$A,'Dec 31 2018 OFFS'!$AI452,'T1 2019 Pipeline Data Lagasco'!$Q:$Q,'Dec 31 2018 OFFS'!$AK452,'T1 2019 Pipeline Data Lagasco'!$E:$E,'Dec 31 2018 OFFS'!$U452,'T1 2019 Pipeline Data Lagasco'!$G:$G,'Dec 31 2018 OFFS'!$W452))/(MAX(COUNTIFS('T1 2019 Pipeline Data Lagasco'!$A:$A,'Dec 31 2018 OFFS'!$AI452,'T1 2019 Pipeline Data Lagasco'!$Q:$Q,'Dec 31 2018 OFFS'!$AK452,'T1 2019 Pipeline Data Lagasco'!$E:$E,'Dec 31 2018 OFFS'!$U452,'T1 2019 Pipeline Data Lagasco'!$G:$G,'Dec 31 2018 OFFS'!$W452),1))</f>
        <v>24210</v>
      </c>
      <c r="AM452" s="274">
        <f t="shared" si="77" ref="AM452:AM515">AG452-AL452</f>
        <v>0</v>
      </c>
    </row>
    <row r="453" spans="1:39" ht="12.7">
      <c r="A453" s="193" t="s">
        <v>909</v>
      </c>
      <c r="B453" s="40" t="s">
        <v>918</v>
      </c>
      <c r="C453" s="40" t="s">
        <v>1266</v>
      </c>
      <c r="D453" s="40" t="s">
        <v>17</v>
      </c>
      <c r="E453" s="40" t="s">
        <v>37</v>
      </c>
      <c r="F453" s="40" t="s">
        <v>1237</v>
      </c>
      <c r="G453" s="41" t="s">
        <v>44</v>
      </c>
      <c r="H453" s="42">
        <v>42</v>
      </c>
      <c r="I453" s="43">
        <v>46</v>
      </c>
      <c r="J453" s="44">
        <v>31.98</v>
      </c>
      <c r="K453" s="45">
        <v>79</v>
      </c>
      <c r="L453" s="43">
        <v>46</v>
      </c>
      <c r="M453" s="46">
        <v>28.98</v>
      </c>
      <c r="N453" s="40" t="s">
        <v>54</v>
      </c>
      <c r="O453" s="42">
        <v>42</v>
      </c>
      <c r="P453" s="43">
        <v>46</v>
      </c>
      <c r="Q453" s="44">
        <v>28.02</v>
      </c>
      <c r="R453" s="45">
        <v>79</v>
      </c>
      <c r="S453" s="43">
        <v>44</v>
      </c>
      <c r="T453" s="46">
        <v>28.98</v>
      </c>
      <c r="U453" s="40">
        <v>6</v>
      </c>
      <c r="V453" s="47">
        <v>8959.58</v>
      </c>
      <c r="W453" s="48">
        <v>1977</v>
      </c>
      <c r="X453" s="40"/>
      <c r="Y453" s="52" t="s">
        <v>1081</v>
      </c>
      <c r="Z453" s="40" t="s">
        <v>910</v>
      </c>
      <c r="AA453" s="49">
        <f t="shared" si="70"/>
        <v>310270.25540000002</v>
      </c>
      <c r="AB453" s="71">
        <f t="shared" si="71"/>
        <v>0.80</v>
      </c>
      <c r="AC453" s="49">
        <f t="shared" si="72"/>
        <v>62054.05</v>
      </c>
      <c r="AD453" s="50">
        <f t="shared" si="73"/>
        <v>0</v>
      </c>
      <c r="AE453" s="50">
        <f t="shared" si="74"/>
        <v>0</v>
      </c>
      <c r="AF453" s="50">
        <f t="shared" si="75"/>
        <v>62054.05</v>
      </c>
      <c r="AG453" s="199">
        <f t="shared" si="76"/>
        <v>62054</v>
      </c>
      <c r="AH453" s="187"/>
      <c r="AI453" s="185" t="s">
        <v>1456</v>
      </c>
      <c r="AJ453" s="185"/>
      <c r="AK453" s="277">
        <f t="shared" si="69"/>
        <v>8959.58</v>
      </c>
      <c r="AL453" s="25">
        <f>(SUMIFS('T1 2019 Pipeline Data Lagasco'!$O:$O,'T1 2019 Pipeline Data Lagasco'!$A:$A,'Dec 31 2018 OFFS'!$AI453,'T1 2019 Pipeline Data Lagasco'!$Q:$Q,'Dec 31 2018 OFFS'!$AK453,'T1 2019 Pipeline Data Lagasco'!$E:$E,'Dec 31 2018 OFFS'!$U453,'T1 2019 Pipeline Data Lagasco'!$G:$G,'Dec 31 2018 OFFS'!$W453))/(MAX(COUNTIFS('T1 2019 Pipeline Data Lagasco'!$A:$A,'Dec 31 2018 OFFS'!$AI453,'T1 2019 Pipeline Data Lagasco'!$Q:$Q,'Dec 31 2018 OFFS'!$AK453,'T1 2019 Pipeline Data Lagasco'!$E:$E,'Dec 31 2018 OFFS'!$U453,'T1 2019 Pipeline Data Lagasco'!$G:$G,'Dec 31 2018 OFFS'!$W453),1))</f>
        <v>62054</v>
      </c>
      <c r="AM453" s="274">
        <f t="shared" si="77"/>
        <v>0</v>
      </c>
    </row>
    <row r="454" spans="1:39" ht="12.7">
      <c r="A454" s="193" t="s">
        <v>909</v>
      </c>
      <c r="B454" s="40" t="s">
        <v>918</v>
      </c>
      <c r="C454" s="40" t="s">
        <v>1266</v>
      </c>
      <c r="D454" s="40" t="s">
        <v>17</v>
      </c>
      <c r="E454" s="40" t="s">
        <v>37</v>
      </c>
      <c r="F454" s="40"/>
      <c r="G454" s="41" t="s">
        <v>49</v>
      </c>
      <c r="H454" s="42">
        <v>42</v>
      </c>
      <c r="I454" s="43">
        <v>46</v>
      </c>
      <c r="J454" s="44">
        <v>12</v>
      </c>
      <c r="K454" s="45">
        <v>79</v>
      </c>
      <c r="L454" s="43">
        <v>45</v>
      </c>
      <c r="M454" s="46">
        <v>16.02</v>
      </c>
      <c r="N454" s="40" t="s">
        <v>50</v>
      </c>
      <c r="O454" s="42">
        <v>42</v>
      </c>
      <c r="P454" s="43">
        <v>46</v>
      </c>
      <c r="Q454" s="44">
        <v>33.902000000000001</v>
      </c>
      <c r="R454" s="45">
        <v>79</v>
      </c>
      <c r="S454" s="43">
        <v>44</v>
      </c>
      <c r="T454" s="46">
        <v>28.396000000000001</v>
      </c>
      <c r="U454" s="40">
        <v>3</v>
      </c>
      <c r="V454" s="47">
        <v>4187.6639207200005</v>
      </c>
      <c r="W454" s="48">
        <v>1984</v>
      </c>
      <c r="X454" s="40"/>
      <c r="Y454" s="52" t="s">
        <v>1081</v>
      </c>
      <c r="Z454" s="40" t="s">
        <v>910</v>
      </c>
      <c r="AA454" s="49">
        <f t="shared" si="70"/>
        <v>98786.991889784811</v>
      </c>
      <c r="AB454" s="71">
        <f t="shared" si="71"/>
        <v>0.80</v>
      </c>
      <c r="AC454" s="49">
        <f t="shared" si="72"/>
        <v>19757.40</v>
      </c>
      <c r="AD454" s="50">
        <f t="shared" si="73"/>
        <v>0</v>
      </c>
      <c r="AE454" s="50">
        <f t="shared" si="74"/>
        <v>0</v>
      </c>
      <c r="AF454" s="50">
        <f t="shared" si="75"/>
        <v>19757.40</v>
      </c>
      <c r="AG454" s="199">
        <f t="shared" si="76"/>
        <v>19757</v>
      </c>
      <c r="AH454" s="187"/>
      <c r="AI454" s="185" t="s">
        <v>1456</v>
      </c>
      <c r="AJ454" s="185"/>
      <c r="AK454" s="277">
        <f t="shared" si="69"/>
        <v>4187.66</v>
      </c>
      <c r="AL454" s="25">
        <f>(SUMIFS('T1 2019 Pipeline Data Lagasco'!$O:$O,'T1 2019 Pipeline Data Lagasco'!$A:$A,'Dec 31 2018 OFFS'!$AI454,'T1 2019 Pipeline Data Lagasco'!$Q:$Q,'Dec 31 2018 OFFS'!$AK454,'T1 2019 Pipeline Data Lagasco'!$E:$E,'Dec 31 2018 OFFS'!$U454,'T1 2019 Pipeline Data Lagasco'!$G:$G,'Dec 31 2018 OFFS'!$W454))/(MAX(COUNTIFS('T1 2019 Pipeline Data Lagasco'!$A:$A,'Dec 31 2018 OFFS'!$AI454,'T1 2019 Pipeline Data Lagasco'!$Q:$Q,'Dec 31 2018 OFFS'!$AK454,'T1 2019 Pipeline Data Lagasco'!$E:$E,'Dec 31 2018 OFFS'!$U454,'T1 2019 Pipeline Data Lagasco'!$G:$G,'Dec 31 2018 OFFS'!$W454),1))</f>
        <v>19757</v>
      </c>
      <c r="AM454" s="274">
        <f t="shared" si="77"/>
        <v>0</v>
      </c>
    </row>
    <row r="455" spans="1:39" ht="12.7">
      <c r="A455" s="193" t="s">
        <v>909</v>
      </c>
      <c r="B455" s="40" t="s">
        <v>918</v>
      </c>
      <c r="C455" s="40" t="s">
        <v>1266</v>
      </c>
      <c r="D455" s="40" t="s">
        <v>17</v>
      </c>
      <c r="E455" s="40" t="s">
        <v>37</v>
      </c>
      <c r="F455" s="40"/>
      <c r="G455" s="41" t="s">
        <v>45</v>
      </c>
      <c r="H455" s="42">
        <v>42</v>
      </c>
      <c r="I455" s="43">
        <v>45</v>
      </c>
      <c r="J455" s="44">
        <v>46.02</v>
      </c>
      <c r="K455" s="45">
        <v>79</v>
      </c>
      <c r="L455" s="43">
        <v>48</v>
      </c>
      <c r="M455" s="46">
        <v>13.98</v>
      </c>
      <c r="N455" s="40" t="s">
        <v>51</v>
      </c>
      <c r="O455" s="42">
        <v>42</v>
      </c>
      <c r="P455" s="43">
        <v>45</v>
      </c>
      <c r="Q455" s="44">
        <v>40.98</v>
      </c>
      <c r="R455" s="45">
        <v>79</v>
      </c>
      <c r="S455" s="43">
        <v>49</v>
      </c>
      <c r="T455" s="46">
        <v>18</v>
      </c>
      <c r="U455" s="40">
        <v>3</v>
      </c>
      <c r="V455" s="47">
        <v>4803.2478923939998</v>
      </c>
      <c r="W455" s="48">
        <v>1977</v>
      </c>
      <c r="X455" s="40"/>
      <c r="Y455" s="52" t="s">
        <v>1081</v>
      </c>
      <c r="Z455" s="40" t="s">
        <v>910</v>
      </c>
      <c r="AA455" s="49">
        <f t="shared" si="70"/>
        <v>113308.61778157446</v>
      </c>
      <c r="AB455" s="71">
        <f t="shared" si="71"/>
        <v>0.80</v>
      </c>
      <c r="AC455" s="49">
        <f t="shared" si="72"/>
        <v>22661.72</v>
      </c>
      <c r="AD455" s="50">
        <f t="shared" si="73"/>
        <v>0</v>
      </c>
      <c r="AE455" s="50">
        <f t="shared" si="74"/>
        <v>0</v>
      </c>
      <c r="AF455" s="50">
        <f t="shared" si="75"/>
        <v>22661.72</v>
      </c>
      <c r="AG455" s="199">
        <f t="shared" si="76"/>
        <v>22661</v>
      </c>
      <c r="AH455" s="187"/>
      <c r="AI455" s="185" t="s">
        <v>1456</v>
      </c>
      <c r="AJ455" s="185"/>
      <c r="AK455" s="277">
        <f t="shared" si="69"/>
        <v>4803.25</v>
      </c>
      <c r="AL455" s="25">
        <f>(SUMIFS('T1 2019 Pipeline Data Lagasco'!$O:$O,'T1 2019 Pipeline Data Lagasco'!$A:$A,'Dec 31 2018 OFFS'!$AI455,'T1 2019 Pipeline Data Lagasco'!$Q:$Q,'Dec 31 2018 OFFS'!$AK455,'T1 2019 Pipeline Data Lagasco'!$E:$E,'Dec 31 2018 OFFS'!$U455,'T1 2019 Pipeline Data Lagasco'!$G:$G,'Dec 31 2018 OFFS'!$W455))/(MAX(COUNTIFS('T1 2019 Pipeline Data Lagasco'!$A:$A,'Dec 31 2018 OFFS'!$AI455,'T1 2019 Pipeline Data Lagasco'!$Q:$Q,'Dec 31 2018 OFFS'!$AK455,'T1 2019 Pipeline Data Lagasco'!$E:$E,'Dec 31 2018 OFFS'!$U455,'T1 2019 Pipeline Data Lagasco'!$G:$G,'Dec 31 2018 OFFS'!$W455),1))</f>
        <v>22661</v>
      </c>
      <c r="AM455" s="274">
        <f t="shared" si="77"/>
        <v>0</v>
      </c>
    </row>
    <row r="456" spans="1:39" ht="12.7">
      <c r="A456" s="193" t="s">
        <v>909</v>
      </c>
      <c r="B456" s="40" t="s">
        <v>918</v>
      </c>
      <c r="C456" s="40" t="s">
        <v>1266</v>
      </c>
      <c r="D456" s="40" t="s">
        <v>17</v>
      </c>
      <c r="E456" s="40" t="s">
        <v>17</v>
      </c>
      <c r="F456" s="40" t="s">
        <v>1051</v>
      </c>
      <c r="G456" s="41" t="s">
        <v>24</v>
      </c>
      <c r="H456" s="42">
        <v>42</v>
      </c>
      <c r="I456" s="43">
        <v>47</v>
      </c>
      <c r="J456" s="44">
        <v>45</v>
      </c>
      <c r="K456" s="45">
        <v>79</v>
      </c>
      <c r="L456" s="43">
        <v>41</v>
      </c>
      <c r="M456" s="46">
        <v>13.98</v>
      </c>
      <c r="N456" s="51" t="s">
        <v>25</v>
      </c>
      <c r="O456" s="42">
        <v>42</v>
      </c>
      <c r="P456" s="43">
        <v>47</v>
      </c>
      <c r="Q456" s="44">
        <v>35.78</v>
      </c>
      <c r="R456" s="45">
        <v>79</v>
      </c>
      <c r="S456" s="43">
        <v>40</v>
      </c>
      <c r="T456" s="46">
        <v>45.47</v>
      </c>
      <c r="U456" s="40">
        <v>2</v>
      </c>
      <c r="V456" s="47">
        <v>2321.8200000000002</v>
      </c>
      <c r="W456" s="48">
        <v>1977</v>
      </c>
      <c r="X456" s="40"/>
      <c r="Y456" s="52" t="s">
        <v>1081</v>
      </c>
      <c r="Z456" s="40" t="s">
        <v>910</v>
      </c>
      <c r="AA456" s="49">
        <f t="shared" si="70"/>
        <v>0</v>
      </c>
      <c r="AB456" s="71">
        <f t="shared" si="71"/>
        <v>0.80</v>
      </c>
      <c r="AC456" s="49">
        <f t="shared" si="72"/>
        <v>0</v>
      </c>
      <c r="AD456" s="50">
        <f t="shared" si="73"/>
        <v>0</v>
      </c>
      <c r="AE456" s="50">
        <f t="shared" si="74"/>
        <v>0</v>
      </c>
      <c r="AF456" s="50">
        <f t="shared" si="75"/>
        <v>0</v>
      </c>
      <c r="AG456" s="199">
        <f t="shared" si="76"/>
        <v>0</v>
      </c>
      <c r="AH456" s="187"/>
      <c r="AI456" s="185" t="s">
        <v>1456</v>
      </c>
      <c r="AJ456" s="185"/>
      <c r="AK456" s="277">
        <f t="shared" si="69"/>
        <v>2321.8200000000002</v>
      </c>
      <c r="AL456" s="25">
        <f>(SUMIFS('T1 2019 Pipeline Data Lagasco'!$O:$O,'T1 2019 Pipeline Data Lagasco'!$A:$A,'Dec 31 2018 OFFS'!$AI456,'T1 2019 Pipeline Data Lagasco'!$Q:$Q,'Dec 31 2018 OFFS'!$AK456,'T1 2019 Pipeline Data Lagasco'!$E:$E,'Dec 31 2018 OFFS'!$U456,'T1 2019 Pipeline Data Lagasco'!$G:$G,'Dec 31 2018 OFFS'!$W456))/(MAX(COUNTIFS('T1 2019 Pipeline Data Lagasco'!$A:$A,'Dec 31 2018 OFFS'!$AI456,'T1 2019 Pipeline Data Lagasco'!$Q:$Q,'Dec 31 2018 OFFS'!$AK456,'T1 2019 Pipeline Data Lagasco'!$E:$E,'Dec 31 2018 OFFS'!$U456,'T1 2019 Pipeline Data Lagasco'!$G:$G,'Dec 31 2018 OFFS'!$W456),1))</f>
        <v>0</v>
      </c>
      <c r="AM456" s="274">
        <f t="shared" si="77"/>
        <v>0</v>
      </c>
    </row>
    <row r="457" spans="1:39" ht="12.7">
      <c r="A457" s="193" t="s">
        <v>909</v>
      </c>
      <c r="B457" s="40" t="s">
        <v>918</v>
      </c>
      <c r="C457" s="40" t="s">
        <v>1266</v>
      </c>
      <c r="D457" s="40" t="s">
        <v>17</v>
      </c>
      <c r="E457" s="40" t="s">
        <v>17</v>
      </c>
      <c r="F457" s="40"/>
      <c r="G457" s="41" t="s">
        <v>24</v>
      </c>
      <c r="H457" s="42">
        <v>42</v>
      </c>
      <c r="I457" s="43">
        <v>47</v>
      </c>
      <c r="J457" s="44">
        <v>45.396000000000001</v>
      </c>
      <c r="K457" s="45">
        <v>79</v>
      </c>
      <c r="L457" s="43">
        <v>41</v>
      </c>
      <c r="M457" s="46">
        <v>14.79</v>
      </c>
      <c r="N457" s="40" t="s">
        <v>52</v>
      </c>
      <c r="O457" s="42">
        <v>42</v>
      </c>
      <c r="P457" s="43">
        <v>47</v>
      </c>
      <c r="Q457" s="44">
        <v>31.02</v>
      </c>
      <c r="R457" s="45">
        <v>79</v>
      </c>
      <c r="S457" s="43">
        <v>42</v>
      </c>
      <c r="T457" s="46">
        <v>28.02</v>
      </c>
      <c r="U457" s="40">
        <v>3</v>
      </c>
      <c r="V457" s="47">
        <v>5650</v>
      </c>
      <c r="W457" s="48">
        <v>2003</v>
      </c>
      <c r="X457" s="40"/>
      <c r="Y457" s="52" t="s">
        <v>1081</v>
      </c>
      <c r="Z457" s="40" t="s">
        <v>910</v>
      </c>
      <c r="AA457" s="49">
        <f t="shared" si="70"/>
        <v>133283.50</v>
      </c>
      <c r="AB457" s="71">
        <f t="shared" si="71"/>
        <v>0.56999999999999995</v>
      </c>
      <c r="AC457" s="49">
        <f t="shared" si="72"/>
        <v>57311.91</v>
      </c>
      <c r="AD457" s="50">
        <f t="shared" si="73"/>
        <v>0</v>
      </c>
      <c r="AE457" s="50">
        <f t="shared" si="74"/>
        <v>0</v>
      </c>
      <c r="AF457" s="50">
        <f t="shared" si="75"/>
        <v>57311.91</v>
      </c>
      <c r="AG457" s="199">
        <f t="shared" si="76"/>
        <v>57311</v>
      </c>
      <c r="AH457" s="187"/>
      <c r="AI457" s="185" t="s">
        <v>1456</v>
      </c>
      <c r="AJ457" s="185"/>
      <c r="AK457" s="277">
        <f t="shared" si="69"/>
        <v>5650</v>
      </c>
      <c r="AL457" s="25">
        <f>(SUMIFS('T1 2019 Pipeline Data Lagasco'!$O:$O,'T1 2019 Pipeline Data Lagasco'!$A:$A,'Dec 31 2018 OFFS'!$AI457,'T1 2019 Pipeline Data Lagasco'!$Q:$Q,'Dec 31 2018 OFFS'!$AK457,'T1 2019 Pipeline Data Lagasco'!$E:$E,'Dec 31 2018 OFFS'!$U457,'T1 2019 Pipeline Data Lagasco'!$G:$G,'Dec 31 2018 OFFS'!$W457))/(MAX(COUNTIFS('T1 2019 Pipeline Data Lagasco'!$A:$A,'Dec 31 2018 OFFS'!$AI457,'T1 2019 Pipeline Data Lagasco'!$Q:$Q,'Dec 31 2018 OFFS'!$AK457,'T1 2019 Pipeline Data Lagasco'!$E:$E,'Dec 31 2018 OFFS'!$U457,'T1 2019 Pipeline Data Lagasco'!$G:$G,'Dec 31 2018 OFFS'!$W457),1))</f>
        <v>57311</v>
      </c>
      <c r="AM457" s="274">
        <f t="shared" si="77"/>
        <v>0</v>
      </c>
    </row>
    <row r="458" spans="1:39" ht="12.7">
      <c r="A458" s="193" t="s">
        <v>909</v>
      </c>
      <c r="B458" s="40" t="s">
        <v>918</v>
      </c>
      <c r="C458" s="40" t="s">
        <v>1266</v>
      </c>
      <c r="D458" s="40" t="s">
        <v>17</v>
      </c>
      <c r="E458" s="40" t="s">
        <v>17</v>
      </c>
      <c r="F458" s="40" t="s">
        <v>1381</v>
      </c>
      <c r="G458" s="40" t="s">
        <v>52</v>
      </c>
      <c r="H458" s="42">
        <v>42</v>
      </c>
      <c r="I458" s="43">
        <v>47</v>
      </c>
      <c r="J458" s="44">
        <v>31.02</v>
      </c>
      <c r="K458" s="45">
        <v>79</v>
      </c>
      <c r="L458" s="43">
        <v>42</v>
      </c>
      <c r="M458" s="46">
        <v>28.02</v>
      </c>
      <c r="N458" s="41" t="s">
        <v>1224</v>
      </c>
      <c r="O458" s="42">
        <v>42</v>
      </c>
      <c r="P458" s="43">
        <v>47</v>
      </c>
      <c r="Q458" s="44">
        <f>60*0.17</f>
        <v>10.200000000000001</v>
      </c>
      <c r="R458" s="45">
        <v>79</v>
      </c>
      <c r="S458" s="43">
        <v>41</v>
      </c>
      <c r="T458" s="46">
        <f>60*0.922</f>
        <v>55.32</v>
      </c>
      <c r="U458" s="40">
        <v>3</v>
      </c>
      <c r="V458" s="47">
        <v>3222</v>
      </c>
      <c r="W458" s="48">
        <v>2010</v>
      </c>
      <c r="X458" s="40"/>
      <c r="Y458" s="52"/>
      <c r="Z458" s="139" t="s">
        <v>910</v>
      </c>
      <c r="AA458" s="49">
        <f t="shared" si="70"/>
        <v>76006.98</v>
      </c>
      <c r="AB458" s="71">
        <f t="shared" si="71"/>
        <v>0.39</v>
      </c>
      <c r="AC458" s="49">
        <f t="shared" si="72"/>
        <v>46364.26</v>
      </c>
      <c r="AD458" s="50">
        <f t="shared" si="73"/>
        <v>0</v>
      </c>
      <c r="AE458" s="50">
        <f t="shared" si="74"/>
        <v>0</v>
      </c>
      <c r="AF458" s="50">
        <f t="shared" si="75"/>
        <v>46364.26</v>
      </c>
      <c r="AG458" s="199">
        <f t="shared" si="76"/>
        <v>46364</v>
      </c>
      <c r="AH458" s="187"/>
      <c r="AI458" s="185" t="s">
        <v>1456</v>
      </c>
      <c r="AJ458" s="185"/>
      <c r="AK458" s="277">
        <f t="shared" si="69"/>
        <v>3222</v>
      </c>
      <c r="AL458" s="25">
        <f>(SUMIFS('T1 2019 Pipeline Data Lagasco'!$O:$O,'T1 2019 Pipeline Data Lagasco'!$A:$A,'Dec 31 2018 OFFS'!$AI458,'T1 2019 Pipeline Data Lagasco'!$Q:$Q,'Dec 31 2018 OFFS'!$AK458,'T1 2019 Pipeline Data Lagasco'!$E:$E,'Dec 31 2018 OFFS'!$U458,'T1 2019 Pipeline Data Lagasco'!$G:$G,'Dec 31 2018 OFFS'!$W458))/(MAX(COUNTIFS('T1 2019 Pipeline Data Lagasco'!$A:$A,'Dec 31 2018 OFFS'!$AI458,'T1 2019 Pipeline Data Lagasco'!$Q:$Q,'Dec 31 2018 OFFS'!$AK458,'T1 2019 Pipeline Data Lagasco'!$E:$E,'Dec 31 2018 OFFS'!$U458,'T1 2019 Pipeline Data Lagasco'!$G:$G,'Dec 31 2018 OFFS'!$W458),1))</f>
        <v>46364</v>
      </c>
      <c r="AM458" s="274">
        <f t="shared" si="77"/>
        <v>0</v>
      </c>
    </row>
    <row r="459" spans="1:39" ht="12.7">
      <c r="A459" s="193" t="s">
        <v>909</v>
      </c>
      <c r="B459" s="40" t="s">
        <v>918</v>
      </c>
      <c r="C459" s="40" t="s">
        <v>1266</v>
      </c>
      <c r="D459" s="40" t="s">
        <v>17</v>
      </c>
      <c r="E459" s="40" t="s">
        <v>17</v>
      </c>
      <c r="F459" s="40"/>
      <c r="G459" s="41" t="s">
        <v>1224</v>
      </c>
      <c r="H459" s="42">
        <v>42</v>
      </c>
      <c r="I459" s="43">
        <v>47</v>
      </c>
      <c r="J459" s="44">
        <f>60*0.17</f>
        <v>10.200000000000001</v>
      </c>
      <c r="K459" s="45">
        <v>79</v>
      </c>
      <c r="L459" s="43">
        <v>41</v>
      </c>
      <c r="M459" s="46">
        <f>60*0.922</f>
        <v>55.32</v>
      </c>
      <c r="N459" s="40" t="s">
        <v>59</v>
      </c>
      <c r="O459" s="42">
        <v>42</v>
      </c>
      <c r="P459" s="43">
        <v>46</v>
      </c>
      <c r="Q459" s="44">
        <f>60*0.5</f>
        <v>30</v>
      </c>
      <c r="R459" s="45">
        <v>79</v>
      </c>
      <c r="S459" s="43">
        <v>42</v>
      </c>
      <c r="T459" s="46">
        <f>60*0.533</f>
        <v>31.98</v>
      </c>
      <c r="U459" s="40">
        <v>3</v>
      </c>
      <c r="V459" s="47">
        <v>4924</v>
      </c>
      <c r="W459" s="48">
        <v>2005</v>
      </c>
      <c r="X459" s="40"/>
      <c r="Y459" s="52"/>
      <c r="Z459" s="40" t="s">
        <v>910</v>
      </c>
      <c r="AA459" s="49">
        <f t="shared" si="70"/>
        <v>116157.16</v>
      </c>
      <c r="AB459" s="71">
        <f t="shared" si="71"/>
        <v>0.54</v>
      </c>
      <c r="AC459" s="49">
        <f t="shared" si="72"/>
        <v>53432.29</v>
      </c>
      <c r="AD459" s="50">
        <f t="shared" si="73"/>
        <v>0</v>
      </c>
      <c r="AE459" s="50">
        <f t="shared" si="74"/>
        <v>0</v>
      </c>
      <c r="AF459" s="50">
        <f t="shared" si="75"/>
        <v>53432.29</v>
      </c>
      <c r="AG459" s="199">
        <f t="shared" si="76"/>
        <v>53432</v>
      </c>
      <c r="AH459" s="187"/>
      <c r="AI459" s="185" t="s">
        <v>1456</v>
      </c>
      <c r="AJ459" s="185"/>
      <c r="AK459" s="277">
        <f t="shared" si="69"/>
        <v>4924</v>
      </c>
      <c r="AL459" s="25">
        <f>(SUMIFS('T1 2019 Pipeline Data Lagasco'!$O:$O,'T1 2019 Pipeline Data Lagasco'!$A:$A,'Dec 31 2018 OFFS'!$AI459,'T1 2019 Pipeline Data Lagasco'!$Q:$Q,'Dec 31 2018 OFFS'!$AK459,'T1 2019 Pipeline Data Lagasco'!$E:$E,'Dec 31 2018 OFFS'!$U459,'T1 2019 Pipeline Data Lagasco'!$G:$G,'Dec 31 2018 OFFS'!$W459))/(MAX(COUNTIFS('T1 2019 Pipeline Data Lagasco'!$A:$A,'Dec 31 2018 OFFS'!$AI459,'T1 2019 Pipeline Data Lagasco'!$Q:$Q,'Dec 31 2018 OFFS'!$AK459,'T1 2019 Pipeline Data Lagasco'!$E:$E,'Dec 31 2018 OFFS'!$U459,'T1 2019 Pipeline Data Lagasco'!$G:$G,'Dec 31 2018 OFFS'!$W459),1))</f>
        <v>53432</v>
      </c>
      <c r="AM459" s="274">
        <f t="shared" si="77"/>
        <v>0</v>
      </c>
    </row>
    <row r="460" spans="1:39" ht="12.7">
      <c r="A460" s="193" t="s">
        <v>909</v>
      </c>
      <c r="B460" s="40" t="s">
        <v>918</v>
      </c>
      <c r="C460" s="40" t="s">
        <v>1266</v>
      </c>
      <c r="D460" s="40" t="s">
        <v>17</v>
      </c>
      <c r="E460" s="40" t="s">
        <v>17</v>
      </c>
      <c r="F460" s="40" t="s">
        <v>1051</v>
      </c>
      <c r="G460" s="41" t="s">
        <v>52</v>
      </c>
      <c r="H460" s="42">
        <v>42</v>
      </c>
      <c r="I460" s="43">
        <v>47</v>
      </c>
      <c r="J460" s="44">
        <v>31.02</v>
      </c>
      <c r="K460" s="45">
        <v>79</v>
      </c>
      <c r="L460" s="43">
        <v>42</v>
      </c>
      <c r="M460" s="46">
        <v>28.02</v>
      </c>
      <c r="N460" s="40" t="s">
        <v>53</v>
      </c>
      <c r="O460" s="42">
        <v>42</v>
      </c>
      <c r="P460" s="43">
        <v>48</v>
      </c>
      <c r="Q460" s="44">
        <v>14.88</v>
      </c>
      <c r="R460" s="45">
        <v>79</v>
      </c>
      <c r="S460" s="43">
        <v>42</v>
      </c>
      <c r="T460" s="46">
        <v>43.86</v>
      </c>
      <c r="U460" s="40">
        <v>3</v>
      </c>
      <c r="V460" s="47">
        <v>4595.1442238799991</v>
      </c>
      <c r="W460" s="48">
        <v>1977</v>
      </c>
      <c r="X460" s="40"/>
      <c r="Y460" s="52" t="s">
        <v>1081</v>
      </c>
      <c r="Z460" s="40" t="s">
        <v>910</v>
      </c>
      <c r="AA460" s="49">
        <f t="shared" si="70"/>
        <v>0</v>
      </c>
      <c r="AB460" s="71">
        <f t="shared" si="71"/>
        <v>0.80</v>
      </c>
      <c r="AC460" s="49">
        <f t="shared" si="72"/>
        <v>0</v>
      </c>
      <c r="AD460" s="50">
        <f t="shared" si="73"/>
        <v>0</v>
      </c>
      <c r="AE460" s="50">
        <f t="shared" si="74"/>
        <v>0</v>
      </c>
      <c r="AF460" s="50">
        <f t="shared" si="75"/>
        <v>0</v>
      </c>
      <c r="AG460" s="199">
        <f t="shared" si="76"/>
        <v>0</v>
      </c>
      <c r="AH460" s="187"/>
      <c r="AI460" s="185" t="s">
        <v>1456</v>
      </c>
      <c r="AJ460" s="185"/>
      <c r="AK460" s="277">
        <f t="shared" si="69"/>
        <v>4595.1400000000003</v>
      </c>
      <c r="AL460" s="25">
        <f>(SUMIFS('T1 2019 Pipeline Data Lagasco'!$O:$O,'T1 2019 Pipeline Data Lagasco'!$A:$A,'Dec 31 2018 OFFS'!$AI460,'T1 2019 Pipeline Data Lagasco'!$Q:$Q,'Dec 31 2018 OFFS'!$AK460,'T1 2019 Pipeline Data Lagasco'!$E:$E,'Dec 31 2018 OFFS'!$U460,'T1 2019 Pipeline Data Lagasco'!$G:$G,'Dec 31 2018 OFFS'!$W460))/(MAX(COUNTIFS('T1 2019 Pipeline Data Lagasco'!$A:$A,'Dec 31 2018 OFFS'!$AI460,'T1 2019 Pipeline Data Lagasco'!$Q:$Q,'Dec 31 2018 OFFS'!$AK460,'T1 2019 Pipeline Data Lagasco'!$E:$E,'Dec 31 2018 OFFS'!$U460,'T1 2019 Pipeline Data Lagasco'!$G:$G,'Dec 31 2018 OFFS'!$W460),1))</f>
        <v>0</v>
      </c>
      <c r="AM460" s="274">
        <f t="shared" si="77"/>
        <v>0</v>
      </c>
    </row>
    <row r="461" spans="1:39" ht="12.7">
      <c r="A461" s="193" t="s">
        <v>909</v>
      </c>
      <c r="B461" s="40" t="s">
        <v>918</v>
      </c>
      <c r="C461" s="40" t="s">
        <v>1266</v>
      </c>
      <c r="D461" s="40" t="s">
        <v>17</v>
      </c>
      <c r="E461" s="40" t="s">
        <v>17</v>
      </c>
      <c r="F461" s="40"/>
      <c r="G461" s="41" t="s">
        <v>1322</v>
      </c>
      <c r="H461" s="42">
        <v>42</v>
      </c>
      <c r="I461" s="43">
        <v>47</v>
      </c>
      <c r="J461" s="44">
        <v>30.30</v>
      </c>
      <c r="K461" s="45">
        <v>79</v>
      </c>
      <c r="L461" s="43">
        <v>43</v>
      </c>
      <c r="M461" s="46">
        <v>20.58</v>
      </c>
      <c r="N461" s="40" t="s">
        <v>55</v>
      </c>
      <c r="O461" s="42">
        <v>42</v>
      </c>
      <c r="P461" s="43">
        <v>47</v>
      </c>
      <c r="Q461" s="44">
        <v>46.02</v>
      </c>
      <c r="R461" s="45">
        <v>79</v>
      </c>
      <c r="S461" s="43">
        <v>44</v>
      </c>
      <c r="T461" s="46">
        <v>15</v>
      </c>
      <c r="U461" s="40">
        <v>3</v>
      </c>
      <c r="V461" s="47">
        <v>4346</v>
      </c>
      <c r="W461" s="48">
        <v>2006</v>
      </c>
      <c r="X461" s="40"/>
      <c r="Y461" s="52"/>
      <c r="Z461" s="40" t="s">
        <v>910</v>
      </c>
      <c r="AA461" s="49">
        <f t="shared" si="70"/>
        <v>102522.14</v>
      </c>
      <c r="AB461" s="71">
        <f t="shared" si="71"/>
        <v>0.52</v>
      </c>
      <c r="AC461" s="49">
        <f t="shared" si="72"/>
        <v>49210.63</v>
      </c>
      <c r="AD461" s="50">
        <f t="shared" si="73"/>
        <v>0</v>
      </c>
      <c r="AE461" s="50">
        <f t="shared" si="74"/>
        <v>0</v>
      </c>
      <c r="AF461" s="50">
        <f t="shared" si="75"/>
        <v>49210.63</v>
      </c>
      <c r="AG461" s="199">
        <f t="shared" si="76"/>
        <v>49210</v>
      </c>
      <c r="AH461" s="187"/>
      <c r="AI461" s="185" t="s">
        <v>1456</v>
      </c>
      <c r="AJ461" s="185"/>
      <c r="AK461" s="277">
        <f t="shared" si="69"/>
        <v>4346</v>
      </c>
      <c r="AL461" s="25">
        <f>(SUMIFS('T1 2019 Pipeline Data Lagasco'!$O:$O,'T1 2019 Pipeline Data Lagasco'!$A:$A,'Dec 31 2018 OFFS'!$AI461,'T1 2019 Pipeline Data Lagasco'!$Q:$Q,'Dec 31 2018 OFFS'!$AK461,'T1 2019 Pipeline Data Lagasco'!$E:$E,'Dec 31 2018 OFFS'!$U461,'T1 2019 Pipeline Data Lagasco'!$G:$G,'Dec 31 2018 OFFS'!$W461))/(MAX(COUNTIFS('T1 2019 Pipeline Data Lagasco'!$A:$A,'Dec 31 2018 OFFS'!$AI461,'T1 2019 Pipeline Data Lagasco'!$Q:$Q,'Dec 31 2018 OFFS'!$AK461,'T1 2019 Pipeline Data Lagasco'!$E:$E,'Dec 31 2018 OFFS'!$U461,'T1 2019 Pipeline Data Lagasco'!$G:$G,'Dec 31 2018 OFFS'!$W461),1))</f>
        <v>49210</v>
      </c>
      <c r="AM461" s="274">
        <f t="shared" si="77"/>
        <v>0</v>
      </c>
    </row>
    <row r="462" spans="1:39" ht="12.7">
      <c r="A462" s="193" t="s">
        <v>909</v>
      </c>
      <c r="B462" s="40" t="s">
        <v>918</v>
      </c>
      <c r="C462" s="40" t="s">
        <v>1266</v>
      </c>
      <c r="D462" s="40" t="s">
        <v>17</v>
      </c>
      <c r="E462" s="40" t="s">
        <v>17</v>
      </c>
      <c r="F462" s="40"/>
      <c r="G462" s="41" t="s">
        <v>1322</v>
      </c>
      <c r="H462" s="42">
        <v>42</v>
      </c>
      <c r="I462" s="43">
        <v>47</v>
      </c>
      <c r="J462" s="44">
        <f>0.505*60</f>
        <v>30.30</v>
      </c>
      <c r="K462" s="45">
        <v>79</v>
      </c>
      <c r="L462" s="43">
        <v>43</v>
      </c>
      <c r="M462" s="46">
        <f>0.343*60</f>
        <v>20.58</v>
      </c>
      <c r="N462" s="40" t="s">
        <v>50</v>
      </c>
      <c r="O462" s="42">
        <v>42</v>
      </c>
      <c r="P462" s="43">
        <v>46</v>
      </c>
      <c r="Q462" s="44">
        <f>0.681*60</f>
        <v>40.86</v>
      </c>
      <c r="R462" s="45">
        <v>79</v>
      </c>
      <c r="S462" s="43">
        <v>44</v>
      </c>
      <c r="T462" s="46">
        <f>0.416*60</f>
        <v>24.959999999999997</v>
      </c>
      <c r="U462" s="40">
        <v>3</v>
      </c>
      <c r="V462" s="47">
        <v>6925</v>
      </c>
      <c r="W462" s="48">
        <v>1984</v>
      </c>
      <c r="X462" s="40"/>
      <c r="Y462" s="52"/>
      <c r="Z462" s="40" t="s">
        <v>910</v>
      </c>
      <c r="AA462" s="49">
        <f t="shared" si="70"/>
        <v>163360.75</v>
      </c>
      <c r="AB462" s="71">
        <f t="shared" si="71"/>
        <v>0.80</v>
      </c>
      <c r="AC462" s="49">
        <f t="shared" si="72"/>
        <v>32672.15</v>
      </c>
      <c r="AD462" s="50">
        <f t="shared" si="73"/>
        <v>0</v>
      </c>
      <c r="AE462" s="50">
        <f t="shared" si="74"/>
        <v>0</v>
      </c>
      <c r="AF462" s="50">
        <f t="shared" si="75"/>
        <v>32672.15</v>
      </c>
      <c r="AG462" s="199">
        <f t="shared" si="76"/>
        <v>32672</v>
      </c>
      <c r="AH462" s="187"/>
      <c r="AI462" s="185" t="s">
        <v>1456</v>
      </c>
      <c r="AJ462" s="185"/>
      <c r="AK462" s="277">
        <f t="shared" si="69"/>
        <v>6925</v>
      </c>
      <c r="AL462" s="25">
        <f>(SUMIFS('T1 2019 Pipeline Data Lagasco'!$O:$O,'T1 2019 Pipeline Data Lagasco'!$A:$A,'Dec 31 2018 OFFS'!$AI462,'T1 2019 Pipeline Data Lagasco'!$Q:$Q,'Dec 31 2018 OFFS'!$AK462,'T1 2019 Pipeline Data Lagasco'!$E:$E,'Dec 31 2018 OFFS'!$U462,'T1 2019 Pipeline Data Lagasco'!$G:$G,'Dec 31 2018 OFFS'!$W462))/(MAX(COUNTIFS('T1 2019 Pipeline Data Lagasco'!$A:$A,'Dec 31 2018 OFFS'!$AI462,'T1 2019 Pipeline Data Lagasco'!$Q:$Q,'Dec 31 2018 OFFS'!$AK462,'T1 2019 Pipeline Data Lagasco'!$E:$E,'Dec 31 2018 OFFS'!$U462,'T1 2019 Pipeline Data Lagasco'!$G:$G,'Dec 31 2018 OFFS'!$W462),1))</f>
        <v>32672</v>
      </c>
      <c r="AM462" s="274">
        <f t="shared" si="77"/>
        <v>0</v>
      </c>
    </row>
    <row r="463" spans="1:39" ht="12.7">
      <c r="A463" s="193" t="s">
        <v>909</v>
      </c>
      <c r="B463" s="40" t="s">
        <v>918</v>
      </c>
      <c r="C463" s="40" t="s">
        <v>1266</v>
      </c>
      <c r="D463" s="40" t="s">
        <v>17</v>
      </c>
      <c r="E463" s="40" t="s">
        <v>17</v>
      </c>
      <c r="F463" s="40"/>
      <c r="G463" s="41" t="s">
        <v>54</v>
      </c>
      <c r="H463" s="42">
        <v>42</v>
      </c>
      <c r="I463" s="43">
        <v>46</v>
      </c>
      <c r="J463" s="44">
        <v>28.02</v>
      </c>
      <c r="K463" s="45">
        <v>79</v>
      </c>
      <c r="L463" s="43">
        <v>44</v>
      </c>
      <c r="M463" s="46">
        <v>28.98</v>
      </c>
      <c r="N463" s="40" t="s">
        <v>55</v>
      </c>
      <c r="O463" s="42">
        <v>42</v>
      </c>
      <c r="P463" s="43">
        <v>47</v>
      </c>
      <c r="Q463" s="44">
        <v>45</v>
      </c>
      <c r="R463" s="45">
        <v>79</v>
      </c>
      <c r="S463" s="43">
        <v>44</v>
      </c>
      <c r="T463" s="46">
        <v>15</v>
      </c>
      <c r="U463" s="40">
        <v>3</v>
      </c>
      <c r="V463" s="47">
        <v>7863.5168326399998</v>
      </c>
      <c r="W463" s="48">
        <v>1977</v>
      </c>
      <c r="X463" s="40"/>
      <c r="Y463" s="52" t="s">
        <v>1081</v>
      </c>
      <c r="Z463" s="40" t="s">
        <v>910</v>
      </c>
      <c r="AA463" s="49">
        <f t="shared" si="70"/>
        <v>185500.3620819776</v>
      </c>
      <c r="AB463" s="71">
        <f t="shared" si="71"/>
        <v>0.80</v>
      </c>
      <c r="AC463" s="49">
        <f t="shared" si="72"/>
        <v>37100.07</v>
      </c>
      <c r="AD463" s="50">
        <f t="shared" si="73"/>
        <v>0</v>
      </c>
      <c r="AE463" s="50">
        <f t="shared" si="74"/>
        <v>0</v>
      </c>
      <c r="AF463" s="50">
        <f t="shared" si="75"/>
        <v>37100.07</v>
      </c>
      <c r="AG463" s="199">
        <f t="shared" si="76"/>
        <v>37100</v>
      </c>
      <c r="AH463" s="187"/>
      <c r="AI463" s="185" t="s">
        <v>1456</v>
      </c>
      <c r="AJ463" s="185"/>
      <c r="AK463" s="277">
        <f t="shared" si="69"/>
        <v>7863.52</v>
      </c>
      <c r="AL463" s="25">
        <f>(SUMIFS('T1 2019 Pipeline Data Lagasco'!$O:$O,'T1 2019 Pipeline Data Lagasco'!$A:$A,'Dec 31 2018 OFFS'!$AI463,'T1 2019 Pipeline Data Lagasco'!$Q:$Q,'Dec 31 2018 OFFS'!$AK463,'T1 2019 Pipeline Data Lagasco'!$E:$E,'Dec 31 2018 OFFS'!$U463,'T1 2019 Pipeline Data Lagasco'!$G:$G,'Dec 31 2018 OFFS'!$W463))/(MAX(COUNTIFS('T1 2019 Pipeline Data Lagasco'!$A:$A,'Dec 31 2018 OFFS'!$AI463,'T1 2019 Pipeline Data Lagasco'!$Q:$Q,'Dec 31 2018 OFFS'!$AK463,'T1 2019 Pipeline Data Lagasco'!$E:$E,'Dec 31 2018 OFFS'!$U463,'T1 2019 Pipeline Data Lagasco'!$G:$G,'Dec 31 2018 OFFS'!$W463),1))</f>
        <v>37100</v>
      </c>
      <c r="AM463" s="274">
        <f t="shared" si="77"/>
        <v>0</v>
      </c>
    </row>
    <row r="464" spans="1:39" ht="12.7">
      <c r="A464" s="193" t="s">
        <v>909</v>
      </c>
      <c r="B464" s="40" t="s">
        <v>918</v>
      </c>
      <c r="C464" s="40" t="s">
        <v>1266</v>
      </c>
      <c r="D464" s="40" t="s">
        <v>17</v>
      </c>
      <c r="E464" s="40" t="s">
        <v>17</v>
      </c>
      <c r="F464" s="40"/>
      <c r="G464" s="41" t="s">
        <v>54</v>
      </c>
      <c r="H464" s="42">
        <v>42</v>
      </c>
      <c r="I464" s="43">
        <v>46</v>
      </c>
      <c r="J464" s="44">
        <v>28.02</v>
      </c>
      <c r="K464" s="45">
        <v>79</v>
      </c>
      <c r="L464" s="43">
        <v>44</v>
      </c>
      <c r="M464" s="46">
        <v>28.98</v>
      </c>
      <c r="N464" s="40" t="s">
        <v>56</v>
      </c>
      <c r="O464" s="42">
        <v>42</v>
      </c>
      <c r="P464" s="43">
        <v>45</v>
      </c>
      <c r="Q464" s="44">
        <v>32.087000000000003</v>
      </c>
      <c r="R464" s="45">
        <v>79</v>
      </c>
      <c r="S464" s="43">
        <v>44</v>
      </c>
      <c r="T464" s="46">
        <v>29.818000000000001</v>
      </c>
      <c r="U464" s="40">
        <v>3</v>
      </c>
      <c r="V464" s="47">
        <v>5663.4184711580001</v>
      </c>
      <c r="W464" s="48">
        <v>1977</v>
      </c>
      <c r="X464" s="40"/>
      <c r="Y464" s="52" t="s">
        <v>1081</v>
      </c>
      <c r="Z464" s="40" t="s">
        <v>910</v>
      </c>
      <c r="AA464" s="49">
        <f t="shared" si="70"/>
        <v>133600.04173461723</v>
      </c>
      <c r="AB464" s="71">
        <f t="shared" si="71"/>
        <v>0.80</v>
      </c>
      <c r="AC464" s="49">
        <f t="shared" si="72"/>
        <v>26720.01</v>
      </c>
      <c r="AD464" s="50">
        <f t="shared" si="73"/>
        <v>0</v>
      </c>
      <c r="AE464" s="50">
        <f t="shared" si="74"/>
        <v>0</v>
      </c>
      <c r="AF464" s="50">
        <f t="shared" si="75"/>
        <v>26720.01</v>
      </c>
      <c r="AG464" s="199">
        <f t="shared" si="76"/>
        <v>26720</v>
      </c>
      <c r="AH464" s="187"/>
      <c r="AI464" s="185" t="s">
        <v>1456</v>
      </c>
      <c r="AJ464" s="185"/>
      <c r="AK464" s="277">
        <f t="shared" si="69"/>
        <v>5663.42</v>
      </c>
      <c r="AL464" s="25">
        <f>(SUMIFS('T1 2019 Pipeline Data Lagasco'!$O:$O,'T1 2019 Pipeline Data Lagasco'!$A:$A,'Dec 31 2018 OFFS'!$AI464,'T1 2019 Pipeline Data Lagasco'!$Q:$Q,'Dec 31 2018 OFFS'!$AK464,'T1 2019 Pipeline Data Lagasco'!$E:$E,'Dec 31 2018 OFFS'!$U464,'T1 2019 Pipeline Data Lagasco'!$G:$G,'Dec 31 2018 OFFS'!$W464))/(MAX(COUNTIFS('T1 2019 Pipeline Data Lagasco'!$A:$A,'Dec 31 2018 OFFS'!$AI464,'T1 2019 Pipeline Data Lagasco'!$Q:$Q,'Dec 31 2018 OFFS'!$AK464,'T1 2019 Pipeline Data Lagasco'!$E:$E,'Dec 31 2018 OFFS'!$U464,'T1 2019 Pipeline Data Lagasco'!$G:$G,'Dec 31 2018 OFFS'!$W464),1))</f>
        <v>26720</v>
      </c>
      <c r="AM464" s="274">
        <f t="shared" si="77"/>
        <v>0</v>
      </c>
    </row>
    <row r="465" spans="1:39" ht="12.7">
      <c r="A465" s="193" t="s">
        <v>909</v>
      </c>
      <c r="B465" s="40" t="s">
        <v>918</v>
      </c>
      <c r="C465" s="40" t="s">
        <v>1266</v>
      </c>
      <c r="D465" s="40" t="s">
        <v>17</v>
      </c>
      <c r="E465" s="40" t="s">
        <v>17</v>
      </c>
      <c r="F465" s="40"/>
      <c r="G465" s="41" t="s">
        <v>54</v>
      </c>
      <c r="H465" s="42">
        <v>42</v>
      </c>
      <c r="I465" s="43">
        <v>46</v>
      </c>
      <c r="J465" s="44">
        <v>28.02</v>
      </c>
      <c r="K465" s="45">
        <v>79</v>
      </c>
      <c r="L465" s="43">
        <v>44</v>
      </c>
      <c r="M465" s="46">
        <v>28.98</v>
      </c>
      <c r="N465" s="40" t="s">
        <v>59</v>
      </c>
      <c r="O465" s="42">
        <v>42</v>
      </c>
      <c r="P465" s="43">
        <v>46</v>
      </c>
      <c r="Q465" s="44">
        <v>30</v>
      </c>
      <c r="R465" s="45">
        <v>79</v>
      </c>
      <c r="S465" s="43">
        <v>42</v>
      </c>
      <c r="T465" s="46">
        <v>31.98</v>
      </c>
      <c r="U465" s="40">
        <v>6</v>
      </c>
      <c r="V465" s="47">
        <v>8729.2320306660004</v>
      </c>
      <c r="W465" s="48">
        <v>1977</v>
      </c>
      <c r="X465" s="40"/>
      <c r="Y465" s="52" t="s">
        <v>1081</v>
      </c>
      <c r="Z465" s="40" t="s">
        <v>910</v>
      </c>
      <c r="AA465" s="49">
        <f t="shared" si="70"/>
        <v>302293.30522196362</v>
      </c>
      <c r="AB465" s="71">
        <f t="shared" si="71"/>
        <v>0.80</v>
      </c>
      <c r="AC465" s="49">
        <f t="shared" si="72"/>
        <v>60458.66</v>
      </c>
      <c r="AD465" s="50">
        <f t="shared" si="73"/>
        <v>0</v>
      </c>
      <c r="AE465" s="50">
        <f t="shared" si="74"/>
        <v>0</v>
      </c>
      <c r="AF465" s="50">
        <f t="shared" si="75"/>
        <v>60458.66</v>
      </c>
      <c r="AG465" s="199">
        <f t="shared" si="76"/>
        <v>60458</v>
      </c>
      <c r="AH465" s="187"/>
      <c r="AI465" s="185" t="s">
        <v>1456</v>
      </c>
      <c r="AJ465" s="185"/>
      <c r="AK465" s="277">
        <f t="shared" si="69"/>
        <v>8729.23</v>
      </c>
      <c r="AL465" s="25">
        <f>(SUMIFS('T1 2019 Pipeline Data Lagasco'!$O:$O,'T1 2019 Pipeline Data Lagasco'!$A:$A,'Dec 31 2018 OFFS'!$AI465,'T1 2019 Pipeline Data Lagasco'!$Q:$Q,'Dec 31 2018 OFFS'!$AK465,'T1 2019 Pipeline Data Lagasco'!$E:$E,'Dec 31 2018 OFFS'!$U465,'T1 2019 Pipeline Data Lagasco'!$G:$G,'Dec 31 2018 OFFS'!$W465))/(MAX(COUNTIFS('T1 2019 Pipeline Data Lagasco'!$A:$A,'Dec 31 2018 OFFS'!$AI465,'T1 2019 Pipeline Data Lagasco'!$Q:$Q,'Dec 31 2018 OFFS'!$AK465,'T1 2019 Pipeline Data Lagasco'!$E:$E,'Dec 31 2018 OFFS'!$U465,'T1 2019 Pipeline Data Lagasco'!$G:$G,'Dec 31 2018 OFFS'!$W465),1))</f>
        <v>60458</v>
      </c>
      <c r="AM465" s="274">
        <f t="shared" si="77"/>
        <v>0</v>
      </c>
    </row>
    <row r="466" spans="1:39" ht="12.7">
      <c r="A466" s="193" t="s">
        <v>909</v>
      </c>
      <c r="B466" s="40" t="s">
        <v>918</v>
      </c>
      <c r="C466" s="40" t="s">
        <v>1266</v>
      </c>
      <c r="D466" s="40" t="s">
        <v>17</v>
      </c>
      <c r="E466" s="40" t="s">
        <v>58</v>
      </c>
      <c r="F466" s="40"/>
      <c r="G466" s="41" t="s">
        <v>57</v>
      </c>
      <c r="H466" s="42">
        <v>42</v>
      </c>
      <c r="I466" s="43">
        <v>46</v>
      </c>
      <c r="J466" s="44">
        <v>34.020000000000003</v>
      </c>
      <c r="K466" s="45">
        <v>79</v>
      </c>
      <c r="L466" s="43">
        <v>42</v>
      </c>
      <c r="M466" s="46">
        <v>30</v>
      </c>
      <c r="N466" s="40" t="s">
        <v>26</v>
      </c>
      <c r="O466" s="42">
        <v>42</v>
      </c>
      <c r="P466" s="43">
        <v>45</v>
      </c>
      <c r="Q466" s="44">
        <v>54</v>
      </c>
      <c r="R466" s="45">
        <v>79</v>
      </c>
      <c r="S466" s="43">
        <v>42</v>
      </c>
      <c r="T466" s="46">
        <v>43.02</v>
      </c>
      <c r="U466" s="40">
        <v>3</v>
      </c>
      <c r="V466" s="47">
        <v>4166.732162796</v>
      </c>
      <c r="W466" s="48">
        <v>1980</v>
      </c>
      <c r="X466" s="40"/>
      <c r="Y466" s="52" t="s">
        <v>1081</v>
      </c>
      <c r="Z466" s="40" t="s">
        <v>910</v>
      </c>
      <c r="AA466" s="49">
        <f t="shared" si="70"/>
        <v>98293.211720357634</v>
      </c>
      <c r="AB466" s="71">
        <f t="shared" si="71"/>
        <v>0.80</v>
      </c>
      <c r="AC466" s="49">
        <f t="shared" si="72"/>
        <v>19658.64</v>
      </c>
      <c r="AD466" s="50">
        <f t="shared" si="73"/>
        <v>0</v>
      </c>
      <c r="AE466" s="50">
        <f t="shared" si="74"/>
        <v>0</v>
      </c>
      <c r="AF466" s="50">
        <f t="shared" si="75"/>
        <v>19658.64</v>
      </c>
      <c r="AG466" s="199">
        <f t="shared" si="76"/>
        <v>19658</v>
      </c>
      <c r="AH466" s="187"/>
      <c r="AI466" s="185" t="s">
        <v>1456</v>
      </c>
      <c r="AJ466" s="185"/>
      <c r="AK466" s="277">
        <f t="shared" si="69"/>
        <v>4166.7299999999996</v>
      </c>
      <c r="AL466" s="25">
        <f>(SUMIFS('T1 2019 Pipeline Data Lagasco'!$O:$O,'T1 2019 Pipeline Data Lagasco'!$A:$A,'Dec 31 2018 OFFS'!$AI466,'T1 2019 Pipeline Data Lagasco'!$Q:$Q,'Dec 31 2018 OFFS'!$AK466,'T1 2019 Pipeline Data Lagasco'!$E:$E,'Dec 31 2018 OFFS'!$U466,'T1 2019 Pipeline Data Lagasco'!$G:$G,'Dec 31 2018 OFFS'!$W466))/(MAX(COUNTIFS('T1 2019 Pipeline Data Lagasco'!$A:$A,'Dec 31 2018 OFFS'!$AI466,'T1 2019 Pipeline Data Lagasco'!$Q:$Q,'Dec 31 2018 OFFS'!$AK466,'T1 2019 Pipeline Data Lagasco'!$E:$E,'Dec 31 2018 OFFS'!$U466,'T1 2019 Pipeline Data Lagasco'!$G:$G,'Dec 31 2018 OFFS'!$W466),1))</f>
        <v>19658</v>
      </c>
      <c r="AM466" s="274">
        <f t="shared" si="77"/>
        <v>0</v>
      </c>
    </row>
    <row r="467" spans="1:39" ht="12.7">
      <c r="A467" s="193" t="s">
        <v>909</v>
      </c>
      <c r="B467" s="40" t="s">
        <v>918</v>
      </c>
      <c r="C467" s="40" t="s">
        <v>1266</v>
      </c>
      <c r="D467" s="40" t="s">
        <v>17</v>
      </c>
      <c r="E467" s="40" t="s">
        <v>17</v>
      </c>
      <c r="F467" s="40" t="s">
        <v>1051</v>
      </c>
      <c r="G467" s="41" t="s">
        <v>59</v>
      </c>
      <c r="H467" s="42">
        <v>42</v>
      </c>
      <c r="I467" s="43">
        <v>46</v>
      </c>
      <c r="J467" s="44">
        <v>30</v>
      </c>
      <c r="K467" s="45">
        <v>79</v>
      </c>
      <c r="L467" s="43">
        <v>42</v>
      </c>
      <c r="M467" s="46">
        <v>31.98</v>
      </c>
      <c r="N467" s="40" t="s">
        <v>52</v>
      </c>
      <c r="O467" s="42">
        <v>42</v>
      </c>
      <c r="P467" s="43">
        <v>47</v>
      </c>
      <c r="Q467" s="44">
        <v>31.02</v>
      </c>
      <c r="R467" s="45">
        <v>79</v>
      </c>
      <c r="S467" s="43">
        <v>42</v>
      </c>
      <c r="T467" s="46">
        <v>28.02</v>
      </c>
      <c r="U467" s="40">
        <v>3</v>
      </c>
      <c r="V467" s="47">
        <v>6185.2688497459994</v>
      </c>
      <c r="W467" s="48">
        <v>1977</v>
      </c>
      <c r="X467" s="40"/>
      <c r="Y467" s="52" t="s">
        <v>1081</v>
      </c>
      <c r="Z467" s="40" t="s">
        <v>910</v>
      </c>
      <c r="AA467" s="49">
        <f t="shared" si="70"/>
        <v>0</v>
      </c>
      <c r="AB467" s="71">
        <f t="shared" si="71"/>
        <v>0.80</v>
      </c>
      <c r="AC467" s="49">
        <f t="shared" si="72"/>
        <v>0</v>
      </c>
      <c r="AD467" s="50">
        <f t="shared" si="73"/>
        <v>0</v>
      </c>
      <c r="AE467" s="50">
        <f t="shared" si="74"/>
        <v>0</v>
      </c>
      <c r="AF467" s="50">
        <f t="shared" si="75"/>
        <v>0</v>
      </c>
      <c r="AG467" s="199">
        <f t="shared" si="76"/>
        <v>0</v>
      </c>
      <c r="AH467" s="187"/>
      <c r="AI467" s="185" t="s">
        <v>1456</v>
      </c>
      <c r="AJ467" s="185"/>
      <c r="AK467" s="277">
        <f t="shared" si="69"/>
        <v>6185.27</v>
      </c>
      <c r="AL467" s="25">
        <f>(SUMIFS('T1 2019 Pipeline Data Lagasco'!$O:$O,'T1 2019 Pipeline Data Lagasco'!$A:$A,'Dec 31 2018 OFFS'!$AI467,'T1 2019 Pipeline Data Lagasco'!$Q:$Q,'Dec 31 2018 OFFS'!$AK467,'T1 2019 Pipeline Data Lagasco'!$E:$E,'Dec 31 2018 OFFS'!$U467,'T1 2019 Pipeline Data Lagasco'!$G:$G,'Dec 31 2018 OFFS'!$W467))/(MAX(COUNTIFS('T1 2019 Pipeline Data Lagasco'!$A:$A,'Dec 31 2018 OFFS'!$AI467,'T1 2019 Pipeline Data Lagasco'!$Q:$Q,'Dec 31 2018 OFFS'!$AK467,'T1 2019 Pipeline Data Lagasco'!$E:$E,'Dec 31 2018 OFFS'!$U467,'T1 2019 Pipeline Data Lagasco'!$G:$G,'Dec 31 2018 OFFS'!$W467),1))</f>
        <v>0</v>
      </c>
      <c r="AM467" s="274">
        <f t="shared" si="77"/>
        <v>0</v>
      </c>
    </row>
    <row r="468" spans="1:39" ht="12.7">
      <c r="A468" s="193" t="s">
        <v>909</v>
      </c>
      <c r="B468" s="40" t="s">
        <v>918</v>
      </c>
      <c r="C468" s="40" t="s">
        <v>1266</v>
      </c>
      <c r="D468" s="40" t="s">
        <v>17</v>
      </c>
      <c r="E468" s="40" t="s">
        <v>17</v>
      </c>
      <c r="F468" s="40"/>
      <c r="G468" s="41" t="s">
        <v>59</v>
      </c>
      <c r="H468" s="42">
        <v>42</v>
      </c>
      <c r="I468" s="43">
        <v>46</v>
      </c>
      <c r="J468" s="44">
        <v>30</v>
      </c>
      <c r="K468" s="45">
        <v>79</v>
      </c>
      <c r="L468" s="43">
        <v>42</v>
      </c>
      <c r="M468" s="46">
        <v>31.98</v>
      </c>
      <c r="N468" s="40" t="s">
        <v>167</v>
      </c>
      <c r="O468" s="42">
        <v>42</v>
      </c>
      <c r="P468" s="43">
        <v>46</v>
      </c>
      <c r="Q468" s="44">
        <v>34.42</v>
      </c>
      <c r="R468" s="45">
        <v>79</v>
      </c>
      <c r="S468" s="43">
        <v>40</v>
      </c>
      <c r="T468" s="46">
        <v>22.19</v>
      </c>
      <c r="U468" s="40">
        <v>6</v>
      </c>
      <c r="V468" s="47">
        <v>9691.1742600259986</v>
      </c>
      <c r="W468" s="48">
        <v>1977</v>
      </c>
      <c r="X468" s="40"/>
      <c r="Y468" s="52" t="s">
        <v>1081</v>
      </c>
      <c r="Z468" s="40" t="s">
        <v>910</v>
      </c>
      <c r="AA468" s="49">
        <f t="shared" si="70"/>
        <v>335605.36462470033</v>
      </c>
      <c r="AB468" s="71">
        <f t="shared" si="71"/>
        <v>0.80</v>
      </c>
      <c r="AC468" s="49">
        <f t="shared" si="72"/>
        <v>67121.070000000007</v>
      </c>
      <c r="AD468" s="50">
        <f t="shared" si="73"/>
        <v>0</v>
      </c>
      <c r="AE468" s="50">
        <f t="shared" si="74"/>
        <v>0</v>
      </c>
      <c r="AF468" s="50">
        <f t="shared" si="75"/>
        <v>67121.070000000007</v>
      </c>
      <c r="AG468" s="199">
        <f t="shared" si="76"/>
        <v>67121</v>
      </c>
      <c r="AH468" s="187"/>
      <c r="AI468" s="185" t="s">
        <v>1456</v>
      </c>
      <c r="AJ468" s="185"/>
      <c r="AK468" s="277">
        <f t="shared" si="69"/>
        <v>9691.17</v>
      </c>
      <c r="AL468" s="25">
        <f>(SUMIFS('T1 2019 Pipeline Data Lagasco'!$O:$O,'T1 2019 Pipeline Data Lagasco'!$A:$A,'Dec 31 2018 OFFS'!$AI468,'T1 2019 Pipeline Data Lagasco'!$Q:$Q,'Dec 31 2018 OFFS'!$AK468,'T1 2019 Pipeline Data Lagasco'!$E:$E,'Dec 31 2018 OFFS'!$U468,'T1 2019 Pipeline Data Lagasco'!$G:$G,'Dec 31 2018 OFFS'!$W468))/(MAX(COUNTIFS('T1 2019 Pipeline Data Lagasco'!$A:$A,'Dec 31 2018 OFFS'!$AI468,'T1 2019 Pipeline Data Lagasco'!$Q:$Q,'Dec 31 2018 OFFS'!$AK468,'T1 2019 Pipeline Data Lagasco'!$E:$E,'Dec 31 2018 OFFS'!$U468,'T1 2019 Pipeline Data Lagasco'!$G:$G,'Dec 31 2018 OFFS'!$W468),1))</f>
        <v>67121</v>
      </c>
      <c r="AM468" s="274">
        <f t="shared" si="77"/>
        <v>0</v>
      </c>
    </row>
    <row r="469" spans="1:39" ht="12.7">
      <c r="A469" s="193" t="s">
        <v>909</v>
      </c>
      <c r="B469" s="40" t="s">
        <v>918</v>
      </c>
      <c r="C469" s="40" t="s">
        <v>1266</v>
      </c>
      <c r="D469" s="40" t="s">
        <v>17</v>
      </c>
      <c r="E469" s="40" t="s">
        <v>58</v>
      </c>
      <c r="F469" s="40" t="s">
        <v>1051</v>
      </c>
      <c r="G469" s="41" t="s">
        <v>26</v>
      </c>
      <c r="H469" s="42">
        <v>42</v>
      </c>
      <c r="I469" s="43">
        <v>45</v>
      </c>
      <c r="J469" s="44">
        <v>54</v>
      </c>
      <c r="K469" s="45">
        <v>79</v>
      </c>
      <c r="L469" s="43">
        <v>42</v>
      </c>
      <c r="M469" s="46">
        <v>43.02</v>
      </c>
      <c r="N469" s="40" t="s">
        <v>27</v>
      </c>
      <c r="O469" s="42">
        <v>42</v>
      </c>
      <c r="P469" s="43">
        <v>45</v>
      </c>
      <c r="Q469" s="44">
        <v>33</v>
      </c>
      <c r="R469" s="45">
        <v>79</v>
      </c>
      <c r="S469" s="43">
        <v>43</v>
      </c>
      <c r="T469" s="46">
        <v>13.02</v>
      </c>
      <c r="U469" s="40">
        <v>2</v>
      </c>
      <c r="V469" s="47">
        <v>3087.0734014119998</v>
      </c>
      <c r="W469" s="48">
        <v>1978</v>
      </c>
      <c r="X469" s="40"/>
      <c r="Y469" s="52" t="s">
        <v>1081</v>
      </c>
      <c r="Z469" s="40" t="s">
        <v>910</v>
      </c>
      <c r="AA469" s="49">
        <f t="shared" si="70"/>
        <v>0</v>
      </c>
      <c r="AB469" s="71">
        <f t="shared" si="71"/>
        <v>0.80</v>
      </c>
      <c r="AC469" s="49">
        <f t="shared" si="72"/>
        <v>0</v>
      </c>
      <c r="AD469" s="50">
        <f t="shared" si="73"/>
        <v>0</v>
      </c>
      <c r="AE469" s="50">
        <f t="shared" si="74"/>
        <v>0</v>
      </c>
      <c r="AF469" s="50">
        <f t="shared" si="75"/>
        <v>0</v>
      </c>
      <c r="AG469" s="199">
        <f t="shared" si="76"/>
        <v>0</v>
      </c>
      <c r="AH469" s="187"/>
      <c r="AI469" s="185" t="s">
        <v>1456</v>
      </c>
      <c r="AJ469" s="185"/>
      <c r="AK469" s="277">
        <f t="shared" si="69"/>
        <v>3087.07</v>
      </c>
      <c r="AL469" s="25">
        <f>(SUMIFS('T1 2019 Pipeline Data Lagasco'!$O:$O,'T1 2019 Pipeline Data Lagasco'!$A:$A,'Dec 31 2018 OFFS'!$AI469,'T1 2019 Pipeline Data Lagasco'!$Q:$Q,'Dec 31 2018 OFFS'!$AK469,'T1 2019 Pipeline Data Lagasco'!$E:$E,'Dec 31 2018 OFFS'!$U469,'T1 2019 Pipeline Data Lagasco'!$G:$G,'Dec 31 2018 OFFS'!$W469))/(MAX(COUNTIFS('T1 2019 Pipeline Data Lagasco'!$A:$A,'Dec 31 2018 OFFS'!$AI469,'T1 2019 Pipeline Data Lagasco'!$Q:$Q,'Dec 31 2018 OFFS'!$AK469,'T1 2019 Pipeline Data Lagasco'!$E:$E,'Dec 31 2018 OFFS'!$U469,'T1 2019 Pipeline Data Lagasco'!$G:$G,'Dec 31 2018 OFFS'!$W469),1))</f>
        <v>0</v>
      </c>
      <c r="AM469" s="274">
        <f t="shared" si="77"/>
        <v>0</v>
      </c>
    </row>
    <row r="470" spans="1:39" ht="12.7">
      <c r="A470" s="193" t="s">
        <v>909</v>
      </c>
      <c r="B470" s="40" t="s">
        <v>918</v>
      </c>
      <c r="C470" s="40" t="s">
        <v>1266</v>
      </c>
      <c r="D470" s="40" t="s">
        <v>17</v>
      </c>
      <c r="E470" s="40" t="s">
        <v>58</v>
      </c>
      <c r="F470" s="40"/>
      <c r="G470" s="41" t="s">
        <v>26</v>
      </c>
      <c r="H470" s="42">
        <v>42</v>
      </c>
      <c r="I470" s="43">
        <v>45</v>
      </c>
      <c r="J470" s="44">
        <v>54</v>
      </c>
      <c r="K470" s="45">
        <v>79</v>
      </c>
      <c r="L470" s="43">
        <v>42</v>
      </c>
      <c r="M470" s="46">
        <v>43.02</v>
      </c>
      <c r="N470" s="41" t="s">
        <v>60</v>
      </c>
      <c r="O470" s="42">
        <v>42</v>
      </c>
      <c r="P470" s="43">
        <v>45</v>
      </c>
      <c r="Q470" s="44">
        <v>16.02</v>
      </c>
      <c r="R470" s="45">
        <v>79</v>
      </c>
      <c r="S470" s="43">
        <v>42</v>
      </c>
      <c r="T470" s="46">
        <v>25.98</v>
      </c>
      <c r="U470" s="40">
        <v>3</v>
      </c>
      <c r="V470" s="47">
        <v>4050.0983079059997</v>
      </c>
      <c r="W470" s="48">
        <v>1962</v>
      </c>
      <c r="X470" s="40"/>
      <c r="Y470" s="52" t="s">
        <v>1081</v>
      </c>
      <c r="Z470" s="40" t="s">
        <v>910</v>
      </c>
      <c r="AA470" s="49">
        <f t="shared" si="70"/>
        <v>95541.819083502531</v>
      </c>
      <c r="AB470" s="71">
        <f t="shared" si="71"/>
        <v>0.80</v>
      </c>
      <c r="AC470" s="49">
        <f t="shared" si="72"/>
        <v>19108.36</v>
      </c>
      <c r="AD470" s="50">
        <f t="shared" si="73"/>
        <v>0</v>
      </c>
      <c r="AE470" s="50">
        <f t="shared" si="74"/>
        <v>0</v>
      </c>
      <c r="AF470" s="50">
        <f t="shared" si="75"/>
        <v>19108.36</v>
      </c>
      <c r="AG470" s="199">
        <f t="shared" si="76"/>
        <v>19108</v>
      </c>
      <c r="AH470" s="187"/>
      <c r="AI470" s="185" t="s">
        <v>1456</v>
      </c>
      <c r="AJ470" s="185"/>
      <c r="AK470" s="277">
        <f t="shared" si="69"/>
        <v>4050.10</v>
      </c>
      <c r="AL470" s="25">
        <f>(SUMIFS('T1 2019 Pipeline Data Lagasco'!$O:$O,'T1 2019 Pipeline Data Lagasco'!$A:$A,'Dec 31 2018 OFFS'!$AI470,'T1 2019 Pipeline Data Lagasco'!$Q:$Q,'Dec 31 2018 OFFS'!$AK470,'T1 2019 Pipeline Data Lagasco'!$E:$E,'Dec 31 2018 OFFS'!$U470,'T1 2019 Pipeline Data Lagasco'!$G:$G,'Dec 31 2018 OFFS'!$W470))/(MAX(COUNTIFS('T1 2019 Pipeline Data Lagasco'!$A:$A,'Dec 31 2018 OFFS'!$AI470,'T1 2019 Pipeline Data Lagasco'!$Q:$Q,'Dec 31 2018 OFFS'!$AK470,'T1 2019 Pipeline Data Lagasco'!$E:$E,'Dec 31 2018 OFFS'!$U470,'T1 2019 Pipeline Data Lagasco'!$G:$G,'Dec 31 2018 OFFS'!$W470),1))</f>
        <v>19108</v>
      </c>
      <c r="AM470" s="274">
        <f t="shared" si="77"/>
        <v>0</v>
      </c>
    </row>
    <row r="471" spans="1:39" ht="12.7">
      <c r="A471" s="193" t="s">
        <v>909</v>
      </c>
      <c r="B471" s="40" t="s">
        <v>918</v>
      </c>
      <c r="C471" s="40" t="s">
        <v>1266</v>
      </c>
      <c r="D471" s="40" t="s">
        <v>17</v>
      </c>
      <c r="E471" s="40" t="s">
        <v>58</v>
      </c>
      <c r="F471" s="40"/>
      <c r="G471" s="41" t="s">
        <v>26</v>
      </c>
      <c r="H471" s="42">
        <v>42</v>
      </c>
      <c r="I471" s="43">
        <v>45</v>
      </c>
      <c r="J471" s="44">
        <v>54.42</v>
      </c>
      <c r="K471" s="45">
        <v>79</v>
      </c>
      <c r="L471" s="43">
        <v>42</v>
      </c>
      <c r="M471" s="46">
        <v>43.80</v>
      </c>
      <c r="N471" s="40" t="s">
        <v>27</v>
      </c>
      <c r="O471" s="42">
        <v>42</v>
      </c>
      <c r="P471" s="43">
        <v>45</v>
      </c>
      <c r="Q471" s="44">
        <v>33</v>
      </c>
      <c r="R471" s="45">
        <v>79</v>
      </c>
      <c r="S471" s="43">
        <v>43</v>
      </c>
      <c r="T471" s="46">
        <v>13.02</v>
      </c>
      <c r="U471" s="40">
        <v>2</v>
      </c>
      <c r="V471" s="47">
        <v>3023</v>
      </c>
      <c r="W471" s="48">
        <v>2005</v>
      </c>
      <c r="X471" s="40"/>
      <c r="Y471" s="52"/>
      <c r="Z471" s="40" t="s">
        <v>910</v>
      </c>
      <c r="AA471" s="49">
        <f t="shared" si="70"/>
        <v>49093.52</v>
      </c>
      <c r="AB471" s="71">
        <f t="shared" si="71"/>
        <v>0.54</v>
      </c>
      <c r="AC471" s="49">
        <f t="shared" si="72"/>
        <v>22583.02</v>
      </c>
      <c r="AD471" s="50">
        <f t="shared" si="73"/>
        <v>0</v>
      </c>
      <c r="AE471" s="50">
        <f t="shared" si="74"/>
        <v>0</v>
      </c>
      <c r="AF471" s="50">
        <f t="shared" si="75"/>
        <v>22583.02</v>
      </c>
      <c r="AG471" s="199">
        <f t="shared" si="76"/>
        <v>22583</v>
      </c>
      <c r="AH471" s="187"/>
      <c r="AI471" s="185" t="s">
        <v>1456</v>
      </c>
      <c r="AJ471" s="185"/>
      <c r="AK471" s="277">
        <f t="shared" si="69"/>
        <v>3023</v>
      </c>
      <c r="AL471" s="25">
        <f>(SUMIFS('T1 2019 Pipeline Data Lagasco'!$O:$O,'T1 2019 Pipeline Data Lagasco'!$A:$A,'Dec 31 2018 OFFS'!$AI471,'T1 2019 Pipeline Data Lagasco'!$Q:$Q,'Dec 31 2018 OFFS'!$AK471,'T1 2019 Pipeline Data Lagasco'!$E:$E,'Dec 31 2018 OFFS'!$U471,'T1 2019 Pipeline Data Lagasco'!$G:$G,'Dec 31 2018 OFFS'!$W471))/(MAX(COUNTIFS('T1 2019 Pipeline Data Lagasco'!$A:$A,'Dec 31 2018 OFFS'!$AI471,'T1 2019 Pipeline Data Lagasco'!$Q:$Q,'Dec 31 2018 OFFS'!$AK471,'T1 2019 Pipeline Data Lagasco'!$E:$E,'Dec 31 2018 OFFS'!$U471,'T1 2019 Pipeline Data Lagasco'!$G:$G,'Dec 31 2018 OFFS'!$W471),1))</f>
        <v>22583</v>
      </c>
      <c r="AM471" s="274">
        <f t="shared" si="77"/>
        <v>0</v>
      </c>
    </row>
    <row r="472" spans="1:39" ht="12.7">
      <c r="A472" s="193" t="s">
        <v>909</v>
      </c>
      <c r="B472" s="40" t="s">
        <v>918</v>
      </c>
      <c r="C472" s="40" t="s">
        <v>1266</v>
      </c>
      <c r="D472" s="40" t="s">
        <v>17</v>
      </c>
      <c r="E472" s="40" t="s">
        <v>58</v>
      </c>
      <c r="F472" s="40" t="s">
        <v>1051</v>
      </c>
      <c r="G472" s="41" t="s">
        <v>60</v>
      </c>
      <c r="H472" s="42">
        <v>42</v>
      </c>
      <c r="I472" s="43">
        <v>45</v>
      </c>
      <c r="J472" s="44">
        <v>16.02</v>
      </c>
      <c r="K472" s="45">
        <v>79</v>
      </c>
      <c r="L472" s="43">
        <v>42</v>
      </c>
      <c r="M472" s="46">
        <v>25.98</v>
      </c>
      <c r="N472" s="40" t="s">
        <v>61</v>
      </c>
      <c r="O472" s="42">
        <v>42</v>
      </c>
      <c r="P472" s="43">
        <v>45</v>
      </c>
      <c r="Q472" s="44">
        <v>24</v>
      </c>
      <c r="R472" s="45">
        <v>79</v>
      </c>
      <c r="S472" s="43">
        <v>41</v>
      </c>
      <c r="T472" s="46">
        <v>49.98</v>
      </c>
      <c r="U472" s="40">
        <v>3</v>
      </c>
      <c r="V472" s="47">
        <v>2804.92</v>
      </c>
      <c r="W472" s="48">
        <v>1962</v>
      </c>
      <c r="X472" s="40"/>
      <c r="Y472" s="52"/>
      <c r="Z472" s="40" t="s">
        <v>910</v>
      </c>
      <c r="AA472" s="49">
        <f t="shared" si="70"/>
        <v>0</v>
      </c>
      <c r="AB472" s="71">
        <f t="shared" si="71"/>
        <v>0.80</v>
      </c>
      <c r="AC472" s="49">
        <f t="shared" si="72"/>
        <v>0</v>
      </c>
      <c r="AD472" s="50">
        <f t="shared" si="73"/>
        <v>0</v>
      </c>
      <c r="AE472" s="50">
        <f t="shared" si="74"/>
        <v>0</v>
      </c>
      <c r="AF472" s="50">
        <f t="shared" si="75"/>
        <v>0</v>
      </c>
      <c r="AG472" s="199">
        <f t="shared" si="76"/>
        <v>0</v>
      </c>
      <c r="AH472" s="187"/>
      <c r="AI472" s="185" t="s">
        <v>1456</v>
      </c>
      <c r="AJ472" s="185"/>
      <c r="AK472" s="277">
        <f t="shared" si="69"/>
        <v>2804.92</v>
      </c>
      <c r="AL472" s="25">
        <f>(SUMIFS('T1 2019 Pipeline Data Lagasco'!$O:$O,'T1 2019 Pipeline Data Lagasco'!$A:$A,'Dec 31 2018 OFFS'!$AI472,'T1 2019 Pipeline Data Lagasco'!$Q:$Q,'Dec 31 2018 OFFS'!$AK472,'T1 2019 Pipeline Data Lagasco'!$E:$E,'Dec 31 2018 OFFS'!$U472,'T1 2019 Pipeline Data Lagasco'!$G:$G,'Dec 31 2018 OFFS'!$W472))/(MAX(COUNTIFS('T1 2019 Pipeline Data Lagasco'!$A:$A,'Dec 31 2018 OFFS'!$AI472,'T1 2019 Pipeline Data Lagasco'!$Q:$Q,'Dec 31 2018 OFFS'!$AK472,'T1 2019 Pipeline Data Lagasco'!$E:$E,'Dec 31 2018 OFFS'!$U472,'T1 2019 Pipeline Data Lagasco'!$G:$G,'Dec 31 2018 OFFS'!$W472),1))</f>
        <v>0</v>
      </c>
      <c r="AM472" s="274">
        <f t="shared" si="77"/>
        <v>0</v>
      </c>
    </row>
    <row r="473" spans="1:39" ht="12.7">
      <c r="A473" s="193" t="s">
        <v>909</v>
      </c>
      <c r="B473" s="40" t="s">
        <v>918</v>
      </c>
      <c r="C473" s="40" t="s">
        <v>1266</v>
      </c>
      <c r="D473" s="40" t="s">
        <v>17</v>
      </c>
      <c r="E473" s="40" t="s">
        <v>17</v>
      </c>
      <c r="F473" s="40"/>
      <c r="G473" s="41" t="s">
        <v>56</v>
      </c>
      <c r="H473" s="42">
        <v>42</v>
      </c>
      <c r="I473" s="43">
        <v>45</v>
      </c>
      <c r="J473" s="44">
        <v>32.087000000000003</v>
      </c>
      <c r="K473" s="45">
        <v>79</v>
      </c>
      <c r="L473" s="43">
        <v>44</v>
      </c>
      <c r="M473" s="46">
        <v>29.818000000000001</v>
      </c>
      <c r="N473" s="41" t="s">
        <v>62</v>
      </c>
      <c r="O473" s="42">
        <v>42</v>
      </c>
      <c r="P473" s="43">
        <v>45</v>
      </c>
      <c r="Q473" s="44">
        <v>15.11</v>
      </c>
      <c r="R473" s="45">
        <v>79</v>
      </c>
      <c r="S473" s="43">
        <v>45</v>
      </c>
      <c r="T473" s="46">
        <v>14.494</v>
      </c>
      <c r="U473" s="40">
        <v>3</v>
      </c>
      <c r="V473" s="47">
        <v>3750.3935921759994</v>
      </c>
      <c r="W473" s="48">
        <v>1977</v>
      </c>
      <c r="X473" s="40"/>
      <c r="Y473" s="52" t="s">
        <v>1081</v>
      </c>
      <c r="Z473" s="40" t="s">
        <v>910</v>
      </c>
      <c r="AA473" s="49">
        <f t="shared" si="70"/>
        <v>88471.784839431828</v>
      </c>
      <c r="AB473" s="71">
        <f t="shared" si="71"/>
        <v>0.80</v>
      </c>
      <c r="AC473" s="49">
        <f t="shared" si="72"/>
        <v>17694.36</v>
      </c>
      <c r="AD473" s="50">
        <f t="shared" si="73"/>
        <v>0</v>
      </c>
      <c r="AE473" s="50">
        <f t="shared" si="74"/>
        <v>0</v>
      </c>
      <c r="AF473" s="50">
        <f t="shared" si="75"/>
        <v>17694.36</v>
      </c>
      <c r="AG473" s="199">
        <f t="shared" si="76"/>
        <v>17694</v>
      </c>
      <c r="AH473" s="187"/>
      <c r="AI473" s="185" t="s">
        <v>1456</v>
      </c>
      <c r="AJ473" s="185"/>
      <c r="AK473" s="277">
        <f t="shared" si="69"/>
        <v>3750.39</v>
      </c>
      <c r="AL473" s="25">
        <f>(SUMIFS('T1 2019 Pipeline Data Lagasco'!$O:$O,'T1 2019 Pipeline Data Lagasco'!$A:$A,'Dec 31 2018 OFFS'!$AI473,'T1 2019 Pipeline Data Lagasco'!$Q:$Q,'Dec 31 2018 OFFS'!$AK473,'T1 2019 Pipeline Data Lagasco'!$E:$E,'Dec 31 2018 OFFS'!$U473,'T1 2019 Pipeline Data Lagasco'!$G:$G,'Dec 31 2018 OFFS'!$W473))/(MAX(COUNTIFS('T1 2019 Pipeline Data Lagasco'!$A:$A,'Dec 31 2018 OFFS'!$AI473,'T1 2019 Pipeline Data Lagasco'!$Q:$Q,'Dec 31 2018 OFFS'!$AK473,'T1 2019 Pipeline Data Lagasco'!$E:$E,'Dec 31 2018 OFFS'!$U473,'T1 2019 Pipeline Data Lagasco'!$G:$G,'Dec 31 2018 OFFS'!$W473),1))</f>
        <v>17694</v>
      </c>
      <c r="AM473" s="274">
        <f t="shared" si="77"/>
        <v>0</v>
      </c>
    </row>
    <row r="474" spans="1:39" ht="12.7">
      <c r="A474" s="193" t="s">
        <v>909</v>
      </c>
      <c r="B474" s="40" t="s">
        <v>918</v>
      </c>
      <c r="C474" s="40" t="s">
        <v>1266</v>
      </c>
      <c r="D474" s="40" t="s">
        <v>17</v>
      </c>
      <c r="E474" s="40" t="s">
        <v>64</v>
      </c>
      <c r="F474" s="40"/>
      <c r="G474" s="41" t="s">
        <v>63</v>
      </c>
      <c r="H474" s="42">
        <v>42</v>
      </c>
      <c r="I474" s="43">
        <v>43</v>
      </c>
      <c r="J474" s="44">
        <v>12</v>
      </c>
      <c r="K474" s="45">
        <v>79</v>
      </c>
      <c r="L474" s="43">
        <v>39</v>
      </c>
      <c r="M474" s="46">
        <v>43.98</v>
      </c>
      <c r="N474" s="40" t="s">
        <v>30</v>
      </c>
      <c r="O474" s="42">
        <v>42</v>
      </c>
      <c r="P474" s="43">
        <v>42</v>
      </c>
      <c r="Q474" s="44">
        <v>37.92</v>
      </c>
      <c r="R474" s="45">
        <v>79</v>
      </c>
      <c r="S474" s="43">
        <v>39</v>
      </c>
      <c r="T474" s="46">
        <v>9.18</v>
      </c>
      <c r="U474" s="40">
        <v>3</v>
      </c>
      <c r="V474" s="47">
        <v>4319.3896386899996</v>
      </c>
      <c r="W474" s="48">
        <v>1982</v>
      </c>
      <c r="X474" s="40"/>
      <c r="Y474" s="52" t="s">
        <v>1081</v>
      </c>
      <c r="Z474" s="40" t="s">
        <v>910</v>
      </c>
      <c r="AA474" s="49">
        <f t="shared" si="70"/>
        <v>101894.40157669708</v>
      </c>
      <c r="AB474" s="71">
        <f t="shared" si="71"/>
        <v>0.80</v>
      </c>
      <c r="AC474" s="49">
        <f t="shared" si="72"/>
        <v>20378.88</v>
      </c>
      <c r="AD474" s="50">
        <f t="shared" si="73"/>
        <v>0</v>
      </c>
      <c r="AE474" s="50">
        <f t="shared" si="74"/>
        <v>0</v>
      </c>
      <c r="AF474" s="50">
        <f t="shared" si="75"/>
        <v>20378.88</v>
      </c>
      <c r="AG474" s="199">
        <f t="shared" si="76"/>
        <v>20378</v>
      </c>
      <c r="AH474" s="187"/>
      <c r="AI474" s="185" t="s">
        <v>1456</v>
      </c>
      <c r="AJ474" s="185"/>
      <c r="AK474" s="277">
        <f t="shared" si="69"/>
        <v>4319.3900000000003</v>
      </c>
      <c r="AL474" s="25">
        <f>(SUMIFS('T1 2019 Pipeline Data Lagasco'!$O:$O,'T1 2019 Pipeline Data Lagasco'!$A:$A,'Dec 31 2018 OFFS'!$AI474,'T1 2019 Pipeline Data Lagasco'!$Q:$Q,'Dec 31 2018 OFFS'!$AK474,'T1 2019 Pipeline Data Lagasco'!$E:$E,'Dec 31 2018 OFFS'!$U474,'T1 2019 Pipeline Data Lagasco'!$G:$G,'Dec 31 2018 OFFS'!$W474))/(MAX(COUNTIFS('T1 2019 Pipeline Data Lagasco'!$A:$A,'Dec 31 2018 OFFS'!$AI474,'T1 2019 Pipeline Data Lagasco'!$Q:$Q,'Dec 31 2018 OFFS'!$AK474,'T1 2019 Pipeline Data Lagasco'!$E:$E,'Dec 31 2018 OFFS'!$U474,'T1 2019 Pipeline Data Lagasco'!$G:$G,'Dec 31 2018 OFFS'!$W474),1))</f>
        <v>20378</v>
      </c>
      <c r="AM474" s="274">
        <f t="shared" si="77"/>
        <v>0</v>
      </c>
    </row>
    <row r="475" spans="1:39" ht="12.7">
      <c r="A475" s="193" t="s">
        <v>909</v>
      </c>
      <c r="B475" s="40" t="s">
        <v>918</v>
      </c>
      <c r="C475" s="40" t="s">
        <v>1266</v>
      </c>
      <c r="D475" s="40" t="s">
        <v>17</v>
      </c>
      <c r="E475" s="40" t="s">
        <v>64</v>
      </c>
      <c r="F475" s="40"/>
      <c r="G475" s="41" t="s">
        <v>30</v>
      </c>
      <c r="H475" s="42">
        <v>42</v>
      </c>
      <c r="I475" s="43">
        <v>42</v>
      </c>
      <c r="J475" s="44">
        <v>37.92</v>
      </c>
      <c r="K475" s="45">
        <v>79</v>
      </c>
      <c r="L475" s="43">
        <v>39</v>
      </c>
      <c r="M475" s="46">
        <v>9.18</v>
      </c>
      <c r="N475" s="40" t="s">
        <v>65</v>
      </c>
      <c r="O475" s="42">
        <v>42</v>
      </c>
      <c r="P475" s="43">
        <v>42</v>
      </c>
      <c r="Q475" s="44">
        <v>49.71</v>
      </c>
      <c r="R475" s="45">
        <v>79</v>
      </c>
      <c r="S475" s="43">
        <v>39</v>
      </c>
      <c r="T475" s="46">
        <v>0.51</v>
      </c>
      <c r="U475" s="40">
        <v>3</v>
      </c>
      <c r="V475" s="47">
        <v>1357.9395932199998</v>
      </c>
      <c r="W475" s="48">
        <v>1980</v>
      </c>
      <c r="X475" s="40"/>
      <c r="Y475" s="52" t="s">
        <v>1081</v>
      </c>
      <c r="Z475" s="40" t="s">
        <v>910</v>
      </c>
      <c r="AA475" s="49">
        <f t="shared" si="70"/>
        <v>32033.795004059793</v>
      </c>
      <c r="AB475" s="71">
        <f t="shared" si="71"/>
        <v>0.80</v>
      </c>
      <c r="AC475" s="49">
        <f t="shared" si="72"/>
        <v>6406.76</v>
      </c>
      <c r="AD475" s="50">
        <f t="shared" si="73"/>
        <v>0</v>
      </c>
      <c r="AE475" s="50">
        <f t="shared" si="74"/>
        <v>0</v>
      </c>
      <c r="AF475" s="50">
        <f t="shared" si="75"/>
        <v>6406.76</v>
      </c>
      <c r="AG475" s="199">
        <f t="shared" si="76"/>
        <v>6406</v>
      </c>
      <c r="AH475" s="187"/>
      <c r="AI475" s="185" t="s">
        <v>1456</v>
      </c>
      <c r="AJ475" s="185"/>
      <c r="AK475" s="277">
        <f t="shared" si="69"/>
        <v>1357.94</v>
      </c>
      <c r="AL475" s="25">
        <f>(SUMIFS('T1 2019 Pipeline Data Lagasco'!$O:$O,'T1 2019 Pipeline Data Lagasco'!$A:$A,'Dec 31 2018 OFFS'!$AI475,'T1 2019 Pipeline Data Lagasco'!$Q:$Q,'Dec 31 2018 OFFS'!$AK475,'T1 2019 Pipeline Data Lagasco'!$E:$E,'Dec 31 2018 OFFS'!$U475,'T1 2019 Pipeline Data Lagasco'!$G:$G,'Dec 31 2018 OFFS'!$W475))/(MAX(COUNTIFS('T1 2019 Pipeline Data Lagasco'!$A:$A,'Dec 31 2018 OFFS'!$AI475,'T1 2019 Pipeline Data Lagasco'!$Q:$Q,'Dec 31 2018 OFFS'!$AK475,'T1 2019 Pipeline Data Lagasco'!$E:$E,'Dec 31 2018 OFFS'!$U475,'T1 2019 Pipeline Data Lagasco'!$G:$G,'Dec 31 2018 OFFS'!$W475),1))</f>
        <v>6406</v>
      </c>
      <c r="AM475" s="274">
        <f t="shared" si="77"/>
        <v>0</v>
      </c>
    </row>
    <row r="476" spans="1:39" ht="12.7">
      <c r="A476" s="193" t="s">
        <v>909</v>
      </c>
      <c r="B476" s="40" t="s">
        <v>918</v>
      </c>
      <c r="C476" s="40" t="s">
        <v>1266</v>
      </c>
      <c r="D476" s="40" t="s">
        <v>17</v>
      </c>
      <c r="E476" s="40" t="s">
        <v>64</v>
      </c>
      <c r="F476" s="40"/>
      <c r="G476" s="41" t="s">
        <v>30</v>
      </c>
      <c r="H476" s="42">
        <v>42</v>
      </c>
      <c r="I476" s="43">
        <v>42</v>
      </c>
      <c r="J476" s="44">
        <v>37.92</v>
      </c>
      <c r="K476" s="45">
        <v>79</v>
      </c>
      <c r="L476" s="43">
        <v>39</v>
      </c>
      <c r="M476" s="46">
        <v>9.18</v>
      </c>
      <c r="N476" s="40" t="s">
        <v>66</v>
      </c>
      <c r="O476" s="42">
        <v>42</v>
      </c>
      <c r="P476" s="43">
        <v>42</v>
      </c>
      <c r="Q476" s="44">
        <v>31.91</v>
      </c>
      <c r="R476" s="45">
        <v>79</v>
      </c>
      <c r="S476" s="43">
        <v>38</v>
      </c>
      <c r="T476" s="46">
        <v>54.16</v>
      </c>
      <c r="U476" s="40">
        <v>3</v>
      </c>
      <c r="V476" s="47">
        <v>1275.984215016</v>
      </c>
      <c r="W476" s="48">
        <v>1980</v>
      </c>
      <c r="X476" s="40"/>
      <c r="Y476" s="52" t="s">
        <v>1081</v>
      </c>
      <c r="Z476" s="40" t="s">
        <v>910</v>
      </c>
      <c r="AA476" s="49">
        <f t="shared" si="70"/>
        <v>30100.467632227439</v>
      </c>
      <c r="AB476" s="71">
        <f t="shared" si="71"/>
        <v>0.80</v>
      </c>
      <c r="AC476" s="49">
        <f t="shared" si="72"/>
        <v>6020.09</v>
      </c>
      <c r="AD476" s="50">
        <f t="shared" si="73"/>
        <v>0</v>
      </c>
      <c r="AE476" s="50">
        <f t="shared" si="74"/>
        <v>0</v>
      </c>
      <c r="AF476" s="50">
        <f t="shared" si="75"/>
        <v>6020.09</v>
      </c>
      <c r="AG476" s="199">
        <f t="shared" si="76"/>
        <v>6020</v>
      </c>
      <c r="AH476" s="187"/>
      <c r="AI476" s="185" t="s">
        <v>1456</v>
      </c>
      <c r="AJ476" s="185"/>
      <c r="AK476" s="277">
        <f t="shared" si="69"/>
        <v>1275.98</v>
      </c>
      <c r="AL476" s="25">
        <f>(SUMIFS('T1 2019 Pipeline Data Lagasco'!$O:$O,'T1 2019 Pipeline Data Lagasco'!$A:$A,'Dec 31 2018 OFFS'!$AI476,'T1 2019 Pipeline Data Lagasco'!$Q:$Q,'Dec 31 2018 OFFS'!$AK476,'T1 2019 Pipeline Data Lagasco'!$E:$E,'Dec 31 2018 OFFS'!$U476,'T1 2019 Pipeline Data Lagasco'!$G:$G,'Dec 31 2018 OFFS'!$W476))/(MAX(COUNTIFS('T1 2019 Pipeline Data Lagasco'!$A:$A,'Dec 31 2018 OFFS'!$AI476,'T1 2019 Pipeline Data Lagasco'!$Q:$Q,'Dec 31 2018 OFFS'!$AK476,'T1 2019 Pipeline Data Lagasco'!$E:$E,'Dec 31 2018 OFFS'!$U476,'T1 2019 Pipeline Data Lagasco'!$G:$G,'Dec 31 2018 OFFS'!$W476),1))</f>
        <v>6020</v>
      </c>
      <c r="AM476" s="274">
        <f t="shared" si="77"/>
        <v>0</v>
      </c>
    </row>
    <row r="477" spans="1:39" ht="12.7">
      <c r="A477" s="193" t="s">
        <v>909</v>
      </c>
      <c r="B477" s="40" t="s">
        <v>918</v>
      </c>
      <c r="C477" s="40" t="s">
        <v>1266</v>
      </c>
      <c r="D477" s="40" t="s">
        <v>17</v>
      </c>
      <c r="E477" s="40" t="s">
        <v>64</v>
      </c>
      <c r="F477" s="40"/>
      <c r="G477" s="41" t="s">
        <v>67</v>
      </c>
      <c r="H477" s="42">
        <v>42</v>
      </c>
      <c r="I477" s="43">
        <v>41</v>
      </c>
      <c r="J477" s="44">
        <v>13.98</v>
      </c>
      <c r="K477" s="45">
        <v>79</v>
      </c>
      <c r="L477" s="43">
        <v>38</v>
      </c>
      <c r="M477" s="46">
        <v>40.020000000000003</v>
      </c>
      <c r="N477" s="40" t="s">
        <v>68</v>
      </c>
      <c r="O477" s="42">
        <v>42</v>
      </c>
      <c r="P477" s="43">
        <v>41</v>
      </c>
      <c r="Q477" s="44">
        <v>20</v>
      </c>
      <c r="R477" s="45">
        <v>79</v>
      </c>
      <c r="S477" s="43">
        <v>38</v>
      </c>
      <c r="T477" s="46">
        <v>28.70</v>
      </c>
      <c r="U477" s="40">
        <v>3</v>
      </c>
      <c r="V477" s="47">
        <v>1042.3228044599998</v>
      </c>
      <c r="W477" s="48">
        <v>1985</v>
      </c>
      <c r="X477" s="40"/>
      <c r="Y477" s="52" t="s">
        <v>1081</v>
      </c>
      <c r="Z477" s="40" t="s">
        <v>910</v>
      </c>
      <c r="AA477" s="49">
        <f t="shared" si="70"/>
        <v>24588.394957211396</v>
      </c>
      <c r="AB477" s="71">
        <f t="shared" si="71"/>
        <v>0.80</v>
      </c>
      <c r="AC477" s="49">
        <f t="shared" si="72"/>
        <v>4917.68</v>
      </c>
      <c r="AD477" s="50">
        <f t="shared" si="73"/>
        <v>0</v>
      </c>
      <c r="AE477" s="50">
        <f t="shared" si="74"/>
        <v>0</v>
      </c>
      <c r="AF477" s="50">
        <f t="shared" si="75"/>
        <v>4917.68</v>
      </c>
      <c r="AG477" s="199">
        <f t="shared" si="76"/>
        <v>4917</v>
      </c>
      <c r="AH477" s="187"/>
      <c r="AI477" s="185" t="s">
        <v>1456</v>
      </c>
      <c r="AJ477" s="185"/>
      <c r="AK477" s="277">
        <f t="shared" si="69"/>
        <v>1042.32</v>
      </c>
      <c r="AL477" s="25">
        <f>(SUMIFS('T1 2019 Pipeline Data Lagasco'!$O:$O,'T1 2019 Pipeline Data Lagasco'!$A:$A,'Dec 31 2018 OFFS'!$AI477,'T1 2019 Pipeline Data Lagasco'!$Q:$Q,'Dec 31 2018 OFFS'!$AK477,'T1 2019 Pipeline Data Lagasco'!$E:$E,'Dec 31 2018 OFFS'!$U477,'T1 2019 Pipeline Data Lagasco'!$G:$G,'Dec 31 2018 OFFS'!$W477))/(MAX(COUNTIFS('T1 2019 Pipeline Data Lagasco'!$A:$A,'Dec 31 2018 OFFS'!$AI477,'T1 2019 Pipeline Data Lagasco'!$Q:$Q,'Dec 31 2018 OFFS'!$AK477,'T1 2019 Pipeline Data Lagasco'!$E:$E,'Dec 31 2018 OFFS'!$U477,'T1 2019 Pipeline Data Lagasco'!$G:$G,'Dec 31 2018 OFFS'!$W477),1))</f>
        <v>4917</v>
      </c>
      <c r="AM477" s="274">
        <f t="shared" si="77"/>
        <v>0</v>
      </c>
    </row>
    <row r="478" spans="1:39" ht="12.7">
      <c r="A478" s="193" t="s">
        <v>909</v>
      </c>
      <c r="B478" s="40" t="s">
        <v>918</v>
      </c>
      <c r="C478" s="40" t="s">
        <v>1266</v>
      </c>
      <c r="D478" s="40" t="s">
        <v>17</v>
      </c>
      <c r="E478" s="40" t="s">
        <v>138</v>
      </c>
      <c r="F478" s="40"/>
      <c r="G478" s="41" t="s">
        <v>69</v>
      </c>
      <c r="H478" s="42">
        <v>42</v>
      </c>
      <c r="I478" s="43">
        <v>40</v>
      </c>
      <c r="J478" s="44">
        <v>3.72</v>
      </c>
      <c r="K478" s="45">
        <v>79</v>
      </c>
      <c r="L478" s="43">
        <v>38</v>
      </c>
      <c r="M478" s="46">
        <v>53.58</v>
      </c>
      <c r="N478" s="40" t="s">
        <v>70</v>
      </c>
      <c r="O478" s="42">
        <v>42</v>
      </c>
      <c r="P478" s="43">
        <v>39</v>
      </c>
      <c r="Q478" s="44">
        <v>51.80</v>
      </c>
      <c r="R478" s="45">
        <v>79</v>
      </c>
      <c r="S478" s="43">
        <v>37</v>
      </c>
      <c r="T478" s="46">
        <v>55.75</v>
      </c>
      <c r="U478" s="40">
        <v>3</v>
      </c>
      <c r="V478" s="47">
        <v>4486.4828097039999</v>
      </c>
      <c r="W478" s="48">
        <v>1985</v>
      </c>
      <c r="X478" s="40"/>
      <c r="Y478" s="52" t="s">
        <v>1081</v>
      </c>
      <c r="Z478" s="40" t="s">
        <v>910</v>
      </c>
      <c r="AA478" s="49">
        <f t="shared" si="70"/>
        <v>105836.12948091736</v>
      </c>
      <c r="AB478" s="71">
        <f t="shared" si="71"/>
        <v>0.80</v>
      </c>
      <c r="AC478" s="49">
        <f t="shared" si="72"/>
        <v>21167.23</v>
      </c>
      <c r="AD478" s="50">
        <f t="shared" si="73"/>
        <v>0</v>
      </c>
      <c r="AE478" s="50">
        <f t="shared" si="74"/>
        <v>0</v>
      </c>
      <c r="AF478" s="50">
        <f t="shared" si="75"/>
        <v>21167.23</v>
      </c>
      <c r="AG478" s="199">
        <f t="shared" si="76"/>
        <v>21167</v>
      </c>
      <c r="AH478" s="187"/>
      <c r="AI478" s="185" t="s">
        <v>1456</v>
      </c>
      <c r="AJ478" s="185"/>
      <c r="AK478" s="277">
        <f t="shared" si="69"/>
        <v>4486.4799999999996</v>
      </c>
      <c r="AL478" s="25">
        <f>(SUMIFS('T1 2019 Pipeline Data Lagasco'!$O:$O,'T1 2019 Pipeline Data Lagasco'!$A:$A,'Dec 31 2018 OFFS'!$AI478,'T1 2019 Pipeline Data Lagasco'!$Q:$Q,'Dec 31 2018 OFFS'!$AK478,'T1 2019 Pipeline Data Lagasco'!$E:$E,'Dec 31 2018 OFFS'!$U478,'T1 2019 Pipeline Data Lagasco'!$G:$G,'Dec 31 2018 OFFS'!$W478))/(MAX(COUNTIFS('T1 2019 Pipeline Data Lagasco'!$A:$A,'Dec 31 2018 OFFS'!$AI478,'T1 2019 Pipeline Data Lagasco'!$Q:$Q,'Dec 31 2018 OFFS'!$AK478,'T1 2019 Pipeline Data Lagasco'!$E:$E,'Dec 31 2018 OFFS'!$U478,'T1 2019 Pipeline Data Lagasco'!$G:$G,'Dec 31 2018 OFFS'!$W478),1))</f>
        <v>21167</v>
      </c>
      <c r="AM478" s="274">
        <f t="shared" si="77"/>
        <v>0</v>
      </c>
    </row>
    <row r="479" spans="1:39" ht="12.7">
      <c r="A479" s="193" t="s">
        <v>909</v>
      </c>
      <c r="B479" s="40" t="s">
        <v>918</v>
      </c>
      <c r="C479" s="40" t="s">
        <v>1266</v>
      </c>
      <c r="D479" s="40" t="s">
        <v>17</v>
      </c>
      <c r="E479" s="40" t="s">
        <v>138</v>
      </c>
      <c r="F479" s="40"/>
      <c r="G479" s="41" t="s">
        <v>71</v>
      </c>
      <c r="H479" s="42">
        <v>42</v>
      </c>
      <c r="I479" s="43">
        <v>40</v>
      </c>
      <c r="J479" s="44">
        <v>40.98</v>
      </c>
      <c r="K479" s="45">
        <v>79</v>
      </c>
      <c r="L479" s="43">
        <v>39</v>
      </c>
      <c r="M479" s="46">
        <v>36</v>
      </c>
      <c r="N479" s="40" t="s">
        <v>72</v>
      </c>
      <c r="O479" s="42">
        <v>42</v>
      </c>
      <c r="P479" s="43">
        <v>40</v>
      </c>
      <c r="Q479" s="44">
        <v>43.02</v>
      </c>
      <c r="R479" s="45">
        <v>79</v>
      </c>
      <c r="S479" s="43">
        <v>40</v>
      </c>
      <c r="T479" s="46">
        <v>45</v>
      </c>
      <c r="U479" s="40">
        <v>3</v>
      </c>
      <c r="V479" s="47">
        <v>5158.8253099180001</v>
      </c>
      <c r="W479" s="48">
        <v>1983</v>
      </c>
      <c r="X479" s="40"/>
      <c r="Y479" s="52" t="s">
        <v>1081</v>
      </c>
      <c r="Z479" s="40" t="s">
        <v>910</v>
      </c>
      <c r="AA479" s="49">
        <f t="shared" si="70"/>
        <v>121696.68906096563</v>
      </c>
      <c r="AB479" s="71">
        <f t="shared" si="71"/>
        <v>0.80</v>
      </c>
      <c r="AC479" s="49">
        <f t="shared" si="72"/>
        <v>24339.34</v>
      </c>
      <c r="AD479" s="50">
        <f t="shared" si="73"/>
        <v>0</v>
      </c>
      <c r="AE479" s="50">
        <f t="shared" si="74"/>
        <v>0</v>
      </c>
      <c r="AF479" s="50">
        <f t="shared" si="75"/>
        <v>24339.34</v>
      </c>
      <c r="AG479" s="199">
        <f t="shared" si="76"/>
        <v>24339</v>
      </c>
      <c r="AH479" s="187"/>
      <c r="AI479" s="185" t="s">
        <v>1456</v>
      </c>
      <c r="AJ479" s="185"/>
      <c r="AK479" s="277">
        <f t="shared" si="69"/>
        <v>5158.83</v>
      </c>
      <c r="AL479" s="25">
        <f>(SUMIFS('T1 2019 Pipeline Data Lagasco'!$O:$O,'T1 2019 Pipeline Data Lagasco'!$A:$A,'Dec 31 2018 OFFS'!$AI479,'T1 2019 Pipeline Data Lagasco'!$Q:$Q,'Dec 31 2018 OFFS'!$AK479,'T1 2019 Pipeline Data Lagasco'!$E:$E,'Dec 31 2018 OFFS'!$U479,'T1 2019 Pipeline Data Lagasco'!$G:$G,'Dec 31 2018 OFFS'!$W479))/(MAX(COUNTIFS('T1 2019 Pipeline Data Lagasco'!$A:$A,'Dec 31 2018 OFFS'!$AI479,'T1 2019 Pipeline Data Lagasco'!$Q:$Q,'Dec 31 2018 OFFS'!$AK479,'T1 2019 Pipeline Data Lagasco'!$E:$E,'Dec 31 2018 OFFS'!$U479,'T1 2019 Pipeline Data Lagasco'!$G:$G,'Dec 31 2018 OFFS'!$W479),1))</f>
        <v>24339</v>
      </c>
      <c r="AM479" s="274">
        <f t="shared" si="77"/>
        <v>0</v>
      </c>
    </row>
    <row r="480" spans="1:39" ht="12.7">
      <c r="A480" s="193" t="s">
        <v>909</v>
      </c>
      <c r="B480" s="40" t="s">
        <v>918</v>
      </c>
      <c r="C480" s="40" t="s">
        <v>1266</v>
      </c>
      <c r="D480" s="40" t="s">
        <v>17</v>
      </c>
      <c r="E480" s="40" t="s">
        <v>138</v>
      </c>
      <c r="F480" s="40"/>
      <c r="G480" s="41" t="s">
        <v>73</v>
      </c>
      <c r="H480" s="42">
        <v>42</v>
      </c>
      <c r="I480" s="43">
        <v>40</v>
      </c>
      <c r="J480" s="44">
        <v>10.02</v>
      </c>
      <c r="K480" s="45">
        <v>79</v>
      </c>
      <c r="L480" s="43">
        <v>39</v>
      </c>
      <c r="M480" s="46">
        <v>4.9800000000000004</v>
      </c>
      <c r="N480" s="40" t="s">
        <v>69</v>
      </c>
      <c r="O480" s="42">
        <v>42</v>
      </c>
      <c r="P480" s="43">
        <v>40</v>
      </c>
      <c r="Q480" s="44">
        <v>3.72</v>
      </c>
      <c r="R480" s="45">
        <v>79</v>
      </c>
      <c r="S480" s="43">
        <v>38</v>
      </c>
      <c r="T480" s="46">
        <v>53.58</v>
      </c>
      <c r="U480" s="40">
        <v>3</v>
      </c>
      <c r="V480" s="47">
        <v>1064.1403891300001</v>
      </c>
      <c r="W480" s="48">
        <v>1985</v>
      </c>
      <c r="X480" s="40"/>
      <c r="Y480" s="52" t="s">
        <v>1081</v>
      </c>
      <c r="Z480" s="40" t="s">
        <v>910</v>
      </c>
      <c r="AA480" s="49">
        <f t="shared" si="70"/>
        <v>25103.071779576701</v>
      </c>
      <c r="AB480" s="71">
        <f t="shared" si="71"/>
        <v>0.80</v>
      </c>
      <c r="AC480" s="49">
        <f t="shared" si="72"/>
        <v>5020.6099999999997</v>
      </c>
      <c r="AD480" s="50">
        <f t="shared" si="73"/>
        <v>0</v>
      </c>
      <c r="AE480" s="50">
        <f t="shared" si="74"/>
        <v>0</v>
      </c>
      <c r="AF480" s="50">
        <f t="shared" si="75"/>
        <v>5020.6099999999997</v>
      </c>
      <c r="AG480" s="199">
        <f t="shared" si="76"/>
        <v>5020</v>
      </c>
      <c r="AH480" s="187"/>
      <c r="AI480" s="185" t="s">
        <v>1456</v>
      </c>
      <c r="AJ480" s="185"/>
      <c r="AK480" s="277">
        <f t="shared" si="69"/>
        <v>1064.1400000000001</v>
      </c>
      <c r="AL480" s="25">
        <f>(SUMIFS('T1 2019 Pipeline Data Lagasco'!$O:$O,'T1 2019 Pipeline Data Lagasco'!$A:$A,'Dec 31 2018 OFFS'!$AI480,'T1 2019 Pipeline Data Lagasco'!$Q:$Q,'Dec 31 2018 OFFS'!$AK480,'T1 2019 Pipeline Data Lagasco'!$E:$E,'Dec 31 2018 OFFS'!$U480,'T1 2019 Pipeline Data Lagasco'!$G:$G,'Dec 31 2018 OFFS'!$W480))/(MAX(COUNTIFS('T1 2019 Pipeline Data Lagasco'!$A:$A,'Dec 31 2018 OFFS'!$AI480,'T1 2019 Pipeline Data Lagasco'!$Q:$Q,'Dec 31 2018 OFFS'!$AK480,'T1 2019 Pipeline Data Lagasco'!$E:$E,'Dec 31 2018 OFFS'!$U480,'T1 2019 Pipeline Data Lagasco'!$G:$G,'Dec 31 2018 OFFS'!$W480),1))</f>
        <v>5020</v>
      </c>
      <c r="AM480" s="274">
        <f t="shared" si="77"/>
        <v>0</v>
      </c>
    </row>
    <row r="481" spans="1:39" ht="12.7">
      <c r="A481" s="193" t="s">
        <v>909</v>
      </c>
      <c r="B481" s="40" t="s">
        <v>918</v>
      </c>
      <c r="C481" s="40" t="s">
        <v>1266</v>
      </c>
      <c r="D481" s="40" t="s">
        <v>17</v>
      </c>
      <c r="E481" s="40" t="s">
        <v>138</v>
      </c>
      <c r="F481" s="40"/>
      <c r="G481" s="41" t="s">
        <v>73</v>
      </c>
      <c r="H481" s="42">
        <v>42</v>
      </c>
      <c r="I481" s="43">
        <v>40</v>
      </c>
      <c r="J481" s="44">
        <v>10.02</v>
      </c>
      <c r="K481" s="45">
        <v>79</v>
      </c>
      <c r="L481" s="43">
        <v>39</v>
      </c>
      <c r="M481" s="46">
        <v>4.9800000000000004</v>
      </c>
      <c r="N481" s="40" t="s">
        <v>168</v>
      </c>
      <c r="O481" s="42">
        <v>42</v>
      </c>
      <c r="P481" s="43">
        <v>40</v>
      </c>
      <c r="Q481" s="44">
        <v>44.55</v>
      </c>
      <c r="R481" s="45">
        <v>79</v>
      </c>
      <c r="S481" s="43">
        <v>38</v>
      </c>
      <c r="T481" s="46">
        <v>15.56</v>
      </c>
      <c r="U481" s="40">
        <v>6</v>
      </c>
      <c r="V481" s="47">
        <v>5084.7767556319995</v>
      </c>
      <c r="W481" s="48">
        <v>1984</v>
      </c>
      <c r="X481" s="40"/>
      <c r="Y481" s="52" t="s">
        <v>1081</v>
      </c>
      <c r="Z481" s="40" t="s">
        <v>910</v>
      </c>
      <c r="AA481" s="49">
        <f t="shared" si="70"/>
        <v>176085.81904753615</v>
      </c>
      <c r="AB481" s="71">
        <f t="shared" si="71"/>
        <v>0.80</v>
      </c>
      <c r="AC481" s="49">
        <f t="shared" si="72"/>
        <v>35217.160000000003</v>
      </c>
      <c r="AD481" s="50">
        <f t="shared" si="73"/>
        <v>0</v>
      </c>
      <c r="AE481" s="50">
        <f t="shared" si="74"/>
        <v>0</v>
      </c>
      <c r="AF481" s="50">
        <f t="shared" si="75"/>
        <v>35217.160000000003</v>
      </c>
      <c r="AG481" s="199">
        <f t="shared" si="76"/>
        <v>35217</v>
      </c>
      <c r="AH481" s="187"/>
      <c r="AI481" s="185" t="s">
        <v>1456</v>
      </c>
      <c r="AJ481" s="185"/>
      <c r="AK481" s="277">
        <f t="shared" si="69"/>
        <v>5084.78</v>
      </c>
      <c r="AL481" s="25">
        <f>(SUMIFS('T1 2019 Pipeline Data Lagasco'!$O:$O,'T1 2019 Pipeline Data Lagasco'!$A:$A,'Dec 31 2018 OFFS'!$AI481,'T1 2019 Pipeline Data Lagasco'!$Q:$Q,'Dec 31 2018 OFFS'!$AK481,'T1 2019 Pipeline Data Lagasco'!$E:$E,'Dec 31 2018 OFFS'!$U481,'T1 2019 Pipeline Data Lagasco'!$G:$G,'Dec 31 2018 OFFS'!$W481))/(MAX(COUNTIFS('T1 2019 Pipeline Data Lagasco'!$A:$A,'Dec 31 2018 OFFS'!$AI481,'T1 2019 Pipeline Data Lagasco'!$Q:$Q,'Dec 31 2018 OFFS'!$AK481,'T1 2019 Pipeline Data Lagasco'!$E:$E,'Dec 31 2018 OFFS'!$U481,'T1 2019 Pipeline Data Lagasco'!$G:$G,'Dec 31 2018 OFFS'!$W481),1))</f>
        <v>35217</v>
      </c>
      <c r="AM481" s="274">
        <f t="shared" si="77"/>
        <v>0</v>
      </c>
    </row>
    <row r="482" spans="1:39" ht="12.7">
      <c r="A482" s="193" t="s">
        <v>909</v>
      </c>
      <c r="B482" s="40" t="s">
        <v>918</v>
      </c>
      <c r="C482" s="40" t="s">
        <v>1266</v>
      </c>
      <c r="D482" s="40" t="s">
        <v>17</v>
      </c>
      <c r="E482" s="40" t="s">
        <v>64</v>
      </c>
      <c r="F482" s="40"/>
      <c r="G482" s="41" t="s">
        <v>1192</v>
      </c>
      <c r="H482" s="42">
        <v>42</v>
      </c>
      <c r="I482" s="43">
        <v>43</v>
      </c>
      <c r="J482" s="44">
        <v>31.20</v>
      </c>
      <c r="K482" s="45">
        <v>79</v>
      </c>
      <c r="L482" s="43">
        <v>44</v>
      </c>
      <c r="M482" s="46">
        <v>24.30</v>
      </c>
      <c r="N482" s="41" t="s">
        <v>1193</v>
      </c>
      <c r="O482" s="42">
        <v>42</v>
      </c>
      <c r="P482" s="43">
        <v>44</v>
      </c>
      <c r="Q482" s="44">
        <v>6</v>
      </c>
      <c r="R482" s="45">
        <v>79</v>
      </c>
      <c r="S482" s="43">
        <v>44</v>
      </c>
      <c r="T482" s="46">
        <v>52.62</v>
      </c>
      <c r="U482" s="40">
        <v>3</v>
      </c>
      <c r="V482" s="47">
        <v>4105</v>
      </c>
      <c r="W482" s="48">
        <v>2004</v>
      </c>
      <c r="X482" s="40"/>
      <c r="Y482" s="52" t="s">
        <v>1081</v>
      </c>
      <c r="Z482" s="40" t="s">
        <v>910</v>
      </c>
      <c r="AA482" s="49">
        <f t="shared" si="70"/>
        <v>96836.95</v>
      </c>
      <c r="AB482" s="71">
        <f t="shared" si="71"/>
        <v>0.56000000000000005</v>
      </c>
      <c r="AC482" s="49">
        <f t="shared" si="72"/>
        <v>42608.26</v>
      </c>
      <c r="AD482" s="50">
        <f t="shared" si="73"/>
        <v>0</v>
      </c>
      <c r="AE482" s="50">
        <f t="shared" si="74"/>
        <v>0</v>
      </c>
      <c r="AF482" s="50">
        <f t="shared" si="75"/>
        <v>42608.26</v>
      </c>
      <c r="AG482" s="199">
        <f t="shared" si="76"/>
        <v>42608</v>
      </c>
      <c r="AH482" s="187"/>
      <c r="AI482" s="185" t="s">
        <v>1456</v>
      </c>
      <c r="AJ482" s="185"/>
      <c r="AK482" s="277">
        <f t="shared" si="69"/>
        <v>4105</v>
      </c>
      <c r="AL482" s="25">
        <f>(SUMIFS('T1 2019 Pipeline Data Lagasco'!$O:$O,'T1 2019 Pipeline Data Lagasco'!$A:$A,'Dec 31 2018 OFFS'!$AI482,'T1 2019 Pipeline Data Lagasco'!$Q:$Q,'Dec 31 2018 OFFS'!$AK482,'T1 2019 Pipeline Data Lagasco'!$E:$E,'Dec 31 2018 OFFS'!$U482,'T1 2019 Pipeline Data Lagasco'!$G:$G,'Dec 31 2018 OFFS'!$W482))/(MAX(COUNTIFS('T1 2019 Pipeline Data Lagasco'!$A:$A,'Dec 31 2018 OFFS'!$AI482,'T1 2019 Pipeline Data Lagasco'!$Q:$Q,'Dec 31 2018 OFFS'!$AK482,'T1 2019 Pipeline Data Lagasco'!$E:$E,'Dec 31 2018 OFFS'!$U482,'T1 2019 Pipeline Data Lagasco'!$G:$G,'Dec 31 2018 OFFS'!$W482),1))</f>
        <v>42608</v>
      </c>
      <c r="AM482" s="274">
        <f t="shared" si="77"/>
        <v>0</v>
      </c>
    </row>
    <row r="483" spans="1:39" ht="12.7">
      <c r="A483" s="193" t="s">
        <v>909</v>
      </c>
      <c r="B483" s="40" t="s">
        <v>918</v>
      </c>
      <c r="C483" s="40" t="s">
        <v>1266</v>
      </c>
      <c r="D483" s="40" t="s">
        <v>17</v>
      </c>
      <c r="E483" s="40" t="s">
        <v>64</v>
      </c>
      <c r="F483" s="40"/>
      <c r="G483" s="41" t="s">
        <v>1235</v>
      </c>
      <c r="H483" s="42" t="s">
        <v>78</v>
      </c>
      <c r="I483" s="43">
        <v>43</v>
      </c>
      <c r="J483" s="44">
        <f>60*0.303</f>
        <v>18.18</v>
      </c>
      <c r="K483" s="45">
        <v>79</v>
      </c>
      <c r="L483" s="43">
        <v>42</v>
      </c>
      <c r="M483" s="46">
        <f>60*0.522</f>
        <v>31.32</v>
      </c>
      <c r="N483" s="40" t="s">
        <v>1236</v>
      </c>
      <c r="O483" s="42">
        <v>42</v>
      </c>
      <c r="P483" s="43">
        <v>42</v>
      </c>
      <c r="Q483" s="44">
        <f>60*0.9</f>
        <v>54</v>
      </c>
      <c r="R483" s="45">
        <v>79</v>
      </c>
      <c r="S483" s="43">
        <v>43</v>
      </c>
      <c r="T483" s="46">
        <f>60*0.917</f>
        <v>55.02</v>
      </c>
      <c r="U483" s="40">
        <v>3</v>
      </c>
      <c r="V483" s="47">
        <v>6658</v>
      </c>
      <c r="W483" s="48">
        <v>2005</v>
      </c>
      <c r="X483" s="40"/>
      <c r="Y483" s="52"/>
      <c r="Z483" s="40" t="s">
        <v>910</v>
      </c>
      <c r="AA483" s="49">
        <f t="shared" si="70"/>
        <v>157062.22</v>
      </c>
      <c r="AB483" s="71">
        <f t="shared" si="71"/>
        <v>0.54</v>
      </c>
      <c r="AC483" s="49">
        <f t="shared" si="72"/>
        <v>72248.62</v>
      </c>
      <c r="AD483" s="50">
        <f t="shared" si="73"/>
        <v>0</v>
      </c>
      <c r="AE483" s="50">
        <f t="shared" si="74"/>
        <v>0</v>
      </c>
      <c r="AF483" s="50">
        <f t="shared" si="75"/>
        <v>72248.62</v>
      </c>
      <c r="AG483" s="199">
        <f t="shared" si="76"/>
        <v>72248</v>
      </c>
      <c r="AH483" s="187"/>
      <c r="AI483" s="185" t="s">
        <v>1456</v>
      </c>
      <c r="AJ483" s="185"/>
      <c r="AK483" s="277">
        <f t="shared" si="69"/>
        <v>6658</v>
      </c>
      <c r="AL483" s="25">
        <f>(SUMIFS('T1 2019 Pipeline Data Lagasco'!$O:$O,'T1 2019 Pipeline Data Lagasco'!$A:$A,'Dec 31 2018 OFFS'!$AI483,'T1 2019 Pipeline Data Lagasco'!$Q:$Q,'Dec 31 2018 OFFS'!$AK483,'T1 2019 Pipeline Data Lagasco'!$E:$E,'Dec 31 2018 OFFS'!$U483,'T1 2019 Pipeline Data Lagasco'!$G:$G,'Dec 31 2018 OFFS'!$W483))/(MAX(COUNTIFS('T1 2019 Pipeline Data Lagasco'!$A:$A,'Dec 31 2018 OFFS'!$AI483,'T1 2019 Pipeline Data Lagasco'!$Q:$Q,'Dec 31 2018 OFFS'!$AK483,'T1 2019 Pipeline Data Lagasco'!$E:$E,'Dec 31 2018 OFFS'!$U483,'T1 2019 Pipeline Data Lagasco'!$G:$G,'Dec 31 2018 OFFS'!$W483),1))</f>
        <v>72248</v>
      </c>
      <c r="AM483" s="274">
        <f t="shared" si="77"/>
        <v>0</v>
      </c>
    </row>
    <row r="484" spans="1:39" ht="12.7">
      <c r="A484" s="193" t="s">
        <v>909</v>
      </c>
      <c r="B484" s="40" t="s">
        <v>918</v>
      </c>
      <c r="C484" s="40" t="s">
        <v>1266</v>
      </c>
      <c r="D484" s="40" t="s">
        <v>17</v>
      </c>
      <c r="E484" s="40" t="s">
        <v>64</v>
      </c>
      <c r="F484" s="40" t="s">
        <v>1051</v>
      </c>
      <c r="G484" s="41" t="s">
        <v>932</v>
      </c>
      <c r="H484" s="42">
        <v>42</v>
      </c>
      <c r="I484" s="43">
        <v>43</v>
      </c>
      <c r="J484" s="44">
        <v>46.02</v>
      </c>
      <c r="K484" s="45">
        <v>79</v>
      </c>
      <c r="L484" s="43">
        <v>41</v>
      </c>
      <c r="M484" s="46">
        <v>48</v>
      </c>
      <c r="N484" s="40" t="s">
        <v>74</v>
      </c>
      <c r="O484" s="42">
        <v>42</v>
      </c>
      <c r="P484" s="43">
        <v>43</v>
      </c>
      <c r="Q484" s="44">
        <v>43.98</v>
      </c>
      <c r="R484" s="45">
        <v>79</v>
      </c>
      <c r="S484" s="43">
        <v>40</v>
      </c>
      <c r="T484" s="44">
        <v>46.02</v>
      </c>
      <c r="U484" s="40">
        <v>3</v>
      </c>
      <c r="V484" s="47">
        <v>4630</v>
      </c>
      <c r="W484" s="48">
        <v>1986</v>
      </c>
      <c r="X484" s="40"/>
      <c r="Y484" s="52" t="s">
        <v>1081</v>
      </c>
      <c r="Z484" s="40" t="s">
        <v>910</v>
      </c>
      <c r="AA484" s="49">
        <f t="shared" si="70"/>
        <v>0</v>
      </c>
      <c r="AB484" s="71">
        <f t="shared" si="71"/>
        <v>0.79</v>
      </c>
      <c r="AC484" s="49">
        <f t="shared" si="72"/>
        <v>0</v>
      </c>
      <c r="AD484" s="50">
        <f t="shared" si="73"/>
        <v>0</v>
      </c>
      <c r="AE484" s="50">
        <f t="shared" si="74"/>
        <v>0</v>
      </c>
      <c r="AF484" s="50">
        <f t="shared" si="75"/>
        <v>0</v>
      </c>
      <c r="AG484" s="199">
        <f t="shared" si="76"/>
        <v>0</v>
      </c>
      <c r="AH484" s="187"/>
      <c r="AI484" s="185" t="s">
        <v>1456</v>
      </c>
      <c r="AJ484" s="185"/>
      <c r="AK484" s="277">
        <f t="shared" si="69"/>
        <v>4630</v>
      </c>
      <c r="AL484" s="25">
        <f>(SUMIFS('T1 2019 Pipeline Data Lagasco'!$O:$O,'T1 2019 Pipeline Data Lagasco'!$A:$A,'Dec 31 2018 OFFS'!$AI484,'T1 2019 Pipeline Data Lagasco'!$Q:$Q,'Dec 31 2018 OFFS'!$AK484,'T1 2019 Pipeline Data Lagasco'!$E:$E,'Dec 31 2018 OFFS'!$U484,'T1 2019 Pipeline Data Lagasco'!$G:$G,'Dec 31 2018 OFFS'!$W484))/(MAX(COUNTIFS('T1 2019 Pipeline Data Lagasco'!$A:$A,'Dec 31 2018 OFFS'!$AI484,'T1 2019 Pipeline Data Lagasco'!$Q:$Q,'Dec 31 2018 OFFS'!$AK484,'T1 2019 Pipeline Data Lagasco'!$E:$E,'Dec 31 2018 OFFS'!$U484,'T1 2019 Pipeline Data Lagasco'!$G:$G,'Dec 31 2018 OFFS'!$W484),1))</f>
        <v>0</v>
      </c>
      <c r="AM484" s="274">
        <f t="shared" si="77"/>
        <v>0</v>
      </c>
    </row>
    <row r="485" spans="1:39" ht="12.7">
      <c r="A485" s="193" t="s">
        <v>909</v>
      </c>
      <c r="B485" s="40" t="s">
        <v>918</v>
      </c>
      <c r="C485" s="40" t="s">
        <v>1266</v>
      </c>
      <c r="D485" s="40" t="s">
        <v>17</v>
      </c>
      <c r="E485" s="40" t="s">
        <v>64</v>
      </c>
      <c r="F485" s="40"/>
      <c r="G485" s="41" t="s">
        <v>74</v>
      </c>
      <c r="H485" s="42">
        <v>42</v>
      </c>
      <c r="I485" s="43">
        <v>43</v>
      </c>
      <c r="J485" s="44">
        <v>43.98</v>
      </c>
      <c r="K485" s="45">
        <v>79</v>
      </c>
      <c r="L485" s="43">
        <v>40</v>
      </c>
      <c r="M485" s="46">
        <v>46.02</v>
      </c>
      <c r="N485" s="40" t="s">
        <v>63</v>
      </c>
      <c r="O485" s="42">
        <v>42</v>
      </c>
      <c r="P485" s="43">
        <v>43</v>
      </c>
      <c r="Q485" s="44">
        <v>12</v>
      </c>
      <c r="R485" s="45">
        <v>79</v>
      </c>
      <c r="S485" s="43">
        <v>39</v>
      </c>
      <c r="T485" s="46">
        <v>43.98</v>
      </c>
      <c r="U485" s="40">
        <v>3</v>
      </c>
      <c r="V485" s="47">
        <v>5650.9184715199999</v>
      </c>
      <c r="W485" s="48">
        <v>1983</v>
      </c>
      <c r="X485" s="40"/>
      <c r="Y485" s="52" t="s">
        <v>1081</v>
      </c>
      <c r="Z485" s="40" t="s">
        <v>910</v>
      </c>
      <c r="AA485" s="49">
        <f t="shared" si="70"/>
        <v>133305.16674315679</v>
      </c>
      <c r="AB485" s="71">
        <f t="shared" si="71"/>
        <v>0.80</v>
      </c>
      <c r="AC485" s="49">
        <f t="shared" si="72"/>
        <v>26661.03</v>
      </c>
      <c r="AD485" s="50">
        <f t="shared" si="73"/>
        <v>0</v>
      </c>
      <c r="AE485" s="50">
        <f t="shared" si="74"/>
        <v>0</v>
      </c>
      <c r="AF485" s="50">
        <f t="shared" si="75"/>
        <v>26661.03</v>
      </c>
      <c r="AG485" s="199">
        <f t="shared" si="76"/>
        <v>26661</v>
      </c>
      <c r="AH485" s="187"/>
      <c r="AI485" s="185" t="s">
        <v>1456</v>
      </c>
      <c r="AJ485" s="185"/>
      <c r="AK485" s="277">
        <f t="shared" si="69"/>
        <v>5650.92</v>
      </c>
      <c r="AL485" s="25">
        <f>(SUMIFS('T1 2019 Pipeline Data Lagasco'!$O:$O,'T1 2019 Pipeline Data Lagasco'!$A:$A,'Dec 31 2018 OFFS'!$AI485,'T1 2019 Pipeline Data Lagasco'!$Q:$Q,'Dec 31 2018 OFFS'!$AK485,'T1 2019 Pipeline Data Lagasco'!$E:$E,'Dec 31 2018 OFFS'!$U485,'T1 2019 Pipeline Data Lagasco'!$G:$G,'Dec 31 2018 OFFS'!$W485))/(MAX(COUNTIFS('T1 2019 Pipeline Data Lagasco'!$A:$A,'Dec 31 2018 OFFS'!$AI485,'T1 2019 Pipeline Data Lagasco'!$Q:$Q,'Dec 31 2018 OFFS'!$AK485,'T1 2019 Pipeline Data Lagasco'!$E:$E,'Dec 31 2018 OFFS'!$U485,'T1 2019 Pipeline Data Lagasco'!$G:$G,'Dec 31 2018 OFFS'!$W485),1))</f>
        <v>26661</v>
      </c>
      <c r="AM485" s="274">
        <f t="shared" si="77"/>
        <v>0</v>
      </c>
    </row>
    <row r="486" spans="1:39" ht="12.7">
      <c r="A486" s="193" t="s">
        <v>909</v>
      </c>
      <c r="B486" s="40" t="s">
        <v>918</v>
      </c>
      <c r="C486" s="40" t="s">
        <v>1266</v>
      </c>
      <c r="D486" s="40" t="s">
        <v>17</v>
      </c>
      <c r="E486" s="40" t="s">
        <v>64</v>
      </c>
      <c r="F486" s="40"/>
      <c r="G486" s="41" t="s">
        <v>1163</v>
      </c>
      <c r="H486" s="42">
        <v>42</v>
      </c>
      <c r="I486" s="43">
        <v>42</v>
      </c>
      <c r="J486" s="44">
        <v>35.10</v>
      </c>
      <c r="K486" s="45">
        <v>79</v>
      </c>
      <c r="L486" s="43">
        <v>40</v>
      </c>
      <c r="M486" s="46">
        <v>49.20</v>
      </c>
      <c r="N486" s="40" t="s">
        <v>76</v>
      </c>
      <c r="O486" s="42">
        <v>42</v>
      </c>
      <c r="P486" s="43">
        <v>42</v>
      </c>
      <c r="Q486" s="44">
        <v>28.98</v>
      </c>
      <c r="R486" s="45">
        <v>79</v>
      </c>
      <c r="S486" s="43">
        <v>42</v>
      </c>
      <c r="T486" s="46">
        <v>15</v>
      </c>
      <c r="U486" s="40">
        <v>3</v>
      </c>
      <c r="V486" s="47">
        <v>6430</v>
      </c>
      <c r="W486" s="48">
        <v>2002</v>
      </c>
      <c r="X486" s="40"/>
      <c r="Y486" s="52" t="s">
        <v>1081</v>
      </c>
      <c r="Z486" s="40" t="s">
        <v>910</v>
      </c>
      <c r="AA486" s="49">
        <f t="shared" si="70"/>
        <v>151683.70000000001</v>
      </c>
      <c r="AB486" s="71">
        <f t="shared" si="71"/>
        <v>0.56999999999999995</v>
      </c>
      <c r="AC486" s="49">
        <f t="shared" si="72"/>
        <v>65223.99</v>
      </c>
      <c r="AD486" s="50">
        <f t="shared" si="73"/>
        <v>0</v>
      </c>
      <c r="AE486" s="50">
        <f t="shared" si="74"/>
        <v>0</v>
      </c>
      <c r="AF486" s="50">
        <f t="shared" si="75"/>
        <v>65223.99</v>
      </c>
      <c r="AG486" s="199">
        <f t="shared" si="76"/>
        <v>65223</v>
      </c>
      <c r="AH486" s="187"/>
      <c r="AI486" s="185" t="s">
        <v>1456</v>
      </c>
      <c r="AJ486" s="185"/>
      <c r="AK486" s="277">
        <f t="shared" si="69"/>
        <v>6430</v>
      </c>
      <c r="AL486" s="25">
        <f>(SUMIFS('T1 2019 Pipeline Data Lagasco'!$O:$O,'T1 2019 Pipeline Data Lagasco'!$A:$A,'Dec 31 2018 OFFS'!$AI486,'T1 2019 Pipeline Data Lagasco'!$Q:$Q,'Dec 31 2018 OFFS'!$AK486,'T1 2019 Pipeline Data Lagasco'!$E:$E,'Dec 31 2018 OFFS'!$U486,'T1 2019 Pipeline Data Lagasco'!$G:$G,'Dec 31 2018 OFFS'!$W486))/(MAX(COUNTIFS('T1 2019 Pipeline Data Lagasco'!$A:$A,'Dec 31 2018 OFFS'!$AI486,'T1 2019 Pipeline Data Lagasco'!$Q:$Q,'Dec 31 2018 OFFS'!$AK486,'T1 2019 Pipeline Data Lagasco'!$E:$E,'Dec 31 2018 OFFS'!$U486,'T1 2019 Pipeline Data Lagasco'!$G:$G,'Dec 31 2018 OFFS'!$W486),1))</f>
        <v>65223</v>
      </c>
      <c r="AM486" s="274">
        <f t="shared" si="77"/>
        <v>0</v>
      </c>
    </row>
    <row r="487" spans="1:39" ht="12.7">
      <c r="A487" s="193" t="s">
        <v>909</v>
      </c>
      <c r="B487" s="40" t="s">
        <v>918</v>
      </c>
      <c r="C487" s="40" t="s">
        <v>1266</v>
      </c>
      <c r="D487" s="40" t="s">
        <v>17</v>
      </c>
      <c r="E487" s="40" t="s">
        <v>64</v>
      </c>
      <c r="F487" s="40"/>
      <c r="G487" s="41" t="s">
        <v>75</v>
      </c>
      <c r="H487" s="42">
        <v>42</v>
      </c>
      <c r="I487" s="43">
        <v>42</v>
      </c>
      <c r="J487" s="44">
        <v>14.271000000000001</v>
      </c>
      <c r="K487" s="45">
        <v>79</v>
      </c>
      <c r="L487" s="43">
        <v>43</v>
      </c>
      <c r="M487" s="46">
        <v>14.175</v>
      </c>
      <c r="N487" s="40" t="s">
        <v>76</v>
      </c>
      <c r="O487" s="42">
        <v>42</v>
      </c>
      <c r="P487" s="43">
        <v>42</v>
      </c>
      <c r="Q487" s="44">
        <v>28.98</v>
      </c>
      <c r="R487" s="45">
        <v>79</v>
      </c>
      <c r="S487" s="43">
        <v>42</v>
      </c>
      <c r="T487" s="46">
        <v>15</v>
      </c>
      <c r="U487" s="40">
        <v>3</v>
      </c>
      <c r="V487" s="47">
        <v>4662.9263741479999</v>
      </c>
      <c r="W487" s="48">
        <v>1983</v>
      </c>
      <c r="X487" s="40"/>
      <c r="Y487" s="52" t="s">
        <v>1081</v>
      </c>
      <c r="Z487" s="40" t="s">
        <v>910</v>
      </c>
      <c r="AA487" s="49">
        <f t="shared" si="70"/>
        <v>109998.43316615131</v>
      </c>
      <c r="AB487" s="71">
        <f t="shared" si="71"/>
        <v>0.80</v>
      </c>
      <c r="AC487" s="49">
        <f t="shared" si="72"/>
        <v>21999.69</v>
      </c>
      <c r="AD487" s="50">
        <f t="shared" si="73"/>
        <v>0</v>
      </c>
      <c r="AE487" s="50">
        <f t="shared" si="74"/>
        <v>0</v>
      </c>
      <c r="AF487" s="50">
        <f t="shared" si="75"/>
        <v>21999.69</v>
      </c>
      <c r="AG487" s="199">
        <f t="shared" si="76"/>
        <v>21999</v>
      </c>
      <c r="AH487" s="187"/>
      <c r="AI487" s="185" t="s">
        <v>1456</v>
      </c>
      <c r="AJ487" s="185"/>
      <c r="AK487" s="277">
        <f t="shared" si="69"/>
        <v>4662.93</v>
      </c>
      <c r="AL487" s="25">
        <f>(SUMIFS('T1 2019 Pipeline Data Lagasco'!$O:$O,'T1 2019 Pipeline Data Lagasco'!$A:$A,'Dec 31 2018 OFFS'!$AI487,'T1 2019 Pipeline Data Lagasco'!$Q:$Q,'Dec 31 2018 OFFS'!$AK487,'T1 2019 Pipeline Data Lagasco'!$E:$E,'Dec 31 2018 OFFS'!$U487,'T1 2019 Pipeline Data Lagasco'!$G:$G,'Dec 31 2018 OFFS'!$W487))/(MAX(COUNTIFS('T1 2019 Pipeline Data Lagasco'!$A:$A,'Dec 31 2018 OFFS'!$AI487,'T1 2019 Pipeline Data Lagasco'!$Q:$Q,'Dec 31 2018 OFFS'!$AK487,'T1 2019 Pipeline Data Lagasco'!$E:$E,'Dec 31 2018 OFFS'!$U487,'T1 2019 Pipeline Data Lagasco'!$G:$G,'Dec 31 2018 OFFS'!$W487),1))</f>
        <v>21999</v>
      </c>
      <c r="AM487" s="274">
        <f t="shared" si="77"/>
        <v>0</v>
      </c>
    </row>
    <row r="488" spans="1:39" ht="12.7">
      <c r="A488" s="193" t="s">
        <v>909</v>
      </c>
      <c r="B488" s="40" t="s">
        <v>918</v>
      </c>
      <c r="C488" s="40" t="s">
        <v>1266</v>
      </c>
      <c r="D488" s="40" t="s">
        <v>17</v>
      </c>
      <c r="E488" s="40" t="s">
        <v>64</v>
      </c>
      <c r="F488" s="40"/>
      <c r="G488" s="41" t="s">
        <v>77</v>
      </c>
      <c r="H488" s="42" t="s">
        <v>78</v>
      </c>
      <c r="I488" s="43" t="s">
        <v>79</v>
      </c>
      <c r="J488" s="44" t="s">
        <v>80</v>
      </c>
      <c r="K488" s="45">
        <v>79</v>
      </c>
      <c r="L488" s="43">
        <v>43</v>
      </c>
      <c r="M488" s="46">
        <v>21.68</v>
      </c>
      <c r="N488" s="40" t="s">
        <v>81</v>
      </c>
      <c r="O488" s="42">
        <v>42</v>
      </c>
      <c r="P488" s="43">
        <v>42</v>
      </c>
      <c r="Q488" s="44">
        <v>6</v>
      </c>
      <c r="R488" s="45">
        <v>79</v>
      </c>
      <c r="S488" s="43">
        <v>44</v>
      </c>
      <c r="T488" s="46">
        <v>12</v>
      </c>
      <c r="U488" s="40">
        <v>3</v>
      </c>
      <c r="V488" s="47">
        <v>3771.8174760700003</v>
      </c>
      <c r="W488" s="48">
        <v>1994</v>
      </c>
      <c r="X488" s="40"/>
      <c r="Y488" s="52" t="s">
        <v>1081</v>
      </c>
      <c r="Z488" s="40" t="s">
        <v>910</v>
      </c>
      <c r="AA488" s="49">
        <f t="shared" si="70"/>
        <v>88977.174260491302</v>
      </c>
      <c r="AB488" s="71">
        <f t="shared" si="71"/>
        <v>0.68</v>
      </c>
      <c r="AC488" s="49">
        <f t="shared" si="72"/>
        <v>28472.70</v>
      </c>
      <c r="AD488" s="50">
        <f t="shared" si="73"/>
        <v>0</v>
      </c>
      <c r="AE488" s="50">
        <f t="shared" si="74"/>
        <v>0</v>
      </c>
      <c r="AF488" s="50">
        <f t="shared" si="75"/>
        <v>28472.70</v>
      </c>
      <c r="AG488" s="199">
        <f t="shared" si="76"/>
        <v>28472</v>
      </c>
      <c r="AH488" s="187"/>
      <c r="AI488" s="185" t="s">
        <v>1456</v>
      </c>
      <c r="AJ488" s="185"/>
      <c r="AK488" s="277">
        <f t="shared" si="69"/>
        <v>3771.82</v>
      </c>
      <c r="AL488" s="25">
        <f>(SUMIFS('T1 2019 Pipeline Data Lagasco'!$O:$O,'T1 2019 Pipeline Data Lagasco'!$A:$A,'Dec 31 2018 OFFS'!$AI488,'T1 2019 Pipeline Data Lagasco'!$Q:$Q,'Dec 31 2018 OFFS'!$AK488,'T1 2019 Pipeline Data Lagasco'!$E:$E,'Dec 31 2018 OFFS'!$U488,'T1 2019 Pipeline Data Lagasco'!$G:$G,'Dec 31 2018 OFFS'!$W488))/(MAX(COUNTIFS('T1 2019 Pipeline Data Lagasco'!$A:$A,'Dec 31 2018 OFFS'!$AI488,'T1 2019 Pipeline Data Lagasco'!$Q:$Q,'Dec 31 2018 OFFS'!$AK488,'T1 2019 Pipeline Data Lagasco'!$E:$E,'Dec 31 2018 OFFS'!$U488,'T1 2019 Pipeline Data Lagasco'!$G:$G,'Dec 31 2018 OFFS'!$W488),1))</f>
        <v>28472</v>
      </c>
      <c r="AM488" s="274">
        <f t="shared" si="77"/>
        <v>0</v>
      </c>
    </row>
    <row r="489" spans="1:39" ht="12.7">
      <c r="A489" s="193" t="s">
        <v>909</v>
      </c>
      <c r="B489" s="40" t="s">
        <v>918</v>
      </c>
      <c r="C489" s="40" t="s">
        <v>1266</v>
      </c>
      <c r="D489" s="40" t="s">
        <v>17</v>
      </c>
      <c r="E489" s="40" t="s">
        <v>64</v>
      </c>
      <c r="F489" s="40"/>
      <c r="G489" s="41" t="s">
        <v>77</v>
      </c>
      <c r="H489" s="42" t="s">
        <v>78</v>
      </c>
      <c r="I489" s="43" t="s">
        <v>79</v>
      </c>
      <c r="J489" s="44" t="s">
        <v>80</v>
      </c>
      <c r="K489" s="45">
        <v>79</v>
      </c>
      <c r="L489" s="43">
        <v>43</v>
      </c>
      <c r="M489" s="46">
        <v>21.68</v>
      </c>
      <c r="N489" s="40" t="s">
        <v>75</v>
      </c>
      <c r="O489" s="42">
        <v>42</v>
      </c>
      <c r="P489" s="43">
        <v>42</v>
      </c>
      <c r="Q489" s="44">
        <v>14.271000000000001</v>
      </c>
      <c r="R489" s="45">
        <v>79</v>
      </c>
      <c r="S489" s="43">
        <v>43</v>
      </c>
      <c r="T489" s="46">
        <v>14.175</v>
      </c>
      <c r="U489" s="40">
        <v>3</v>
      </c>
      <c r="V489" s="47">
        <v>758.69420374999993</v>
      </c>
      <c r="W489" s="48">
        <v>1981</v>
      </c>
      <c r="X489" s="40"/>
      <c r="Y489" s="52" t="s">
        <v>1081</v>
      </c>
      <c r="Z489" s="40" t="s">
        <v>910</v>
      </c>
      <c r="AA489" s="49">
        <f t="shared" si="70"/>
        <v>17897.596266462497</v>
      </c>
      <c r="AB489" s="71">
        <f t="shared" si="71"/>
        <v>0.80</v>
      </c>
      <c r="AC489" s="49">
        <f t="shared" si="72"/>
        <v>3579.52</v>
      </c>
      <c r="AD489" s="50">
        <f t="shared" si="73"/>
        <v>0</v>
      </c>
      <c r="AE489" s="50">
        <f t="shared" si="74"/>
        <v>0</v>
      </c>
      <c r="AF489" s="50">
        <f t="shared" si="75"/>
        <v>3579.52</v>
      </c>
      <c r="AG489" s="199">
        <f t="shared" si="76"/>
        <v>3579</v>
      </c>
      <c r="AH489" s="187"/>
      <c r="AI489" s="185" t="s">
        <v>1456</v>
      </c>
      <c r="AJ489" s="185"/>
      <c r="AK489" s="277">
        <f t="shared" si="69"/>
        <v>758.69</v>
      </c>
      <c r="AL489" s="25">
        <f>(SUMIFS('T1 2019 Pipeline Data Lagasco'!$O:$O,'T1 2019 Pipeline Data Lagasco'!$A:$A,'Dec 31 2018 OFFS'!$AI489,'T1 2019 Pipeline Data Lagasco'!$Q:$Q,'Dec 31 2018 OFFS'!$AK489,'T1 2019 Pipeline Data Lagasco'!$E:$E,'Dec 31 2018 OFFS'!$U489,'T1 2019 Pipeline Data Lagasco'!$G:$G,'Dec 31 2018 OFFS'!$W489))/(MAX(COUNTIFS('T1 2019 Pipeline Data Lagasco'!$A:$A,'Dec 31 2018 OFFS'!$AI489,'T1 2019 Pipeline Data Lagasco'!$Q:$Q,'Dec 31 2018 OFFS'!$AK489,'T1 2019 Pipeline Data Lagasco'!$E:$E,'Dec 31 2018 OFFS'!$U489,'T1 2019 Pipeline Data Lagasco'!$G:$G,'Dec 31 2018 OFFS'!$W489),1))</f>
        <v>3579</v>
      </c>
      <c r="AM489" s="274">
        <f t="shared" si="77"/>
        <v>0</v>
      </c>
    </row>
    <row r="490" spans="1:39" ht="12.7">
      <c r="A490" s="193" t="s">
        <v>909</v>
      </c>
      <c r="B490" s="40" t="s">
        <v>918</v>
      </c>
      <c r="C490" s="40" t="s">
        <v>1266</v>
      </c>
      <c r="D490" s="40" t="s">
        <v>17</v>
      </c>
      <c r="E490" s="40" t="s">
        <v>64</v>
      </c>
      <c r="F490" s="40"/>
      <c r="G490" s="41" t="s">
        <v>77</v>
      </c>
      <c r="H490" s="42" t="s">
        <v>78</v>
      </c>
      <c r="I490" s="43" t="s">
        <v>79</v>
      </c>
      <c r="J490" s="44" t="s">
        <v>80</v>
      </c>
      <c r="K490" s="45">
        <v>79</v>
      </c>
      <c r="L490" s="43">
        <v>43</v>
      </c>
      <c r="M490" s="46">
        <v>21.68</v>
      </c>
      <c r="N490" s="40" t="s">
        <v>82</v>
      </c>
      <c r="O490" s="42">
        <v>42</v>
      </c>
      <c r="P490" s="43">
        <v>41</v>
      </c>
      <c r="Q490" s="44">
        <v>48</v>
      </c>
      <c r="R490" s="45">
        <v>79</v>
      </c>
      <c r="S490" s="43">
        <v>41</v>
      </c>
      <c r="T490" s="46">
        <v>39</v>
      </c>
      <c r="U490" s="40">
        <v>3</v>
      </c>
      <c r="V490" s="47">
        <v>7963.3855961519994</v>
      </c>
      <c r="W490" s="48">
        <v>1981</v>
      </c>
      <c r="X490" s="40"/>
      <c r="Y490" s="52" t="s">
        <v>1081</v>
      </c>
      <c r="Z490" s="40" t="s">
        <v>910</v>
      </c>
      <c r="AA490" s="49">
        <f t="shared" si="70"/>
        <v>187856.26621322567</v>
      </c>
      <c r="AB490" s="71">
        <f t="shared" si="71"/>
        <v>0.80</v>
      </c>
      <c r="AC490" s="49">
        <f t="shared" si="72"/>
        <v>37571.25</v>
      </c>
      <c r="AD490" s="50">
        <f t="shared" si="73"/>
        <v>0</v>
      </c>
      <c r="AE490" s="50">
        <f t="shared" si="74"/>
        <v>0</v>
      </c>
      <c r="AF490" s="50">
        <f t="shared" si="75"/>
        <v>37571.25</v>
      </c>
      <c r="AG490" s="199">
        <f t="shared" si="76"/>
        <v>37571</v>
      </c>
      <c r="AH490" s="187"/>
      <c r="AI490" s="185" t="s">
        <v>1456</v>
      </c>
      <c r="AJ490" s="185"/>
      <c r="AK490" s="277">
        <f t="shared" si="69"/>
        <v>7963.39</v>
      </c>
      <c r="AL490" s="25">
        <f>(SUMIFS('T1 2019 Pipeline Data Lagasco'!$O:$O,'T1 2019 Pipeline Data Lagasco'!$A:$A,'Dec 31 2018 OFFS'!$AI490,'T1 2019 Pipeline Data Lagasco'!$Q:$Q,'Dec 31 2018 OFFS'!$AK490,'T1 2019 Pipeline Data Lagasco'!$E:$E,'Dec 31 2018 OFFS'!$U490,'T1 2019 Pipeline Data Lagasco'!$G:$G,'Dec 31 2018 OFFS'!$W490))/(MAX(COUNTIFS('T1 2019 Pipeline Data Lagasco'!$A:$A,'Dec 31 2018 OFFS'!$AI490,'T1 2019 Pipeline Data Lagasco'!$Q:$Q,'Dec 31 2018 OFFS'!$AK490,'T1 2019 Pipeline Data Lagasco'!$E:$E,'Dec 31 2018 OFFS'!$U490,'T1 2019 Pipeline Data Lagasco'!$G:$G,'Dec 31 2018 OFFS'!$W490),1))</f>
        <v>37571</v>
      </c>
      <c r="AM490" s="274">
        <f t="shared" si="77"/>
        <v>0</v>
      </c>
    </row>
    <row r="491" spans="1:39" ht="12.7">
      <c r="A491" s="193" t="s">
        <v>909</v>
      </c>
      <c r="B491" s="40" t="s">
        <v>918</v>
      </c>
      <c r="C491" s="40" t="s">
        <v>1266</v>
      </c>
      <c r="D491" s="40" t="s">
        <v>17</v>
      </c>
      <c r="E491" s="40" t="s">
        <v>64</v>
      </c>
      <c r="F491" s="40"/>
      <c r="G491" s="41" t="s">
        <v>77</v>
      </c>
      <c r="H491" s="42" t="s">
        <v>78</v>
      </c>
      <c r="I491" s="43" t="s">
        <v>79</v>
      </c>
      <c r="J491" s="44" t="s">
        <v>80</v>
      </c>
      <c r="K491" s="45">
        <v>79</v>
      </c>
      <c r="L491" s="43">
        <v>43</v>
      </c>
      <c r="M491" s="46">
        <v>21.68</v>
      </c>
      <c r="N491" s="41" t="s">
        <v>89</v>
      </c>
      <c r="O491" s="42">
        <v>42</v>
      </c>
      <c r="P491" s="43">
        <v>41</v>
      </c>
      <c r="Q491" s="44">
        <v>14.70</v>
      </c>
      <c r="R491" s="45">
        <v>79</v>
      </c>
      <c r="S491" s="43">
        <v>43</v>
      </c>
      <c r="T491" s="46">
        <v>16.02</v>
      </c>
      <c r="U491" s="40">
        <v>4</v>
      </c>
      <c r="V491" s="47">
        <v>5536.1546953159996</v>
      </c>
      <c r="W491" s="48">
        <v>1983</v>
      </c>
      <c r="X491" s="40"/>
      <c r="Y491" s="52" t="s">
        <v>1081</v>
      </c>
      <c r="Z491" s="40" t="s">
        <v>910</v>
      </c>
      <c r="AA491" s="49">
        <f t="shared" si="70"/>
        <v>146431.29169110817</v>
      </c>
      <c r="AB491" s="71">
        <f t="shared" si="71"/>
        <v>0.80</v>
      </c>
      <c r="AC491" s="49">
        <f t="shared" si="72"/>
        <v>29286.26</v>
      </c>
      <c r="AD491" s="50">
        <f t="shared" si="73"/>
        <v>0</v>
      </c>
      <c r="AE491" s="50">
        <f t="shared" si="74"/>
        <v>0</v>
      </c>
      <c r="AF491" s="50">
        <f t="shared" si="75"/>
        <v>29286.26</v>
      </c>
      <c r="AG491" s="199">
        <f t="shared" si="76"/>
        <v>29286</v>
      </c>
      <c r="AH491" s="187"/>
      <c r="AI491" s="185" t="s">
        <v>1456</v>
      </c>
      <c r="AJ491" s="185"/>
      <c r="AK491" s="277">
        <f t="shared" si="69"/>
        <v>5536.15</v>
      </c>
      <c r="AL491" s="25">
        <f>(SUMIFS('T1 2019 Pipeline Data Lagasco'!$O:$O,'T1 2019 Pipeline Data Lagasco'!$A:$A,'Dec 31 2018 OFFS'!$AI491,'T1 2019 Pipeline Data Lagasco'!$Q:$Q,'Dec 31 2018 OFFS'!$AK491,'T1 2019 Pipeline Data Lagasco'!$E:$E,'Dec 31 2018 OFFS'!$U491,'T1 2019 Pipeline Data Lagasco'!$G:$G,'Dec 31 2018 OFFS'!$W491))/(MAX(COUNTIFS('T1 2019 Pipeline Data Lagasco'!$A:$A,'Dec 31 2018 OFFS'!$AI491,'T1 2019 Pipeline Data Lagasco'!$Q:$Q,'Dec 31 2018 OFFS'!$AK491,'T1 2019 Pipeline Data Lagasco'!$E:$E,'Dec 31 2018 OFFS'!$U491,'T1 2019 Pipeline Data Lagasco'!$G:$G,'Dec 31 2018 OFFS'!$W491),1))</f>
        <v>29286</v>
      </c>
      <c r="AM491" s="274">
        <f t="shared" si="77"/>
        <v>0</v>
      </c>
    </row>
    <row r="492" spans="1:39" ht="12.7">
      <c r="A492" s="193" t="s">
        <v>909</v>
      </c>
      <c r="B492" s="40" t="s">
        <v>918</v>
      </c>
      <c r="C492" s="40" t="s">
        <v>1266</v>
      </c>
      <c r="D492" s="40" t="s">
        <v>17</v>
      </c>
      <c r="E492" s="40" t="s">
        <v>64</v>
      </c>
      <c r="F492" s="40"/>
      <c r="G492" s="41" t="s">
        <v>83</v>
      </c>
      <c r="H492" s="42" t="s">
        <v>78</v>
      </c>
      <c r="I492" s="43" t="s">
        <v>79</v>
      </c>
      <c r="J492" s="44" t="s">
        <v>84</v>
      </c>
      <c r="K492" s="45">
        <v>79</v>
      </c>
      <c r="L492" s="43">
        <v>44</v>
      </c>
      <c r="M492" s="46">
        <v>7.83</v>
      </c>
      <c r="N492" s="40" t="s">
        <v>85</v>
      </c>
      <c r="O492" s="42">
        <v>42</v>
      </c>
      <c r="P492" s="43">
        <v>42</v>
      </c>
      <c r="Q492" s="44">
        <v>54</v>
      </c>
      <c r="R492" s="45">
        <v>79</v>
      </c>
      <c r="S492" s="43">
        <v>43</v>
      </c>
      <c r="T492" s="46">
        <v>55.02</v>
      </c>
      <c r="U492" s="40">
        <v>3</v>
      </c>
      <c r="V492" s="47">
        <v>963.71388285199998</v>
      </c>
      <c r="W492" s="48">
        <v>1985</v>
      </c>
      <c r="X492" s="40"/>
      <c r="Y492" s="52" t="s">
        <v>1081</v>
      </c>
      <c r="Z492" s="40" t="s">
        <v>910</v>
      </c>
      <c r="AA492" s="49">
        <f t="shared" si="70"/>
        <v>22734.010496478681</v>
      </c>
      <c r="AB492" s="71">
        <f t="shared" si="71"/>
        <v>0.80</v>
      </c>
      <c r="AC492" s="49">
        <f t="shared" si="72"/>
        <v>4546.80</v>
      </c>
      <c r="AD492" s="50">
        <f t="shared" si="73"/>
        <v>0</v>
      </c>
      <c r="AE492" s="50">
        <f t="shared" si="74"/>
        <v>0</v>
      </c>
      <c r="AF492" s="50">
        <f t="shared" si="75"/>
        <v>4546.80</v>
      </c>
      <c r="AG492" s="199">
        <f t="shared" si="76"/>
        <v>4546</v>
      </c>
      <c r="AH492" s="187"/>
      <c r="AI492" s="185" t="s">
        <v>1456</v>
      </c>
      <c r="AJ492" s="185"/>
      <c r="AK492" s="277">
        <f t="shared" si="69"/>
        <v>963.71</v>
      </c>
      <c r="AL492" s="25">
        <f>(SUMIFS('T1 2019 Pipeline Data Lagasco'!$O:$O,'T1 2019 Pipeline Data Lagasco'!$A:$A,'Dec 31 2018 OFFS'!$AI492,'T1 2019 Pipeline Data Lagasco'!$Q:$Q,'Dec 31 2018 OFFS'!$AK492,'T1 2019 Pipeline Data Lagasco'!$E:$E,'Dec 31 2018 OFFS'!$U492,'T1 2019 Pipeline Data Lagasco'!$G:$G,'Dec 31 2018 OFFS'!$W492))/(MAX(COUNTIFS('T1 2019 Pipeline Data Lagasco'!$A:$A,'Dec 31 2018 OFFS'!$AI492,'T1 2019 Pipeline Data Lagasco'!$Q:$Q,'Dec 31 2018 OFFS'!$AK492,'T1 2019 Pipeline Data Lagasco'!$E:$E,'Dec 31 2018 OFFS'!$U492,'T1 2019 Pipeline Data Lagasco'!$G:$G,'Dec 31 2018 OFFS'!$W492),1))</f>
        <v>4546</v>
      </c>
      <c r="AM492" s="274">
        <f t="shared" si="77"/>
        <v>0</v>
      </c>
    </row>
    <row r="493" spans="1:39" ht="12.7">
      <c r="A493" s="193" t="s">
        <v>909</v>
      </c>
      <c r="B493" s="40" t="s">
        <v>918</v>
      </c>
      <c r="C493" s="40" t="s">
        <v>1266</v>
      </c>
      <c r="D493" s="40" t="s">
        <v>17</v>
      </c>
      <c r="E493" s="40" t="s">
        <v>64</v>
      </c>
      <c r="F493" s="40"/>
      <c r="G493" s="41" t="s">
        <v>83</v>
      </c>
      <c r="H493" s="42" t="s">
        <v>78</v>
      </c>
      <c r="I493" s="43" t="s">
        <v>79</v>
      </c>
      <c r="J493" s="44" t="s">
        <v>84</v>
      </c>
      <c r="K493" s="45">
        <v>79</v>
      </c>
      <c r="L493" s="43">
        <v>44</v>
      </c>
      <c r="M493" s="46">
        <v>7.83</v>
      </c>
      <c r="N493" s="40" t="s">
        <v>77</v>
      </c>
      <c r="O493" s="42" t="s">
        <v>78</v>
      </c>
      <c r="P493" s="43" t="s">
        <v>79</v>
      </c>
      <c r="Q493" s="44" t="s">
        <v>80</v>
      </c>
      <c r="R493" s="45">
        <v>79</v>
      </c>
      <c r="S493" s="43">
        <v>43</v>
      </c>
      <c r="T493" s="46">
        <v>21.68</v>
      </c>
      <c r="U493" s="40">
        <v>4</v>
      </c>
      <c r="V493" s="47">
        <v>5600.9184729680001</v>
      </c>
      <c r="W493" s="48">
        <v>1983</v>
      </c>
      <c r="X493" s="40"/>
      <c r="Y493" s="52" t="s">
        <v>1081</v>
      </c>
      <c r="Z493" s="40" t="s">
        <v>910</v>
      </c>
      <c r="AA493" s="49">
        <f t="shared" si="70"/>
        <v>148144.2936100036</v>
      </c>
      <c r="AB493" s="71">
        <f t="shared" si="71"/>
        <v>0.80</v>
      </c>
      <c r="AC493" s="49">
        <f t="shared" si="72"/>
        <v>29628.86</v>
      </c>
      <c r="AD493" s="50">
        <f t="shared" si="73"/>
        <v>0</v>
      </c>
      <c r="AE493" s="50">
        <f t="shared" si="74"/>
        <v>0</v>
      </c>
      <c r="AF493" s="50">
        <f t="shared" si="75"/>
        <v>29628.86</v>
      </c>
      <c r="AG493" s="199">
        <f t="shared" si="76"/>
        <v>29628</v>
      </c>
      <c r="AH493" s="187"/>
      <c r="AI493" s="185" t="s">
        <v>1456</v>
      </c>
      <c r="AJ493" s="185"/>
      <c r="AK493" s="277">
        <f t="shared" si="69"/>
        <v>5600.92</v>
      </c>
      <c r="AL493" s="25">
        <f>(SUMIFS('T1 2019 Pipeline Data Lagasco'!$O:$O,'T1 2019 Pipeline Data Lagasco'!$A:$A,'Dec 31 2018 OFFS'!$AI493,'T1 2019 Pipeline Data Lagasco'!$Q:$Q,'Dec 31 2018 OFFS'!$AK493,'T1 2019 Pipeline Data Lagasco'!$E:$E,'Dec 31 2018 OFFS'!$U493,'T1 2019 Pipeline Data Lagasco'!$G:$G,'Dec 31 2018 OFFS'!$W493))/(MAX(COUNTIFS('T1 2019 Pipeline Data Lagasco'!$A:$A,'Dec 31 2018 OFFS'!$AI493,'T1 2019 Pipeline Data Lagasco'!$Q:$Q,'Dec 31 2018 OFFS'!$AK493,'T1 2019 Pipeline Data Lagasco'!$E:$E,'Dec 31 2018 OFFS'!$U493,'T1 2019 Pipeline Data Lagasco'!$G:$G,'Dec 31 2018 OFFS'!$W493),1))</f>
        <v>29628</v>
      </c>
      <c r="AM493" s="274">
        <f t="shared" si="77"/>
        <v>0</v>
      </c>
    </row>
    <row r="494" spans="1:39" ht="12.7">
      <c r="A494" s="193" t="s">
        <v>909</v>
      </c>
      <c r="B494" s="40" t="s">
        <v>918</v>
      </c>
      <c r="C494" s="40" t="s">
        <v>1266</v>
      </c>
      <c r="D494" s="40" t="s">
        <v>17</v>
      </c>
      <c r="E494" s="40" t="s">
        <v>64</v>
      </c>
      <c r="F494" s="40"/>
      <c r="G494" s="41" t="s">
        <v>86</v>
      </c>
      <c r="H494" s="42">
        <v>42</v>
      </c>
      <c r="I494" s="43">
        <v>41</v>
      </c>
      <c r="J494" s="44">
        <v>12</v>
      </c>
      <c r="K494" s="45">
        <v>79</v>
      </c>
      <c r="L494" s="43">
        <v>44</v>
      </c>
      <c r="M494" s="46">
        <v>46.98</v>
      </c>
      <c r="N494" s="41" t="s">
        <v>87</v>
      </c>
      <c r="O494" s="42">
        <v>42</v>
      </c>
      <c r="P494" s="43">
        <v>40</v>
      </c>
      <c r="Q494" s="44">
        <v>36.066000000000003</v>
      </c>
      <c r="R494" s="45">
        <v>79</v>
      </c>
      <c r="S494" s="43">
        <v>45</v>
      </c>
      <c r="T494" s="46">
        <v>11.249000000000001</v>
      </c>
      <c r="U494" s="40">
        <v>3</v>
      </c>
      <c r="V494" s="47">
        <v>4064.8292786080001</v>
      </c>
      <c r="W494" s="48">
        <v>1982</v>
      </c>
      <c r="X494" s="40"/>
      <c r="Y494" s="52" t="s">
        <v>1081</v>
      </c>
      <c r="Z494" s="40" t="s">
        <v>910</v>
      </c>
      <c r="AA494" s="49">
        <f t="shared" si="70"/>
        <v>95889.322682362719</v>
      </c>
      <c r="AB494" s="71">
        <f t="shared" si="71"/>
        <v>0.80</v>
      </c>
      <c r="AC494" s="49">
        <f t="shared" si="72"/>
        <v>19177.86</v>
      </c>
      <c r="AD494" s="50">
        <f t="shared" si="73"/>
        <v>0</v>
      </c>
      <c r="AE494" s="50">
        <f t="shared" si="74"/>
        <v>0</v>
      </c>
      <c r="AF494" s="50">
        <f t="shared" si="75"/>
        <v>19177.86</v>
      </c>
      <c r="AG494" s="199">
        <f t="shared" si="76"/>
        <v>19177</v>
      </c>
      <c r="AH494" s="187"/>
      <c r="AI494" s="185" t="s">
        <v>1456</v>
      </c>
      <c r="AJ494" s="185"/>
      <c r="AK494" s="277">
        <f t="shared" si="69"/>
        <v>4064.83</v>
      </c>
      <c r="AL494" s="25">
        <f>(SUMIFS('T1 2019 Pipeline Data Lagasco'!$O:$O,'T1 2019 Pipeline Data Lagasco'!$A:$A,'Dec 31 2018 OFFS'!$AI494,'T1 2019 Pipeline Data Lagasco'!$Q:$Q,'Dec 31 2018 OFFS'!$AK494,'T1 2019 Pipeline Data Lagasco'!$E:$E,'Dec 31 2018 OFFS'!$U494,'T1 2019 Pipeline Data Lagasco'!$G:$G,'Dec 31 2018 OFFS'!$W494))/(MAX(COUNTIFS('T1 2019 Pipeline Data Lagasco'!$A:$A,'Dec 31 2018 OFFS'!$AI494,'T1 2019 Pipeline Data Lagasco'!$Q:$Q,'Dec 31 2018 OFFS'!$AK494,'T1 2019 Pipeline Data Lagasco'!$E:$E,'Dec 31 2018 OFFS'!$U494,'T1 2019 Pipeline Data Lagasco'!$G:$G,'Dec 31 2018 OFFS'!$W494),1))</f>
        <v>19177</v>
      </c>
      <c r="AM494" s="274">
        <f t="shared" si="77"/>
        <v>0</v>
      </c>
    </row>
    <row r="495" spans="1:39" ht="12.7">
      <c r="A495" s="193" t="s">
        <v>909</v>
      </c>
      <c r="B495" s="40" t="s">
        <v>918</v>
      </c>
      <c r="C495" s="40" t="s">
        <v>1266</v>
      </c>
      <c r="D495" s="40" t="s">
        <v>17</v>
      </c>
      <c r="E495" s="40" t="s">
        <v>64</v>
      </c>
      <c r="F495" s="40"/>
      <c r="G495" s="41" t="s">
        <v>88</v>
      </c>
      <c r="H495" s="42">
        <v>42</v>
      </c>
      <c r="I495" s="43">
        <v>41</v>
      </c>
      <c r="J495" s="44">
        <v>16.385999999999999</v>
      </c>
      <c r="K495" s="45">
        <v>79</v>
      </c>
      <c r="L495" s="43">
        <v>44</v>
      </c>
      <c r="M495" s="46">
        <v>20.196999999999999</v>
      </c>
      <c r="N495" s="40" t="s">
        <v>86</v>
      </c>
      <c r="O495" s="42">
        <v>42</v>
      </c>
      <c r="P495" s="43">
        <v>41</v>
      </c>
      <c r="Q495" s="44">
        <v>12</v>
      </c>
      <c r="R495" s="45">
        <v>79</v>
      </c>
      <c r="S495" s="43">
        <v>44</v>
      </c>
      <c r="T495" s="46">
        <v>46.98</v>
      </c>
      <c r="U495" s="40">
        <v>3</v>
      </c>
      <c r="V495" s="47">
        <v>2049.2125390800002</v>
      </c>
      <c r="W495" s="48">
        <v>1982</v>
      </c>
      <c r="X495" s="40"/>
      <c r="Y495" s="52" t="s">
        <v>1081</v>
      </c>
      <c r="Z495" s="40" t="s">
        <v>910</v>
      </c>
      <c r="AA495" s="49">
        <f t="shared" si="70"/>
        <v>48340.923796897201</v>
      </c>
      <c r="AB495" s="71">
        <f t="shared" si="71"/>
        <v>0.80</v>
      </c>
      <c r="AC495" s="49">
        <f t="shared" si="72"/>
        <v>9668.18</v>
      </c>
      <c r="AD495" s="50">
        <f t="shared" si="73"/>
        <v>0</v>
      </c>
      <c r="AE495" s="50">
        <f t="shared" si="74"/>
        <v>0</v>
      </c>
      <c r="AF495" s="50">
        <f t="shared" si="75"/>
        <v>9668.18</v>
      </c>
      <c r="AG495" s="199">
        <f t="shared" si="76"/>
        <v>9668</v>
      </c>
      <c r="AH495" s="187"/>
      <c r="AI495" s="185" t="s">
        <v>1456</v>
      </c>
      <c r="AJ495" s="185"/>
      <c r="AK495" s="277">
        <f t="shared" si="69"/>
        <v>2049.21</v>
      </c>
      <c r="AL495" s="25">
        <f>(SUMIFS('T1 2019 Pipeline Data Lagasco'!$O:$O,'T1 2019 Pipeline Data Lagasco'!$A:$A,'Dec 31 2018 OFFS'!$AI495,'T1 2019 Pipeline Data Lagasco'!$Q:$Q,'Dec 31 2018 OFFS'!$AK495,'T1 2019 Pipeline Data Lagasco'!$E:$E,'Dec 31 2018 OFFS'!$U495,'T1 2019 Pipeline Data Lagasco'!$G:$G,'Dec 31 2018 OFFS'!$W495))/(MAX(COUNTIFS('T1 2019 Pipeline Data Lagasco'!$A:$A,'Dec 31 2018 OFFS'!$AI495,'T1 2019 Pipeline Data Lagasco'!$Q:$Q,'Dec 31 2018 OFFS'!$AK495,'T1 2019 Pipeline Data Lagasco'!$E:$E,'Dec 31 2018 OFFS'!$U495,'T1 2019 Pipeline Data Lagasco'!$G:$G,'Dec 31 2018 OFFS'!$W495),1))</f>
        <v>9668</v>
      </c>
      <c r="AM495" s="274">
        <f t="shared" si="77"/>
        <v>0</v>
      </c>
    </row>
    <row r="496" spans="1:39" ht="12.7">
      <c r="A496" s="193" t="s">
        <v>909</v>
      </c>
      <c r="B496" s="40" t="s">
        <v>918</v>
      </c>
      <c r="C496" s="40" t="s">
        <v>1266</v>
      </c>
      <c r="D496" s="40" t="s">
        <v>17</v>
      </c>
      <c r="E496" s="40" t="s">
        <v>64</v>
      </c>
      <c r="F496" s="40"/>
      <c r="G496" s="41" t="s">
        <v>1215</v>
      </c>
      <c r="H496" s="42">
        <v>42</v>
      </c>
      <c r="I496" s="43">
        <v>41</v>
      </c>
      <c r="J496" s="44">
        <v>29.70</v>
      </c>
      <c r="K496" s="45">
        <v>79</v>
      </c>
      <c r="L496" s="43">
        <v>43</v>
      </c>
      <c r="M496" s="46">
        <v>45.30</v>
      </c>
      <c r="N496" s="41" t="s">
        <v>1216</v>
      </c>
      <c r="O496" s="42">
        <v>42</v>
      </c>
      <c r="P496" s="43">
        <v>41</v>
      </c>
      <c r="Q496" s="44">
        <v>13.86</v>
      </c>
      <c r="R496" s="45">
        <v>79</v>
      </c>
      <c r="S496" s="43">
        <v>43</v>
      </c>
      <c r="T496" s="46">
        <v>16.50</v>
      </c>
      <c r="U496" s="40">
        <v>3</v>
      </c>
      <c r="V496" s="47">
        <v>2681</v>
      </c>
      <c r="W496" s="48">
        <v>2004</v>
      </c>
      <c r="X496" s="40"/>
      <c r="Y496" s="52" t="s">
        <v>1081</v>
      </c>
      <c r="Z496" s="40" t="s">
        <v>910</v>
      </c>
      <c r="AA496" s="49">
        <f t="shared" si="70"/>
        <v>63244.79</v>
      </c>
      <c r="AB496" s="71">
        <f t="shared" si="71"/>
        <v>0.56000000000000005</v>
      </c>
      <c r="AC496" s="49">
        <f t="shared" si="72"/>
        <v>27827.71</v>
      </c>
      <c r="AD496" s="50">
        <f t="shared" si="73"/>
        <v>0</v>
      </c>
      <c r="AE496" s="50">
        <f t="shared" si="74"/>
        <v>0</v>
      </c>
      <c r="AF496" s="50">
        <f t="shared" si="75"/>
        <v>27827.71</v>
      </c>
      <c r="AG496" s="199">
        <f t="shared" si="76"/>
        <v>27827</v>
      </c>
      <c r="AH496" s="187"/>
      <c r="AI496" s="185" t="s">
        <v>1456</v>
      </c>
      <c r="AJ496" s="185"/>
      <c r="AK496" s="277">
        <f t="shared" si="69"/>
        <v>2681</v>
      </c>
      <c r="AL496" s="25">
        <f>(SUMIFS('T1 2019 Pipeline Data Lagasco'!$O:$O,'T1 2019 Pipeline Data Lagasco'!$A:$A,'Dec 31 2018 OFFS'!$AI496,'T1 2019 Pipeline Data Lagasco'!$Q:$Q,'Dec 31 2018 OFFS'!$AK496,'T1 2019 Pipeline Data Lagasco'!$E:$E,'Dec 31 2018 OFFS'!$U496,'T1 2019 Pipeline Data Lagasco'!$G:$G,'Dec 31 2018 OFFS'!$W496))/(MAX(COUNTIFS('T1 2019 Pipeline Data Lagasco'!$A:$A,'Dec 31 2018 OFFS'!$AI496,'T1 2019 Pipeline Data Lagasco'!$Q:$Q,'Dec 31 2018 OFFS'!$AK496,'T1 2019 Pipeline Data Lagasco'!$E:$E,'Dec 31 2018 OFFS'!$U496,'T1 2019 Pipeline Data Lagasco'!$G:$G,'Dec 31 2018 OFFS'!$W496),1))</f>
        <v>27827</v>
      </c>
      <c r="AM496" s="274">
        <f t="shared" si="77"/>
        <v>0</v>
      </c>
    </row>
    <row r="497" spans="1:39" ht="12.7">
      <c r="A497" s="193" t="s">
        <v>909</v>
      </c>
      <c r="B497" s="40" t="s">
        <v>918</v>
      </c>
      <c r="C497" s="40" t="s">
        <v>1266</v>
      </c>
      <c r="D497" s="40" t="s">
        <v>17</v>
      </c>
      <c r="E497" s="40" t="s">
        <v>64</v>
      </c>
      <c r="F497" s="40"/>
      <c r="G497" s="41" t="s">
        <v>89</v>
      </c>
      <c r="H497" s="42">
        <v>42</v>
      </c>
      <c r="I497" s="43">
        <v>41</v>
      </c>
      <c r="J497" s="44">
        <v>14.70</v>
      </c>
      <c r="K497" s="45">
        <v>79</v>
      </c>
      <c r="L497" s="43">
        <v>43</v>
      </c>
      <c r="M497" s="46">
        <v>16.02</v>
      </c>
      <c r="N497" s="41" t="s">
        <v>90</v>
      </c>
      <c r="O497" s="42">
        <v>42</v>
      </c>
      <c r="P497" s="43">
        <v>40</v>
      </c>
      <c r="Q497" s="44">
        <v>43.625999999999998</v>
      </c>
      <c r="R497" s="45">
        <v>79</v>
      </c>
      <c r="S497" s="43">
        <v>43</v>
      </c>
      <c r="T497" s="46">
        <v>48.246000000000002</v>
      </c>
      <c r="U497" s="40">
        <v>3</v>
      </c>
      <c r="V497" s="47">
        <v>3961.417208112</v>
      </c>
      <c r="W497" s="48">
        <v>1983</v>
      </c>
      <c r="X497" s="40"/>
      <c r="Y497" s="52" t="s">
        <v>1081</v>
      </c>
      <c r="Z497" s="40" t="s">
        <v>910</v>
      </c>
      <c r="AA497" s="49">
        <f t="shared" si="70"/>
        <v>93449.831939362077</v>
      </c>
      <c r="AB497" s="71">
        <f t="shared" si="71"/>
        <v>0.80</v>
      </c>
      <c r="AC497" s="49">
        <f t="shared" si="72"/>
        <v>18689.97</v>
      </c>
      <c r="AD497" s="50">
        <f t="shared" si="73"/>
        <v>0</v>
      </c>
      <c r="AE497" s="50">
        <f t="shared" si="74"/>
        <v>0</v>
      </c>
      <c r="AF497" s="50">
        <f t="shared" si="75"/>
        <v>18689.97</v>
      </c>
      <c r="AG497" s="199">
        <f t="shared" si="76"/>
        <v>18689</v>
      </c>
      <c r="AH497" s="187"/>
      <c r="AI497" s="185" t="s">
        <v>1456</v>
      </c>
      <c r="AJ497" s="185"/>
      <c r="AK497" s="277">
        <f t="shared" si="69"/>
        <v>3961.42</v>
      </c>
      <c r="AL497" s="25">
        <f>(SUMIFS('T1 2019 Pipeline Data Lagasco'!$O:$O,'T1 2019 Pipeline Data Lagasco'!$A:$A,'Dec 31 2018 OFFS'!$AI497,'T1 2019 Pipeline Data Lagasco'!$Q:$Q,'Dec 31 2018 OFFS'!$AK497,'T1 2019 Pipeline Data Lagasco'!$E:$E,'Dec 31 2018 OFFS'!$U497,'T1 2019 Pipeline Data Lagasco'!$G:$G,'Dec 31 2018 OFFS'!$W497))/(MAX(COUNTIFS('T1 2019 Pipeline Data Lagasco'!$A:$A,'Dec 31 2018 OFFS'!$AI497,'T1 2019 Pipeline Data Lagasco'!$Q:$Q,'Dec 31 2018 OFFS'!$AK497,'T1 2019 Pipeline Data Lagasco'!$E:$E,'Dec 31 2018 OFFS'!$U497,'T1 2019 Pipeline Data Lagasco'!$G:$G,'Dec 31 2018 OFFS'!$W497),1))</f>
        <v>18689</v>
      </c>
      <c r="AM497" s="274">
        <f t="shared" si="77"/>
        <v>0</v>
      </c>
    </row>
    <row r="498" spans="1:39" ht="12.7">
      <c r="A498" s="193" t="s">
        <v>909</v>
      </c>
      <c r="B498" s="40" t="s">
        <v>918</v>
      </c>
      <c r="C498" s="40" t="s">
        <v>1266</v>
      </c>
      <c r="D498" s="40" t="s">
        <v>17</v>
      </c>
      <c r="E498" s="40" t="s">
        <v>64</v>
      </c>
      <c r="F498" s="40"/>
      <c r="G498" s="41" t="s">
        <v>89</v>
      </c>
      <c r="H498" s="42">
        <v>42</v>
      </c>
      <c r="I498" s="43">
        <v>41</v>
      </c>
      <c r="J498" s="44">
        <v>14.70</v>
      </c>
      <c r="K498" s="45">
        <v>79</v>
      </c>
      <c r="L498" s="43">
        <v>43</v>
      </c>
      <c r="M498" s="46">
        <v>16.02</v>
      </c>
      <c r="N498" s="41" t="s">
        <v>91</v>
      </c>
      <c r="O498" s="42">
        <v>42</v>
      </c>
      <c r="P498" s="43">
        <v>40</v>
      </c>
      <c r="Q498" s="44">
        <v>42</v>
      </c>
      <c r="R498" s="45">
        <v>79</v>
      </c>
      <c r="S498" s="43">
        <v>42</v>
      </c>
      <c r="T498" s="46">
        <v>43.98</v>
      </c>
      <c r="U498" s="40">
        <v>3</v>
      </c>
      <c r="V498" s="47">
        <v>4085.2689105620002</v>
      </c>
      <c r="W498" s="48">
        <v>1984</v>
      </c>
      <c r="X498" s="40"/>
      <c r="Y498" s="52" t="s">
        <v>1081</v>
      </c>
      <c r="Z498" s="40" t="s">
        <v>910</v>
      </c>
      <c r="AA498" s="49">
        <f t="shared" si="70"/>
        <v>96371.493600157584</v>
      </c>
      <c r="AB498" s="71">
        <f t="shared" si="71"/>
        <v>0.80</v>
      </c>
      <c r="AC498" s="49">
        <f t="shared" si="72"/>
        <v>19274.30</v>
      </c>
      <c r="AD498" s="50">
        <f t="shared" si="73"/>
        <v>0</v>
      </c>
      <c r="AE498" s="50">
        <f t="shared" si="74"/>
        <v>0</v>
      </c>
      <c r="AF498" s="50">
        <f t="shared" si="75"/>
        <v>19274.30</v>
      </c>
      <c r="AG498" s="199">
        <f t="shared" si="76"/>
        <v>19274</v>
      </c>
      <c r="AH498" s="187"/>
      <c r="AI498" s="185" t="s">
        <v>1456</v>
      </c>
      <c r="AJ498" s="185"/>
      <c r="AK498" s="277">
        <f t="shared" si="69"/>
        <v>4085.27</v>
      </c>
      <c r="AL498" s="25">
        <f>(SUMIFS('T1 2019 Pipeline Data Lagasco'!$O:$O,'T1 2019 Pipeline Data Lagasco'!$A:$A,'Dec 31 2018 OFFS'!$AI498,'T1 2019 Pipeline Data Lagasco'!$Q:$Q,'Dec 31 2018 OFFS'!$AK498,'T1 2019 Pipeline Data Lagasco'!$E:$E,'Dec 31 2018 OFFS'!$U498,'T1 2019 Pipeline Data Lagasco'!$G:$G,'Dec 31 2018 OFFS'!$W498))/(MAX(COUNTIFS('T1 2019 Pipeline Data Lagasco'!$A:$A,'Dec 31 2018 OFFS'!$AI498,'T1 2019 Pipeline Data Lagasco'!$Q:$Q,'Dec 31 2018 OFFS'!$AK498,'T1 2019 Pipeline Data Lagasco'!$E:$E,'Dec 31 2018 OFFS'!$U498,'T1 2019 Pipeline Data Lagasco'!$G:$G,'Dec 31 2018 OFFS'!$W498),1))</f>
        <v>19274</v>
      </c>
      <c r="AM498" s="274">
        <f t="shared" si="77"/>
        <v>0</v>
      </c>
    </row>
    <row r="499" spans="1:39" ht="12.7">
      <c r="A499" s="193" t="s">
        <v>909</v>
      </c>
      <c r="B499" s="40" t="s">
        <v>918</v>
      </c>
      <c r="C499" s="40" t="s">
        <v>1266</v>
      </c>
      <c r="D499" s="40" t="s">
        <v>17</v>
      </c>
      <c r="E499" s="40" t="s">
        <v>64</v>
      </c>
      <c r="F499" s="40"/>
      <c r="G499" s="41" t="s">
        <v>89</v>
      </c>
      <c r="H499" s="42">
        <v>42</v>
      </c>
      <c r="I499" s="43">
        <v>41</v>
      </c>
      <c r="J499" s="44">
        <v>14.70</v>
      </c>
      <c r="K499" s="45">
        <v>79</v>
      </c>
      <c r="L499" s="43">
        <v>43</v>
      </c>
      <c r="M499" s="46">
        <v>16.02</v>
      </c>
      <c r="N499" s="41" t="s">
        <v>92</v>
      </c>
      <c r="O499" s="42">
        <v>42</v>
      </c>
      <c r="P499" s="43">
        <v>40</v>
      </c>
      <c r="Q499" s="44">
        <v>12.54</v>
      </c>
      <c r="R499" s="45">
        <v>79</v>
      </c>
      <c r="S499" s="43">
        <v>41</v>
      </c>
      <c r="T499" s="46">
        <v>47.58</v>
      </c>
      <c r="U499" s="40">
        <v>3</v>
      </c>
      <c r="V499" s="47">
        <v>9124.6060349639993</v>
      </c>
      <c r="W499" s="48">
        <v>1983</v>
      </c>
      <c r="X499" s="40"/>
      <c r="Y499" s="52" t="s">
        <v>1081</v>
      </c>
      <c r="Z499" s="40" t="s">
        <v>910</v>
      </c>
      <c r="AA499" s="49">
        <f t="shared" si="70"/>
        <v>215249.45636480075</v>
      </c>
      <c r="AB499" s="71">
        <f t="shared" si="71"/>
        <v>0.80</v>
      </c>
      <c r="AC499" s="49">
        <f t="shared" si="72"/>
        <v>43049.89</v>
      </c>
      <c r="AD499" s="50">
        <f t="shared" si="73"/>
        <v>0</v>
      </c>
      <c r="AE499" s="50">
        <f t="shared" si="74"/>
        <v>0</v>
      </c>
      <c r="AF499" s="50">
        <f t="shared" si="75"/>
        <v>43049.89</v>
      </c>
      <c r="AG499" s="199">
        <f t="shared" si="76"/>
        <v>43049</v>
      </c>
      <c r="AH499" s="187"/>
      <c r="AI499" s="185" t="s">
        <v>1456</v>
      </c>
      <c r="AJ499" s="185"/>
      <c r="AK499" s="277">
        <f t="shared" si="69"/>
        <v>9124.61</v>
      </c>
      <c r="AL499" s="25">
        <f>(SUMIFS('T1 2019 Pipeline Data Lagasco'!$O:$O,'T1 2019 Pipeline Data Lagasco'!$A:$A,'Dec 31 2018 OFFS'!$AI499,'T1 2019 Pipeline Data Lagasco'!$Q:$Q,'Dec 31 2018 OFFS'!$AK499,'T1 2019 Pipeline Data Lagasco'!$E:$E,'Dec 31 2018 OFFS'!$U499,'T1 2019 Pipeline Data Lagasco'!$G:$G,'Dec 31 2018 OFFS'!$W499))/(MAX(COUNTIFS('T1 2019 Pipeline Data Lagasco'!$A:$A,'Dec 31 2018 OFFS'!$AI499,'T1 2019 Pipeline Data Lagasco'!$Q:$Q,'Dec 31 2018 OFFS'!$AK499,'T1 2019 Pipeline Data Lagasco'!$E:$E,'Dec 31 2018 OFFS'!$U499,'T1 2019 Pipeline Data Lagasco'!$G:$G,'Dec 31 2018 OFFS'!$W499),1))</f>
        <v>43049</v>
      </c>
      <c r="AM499" s="274">
        <f t="shared" si="77"/>
        <v>0</v>
      </c>
    </row>
    <row r="500" spans="1:39" ht="12.7">
      <c r="A500" s="193" t="s">
        <v>909</v>
      </c>
      <c r="B500" s="40" t="s">
        <v>918</v>
      </c>
      <c r="C500" s="40" t="s">
        <v>1266</v>
      </c>
      <c r="D500" s="40" t="s">
        <v>17</v>
      </c>
      <c r="E500" s="40" t="s">
        <v>64</v>
      </c>
      <c r="F500" s="40"/>
      <c r="G500" s="41" t="s">
        <v>1238</v>
      </c>
      <c r="H500" s="42">
        <v>42</v>
      </c>
      <c r="I500" s="43">
        <v>41</v>
      </c>
      <c r="J500" s="44">
        <f>60*0.535</f>
        <v>32.10</v>
      </c>
      <c r="K500" s="45">
        <v>79</v>
      </c>
      <c r="L500" s="43">
        <v>42</v>
      </c>
      <c r="M500" s="46">
        <f>60*0.469</f>
        <v>28.139999999999997</v>
      </c>
      <c r="N500" s="41" t="s">
        <v>1239</v>
      </c>
      <c r="O500" s="42">
        <v>42</v>
      </c>
      <c r="P500" s="43">
        <v>41</v>
      </c>
      <c r="Q500" s="44">
        <f>60*0.988</f>
        <v>59.28</v>
      </c>
      <c r="R500" s="45">
        <v>79</v>
      </c>
      <c r="S500" s="43">
        <v>42</v>
      </c>
      <c r="T500" s="46">
        <f>60*0.46</f>
        <v>27.60</v>
      </c>
      <c r="U500" s="40">
        <v>3</v>
      </c>
      <c r="V500" s="47">
        <v>2709</v>
      </c>
      <c r="W500" s="48">
        <v>2005</v>
      </c>
      <c r="X500" s="40"/>
      <c r="Y500" s="52"/>
      <c r="Z500" s="40" t="s">
        <v>910</v>
      </c>
      <c r="AA500" s="49">
        <f t="shared" si="70"/>
        <v>63905.31</v>
      </c>
      <c r="AB500" s="71">
        <f t="shared" si="71"/>
        <v>0.54</v>
      </c>
      <c r="AC500" s="49">
        <f t="shared" si="72"/>
        <v>29396.44</v>
      </c>
      <c r="AD500" s="50">
        <f t="shared" si="73"/>
        <v>0</v>
      </c>
      <c r="AE500" s="50">
        <f t="shared" si="74"/>
        <v>0</v>
      </c>
      <c r="AF500" s="50">
        <f t="shared" si="75"/>
        <v>29396.44</v>
      </c>
      <c r="AG500" s="199">
        <f t="shared" si="76"/>
        <v>29396</v>
      </c>
      <c r="AH500" s="187"/>
      <c r="AI500" s="185" t="s">
        <v>1456</v>
      </c>
      <c r="AJ500" s="185"/>
      <c r="AK500" s="277">
        <f t="shared" si="69"/>
        <v>2709</v>
      </c>
      <c r="AL500" s="25">
        <f>(SUMIFS('T1 2019 Pipeline Data Lagasco'!$O:$O,'T1 2019 Pipeline Data Lagasco'!$A:$A,'Dec 31 2018 OFFS'!$AI500,'T1 2019 Pipeline Data Lagasco'!$Q:$Q,'Dec 31 2018 OFFS'!$AK500,'T1 2019 Pipeline Data Lagasco'!$E:$E,'Dec 31 2018 OFFS'!$U500,'T1 2019 Pipeline Data Lagasco'!$G:$G,'Dec 31 2018 OFFS'!$W500))/(MAX(COUNTIFS('T1 2019 Pipeline Data Lagasco'!$A:$A,'Dec 31 2018 OFFS'!$AI500,'T1 2019 Pipeline Data Lagasco'!$Q:$Q,'Dec 31 2018 OFFS'!$AK500,'T1 2019 Pipeline Data Lagasco'!$E:$E,'Dec 31 2018 OFFS'!$U500,'T1 2019 Pipeline Data Lagasco'!$G:$G,'Dec 31 2018 OFFS'!$W500),1))</f>
        <v>29396</v>
      </c>
      <c r="AM500" s="274">
        <f t="shared" si="77"/>
        <v>0</v>
      </c>
    </row>
    <row r="501" spans="1:39" ht="12.7">
      <c r="A501" s="193" t="s">
        <v>909</v>
      </c>
      <c r="B501" s="40" t="s">
        <v>918</v>
      </c>
      <c r="C501" s="40" t="s">
        <v>1266</v>
      </c>
      <c r="D501" s="40" t="s">
        <v>17</v>
      </c>
      <c r="E501" s="40" t="s">
        <v>64</v>
      </c>
      <c r="F501" s="40"/>
      <c r="G501" s="41" t="s">
        <v>82</v>
      </c>
      <c r="H501" s="42">
        <v>42</v>
      </c>
      <c r="I501" s="43">
        <v>41</v>
      </c>
      <c r="J501" s="44">
        <v>48</v>
      </c>
      <c r="K501" s="45">
        <v>79</v>
      </c>
      <c r="L501" s="43">
        <v>41</v>
      </c>
      <c r="M501" s="46">
        <v>39</v>
      </c>
      <c r="N501" s="41" t="s">
        <v>93</v>
      </c>
      <c r="O501" s="42">
        <v>42</v>
      </c>
      <c r="P501" s="43">
        <v>41</v>
      </c>
      <c r="Q501" s="44">
        <v>49.02</v>
      </c>
      <c r="R501" s="45">
        <v>79</v>
      </c>
      <c r="S501" s="43">
        <v>40</v>
      </c>
      <c r="T501" s="46">
        <v>19.98</v>
      </c>
      <c r="U501" s="40">
        <v>3</v>
      </c>
      <c r="V501" s="47">
        <v>5902.3620337919992</v>
      </c>
      <c r="W501" s="48">
        <v>1983</v>
      </c>
      <c r="X501" s="40"/>
      <c r="Y501" s="52" t="s">
        <v>1081</v>
      </c>
      <c r="Z501" s="40" t="s">
        <v>910</v>
      </c>
      <c r="AA501" s="49">
        <f t="shared" si="70"/>
        <v>139236.72037715325</v>
      </c>
      <c r="AB501" s="71">
        <f t="shared" si="71"/>
        <v>0.80</v>
      </c>
      <c r="AC501" s="49">
        <f t="shared" si="72"/>
        <v>27847.34</v>
      </c>
      <c r="AD501" s="50">
        <f t="shared" si="73"/>
        <v>0</v>
      </c>
      <c r="AE501" s="50">
        <f t="shared" si="74"/>
        <v>0</v>
      </c>
      <c r="AF501" s="50">
        <f t="shared" si="75"/>
        <v>27847.34</v>
      </c>
      <c r="AG501" s="199">
        <f t="shared" si="76"/>
        <v>27847</v>
      </c>
      <c r="AH501" s="187"/>
      <c r="AI501" s="185" t="s">
        <v>1456</v>
      </c>
      <c r="AJ501" s="185"/>
      <c r="AK501" s="277">
        <f t="shared" si="69"/>
        <v>5902.36</v>
      </c>
      <c r="AL501" s="25">
        <f>(SUMIFS('T1 2019 Pipeline Data Lagasco'!$O:$O,'T1 2019 Pipeline Data Lagasco'!$A:$A,'Dec 31 2018 OFFS'!$AI501,'T1 2019 Pipeline Data Lagasco'!$Q:$Q,'Dec 31 2018 OFFS'!$AK501,'T1 2019 Pipeline Data Lagasco'!$E:$E,'Dec 31 2018 OFFS'!$U501,'T1 2019 Pipeline Data Lagasco'!$G:$G,'Dec 31 2018 OFFS'!$W501))/(MAX(COUNTIFS('T1 2019 Pipeline Data Lagasco'!$A:$A,'Dec 31 2018 OFFS'!$AI501,'T1 2019 Pipeline Data Lagasco'!$Q:$Q,'Dec 31 2018 OFFS'!$AK501,'T1 2019 Pipeline Data Lagasco'!$E:$E,'Dec 31 2018 OFFS'!$U501,'T1 2019 Pipeline Data Lagasco'!$G:$G,'Dec 31 2018 OFFS'!$W501),1))</f>
        <v>27847</v>
      </c>
      <c r="AM501" s="274">
        <f t="shared" si="77"/>
        <v>0</v>
      </c>
    </row>
    <row r="502" spans="1:39" ht="12.7">
      <c r="A502" s="193" t="s">
        <v>909</v>
      </c>
      <c r="B502" s="40" t="s">
        <v>918</v>
      </c>
      <c r="C502" s="40" t="s">
        <v>1266</v>
      </c>
      <c r="D502" s="40" t="s">
        <v>17</v>
      </c>
      <c r="E502" s="40" t="s">
        <v>64</v>
      </c>
      <c r="F502" s="40"/>
      <c r="G502" s="41" t="s">
        <v>82</v>
      </c>
      <c r="H502" s="42">
        <v>42</v>
      </c>
      <c r="I502" s="43">
        <v>41</v>
      </c>
      <c r="J502" s="44">
        <v>48</v>
      </c>
      <c r="K502" s="45">
        <v>79</v>
      </c>
      <c r="L502" s="43">
        <v>41</v>
      </c>
      <c r="M502" s="46">
        <v>39</v>
      </c>
      <c r="N502" s="41" t="s">
        <v>94</v>
      </c>
      <c r="O502" s="42">
        <v>42</v>
      </c>
      <c r="P502" s="43">
        <v>41</v>
      </c>
      <c r="Q502" s="44">
        <v>13.98</v>
      </c>
      <c r="R502" s="45">
        <v>79</v>
      </c>
      <c r="S502" s="43">
        <v>40</v>
      </c>
      <c r="T502" s="46">
        <v>16.98</v>
      </c>
      <c r="U502" s="40">
        <v>3</v>
      </c>
      <c r="V502" s="47">
        <v>7027.9525523759994</v>
      </c>
      <c r="W502" s="48">
        <v>1984</v>
      </c>
      <c r="X502" s="40"/>
      <c r="Y502" s="52" t="s">
        <v>1081</v>
      </c>
      <c r="Z502" s="40" t="s">
        <v>910</v>
      </c>
      <c r="AA502" s="49">
        <f t="shared" si="70"/>
        <v>165789.40071054982</v>
      </c>
      <c r="AB502" s="71">
        <f t="shared" si="71"/>
        <v>0.80</v>
      </c>
      <c r="AC502" s="49">
        <f t="shared" si="72"/>
        <v>33157.879999999997</v>
      </c>
      <c r="AD502" s="50">
        <f t="shared" si="73"/>
        <v>0</v>
      </c>
      <c r="AE502" s="50">
        <f t="shared" si="74"/>
        <v>0</v>
      </c>
      <c r="AF502" s="50">
        <f t="shared" si="75"/>
        <v>33157.879999999997</v>
      </c>
      <c r="AG502" s="199">
        <f t="shared" si="76"/>
        <v>33157</v>
      </c>
      <c r="AH502" s="187"/>
      <c r="AI502" s="185" t="s">
        <v>1456</v>
      </c>
      <c r="AJ502" s="185"/>
      <c r="AK502" s="277">
        <f t="shared" si="69"/>
        <v>7027.95</v>
      </c>
      <c r="AL502" s="25">
        <f>(SUMIFS('T1 2019 Pipeline Data Lagasco'!$O:$O,'T1 2019 Pipeline Data Lagasco'!$A:$A,'Dec 31 2018 OFFS'!$AI502,'T1 2019 Pipeline Data Lagasco'!$Q:$Q,'Dec 31 2018 OFFS'!$AK502,'T1 2019 Pipeline Data Lagasco'!$E:$E,'Dec 31 2018 OFFS'!$U502,'T1 2019 Pipeline Data Lagasco'!$G:$G,'Dec 31 2018 OFFS'!$W502))/(MAX(COUNTIFS('T1 2019 Pipeline Data Lagasco'!$A:$A,'Dec 31 2018 OFFS'!$AI502,'T1 2019 Pipeline Data Lagasco'!$Q:$Q,'Dec 31 2018 OFFS'!$AK502,'T1 2019 Pipeline Data Lagasco'!$E:$E,'Dec 31 2018 OFFS'!$U502,'T1 2019 Pipeline Data Lagasco'!$G:$G,'Dec 31 2018 OFFS'!$W502),1))</f>
        <v>33157</v>
      </c>
      <c r="AM502" s="274">
        <f t="shared" si="77"/>
        <v>0</v>
      </c>
    </row>
    <row r="503" spans="1:39" ht="12.7">
      <c r="A503" s="193" t="s">
        <v>909</v>
      </c>
      <c r="B503" s="40" t="s">
        <v>918</v>
      </c>
      <c r="C503" s="40" t="s">
        <v>1266</v>
      </c>
      <c r="D503" s="40" t="s">
        <v>17</v>
      </c>
      <c r="E503" s="40" t="s">
        <v>64</v>
      </c>
      <c r="F503" s="40"/>
      <c r="G503" s="41" t="s">
        <v>1188</v>
      </c>
      <c r="H503" s="42">
        <v>42</v>
      </c>
      <c r="I503" s="43">
        <v>41</v>
      </c>
      <c r="J503" s="44">
        <v>25.20</v>
      </c>
      <c r="K503" s="45">
        <v>79</v>
      </c>
      <c r="L503" s="43">
        <v>41</v>
      </c>
      <c r="M503" s="46">
        <v>6.30</v>
      </c>
      <c r="N503" s="41" t="s">
        <v>1189</v>
      </c>
      <c r="O503" s="42">
        <v>42</v>
      </c>
      <c r="P503" s="43">
        <v>41</v>
      </c>
      <c r="Q503" s="44">
        <v>48.48</v>
      </c>
      <c r="R503" s="45">
        <v>79</v>
      </c>
      <c r="S503" s="43">
        <v>41</v>
      </c>
      <c r="T503" s="46">
        <v>39.659999999999997</v>
      </c>
      <c r="U503" s="40">
        <v>3</v>
      </c>
      <c r="V503" s="47">
        <v>3427</v>
      </c>
      <c r="W503" s="48">
        <v>2004</v>
      </c>
      <c r="X503" s="40"/>
      <c r="Y503" s="52" t="s">
        <v>1081</v>
      </c>
      <c r="Z503" s="40" t="s">
        <v>910</v>
      </c>
      <c r="AA503" s="49">
        <f t="shared" si="70"/>
        <v>80842.929999999993</v>
      </c>
      <c r="AB503" s="71">
        <f t="shared" si="71"/>
        <v>0.56000000000000005</v>
      </c>
      <c r="AC503" s="49">
        <f t="shared" si="72"/>
        <v>35570.89</v>
      </c>
      <c r="AD503" s="50">
        <f t="shared" si="73"/>
        <v>0</v>
      </c>
      <c r="AE503" s="50">
        <f t="shared" si="74"/>
        <v>0</v>
      </c>
      <c r="AF503" s="50">
        <f t="shared" si="75"/>
        <v>35570.89</v>
      </c>
      <c r="AG503" s="199">
        <f t="shared" si="76"/>
        <v>35570</v>
      </c>
      <c r="AH503" s="187"/>
      <c r="AI503" s="185" t="s">
        <v>1456</v>
      </c>
      <c r="AJ503" s="185"/>
      <c r="AK503" s="277">
        <f t="shared" si="69"/>
        <v>3427</v>
      </c>
      <c r="AL503" s="25">
        <f>(SUMIFS('T1 2019 Pipeline Data Lagasco'!$O:$O,'T1 2019 Pipeline Data Lagasco'!$A:$A,'Dec 31 2018 OFFS'!$AI503,'T1 2019 Pipeline Data Lagasco'!$Q:$Q,'Dec 31 2018 OFFS'!$AK503,'T1 2019 Pipeline Data Lagasco'!$E:$E,'Dec 31 2018 OFFS'!$U503,'T1 2019 Pipeline Data Lagasco'!$G:$G,'Dec 31 2018 OFFS'!$W503))/(MAX(COUNTIFS('T1 2019 Pipeline Data Lagasco'!$A:$A,'Dec 31 2018 OFFS'!$AI503,'T1 2019 Pipeline Data Lagasco'!$Q:$Q,'Dec 31 2018 OFFS'!$AK503,'T1 2019 Pipeline Data Lagasco'!$E:$E,'Dec 31 2018 OFFS'!$U503,'T1 2019 Pipeline Data Lagasco'!$G:$G,'Dec 31 2018 OFFS'!$W503),1))</f>
        <v>35570</v>
      </c>
      <c r="AM503" s="274">
        <f t="shared" si="77"/>
        <v>0</v>
      </c>
    </row>
    <row r="504" spans="1:39" ht="12.7">
      <c r="A504" s="200" t="s">
        <v>909</v>
      </c>
      <c r="B504" s="201" t="s">
        <v>918</v>
      </c>
      <c r="C504" s="201" t="s">
        <v>1266</v>
      </c>
      <c r="D504" s="201" t="s">
        <v>17</v>
      </c>
      <c r="E504" s="201" t="s">
        <v>138</v>
      </c>
      <c r="F504" s="202" t="s">
        <v>1051</v>
      </c>
      <c r="G504" s="208" t="s">
        <v>1191</v>
      </c>
      <c r="H504" s="203">
        <v>42</v>
      </c>
      <c r="I504" s="204">
        <v>40</v>
      </c>
      <c r="J504" s="205">
        <v>8.2200000000000006</v>
      </c>
      <c r="K504" s="206">
        <v>79</v>
      </c>
      <c r="L504" s="204">
        <v>40</v>
      </c>
      <c r="M504" s="207">
        <v>29.22</v>
      </c>
      <c r="N504" s="208" t="s">
        <v>152</v>
      </c>
      <c r="O504" s="203">
        <v>42</v>
      </c>
      <c r="P504" s="204">
        <v>39</v>
      </c>
      <c r="Q504" s="205">
        <v>40.020000000000003</v>
      </c>
      <c r="R504" s="206">
        <v>79</v>
      </c>
      <c r="S504" s="204">
        <v>39</v>
      </c>
      <c r="T504" s="207">
        <v>40.98</v>
      </c>
      <c r="U504" s="201">
        <v>3</v>
      </c>
      <c r="V504" s="209">
        <v>4580</v>
      </c>
      <c r="W504" s="210">
        <v>2004</v>
      </c>
      <c r="X504" s="201"/>
      <c r="Y504" s="52" t="s">
        <v>1081</v>
      </c>
      <c r="Z504" s="201" t="s">
        <v>910</v>
      </c>
      <c r="AA504" s="211">
        <f t="shared" si="70"/>
        <v>0</v>
      </c>
      <c r="AB504" s="212">
        <f t="shared" si="71"/>
        <v>0.56000000000000005</v>
      </c>
      <c r="AC504" s="211">
        <f t="shared" si="72"/>
        <v>0</v>
      </c>
      <c r="AD504" s="213">
        <f t="shared" si="73"/>
        <v>0</v>
      </c>
      <c r="AE504" s="213">
        <f t="shared" si="74"/>
        <v>0</v>
      </c>
      <c r="AF504" s="213">
        <f t="shared" si="75"/>
        <v>0</v>
      </c>
      <c r="AG504" s="214">
        <f t="shared" si="76"/>
        <v>0</v>
      </c>
      <c r="AH504" s="215"/>
      <c r="AI504" s="216" t="s">
        <v>1456</v>
      </c>
      <c r="AJ504" s="216" t="s">
        <v>1560</v>
      </c>
      <c r="AK504" s="283">
        <f t="shared" si="69"/>
        <v>4580</v>
      </c>
      <c r="AL504" s="25">
        <f>(SUMIFS('T1 2019 Pipeline Data Lagasco'!$O:$O,'T1 2019 Pipeline Data Lagasco'!$A:$A,'Dec 31 2018 OFFS'!$AI504,'T1 2019 Pipeline Data Lagasco'!$Q:$Q,'Dec 31 2018 OFFS'!$AK504,'T1 2019 Pipeline Data Lagasco'!$E:$E,'Dec 31 2018 OFFS'!$U504,'T1 2019 Pipeline Data Lagasco'!$G:$G,'Dec 31 2018 OFFS'!$W504))/(MAX(COUNTIFS('T1 2019 Pipeline Data Lagasco'!$A:$A,'Dec 31 2018 OFFS'!$AI504,'T1 2019 Pipeline Data Lagasco'!$Q:$Q,'Dec 31 2018 OFFS'!$AK504,'T1 2019 Pipeline Data Lagasco'!$E:$E,'Dec 31 2018 OFFS'!$U504,'T1 2019 Pipeline Data Lagasco'!$G:$G,'Dec 31 2018 OFFS'!$W504),1))</f>
        <v>0</v>
      </c>
      <c r="AM504" s="285">
        <f t="shared" si="77"/>
        <v>0</v>
      </c>
    </row>
    <row r="505" spans="1:39" ht="12.7">
      <c r="A505" s="288" t="s">
        <v>909</v>
      </c>
      <c r="B505" s="289" t="s">
        <v>918</v>
      </c>
      <c r="C505" s="289" t="s">
        <v>1266</v>
      </c>
      <c r="D505" s="289" t="s">
        <v>17</v>
      </c>
      <c r="E505" s="289" t="s">
        <v>64</v>
      </c>
      <c r="F505" s="290" t="s">
        <v>1051</v>
      </c>
      <c r="G505" s="297" t="s">
        <v>1191</v>
      </c>
      <c r="H505" s="292">
        <v>42</v>
      </c>
      <c r="I505" s="293">
        <v>40</v>
      </c>
      <c r="J505" s="294">
        <v>8.2200000000000006</v>
      </c>
      <c r="K505" s="295">
        <v>79</v>
      </c>
      <c r="L505" s="293">
        <v>40</v>
      </c>
      <c r="M505" s="296">
        <v>29.22</v>
      </c>
      <c r="N505" s="297" t="s">
        <v>92</v>
      </c>
      <c r="O505" s="292">
        <v>42</v>
      </c>
      <c r="P505" s="293">
        <v>40</v>
      </c>
      <c r="Q505" s="294">
        <v>12.54</v>
      </c>
      <c r="R505" s="295">
        <v>79</v>
      </c>
      <c r="S505" s="293">
        <v>41</v>
      </c>
      <c r="T505" s="296">
        <v>47.58</v>
      </c>
      <c r="U505" s="289">
        <v>3</v>
      </c>
      <c r="V505" s="184">
        <v>5907</v>
      </c>
      <c r="W505" s="298">
        <v>2008</v>
      </c>
      <c r="X505" s="289" t="s">
        <v>2</v>
      </c>
      <c r="Y505" s="52" t="s">
        <v>1081</v>
      </c>
      <c r="Z505" s="289" t="s">
        <v>910</v>
      </c>
      <c r="AA505" s="299">
        <f t="shared" si="70"/>
        <v>0</v>
      </c>
      <c r="AB505" s="300">
        <f t="shared" si="71"/>
        <v>0.49</v>
      </c>
      <c r="AC505" s="299">
        <f t="shared" si="72"/>
        <v>0</v>
      </c>
      <c r="AD505" s="301">
        <f t="shared" si="73"/>
        <v>0</v>
      </c>
      <c r="AE505" s="301">
        <f t="shared" si="74"/>
        <v>0</v>
      </c>
      <c r="AF505" s="301">
        <f t="shared" si="75"/>
        <v>0</v>
      </c>
      <c r="AG505" s="302">
        <f t="shared" si="76"/>
        <v>0</v>
      </c>
      <c r="AH505" s="303"/>
      <c r="AI505" s="186" t="s">
        <v>1456</v>
      </c>
      <c r="AJ505" s="186" t="s">
        <v>1558</v>
      </c>
      <c r="AK505" s="277">
        <f t="shared" si="69"/>
        <v>5907</v>
      </c>
      <c r="AL505" s="25">
        <f>(SUMIFS('T1 2019 Pipeline Data Lagasco'!$O:$O,'T1 2019 Pipeline Data Lagasco'!$A:$A,'Dec 31 2018 OFFS'!$AI505,'T1 2019 Pipeline Data Lagasco'!$Q:$Q,'Dec 31 2018 OFFS'!$AK505,'T1 2019 Pipeline Data Lagasco'!$E:$E,'Dec 31 2018 OFFS'!$U505,'T1 2019 Pipeline Data Lagasco'!$G:$G,'Dec 31 2018 OFFS'!$W505))/(MAX(COUNTIFS('T1 2019 Pipeline Data Lagasco'!$A:$A,'Dec 31 2018 OFFS'!$AI505,'T1 2019 Pipeline Data Lagasco'!$Q:$Q,'Dec 31 2018 OFFS'!$AK505,'T1 2019 Pipeline Data Lagasco'!$E:$E,'Dec 31 2018 OFFS'!$U505,'T1 2019 Pipeline Data Lagasco'!$G:$G,'Dec 31 2018 OFFS'!$W505),1))</f>
        <v>0</v>
      </c>
      <c r="AM505" s="274">
        <f t="shared" si="77"/>
        <v>0</v>
      </c>
    </row>
    <row r="506" spans="1:39" ht="12.7">
      <c r="A506" s="193" t="s">
        <v>909</v>
      </c>
      <c r="B506" s="40" t="s">
        <v>918</v>
      </c>
      <c r="C506" s="40" t="s">
        <v>1266</v>
      </c>
      <c r="D506" s="40" t="s">
        <v>17</v>
      </c>
      <c r="E506" s="40" t="s">
        <v>64</v>
      </c>
      <c r="F506" s="40"/>
      <c r="G506" s="41" t="s">
        <v>92</v>
      </c>
      <c r="H506" s="42">
        <v>42</v>
      </c>
      <c r="I506" s="43">
        <v>40</v>
      </c>
      <c r="J506" s="44">
        <v>12.54</v>
      </c>
      <c r="K506" s="45">
        <v>79</v>
      </c>
      <c r="L506" s="43">
        <v>41</v>
      </c>
      <c r="M506" s="46">
        <v>47.58</v>
      </c>
      <c r="N506" s="41" t="s">
        <v>95</v>
      </c>
      <c r="O506" s="42">
        <v>42</v>
      </c>
      <c r="P506" s="43">
        <v>39</v>
      </c>
      <c r="Q506" s="44">
        <v>45</v>
      </c>
      <c r="R506" s="45">
        <v>79</v>
      </c>
      <c r="S506" s="43">
        <v>41</v>
      </c>
      <c r="T506" s="46">
        <v>19.98</v>
      </c>
      <c r="U506" s="40">
        <v>3</v>
      </c>
      <c r="V506" s="47">
        <v>3468.1101357839998</v>
      </c>
      <c r="W506" s="48">
        <v>1983</v>
      </c>
      <c r="X506" s="40"/>
      <c r="Y506" s="52" t="s">
        <v>1081</v>
      </c>
      <c r="Z506" s="40" t="s">
        <v>910</v>
      </c>
      <c r="AA506" s="49">
        <f t="shared" si="70"/>
        <v>81812.718103144551</v>
      </c>
      <c r="AB506" s="71">
        <f t="shared" si="71"/>
        <v>0.80</v>
      </c>
      <c r="AC506" s="49">
        <f t="shared" si="72"/>
        <v>16362.54</v>
      </c>
      <c r="AD506" s="50">
        <f t="shared" si="73"/>
        <v>0</v>
      </c>
      <c r="AE506" s="50">
        <f t="shared" si="74"/>
        <v>0</v>
      </c>
      <c r="AF506" s="50">
        <f t="shared" si="75"/>
        <v>16362.54</v>
      </c>
      <c r="AG506" s="199">
        <f t="shared" si="76"/>
        <v>16362</v>
      </c>
      <c r="AH506" s="187"/>
      <c r="AI506" s="185" t="s">
        <v>1456</v>
      </c>
      <c r="AJ506" s="185"/>
      <c r="AK506" s="277">
        <f t="shared" si="69"/>
        <v>3468.11</v>
      </c>
      <c r="AL506" s="25">
        <f>(SUMIFS('T1 2019 Pipeline Data Lagasco'!$O:$O,'T1 2019 Pipeline Data Lagasco'!$A:$A,'Dec 31 2018 OFFS'!$AI506,'T1 2019 Pipeline Data Lagasco'!$Q:$Q,'Dec 31 2018 OFFS'!$AK506,'T1 2019 Pipeline Data Lagasco'!$E:$E,'Dec 31 2018 OFFS'!$U506,'T1 2019 Pipeline Data Lagasco'!$G:$G,'Dec 31 2018 OFFS'!$W506))/(MAX(COUNTIFS('T1 2019 Pipeline Data Lagasco'!$A:$A,'Dec 31 2018 OFFS'!$AI506,'T1 2019 Pipeline Data Lagasco'!$Q:$Q,'Dec 31 2018 OFFS'!$AK506,'T1 2019 Pipeline Data Lagasco'!$E:$E,'Dec 31 2018 OFFS'!$U506,'T1 2019 Pipeline Data Lagasco'!$G:$G,'Dec 31 2018 OFFS'!$W506),1))</f>
        <v>16362</v>
      </c>
      <c r="AM506" s="274">
        <f t="shared" si="77"/>
        <v>0</v>
      </c>
    </row>
    <row r="507" spans="1:39" ht="12.7">
      <c r="A507" s="193" t="s">
        <v>909</v>
      </c>
      <c r="B507" s="40" t="s">
        <v>918</v>
      </c>
      <c r="C507" s="40" t="s">
        <v>1266</v>
      </c>
      <c r="D507" s="40" t="s">
        <v>17</v>
      </c>
      <c r="E507" s="40" t="s">
        <v>64</v>
      </c>
      <c r="F507" s="40"/>
      <c r="G507" s="41" t="s">
        <v>92</v>
      </c>
      <c r="H507" s="42">
        <v>42</v>
      </c>
      <c r="I507" s="43">
        <v>40</v>
      </c>
      <c r="J507" s="44">
        <v>12.54</v>
      </c>
      <c r="K507" s="45">
        <v>79</v>
      </c>
      <c r="L507" s="43">
        <v>41</v>
      </c>
      <c r="M507" s="46">
        <v>47.58</v>
      </c>
      <c r="N507" s="41" t="s">
        <v>96</v>
      </c>
      <c r="O507" s="42">
        <v>42</v>
      </c>
      <c r="P507" s="43">
        <v>40</v>
      </c>
      <c r="Q507" s="44">
        <v>55.02</v>
      </c>
      <c r="R507" s="45">
        <v>79</v>
      </c>
      <c r="S507" s="43">
        <v>41</v>
      </c>
      <c r="T507" s="46">
        <v>45</v>
      </c>
      <c r="U507" s="40">
        <v>3</v>
      </c>
      <c r="V507" s="47">
        <v>4305.3148359480001</v>
      </c>
      <c r="W507" s="48">
        <v>1985</v>
      </c>
      <c r="X507" s="40"/>
      <c r="Y507" s="52" t="s">
        <v>1081</v>
      </c>
      <c r="Z507" s="40" t="s">
        <v>910</v>
      </c>
      <c r="AA507" s="49">
        <f t="shared" si="70"/>
        <v>101562.37698001332</v>
      </c>
      <c r="AB507" s="71">
        <f t="shared" si="71"/>
        <v>0.80</v>
      </c>
      <c r="AC507" s="49">
        <f t="shared" si="72"/>
        <v>20312.48</v>
      </c>
      <c r="AD507" s="50">
        <f t="shared" si="73"/>
        <v>0</v>
      </c>
      <c r="AE507" s="50">
        <f t="shared" si="74"/>
        <v>0</v>
      </c>
      <c r="AF507" s="50">
        <f t="shared" si="75"/>
        <v>20312.48</v>
      </c>
      <c r="AG507" s="199">
        <f t="shared" si="76"/>
        <v>20312</v>
      </c>
      <c r="AH507" s="187"/>
      <c r="AI507" s="185" t="s">
        <v>1456</v>
      </c>
      <c r="AJ507" s="185"/>
      <c r="AK507" s="277">
        <f t="shared" si="69"/>
        <v>4305.3100000000004</v>
      </c>
      <c r="AL507" s="25">
        <f>(SUMIFS('T1 2019 Pipeline Data Lagasco'!$O:$O,'T1 2019 Pipeline Data Lagasco'!$A:$A,'Dec 31 2018 OFFS'!$AI507,'T1 2019 Pipeline Data Lagasco'!$Q:$Q,'Dec 31 2018 OFFS'!$AK507,'T1 2019 Pipeline Data Lagasco'!$E:$E,'Dec 31 2018 OFFS'!$U507,'T1 2019 Pipeline Data Lagasco'!$G:$G,'Dec 31 2018 OFFS'!$W507))/(MAX(COUNTIFS('T1 2019 Pipeline Data Lagasco'!$A:$A,'Dec 31 2018 OFFS'!$AI507,'T1 2019 Pipeline Data Lagasco'!$Q:$Q,'Dec 31 2018 OFFS'!$AK507,'T1 2019 Pipeline Data Lagasco'!$E:$E,'Dec 31 2018 OFFS'!$U507,'T1 2019 Pipeline Data Lagasco'!$G:$G,'Dec 31 2018 OFFS'!$W507),1))</f>
        <v>20312</v>
      </c>
      <c r="AM507" s="274">
        <f t="shared" si="77"/>
        <v>0</v>
      </c>
    </row>
    <row r="508" spans="1:39" ht="12.7">
      <c r="A508" s="193" t="s">
        <v>909</v>
      </c>
      <c r="B508" s="40" t="s">
        <v>918</v>
      </c>
      <c r="C508" s="40" t="s">
        <v>1266</v>
      </c>
      <c r="D508" s="40" t="s">
        <v>17</v>
      </c>
      <c r="E508" s="40" t="s">
        <v>64</v>
      </c>
      <c r="F508" s="40"/>
      <c r="G508" s="41" t="s">
        <v>90</v>
      </c>
      <c r="H508" s="42">
        <v>42</v>
      </c>
      <c r="I508" s="43">
        <v>40</v>
      </c>
      <c r="J508" s="44">
        <v>43.625999999999998</v>
      </c>
      <c r="K508" s="45">
        <v>79</v>
      </c>
      <c r="L508" s="43">
        <v>43</v>
      </c>
      <c r="M508" s="46">
        <v>48.246000000000002</v>
      </c>
      <c r="N508" s="41" t="s">
        <v>97</v>
      </c>
      <c r="O508" s="42">
        <v>42</v>
      </c>
      <c r="P508" s="43">
        <v>39</v>
      </c>
      <c r="Q508" s="44">
        <v>40.020000000000003</v>
      </c>
      <c r="R508" s="45">
        <v>79</v>
      </c>
      <c r="S508" s="43">
        <v>43</v>
      </c>
      <c r="T508" s="46">
        <v>12</v>
      </c>
      <c r="U508" s="40">
        <v>3</v>
      </c>
      <c r="V508" s="47">
        <v>6986.1546533239998</v>
      </c>
      <c r="W508" s="48">
        <v>1983</v>
      </c>
      <c r="X508" s="40"/>
      <c r="Y508" s="52" t="s">
        <v>1081</v>
      </c>
      <c r="Z508" s="40" t="s">
        <v>910</v>
      </c>
      <c r="AA508" s="49">
        <f t="shared" si="70"/>
        <v>164803.38827191317</v>
      </c>
      <c r="AB508" s="71">
        <f t="shared" si="71"/>
        <v>0.80</v>
      </c>
      <c r="AC508" s="49">
        <f t="shared" si="72"/>
        <v>32960.68</v>
      </c>
      <c r="AD508" s="50">
        <f t="shared" si="73"/>
        <v>0</v>
      </c>
      <c r="AE508" s="50">
        <f t="shared" si="74"/>
        <v>0</v>
      </c>
      <c r="AF508" s="50">
        <f t="shared" si="75"/>
        <v>32960.68</v>
      </c>
      <c r="AG508" s="199">
        <f t="shared" si="76"/>
        <v>32960</v>
      </c>
      <c r="AH508" s="187"/>
      <c r="AI508" s="185" t="s">
        <v>1456</v>
      </c>
      <c r="AJ508" s="185"/>
      <c r="AK508" s="277">
        <f t="shared" si="69"/>
        <v>6986.15</v>
      </c>
      <c r="AL508" s="25">
        <f>(SUMIFS('T1 2019 Pipeline Data Lagasco'!$O:$O,'T1 2019 Pipeline Data Lagasco'!$A:$A,'Dec 31 2018 OFFS'!$AI508,'T1 2019 Pipeline Data Lagasco'!$Q:$Q,'Dec 31 2018 OFFS'!$AK508,'T1 2019 Pipeline Data Lagasco'!$E:$E,'Dec 31 2018 OFFS'!$U508,'T1 2019 Pipeline Data Lagasco'!$G:$G,'Dec 31 2018 OFFS'!$W508))/(MAX(COUNTIFS('T1 2019 Pipeline Data Lagasco'!$A:$A,'Dec 31 2018 OFFS'!$AI508,'T1 2019 Pipeline Data Lagasco'!$Q:$Q,'Dec 31 2018 OFFS'!$AK508,'T1 2019 Pipeline Data Lagasco'!$E:$E,'Dec 31 2018 OFFS'!$U508,'T1 2019 Pipeline Data Lagasco'!$G:$G,'Dec 31 2018 OFFS'!$W508),1))</f>
        <v>32960</v>
      </c>
      <c r="AM508" s="274">
        <f t="shared" si="77"/>
        <v>0</v>
      </c>
    </row>
    <row r="509" spans="1:39" ht="12.7">
      <c r="A509" s="193" t="s">
        <v>909</v>
      </c>
      <c r="B509" s="40" t="s">
        <v>918</v>
      </c>
      <c r="C509" s="40" t="s">
        <v>1266</v>
      </c>
      <c r="D509" s="40" t="s">
        <v>17</v>
      </c>
      <c r="E509" s="40" t="s">
        <v>64</v>
      </c>
      <c r="F509" s="40"/>
      <c r="G509" s="41" t="s">
        <v>90</v>
      </c>
      <c r="H509" s="42">
        <v>42</v>
      </c>
      <c r="I509" s="43">
        <v>40</v>
      </c>
      <c r="J509" s="44">
        <v>43.625999999999998</v>
      </c>
      <c r="K509" s="45">
        <v>79</v>
      </c>
      <c r="L509" s="43">
        <v>43</v>
      </c>
      <c r="M509" s="46">
        <v>48.246000000000002</v>
      </c>
      <c r="N509" s="41" t="s">
        <v>98</v>
      </c>
      <c r="O509" s="42">
        <v>42</v>
      </c>
      <c r="P509" s="43">
        <v>40</v>
      </c>
      <c r="Q509" s="44">
        <v>10.199999999999999</v>
      </c>
      <c r="R509" s="45">
        <v>79</v>
      </c>
      <c r="S509" s="43">
        <v>44</v>
      </c>
      <c r="T509" s="46">
        <v>40.98</v>
      </c>
      <c r="U509" s="40">
        <v>3</v>
      </c>
      <c r="V509" s="47">
        <v>5193.700636992</v>
      </c>
      <c r="W509" s="48">
        <v>1981</v>
      </c>
      <c r="X509" s="40"/>
      <c r="Y509" s="52" t="s">
        <v>1081</v>
      </c>
      <c r="Z509" s="40" t="s">
        <v>910</v>
      </c>
      <c r="AA509" s="49">
        <f t="shared" si="70"/>
        <v>122519.39802664128</v>
      </c>
      <c r="AB509" s="71">
        <f t="shared" si="71"/>
        <v>0.80</v>
      </c>
      <c r="AC509" s="49">
        <f t="shared" si="72"/>
        <v>24503.88</v>
      </c>
      <c r="AD509" s="50">
        <f t="shared" si="73"/>
        <v>0</v>
      </c>
      <c r="AE509" s="50">
        <f t="shared" si="74"/>
        <v>0</v>
      </c>
      <c r="AF509" s="50">
        <f t="shared" si="75"/>
        <v>24503.88</v>
      </c>
      <c r="AG509" s="199">
        <f t="shared" si="76"/>
        <v>24503</v>
      </c>
      <c r="AH509" s="187"/>
      <c r="AI509" s="185" t="s">
        <v>1456</v>
      </c>
      <c r="AJ509" s="185"/>
      <c r="AK509" s="277">
        <f t="shared" si="69"/>
        <v>5193.70</v>
      </c>
      <c r="AL509" s="25">
        <f>(SUMIFS('T1 2019 Pipeline Data Lagasco'!$O:$O,'T1 2019 Pipeline Data Lagasco'!$A:$A,'Dec 31 2018 OFFS'!$AI509,'T1 2019 Pipeline Data Lagasco'!$Q:$Q,'Dec 31 2018 OFFS'!$AK509,'T1 2019 Pipeline Data Lagasco'!$E:$E,'Dec 31 2018 OFFS'!$U509,'T1 2019 Pipeline Data Lagasco'!$G:$G,'Dec 31 2018 OFFS'!$W509))/(MAX(COUNTIFS('T1 2019 Pipeline Data Lagasco'!$A:$A,'Dec 31 2018 OFFS'!$AI509,'T1 2019 Pipeline Data Lagasco'!$Q:$Q,'Dec 31 2018 OFFS'!$AK509,'T1 2019 Pipeline Data Lagasco'!$E:$E,'Dec 31 2018 OFFS'!$U509,'T1 2019 Pipeline Data Lagasco'!$G:$G,'Dec 31 2018 OFFS'!$W509),1))</f>
        <v>24503</v>
      </c>
      <c r="AM509" s="274">
        <f t="shared" si="77"/>
        <v>0</v>
      </c>
    </row>
    <row r="510" spans="1:39" ht="12.7">
      <c r="A510" s="193" t="s">
        <v>909</v>
      </c>
      <c r="B510" s="40" t="s">
        <v>918</v>
      </c>
      <c r="C510" s="40" t="s">
        <v>1266</v>
      </c>
      <c r="D510" s="40" t="s">
        <v>17</v>
      </c>
      <c r="E510" s="40" t="s">
        <v>64</v>
      </c>
      <c r="F510" s="40"/>
      <c r="G510" s="155" t="s">
        <v>1408</v>
      </c>
      <c r="H510" s="42">
        <v>42</v>
      </c>
      <c r="I510" s="43">
        <v>40</v>
      </c>
      <c r="J510" s="44">
        <v>10.199999999999999</v>
      </c>
      <c r="K510" s="45">
        <v>79</v>
      </c>
      <c r="L510" s="43">
        <v>44</v>
      </c>
      <c r="M510" s="46">
        <v>40.98</v>
      </c>
      <c r="N510" s="41" t="s">
        <v>99</v>
      </c>
      <c r="O510" s="42">
        <v>42</v>
      </c>
      <c r="P510" s="43">
        <v>39</v>
      </c>
      <c r="Q510" s="44">
        <v>10.98</v>
      </c>
      <c r="R510" s="45">
        <v>79</v>
      </c>
      <c r="S510" s="43">
        <v>45</v>
      </c>
      <c r="T510" s="46">
        <v>43.02</v>
      </c>
      <c r="U510" s="40">
        <v>3</v>
      </c>
      <c r="V510" s="47">
        <v>7579.0024051839991</v>
      </c>
      <c r="W510" s="48">
        <v>1981</v>
      </c>
      <c r="X510" s="40"/>
      <c r="Y510" s="52" t="s">
        <v>1081</v>
      </c>
      <c r="Z510" s="40" t="s">
        <v>910</v>
      </c>
      <c r="AA510" s="49">
        <f t="shared" si="70"/>
        <v>178788.66673829054</v>
      </c>
      <c r="AB510" s="71">
        <f t="shared" si="71"/>
        <v>0.80</v>
      </c>
      <c r="AC510" s="49">
        <f t="shared" si="72"/>
        <v>35757.730000000003</v>
      </c>
      <c r="AD510" s="50">
        <f t="shared" si="73"/>
        <v>0</v>
      </c>
      <c r="AE510" s="50">
        <f t="shared" si="74"/>
        <v>0</v>
      </c>
      <c r="AF510" s="50">
        <f t="shared" si="75"/>
        <v>35757.730000000003</v>
      </c>
      <c r="AG510" s="199">
        <f t="shared" si="76"/>
        <v>35757</v>
      </c>
      <c r="AH510" s="187"/>
      <c r="AI510" s="185" t="s">
        <v>1456</v>
      </c>
      <c r="AJ510" s="185"/>
      <c r="AK510" s="277">
        <f t="shared" si="69"/>
        <v>7579</v>
      </c>
      <c r="AL510" s="25">
        <f>(SUMIFS('T1 2019 Pipeline Data Lagasco'!$O:$O,'T1 2019 Pipeline Data Lagasco'!$A:$A,'Dec 31 2018 OFFS'!$AI510,'T1 2019 Pipeline Data Lagasco'!$Q:$Q,'Dec 31 2018 OFFS'!$AK510,'T1 2019 Pipeline Data Lagasco'!$E:$E,'Dec 31 2018 OFFS'!$U510,'T1 2019 Pipeline Data Lagasco'!$G:$G,'Dec 31 2018 OFFS'!$W510))/(MAX(COUNTIFS('T1 2019 Pipeline Data Lagasco'!$A:$A,'Dec 31 2018 OFFS'!$AI510,'T1 2019 Pipeline Data Lagasco'!$Q:$Q,'Dec 31 2018 OFFS'!$AK510,'T1 2019 Pipeline Data Lagasco'!$E:$E,'Dec 31 2018 OFFS'!$U510,'T1 2019 Pipeline Data Lagasco'!$G:$G,'Dec 31 2018 OFFS'!$W510),1))</f>
        <v>35757</v>
      </c>
      <c r="AM510" s="274">
        <f t="shared" si="77"/>
        <v>0</v>
      </c>
    </row>
    <row r="511" spans="1:39" ht="12.7">
      <c r="A511" s="193" t="s">
        <v>909</v>
      </c>
      <c r="B511" s="40" t="s">
        <v>918</v>
      </c>
      <c r="C511" s="40" t="s">
        <v>1266</v>
      </c>
      <c r="D511" s="40" t="s">
        <v>17</v>
      </c>
      <c r="E511" s="40" t="s">
        <v>64</v>
      </c>
      <c r="F511" s="40"/>
      <c r="G511" s="155" t="s">
        <v>1408</v>
      </c>
      <c r="H511" s="42">
        <v>42</v>
      </c>
      <c r="I511" s="43">
        <v>40</v>
      </c>
      <c r="J511" s="44">
        <v>10.199999999999999</v>
      </c>
      <c r="K511" s="45">
        <v>79</v>
      </c>
      <c r="L511" s="43">
        <v>44</v>
      </c>
      <c r="M511" s="46">
        <v>40.98</v>
      </c>
      <c r="N511" s="41" t="s">
        <v>100</v>
      </c>
      <c r="O511" s="42">
        <v>42</v>
      </c>
      <c r="P511" s="43">
        <v>40</v>
      </c>
      <c r="Q511" s="44">
        <v>9</v>
      </c>
      <c r="R511" s="45">
        <v>79</v>
      </c>
      <c r="S511" s="43">
        <v>46</v>
      </c>
      <c r="T511" s="46">
        <v>4.0199999999999996</v>
      </c>
      <c r="U511" s="40">
        <v>3</v>
      </c>
      <c r="V511" s="47">
        <v>6205.5116313119997</v>
      </c>
      <c r="W511" s="48">
        <v>1985</v>
      </c>
      <c r="X511" s="40"/>
      <c r="Y511" s="52" t="s">
        <v>1081</v>
      </c>
      <c r="Z511" s="40" t="s">
        <v>910</v>
      </c>
      <c r="AA511" s="49">
        <f t="shared" si="70"/>
        <v>146388.01938265006</v>
      </c>
      <c r="AB511" s="71">
        <f t="shared" si="71"/>
        <v>0.80</v>
      </c>
      <c r="AC511" s="49">
        <f t="shared" si="72"/>
        <v>29277.60</v>
      </c>
      <c r="AD511" s="50">
        <f t="shared" si="73"/>
        <v>0</v>
      </c>
      <c r="AE511" s="50">
        <f t="shared" si="74"/>
        <v>0</v>
      </c>
      <c r="AF511" s="50">
        <f t="shared" si="75"/>
        <v>29277.60</v>
      </c>
      <c r="AG511" s="199">
        <f t="shared" si="76"/>
        <v>29277</v>
      </c>
      <c r="AH511" s="187"/>
      <c r="AI511" s="185" t="s">
        <v>1456</v>
      </c>
      <c r="AJ511" s="185"/>
      <c r="AK511" s="277">
        <f t="shared" si="69"/>
        <v>6205.51</v>
      </c>
      <c r="AL511" s="25">
        <f>(SUMIFS('T1 2019 Pipeline Data Lagasco'!$O:$O,'T1 2019 Pipeline Data Lagasco'!$A:$A,'Dec 31 2018 OFFS'!$AI511,'T1 2019 Pipeline Data Lagasco'!$Q:$Q,'Dec 31 2018 OFFS'!$AK511,'T1 2019 Pipeline Data Lagasco'!$E:$E,'Dec 31 2018 OFFS'!$U511,'T1 2019 Pipeline Data Lagasco'!$G:$G,'Dec 31 2018 OFFS'!$W511))/(MAX(COUNTIFS('T1 2019 Pipeline Data Lagasco'!$A:$A,'Dec 31 2018 OFFS'!$AI511,'T1 2019 Pipeline Data Lagasco'!$Q:$Q,'Dec 31 2018 OFFS'!$AK511,'T1 2019 Pipeline Data Lagasco'!$E:$E,'Dec 31 2018 OFFS'!$U511,'T1 2019 Pipeline Data Lagasco'!$G:$G,'Dec 31 2018 OFFS'!$W511),1))</f>
        <v>29277</v>
      </c>
      <c r="AM511" s="274">
        <f t="shared" si="77"/>
        <v>0</v>
      </c>
    </row>
    <row r="512" spans="1:39" ht="12.7">
      <c r="A512" s="193" t="s">
        <v>909</v>
      </c>
      <c r="B512" s="40" t="s">
        <v>918</v>
      </c>
      <c r="C512" s="40" t="s">
        <v>1266</v>
      </c>
      <c r="D512" s="40" t="s">
        <v>17</v>
      </c>
      <c r="E512" s="40" t="s">
        <v>64</v>
      </c>
      <c r="F512" s="40"/>
      <c r="G512" s="41" t="s">
        <v>101</v>
      </c>
      <c r="H512" s="42">
        <v>42</v>
      </c>
      <c r="I512" s="43">
        <v>43</v>
      </c>
      <c r="J512" s="44">
        <v>13.98</v>
      </c>
      <c r="K512" s="45">
        <v>79</v>
      </c>
      <c r="L512" s="43">
        <v>48</v>
      </c>
      <c r="M512" s="46">
        <v>10.02</v>
      </c>
      <c r="N512" s="41" t="s">
        <v>102</v>
      </c>
      <c r="O512" s="42">
        <v>42</v>
      </c>
      <c r="P512" s="43">
        <v>44</v>
      </c>
      <c r="Q512" s="44">
        <v>10.02</v>
      </c>
      <c r="R512" s="45">
        <v>79</v>
      </c>
      <c r="S512" s="43">
        <v>45</v>
      </c>
      <c r="T512" s="46">
        <v>27</v>
      </c>
      <c r="U512" s="40">
        <v>3</v>
      </c>
      <c r="V512" s="47">
        <v>13426.213521938</v>
      </c>
      <c r="W512" s="48">
        <v>1982</v>
      </c>
      <c r="X512" s="40"/>
      <c r="Y512" s="52" t="s">
        <v>1081</v>
      </c>
      <c r="Z512" s="40" t="s">
        <v>910</v>
      </c>
      <c r="AA512" s="49">
        <f t="shared" si="70"/>
        <v>316724.37698251742</v>
      </c>
      <c r="AB512" s="71">
        <f t="shared" si="71"/>
        <v>0.80</v>
      </c>
      <c r="AC512" s="49">
        <f t="shared" si="72"/>
        <v>63344.88</v>
      </c>
      <c r="AD512" s="50">
        <f t="shared" si="73"/>
        <v>0</v>
      </c>
      <c r="AE512" s="50">
        <f t="shared" si="74"/>
        <v>0</v>
      </c>
      <c r="AF512" s="50">
        <f t="shared" si="75"/>
        <v>63344.88</v>
      </c>
      <c r="AG512" s="199">
        <f t="shared" si="76"/>
        <v>63344</v>
      </c>
      <c r="AH512" s="187"/>
      <c r="AI512" s="185" t="s">
        <v>1456</v>
      </c>
      <c r="AJ512" s="185"/>
      <c r="AK512" s="277">
        <f t="shared" si="69"/>
        <v>13426.21</v>
      </c>
      <c r="AL512" s="25">
        <f>(SUMIFS('T1 2019 Pipeline Data Lagasco'!$O:$O,'T1 2019 Pipeline Data Lagasco'!$A:$A,'Dec 31 2018 OFFS'!$AI512,'T1 2019 Pipeline Data Lagasco'!$Q:$Q,'Dec 31 2018 OFFS'!$AK512,'T1 2019 Pipeline Data Lagasco'!$E:$E,'Dec 31 2018 OFFS'!$U512,'T1 2019 Pipeline Data Lagasco'!$G:$G,'Dec 31 2018 OFFS'!$W512))/(MAX(COUNTIFS('T1 2019 Pipeline Data Lagasco'!$A:$A,'Dec 31 2018 OFFS'!$AI512,'T1 2019 Pipeline Data Lagasco'!$Q:$Q,'Dec 31 2018 OFFS'!$AK512,'T1 2019 Pipeline Data Lagasco'!$E:$E,'Dec 31 2018 OFFS'!$U512,'T1 2019 Pipeline Data Lagasco'!$G:$G,'Dec 31 2018 OFFS'!$W512),1))</f>
        <v>63344</v>
      </c>
      <c r="AM512" s="274">
        <f t="shared" si="77"/>
        <v>0</v>
      </c>
    </row>
    <row r="513" spans="1:39" ht="12.7">
      <c r="A513" s="193" t="s">
        <v>909</v>
      </c>
      <c r="B513" s="40" t="s">
        <v>918</v>
      </c>
      <c r="C513" s="40" t="s">
        <v>1266</v>
      </c>
      <c r="D513" s="40" t="s">
        <v>17</v>
      </c>
      <c r="E513" s="40" t="s">
        <v>64</v>
      </c>
      <c r="F513" s="40"/>
      <c r="G513" s="41" t="s">
        <v>102</v>
      </c>
      <c r="H513" s="42">
        <v>42</v>
      </c>
      <c r="I513" s="43">
        <v>44</v>
      </c>
      <c r="J513" s="44">
        <v>10.02</v>
      </c>
      <c r="K513" s="45">
        <v>79</v>
      </c>
      <c r="L513" s="43">
        <v>45</v>
      </c>
      <c r="M513" s="46">
        <v>27</v>
      </c>
      <c r="N513" s="40" t="s">
        <v>103</v>
      </c>
      <c r="O513" s="42">
        <v>42</v>
      </c>
      <c r="P513" s="43">
        <v>43</v>
      </c>
      <c r="Q513" s="44">
        <v>11.036</v>
      </c>
      <c r="R513" s="45">
        <v>79</v>
      </c>
      <c r="S513" s="43">
        <v>45</v>
      </c>
      <c r="T513" s="46">
        <v>44.55</v>
      </c>
      <c r="U513" s="40">
        <v>3</v>
      </c>
      <c r="V513" s="47">
        <v>6113.9105840960001</v>
      </c>
      <c r="W513" s="48">
        <v>1977</v>
      </c>
      <c r="X513" s="40"/>
      <c r="Y513" s="52" t="s">
        <v>1081</v>
      </c>
      <c r="Z513" s="40" t="s">
        <v>910</v>
      </c>
      <c r="AA513" s="49">
        <f t="shared" si="70"/>
        <v>144227.15067882463</v>
      </c>
      <c r="AB513" s="71">
        <f t="shared" si="71"/>
        <v>0.80</v>
      </c>
      <c r="AC513" s="49">
        <f t="shared" si="72"/>
        <v>28845.43</v>
      </c>
      <c r="AD513" s="50">
        <f t="shared" si="73"/>
        <v>0</v>
      </c>
      <c r="AE513" s="50">
        <f t="shared" si="74"/>
        <v>0</v>
      </c>
      <c r="AF513" s="50">
        <f t="shared" si="75"/>
        <v>28845.43</v>
      </c>
      <c r="AG513" s="199">
        <f t="shared" si="76"/>
        <v>28845</v>
      </c>
      <c r="AH513" s="187"/>
      <c r="AI513" s="185" t="s">
        <v>1456</v>
      </c>
      <c r="AJ513" s="185"/>
      <c r="AK513" s="277">
        <f t="shared" si="69"/>
        <v>6113.91</v>
      </c>
      <c r="AL513" s="25">
        <f>(SUMIFS('T1 2019 Pipeline Data Lagasco'!$O:$O,'T1 2019 Pipeline Data Lagasco'!$A:$A,'Dec 31 2018 OFFS'!$AI513,'T1 2019 Pipeline Data Lagasco'!$Q:$Q,'Dec 31 2018 OFFS'!$AK513,'T1 2019 Pipeline Data Lagasco'!$E:$E,'Dec 31 2018 OFFS'!$U513,'T1 2019 Pipeline Data Lagasco'!$G:$G,'Dec 31 2018 OFFS'!$W513))/(MAX(COUNTIFS('T1 2019 Pipeline Data Lagasco'!$A:$A,'Dec 31 2018 OFFS'!$AI513,'T1 2019 Pipeline Data Lagasco'!$Q:$Q,'Dec 31 2018 OFFS'!$AK513,'T1 2019 Pipeline Data Lagasco'!$E:$E,'Dec 31 2018 OFFS'!$U513,'T1 2019 Pipeline Data Lagasco'!$G:$G,'Dec 31 2018 OFFS'!$W513),1))</f>
        <v>28845</v>
      </c>
      <c r="AM513" s="274">
        <f t="shared" si="77"/>
        <v>0</v>
      </c>
    </row>
    <row r="514" spans="1:39" ht="12.7">
      <c r="A514" s="193" t="s">
        <v>909</v>
      </c>
      <c r="B514" s="40" t="s">
        <v>918</v>
      </c>
      <c r="C514" s="40" t="s">
        <v>1266</v>
      </c>
      <c r="D514" s="40" t="s">
        <v>17</v>
      </c>
      <c r="E514" s="40" t="s">
        <v>64</v>
      </c>
      <c r="F514" s="40"/>
      <c r="G514" s="41" t="s">
        <v>102</v>
      </c>
      <c r="H514" s="42">
        <v>42</v>
      </c>
      <c r="I514" s="43">
        <v>44</v>
      </c>
      <c r="J514" s="44">
        <v>10.02</v>
      </c>
      <c r="K514" s="45">
        <v>79</v>
      </c>
      <c r="L514" s="43">
        <v>45</v>
      </c>
      <c r="M514" s="46">
        <v>27</v>
      </c>
      <c r="N514" s="41" t="s">
        <v>104</v>
      </c>
      <c r="O514" s="42">
        <v>42</v>
      </c>
      <c r="P514" s="43">
        <v>44</v>
      </c>
      <c r="Q514" s="44">
        <v>6</v>
      </c>
      <c r="R514" s="45">
        <v>79</v>
      </c>
      <c r="S514" s="43">
        <v>44</v>
      </c>
      <c r="T514" s="46">
        <v>52.62</v>
      </c>
      <c r="U514" s="40">
        <v>3</v>
      </c>
      <c r="V514" s="47">
        <v>2598.064229222</v>
      </c>
      <c r="W514" s="48">
        <v>1991</v>
      </c>
      <c r="X514" s="40"/>
      <c r="Y514" s="52" t="s">
        <v>1081</v>
      </c>
      <c r="Z514" s="40" t="s">
        <v>910</v>
      </c>
      <c r="AA514" s="49">
        <f t="shared" si="70"/>
        <v>61288.335167346981</v>
      </c>
      <c r="AB514" s="71">
        <f t="shared" si="71"/>
        <v>0.72</v>
      </c>
      <c r="AC514" s="49">
        <f t="shared" si="72"/>
        <v>17160.73</v>
      </c>
      <c r="AD514" s="50">
        <f t="shared" si="73"/>
        <v>0</v>
      </c>
      <c r="AE514" s="50">
        <f t="shared" si="74"/>
        <v>0</v>
      </c>
      <c r="AF514" s="50">
        <f t="shared" si="75"/>
        <v>17160.73</v>
      </c>
      <c r="AG514" s="199">
        <f t="shared" si="76"/>
        <v>17160</v>
      </c>
      <c r="AH514" s="187"/>
      <c r="AI514" s="185" t="s">
        <v>1456</v>
      </c>
      <c r="AJ514" s="185"/>
      <c r="AK514" s="277">
        <f t="shared" si="69"/>
        <v>2598.06</v>
      </c>
      <c r="AL514" s="25">
        <f>(SUMIFS('T1 2019 Pipeline Data Lagasco'!$O:$O,'T1 2019 Pipeline Data Lagasco'!$A:$A,'Dec 31 2018 OFFS'!$AI514,'T1 2019 Pipeline Data Lagasco'!$Q:$Q,'Dec 31 2018 OFFS'!$AK514,'T1 2019 Pipeline Data Lagasco'!$E:$E,'Dec 31 2018 OFFS'!$U514,'T1 2019 Pipeline Data Lagasco'!$G:$G,'Dec 31 2018 OFFS'!$W514))/(MAX(COUNTIFS('T1 2019 Pipeline Data Lagasco'!$A:$A,'Dec 31 2018 OFFS'!$AI514,'T1 2019 Pipeline Data Lagasco'!$Q:$Q,'Dec 31 2018 OFFS'!$AK514,'T1 2019 Pipeline Data Lagasco'!$E:$E,'Dec 31 2018 OFFS'!$U514,'T1 2019 Pipeline Data Lagasco'!$G:$G,'Dec 31 2018 OFFS'!$W514),1))</f>
        <v>17160</v>
      </c>
      <c r="AM514" s="274">
        <f t="shared" si="77"/>
        <v>0</v>
      </c>
    </row>
    <row r="515" spans="1:39" ht="12.7">
      <c r="A515" s="193" t="s">
        <v>909</v>
      </c>
      <c r="B515" s="40" t="s">
        <v>918</v>
      </c>
      <c r="C515" s="40" t="s">
        <v>1266</v>
      </c>
      <c r="D515" s="40" t="s">
        <v>17</v>
      </c>
      <c r="E515" s="40" t="s">
        <v>64</v>
      </c>
      <c r="F515" s="40"/>
      <c r="G515" s="41" t="s">
        <v>102</v>
      </c>
      <c r="H515" s="42">
        <v>42</v>
      </c>
      <c r="I515" s="43">
        <v>44</v>
      </c>
      <c r="J515" s="44">
        <v>10.02</v>
      </c>
      <c r="K515" s="45">
        <v>79</v>
      </c>
      <c r="L515" s="43">
        <v>45</v>
      </c>
      <c r="M515" s="46">
        <v>27</v>
      </c>
      <c r="N515" s="40" t="s">
        <v>83</v>
      </c>
      <c r="O515" s="42" t="s">
        <v>78</v>
      </c>
      <c r="P515" s="43" t="s">
        <v>79</v>
      </c>
      <c r="Q515" s="44" t="s">
        <v>84</v>
      </c>
      <c r="R515" s="45">
        <v>79</v>
      </c>
      <c r="S515" s="43">
        <v>44</v>
      </c>
      <c r="T515" s="46">
        <v>7.83</v>
      </c>
      <c r="U515" s="40">
        <v>4</v>
      </c>
      <c r="V515" s="47">
        <v>9798.2280627</v>
      </c>
      <c r="W515" s="48">
        <v>1980</v>
      </c>
      <c r="X515" s="40"/>
      <c r="Y515" s="52" t="s">
        <v>1081</v>
      </c>
      <c r="Z515" s="40" t="s">
        <v>910</v>
      </c>
      <c r="AA515" s="49">
        <f t="shared" si="70"/>
        <v>259163.13225841499</v>
      </c>
      <c r="AB515" s="71">
        <f t="shared" si="71"/>
        <v>0.80</v>
      </c>
      <c r="AC515" s="49">
        <f t="shared" si="72"/>
        <v>51832.63</v>
      </c>
      <c r="AD515" s="50">
        <f t="shared" si="73"/>
        <v>0</v>
      </c>
      <c r="AE515" s="50">
        <f t="shared" si="74"/>
        <v>0</v>
      </c>
      <c r="AF515" s="50">
        <f t="shared" si="75"/>
        <v>51832.63</v>
      </c>
      <c r="AG515" s="199">
        <f t="shared" si="76"/>
        <v>51832</v>
      </c>
      <c r="AH515" s="187"/>
      <c r="AI515" s="185" t="s">
        <v>1456</v>
      </c>
      <c r="AJ515" s="185"/>
      <c r="AK515" s="277">
        <f t="shared" si="78" ref="AK515:AK578">ROUND(V515,2)</f>
        <v>9798.23</v>
      </c>
      <c r="AL515" s="25">
        <f>(SUMIFS('T1 2019 Pipeline Data Lagasco'!$O:$O,'T1 2019 Pipeline Data Lagasco'!$A:$A,'Dec 31 2018 OFFS'!$AI515,'T1 2019 Pipeline Data Lagasco'!$Q:$Q,'Dec 31 2018 OFFS'!$AK515,'T1 2019 Pipeline Data Lagasco'!$E:$E,'Dec 31 2018 OFFS'!$U515,'T1 2019 Pipeline Data Lagasco'!$G:$G,'Dec 31 2018 OFFS'!$W515))/(MAX(COUNTIFS('T1 2019 Pipeline Data Lagasco'!$A:$A,'Dec 31 2018 OFFS'!$AI515,'T1 2019 Pipeline Data Lagasco'!$Q:$Q,'Dec 31 2018 OFFS'!$AK515,'T1 2019 Pipeline Data Lagasco'!$E:$E,'Dec 31 2018 OFFS'!$U515,'T1 2019 Pipeline Data Lagasco'!$G:$G,'Dec 31 2018 OFFS'!$W515),1))</f>
        <v>51832</v>
      </c>
      <c r="AM515" s="274">
        <f t="shared" si="77"/>
        <v>0</v>
      </c>
    </row>
    <row r="516" spans="1:39" ht="12.7">
      <c r="A516" s="193" t="s">
        <v>909</v>
      </c>
      <c r="B516" s="40" t="s">
        <v>918</v>
      </c>
      <c r="C516" s="40" t="s">
        <v>1266</v>
      </c>
      <c r="D516" s="40" t="s">
        <v>17</v>
      </c>
      <c r="E516" s="40" t="s">
        <v>64</v>
      </c>
      <c r="F516" s="40"/>
      <c r="G516" s="41" t="s">
        <v>102</v>
      </c>
      <c r="H516" s="42">
        <v>42</v>
      </c>
      <c r="I516" s="43">
        <v>44</v>
      </c>
      <c r="J516" s="44">
        <v>10.02</v>
      </c>
      <c r="K516" s="45">
        <v>79</v>
      </c>
      <c r="L516" s="43">
        <v>45</v>
      </c>
      <c r="M516" s="46">
        <v>27</v>
      </c>
      <c r="N516" s="40" t="s">
        <v>169</v>
      </c>
      <c r="O516" s="42">
        <v>42</v>
      </c>
      <c r="P516" s="43">
        <v>45</v>
      </c>
      <c r="Q516" s="44">
        <v>35.51</v>
      </c>
      <c r="R516" s="45">
        <v>79</v>
      </c>
      <c r="S516" s="43">
        <v>40</v>
      </c>
      <c r="T516" s="46">
        <v>0.65</v>
      </c>
      <c r="U516" s="40">
        <v>8</v>
      </c>
      <c r="V516" s="47">
        <v>25845.209225275998</v>
      </c>
      <c r="W516" s="48">
        <v>1977</v>
      </c>
      <c r="X516" s="40"/>
      <c r="Y516" s="52" t="s">
        <v>1081</v>
      </c>
      <c r="Z516" s="40" t="s">
        <v>910</v>
      </c>
      <c r="AA516" s="49">
        <f t="shared" si="79" ref="AA516:AA579">IF(F516="ABAND",0,(IF(Z516="steel",VLOOKUP(U516,steelrates,2,FALSE)*V516,VLOOKUP(U516,plasticrates,2,FALSE)*V516)))</f>
        <v>1274168.8148061065</v>
      </c>
      <c r="AB516" s="71">
        <f t="shared" si="80" ref="AB516:AB579">IF(W516=0,0,(VLOOKUP(W516,depreciation,2)))</f>
        <v>0.80</v>
      </c>
      <c r="AC516" s="49">
        <f t="shared" si="81" ref="AC516:AC579">ROUND(+AA516-(+AA516*AB516),2)</f>
        <v>254833.76</v>
      </c>
      <c r="AD516" s="50">
        <f t="shared" si="82" ref="AD516:AD579">(IF(X516="LOOP",AC516*0.25,0))</f>
        <v>0</v>
      </c>
      <c r="AE516" s="50">
        <f t="shared" si="83" ref="AE516:AE579">(IF(F516="SUSP",AC516*0.2,0))</f>
        <v>0</v>
      </c>
      <c r="AF516" s="50">
        <f t="shared" si="84" ref="AF516:AF579">+AC516-AD516-AE516</f>
        <v>254833.76</v>
      </c>
      <c r="AG516" s="199">
        <f t="shared" si="85" ref="AG516:AG579">ROUNDDOWN(AF516,0)</f>
        <v>254833</v>
      </c>
      <c r="AH516" s="187"/>
      <c r="AI516" s="185" t="s">
        <v>1456</v>
      </c>
      <c r="AJ516" s="185"/>
      <c r="AK516" s="277">
        <f t="shared" si="78"/>
        <v>25845.21</v>
      </c>
      <c r="AL516" s="25">
        <f>(SUMIFS('T1 2019 Pipeline Data Lagasco'!$O:$O,'T1 2019 Pipeline Data Lagasco'!$A:$A,'Dec 31 2018 OFFS'!$AI516,'T1 2019 Pipeline Data Lagasco'!$Q:$Q,'Dec 31 2018 OFFS'!$AK516,'T1 2019 Pipeline Data Lagasco'!$E:$E,'Dec 31 2018 OFFS'!$U516,'T1 2019 Pipeline Data Lagasco'!$G:$G,'Dec 31 2018 OFFS'!$W516))/(MAX(COUNTIFS('T1 2019 Pipeline Data Lagasco'!$A:$A,'Dec 31 2018 OFFS'!$AI516,'T1 2019 Pipeline Data Lagasco'!$Q:$Q,'Dec 31 2018 OFFS'!$AK516,'T1 2019 Pipeline Data Lagasco'!$E:$E,'Dec 31 2018 OFFS'!$U516,'T1 2019 Pipeline Data Lagasco'!$G:$G,'Dec 31 2018 OFFS'!$W516),1))</f>
        <v>254833</v>
      </c>
      <c r="AM516" s="274">
        <f t="shared" si="86" ref="AM516:AM579">AG516-AL516</f>
        <v>0</v>
      </c>
    </row>
    <row r="517" spans="1:39" ht="12.7">
      <c r="A517" s="193" t="s">
        <v>909</v>
      </c>
      <c r="B517" s="40" t="s">
        <v>918</v>
      </c>
      <c r="C517" s="40" t="s">
        <v>1266</v>
      </c>
      <c r="D517" s="40" t="s">
        <v>17</v>
      </c>
      <c r="E517" s="40" t="s">
        <v>64</v>
      </c>
      <c r="F517" s="139" t="s">
        <v>1051</v>
      </c>
      <c r="G517" s="41" t="s">
        <v>105</v>
      </c>
      <c r="H517" s="42">
        <v>42</v>
      </c>
      <c r="I517" s="43">
        <v>44</v>
      </c>
      <c r="J517" s="44">
        <v>10.02</v>
      </c>
      <c r="K517" s="45">
        <v>79</v>
      </c>
      <c r="L517" s="43">
        <v>46</v>
      </c>
      <c r="M517" s="46">
        <v>13.02</v>
      </c>
      <c r="N517" s="40" t="s">
        <v>102</v>
      </c>
      <c r="O517" s="42">
        <v>42</v>
      </c>
      <c r="P517" s="43">
        <v>44</v>
      </c>
      <c r="Q517" s="44">
        <v>10.02</v>
      </c>
      <c r="R517" s="45">
        <v>79</v>
      </c>
      <c r="S517" s="43">
        <v>45</v>
      </c>
      <c r="T517" s="46">
        <v>27</v>
      </c>
      <c r="U517" s="40">
        <v>3</v>
      </c>
      <c r="V517" s="47">
        <v>3434.7111866200003</v>
      </c>
      <c r="W517" s="48">
        <v>1979</v>
      </c>
      <c r="X517" s="40"/>
      <c r="Y517" s="52" t="s">
        <v>1081</v>
      </c>
      <c r="Z517" s="40" t="s">
        <v>910</v>
      </c>
      <c r="AA517" s="49">
        <f t="shared" si="79"/>
        <v>0</v>
      </c>
      <c r="AB517" s="71">
        <f t="shared" si="80"/>
        <v>0.80</v>
      </c>
      <c r="AC517" s="49">
        <f t="shared" si="81"/>
        <v>0</v>
      </c>
      <c r="AD517" s="50">
        <f t="shared" si="82"/>
        <v>0</v>
      </c>
      <c r="AE517" s="50">
        <f t="shared" si="83"/>
        <v>0</v>
      </c>
      <c r="AF517" s="50">
        <f t="shared" si="84"/>
        <v>0</v>
      </c>
      <c r="AG517" s="199">
        <f t="shared" si="85"/>
        <v>0</v>
      </c>
      <c r="AH517" s="187"/>
      <c r="AI517" s="185" t="s">
        <v>1456</v>
      </c>
      <c r="AJ517" s="185"/>
      <c r="AK517" s="277">
        <f t="shared" si="78"/>
        <v>3434.71</v>
      </c>
      <c r="AL517" s="25">
        <f>(SUMIFS('T1 2019 Pipeline Data Lagasco'!$O:$O,'T1 2019 Pipeline Data Lagasco'!$A:$A,'Dec 31 2018 OFFS'!$AI517,'T1 2019 Pipeline Data Lagasco'!$Q:$Q,'Dec 31 2018 OFFS'!$AK517,'T1 2019 Pipeline Data Lagasco'!$E:$E,'Dec 31 2018 OFFS'!$U517,'T1 2019 Pipeline Data Lagasco'!$G:$G,'Dec 31 2018 OFFS'!$W517))/(MAX(COUNTIFS('T1 2019 Pipeline Data Lagasco'!$A:$A,'Dec 31 2018 OFFS'!$AI517,'T1 2019 Pipeline Data Lagasco'!$Q:$Q,'Dec 31 2018 OFFS'!$AK517,'T1 2019 Pipeline Data Lagasco'!$E:$E,'Dec 31 2018 OFFS'!$U517,'T1 2019 Pipeline Data Lagasco'!$G:$G,'Dec 31 2018 OFFS'!$W517),1))</f>
        <v>0</v>
      </c>
      <c r="AM517" s="274">
        <f t="shared" si="86"/>
        <v>0</v>
      </c>
    </row>
    <row r="518" spans="1:39" ht="12.7">
      <c r="A518" s="193" t="s">
        <v>909</v>
      </c>
      <c r="B518" s="40" t="s">
        <v>918</v>
      </c>
      <c r="C518" s="40" t="s">
        <v>1266</v>
      </c>
      <c r="D518" s="40" t="s">
        <v>17</v>
      </c>
      <c r="E518" s="40" t="s">
        <v>64</v>
      </c>
      <c r="F518" s="40"/>
      <c r="G518" s="41" t="s">
        <v>106</v>
      </c>
      <c r="H518" s="42">
        <v>42</v>
      </c>
      <c r="I518" s="43">
        <v>43</v>
      </c>
      <c r="J518" s="44">
        <v>9</v>
      </c>
      <c r="K518" s="45">
        <v>79</v>
      </c>
      <c r="L518" s="43">
        <v>49</v>
      </c>
      <c r="M518" s="46">
        <v>13.98</v>
      </c>
      <c r="N518" s="40" t="s">
        <v>107</v>
      </c>
      <c r="O518" s="42">
        <v>42</v>
      </c>
      <c r="P518" s="43">
        <v>43</v>
      </c>
      <c r="Q518" s="44">
        <v>13.98</v>
      </c>
      <c r="R518" s="45">
        <v>79</v>
      </c>
      <c r="S518" s="43">
        <v>48</v>
      </c>
      <c r="T518" s="46">
        <v>10.02</v>
      </c>
      <c r="U518" s="40">
        <v>3</v>
      </c>
      <c r="V518" s="47">
        <v>4801.3778137079998</v>
      </c>
      <c r="W518" s="48">
        <v>1979</v>
      </c>
      <c r="X518" s="40"/>
      <c r="Y518" s="52" t="s">
        <v>1081</v>
      </c>
      <c r="Z518" s="40" t="s">
        <v>910</v>
      </c>
      <c r="AA518" s="49">
        <f t="shared" si="79"/>
        <v>113264.50262537172</v>
      </c>
      <c r="AB518" s="71">
        <f t="shared" si="80"/>
        <v>0.80</v>
      </c>
      <c r="AC518" s="49">
        <f t="shared" si="81"/>
        <v>22652.90</v>
      </c>
      <c r="AD518" s="50">
        <f t="shared" si="82"/>
        <v>0</v>
      </c>
      <c r="AE518" s="50">
        <f t="shared" si="83"/>
        <v>0</v>
      </c>
      <c r="AF518" s="50">
        <f t="shared" si="84"/>
        <v>22652.90</v>
      </c>
      <c r="AG518" s="199">
        <f t="shared" si="85"/>
        <v>22652</v>
      </c>
      <c r="AH518" s="187"/>
      <c r="AI518" s="185" t="s">
        <v>1456</v>
      </c>
      <c r="AJ518" s="185"/>
      <c r="AK518" s="277">
        <f t="shared" si="78"/>
        <v>4801.38</v>
      </c>
      <c r="AL518" s="25">
        <f>(SUMIFS('T1 2019 Pipeline Data Lagasco'!$O:$O,'T1 2019 Pipeline Data Lagasco'!$A:$A,'Dec 31 2018 OFFS'!$AI518,'T1 2019 Pipeline Data Lagasco'!$Q:$Q,'Dec 31 2018 OFFS'!$AK518,'T1 2019 Pipeline Data Lagasco'!$E:$E,'Dec 31 2018 OFFS'!$U518,'T1 2019 Pipeline Data Lagasco'!$G:$G,'Dec 31 2018 OFFS'!$W518))/(MAX(COUNTIFS('T1 2019 Pipeline Data Lagasco'!$A:$A,'Dec 31 2018 OFFS'!$AI518,'T1 2019 Pipeline Data Lagasco'!$Q:$Q,'Dec 31 2018 OFFS'!$AK518,'T1 2019 Pipeline Data Lagasco'!$E:$E,'Dec 31 2018 OFFS'!$U518,'T1 2019 Pipeline Data Lagasco'!$G:$G,'Dec 31 2018 OFFS'!$W518),1))</f>
        <v>22652</v>
      </c>
      <c r="AM518" s="274">
        <f t="shared" si="86"/>
        <v>0</v>
      </c>
    </row>
    <row r="519" spans="1:39" ht="12.7">
      <c r="A519" s="193" t="s">
        <v>909</v>
      </c>
      <c r="B519" s="40" t="s">
        <v>918</v>
      </c>
      <c r="C519" s="40" t="s">
        <v>1266</v>
      </c>
      <c r="D519" s="40" t="s">
        <v>17</v>
      </c>
      <c r="E519" s="40" t="s">
        <v>64</v>
      </c>
      <c r="F519" s="40"/>
      <c r="G519" s="41" t="s">
        <v>108</v>
      </c>
      <c r="H519" s="42">
        <v>42</v>
      </c>
      <c r="I519" s="43">
        <v>43</v>
      </c>
      <c r="J519" s="44">
        <v>0.09</v>
      </c>
      <c r="K519" s="45">
        <v>79</v>
      </c>
      <c r="L519" s="43">
        <v>49</v>
      </c>
      <c r="M519" s="46">
        <v>25.02</v>
      </c>
      <c r="N519" s="40" t="s">
        <v>109</v>
      </c>
      <c r="O519" s="42">
        <v>42</v>
      </c>
      <c r="P519" s="43">
        <v>43</v>
      </c>
      <c r="Q519" s="44">
        <v>10.80</v>
      </c>
      <c r="R519" s="45">
        <v>79</v>
      </c>
      <c r="S519" s="43">
        <v>52</v>
      </c>
      <c r="T519" s="46">
        <v>44.40</v>
      </c>
      <c r="U519" s="40">
        <v>3</v>
      </c>
      <c r="V519" s="47">
        <v>14924.146549424</v>
      </c>
      <c r="W519" s="48">
        <v>1979</v>
      </c>
      <c r="X519" s="40"/>
      <c r="Y519" s="52" t="s">
        <v>1081</v>
      </c>
      <c r="Z519" s="40" t="s">
        <v>910</v>
      </c>
      <c r="AA519" s="49">
        <f t="shared" si="79"/>
        <v>352060.61710091215</v>
      </c>
      <c r="AB519" s="71">
        <f t="shared" si="80"/>
        <v>0.80</v>
      </c>
      <c r="AC519" s="49">
        <f t="shared" si="81"/>
        <v>70412.12</v>
      </c>
      <c r="AD519" s="50">
        <f t="shared" si="82"/>
        <v>0</v>
      </c>
      <c r="AE519" s="50">
        <f t="shared" si="83"/>
        <v>0</v>
      </c>
      <c r="AF519" s="50">
        <f t="shared" si="84"/>
        <v>70412.12</v>
      </c>
      <c r="AG519" s="199">
        <f t="shared" si="85"/>
        <v>70412</v>
      </c>
      <c r="AH519" s="187"/>
      <c r="AI519" s="185" t="s">
        <v>1456</v>
      </c>
      <c r="AJ519" s="185"/>
      <c r="AK519" s="277">
        <f t="shared" si="78"/>
        <v>14924.15</v>
      </c>
      <c r="AL519" s="25">
        <f>(SUMIFS('T1 2019 Pipeline Data Lagasco'!$O:$O,'T1 2019 Pipeline Data Lagasco'!$A:$A,'Dec 31 2018 OFFS'!$AI519,'T1 2019 Pipeline Data Lagasco'!$Q:$Q,'Dec 31 2018 OFFS'!$AK519,'T1 2019 Pipeline Data Lagasco'!$E:$E,'Dec 31 2018 OFFS'!$U519,'T1 2019 Pipeline Data Lagasco'!$G:$G,'Dec 31 2018 OFFS'!$W519))/(MAX(COUNTIFS('T1 2019 Pipeline Data Lagasco'!$A:$A,'Dec 31 2018 OFFS'!$AI519,'T1 2019 Pipeline Data Lagasco'!$Q:$Q,'Dec 31 2018 OFFS'!$AK519,'T1 2019 Pipeline Data Lagasco'!$E:$E,'Dec 31 2018 OFFS'!$U519,'T1 2019 Pipeline Data Lagasco'!$G:$G,'Dec 31 2018 OFFS'!$W519),1))</f>
        <v>70412</v>
      </c>
      <c r="AM519" s="274">
        <f t="shared" si="86"/>
        <v>0</v>
      </c>
    </row>
    <row r="520" spans="1:39" ht="12.7">
      <c r="A520" s="193" t="s">
        <v>909</v>
      </c>
      <c r="B520" s="40" t="s">
        <v>918</v>
      </c>
      <c r="C520" s="40" t="s">
        <v>1266</v>
      </c>
      <c r="D520" s="40" t="s">
        <v>17</v>
      </c>
      <c r="E520" s="40" t="s">
        <v>64</v>
      </c>
      <c r="F520" s="40"/>
      <c r="G520" s="41" t="s">
        <v>108</v>
      </c>
      <c r="H520" s="42">
        <v>42</v>
      </c>
      <c r="I520" s="43">
        <v>43</v>
      </c>
      <c r="J520" s="44">
        <v>0.09</v>
      </c>
      <c r="K520" s="45">
        <v>79</v>
      </c>
      <c r="L520" s="43">
        <v>49</v>
      </c>
      <c r="M520" s="46">
        <v>25.02</v>
      </c>
      <c r="N520" s="40" t="s">
        <v>110</v>
      </c>
      <c r="O520" s="42">
        <v>42</v>
      </c>
      <c r="P520" s="43">
        <v>42</v>
      </c>
      <c r="Q520" s="44">
        <v>49.98</v>
      </c>
      <c r="R520" s="45">
        <v>79</v>
      </c>
      <c r="S520" s="43">
        <v>49</v>
      </c>
      <c r="T520" s="46">
        <v>45</v>
      </c>
      <c r="U520" s="40">
        <v>3</v>
      </c>
      <c r="V520" s="47">
        <v>1809.0878741179997</v>
      </c>
      <c r="W520" s="48">
        <v>1979</v>
      </c>
      <c r="X520" s="40"/>
      <c r="Y520" s="52" t="s">
        <v>1081</v>
      </c>
      <c r="Z520" s="40" t="s">
        <v>910</v>
      </c>
      <c r="AA520" s="49">
        <f t="shared" si="79"/>
        <v>42676.382950443614</v>
      </c>
      <c r="AB520" s="71">
        <f t="shared" si="80"/>
        <v>0.80</v>
      </c>
      <c r="AC520" s="49">
        <f t="shared" si="81"/>
        <v>8535.2800000000007</v>
      </c>
      <c r="AD520" s="50">
        <f t="shared" si="82"/>
        <v>0</v>
      </c>
      <c r="AE520" s="50">
        <f t="shared" si="83"/>
        <v>0</v>
      </c>
      <c r="AF520" s="50">
        <f t="shared" si="84"/>
        <v>8535.2800000000007</v>
      </c>
      <c r="AG520" s="199">
        <f t="shared" si="85"/>
        <v>8535</v>
      </c>
      <c r="AH520" s="187"/>
      <c r="AI520" s="185" t="s">
        <v>1456</v>
      </c>
      <c r="AJ520" s="185"/>
      <c r="AK520" s="277">
        <f t="shared" si="78"/>
        <v>1809.09</v>
      </c>
      <c r="AL520" s="25">
        <f>(SUMIFS('T1 2019 Pipeline Data Lagasco'!$O:$O,'T1 2019 Pipeline Data Lagasco'!$A:$A,'Dec 31 2018 OFFS'!$AI520,'T1 2019 Pipeline Data Lagasco'!$Q:$Q,'Dec 31 2018 OFFS'!$AK520,'T1 2019 Pipeline Data Lagasco'!$E:$E,'Dec 31 2018 OFFS'!$U520,'T1 2019 Pipeline Data Lagasco'!$G:$G,'Dec 31 2018 OFFS'!$W520))/(MAX(COUNTIFS('T1 2019 Pipeline Data Lagasco'!$A:$A,'Dec 31 2018 OFFS'!$AI520,'T1 2019 Pipeline Data Lagasco'!$Q:$Q,'Dec 31 2018 OFFS'!$AK520,'T1 2019 Pipeline Data Lagasco'!$E:$E,'Dec 31 2018 OFFS'!$U520,'T1 2019 Pipeline Data Lagasco'!$G:$G,'Dec 31 2018 OFFS'!$W520),1))</f>
        <v>8535</v>
      </c>
      <c r="AM520" s="274">
        <f t="shared" si="86"/>
        <v>0</v>
      </c>
    </row>
    <row r="521" spans="1:39" ht="12.7">
      <c r="A521" s="193" t="s">
        <v>909</v>
      </c>
      <c r="B521" s="40" t="s">
        <v>918</v>
      </c>
      <c r="C521" s="40" t="s">
        <v>1266</v>
      </c>
      <c r="D521" s="40" t="s">
        <v>17</v>
      </c>
      <c r="E521" s="40" t="s">
        <v>64</v>
      </c>
      <c r="F521" s="40"/>
      <c r="G521" s="41" t="s">
        <v>108</v>
      </c>
      <c r="H521" s="42">
        <v>42</v>
      </c>
      <c r="I521" s="43">
        <v>43</v>
      </c>
      <c r="J521" s="44">
        <v>0.09</v>
      </c>
      <c r="K521" s="45">
        <v>79</v>
      </c>
      <c r="L521" s="43">
        <v>49</v>
      </c>
      <c r="M521" s="46">
        <v>25.02</v>
      </c>
      <c r="N521" s="40" t="s">
        <v>111</v>
      </c>
      <c r="O521" s="42">
        <v>42</v>
      </c>
      <c r="P521" s="43">
        <v>43</v>
      </c>
      <c r="Q521" s="44">
        <v>44.886000000000003</v>
      </c>
      <c r="R521" s="45">
        <v>79</v>
      </c>
      <c r="S521" s="43">
        <v>49</v>
      </c>
      <c r="T521" s="46">
        <v>46.118000000000002</v>
      </c>
      <c r="U521" s="40">
        <v>3</v>
      </c>
      <c r="V521" s="47">
        <v>4801.0497297279999</v>
      </c>
      <c r="W521" s="48">
        <v>1983</v>
      </c>
      <c r="X521" s="40"/>
      <c r="Y521" s="52" t="s">
        <v>1081</v>
      </c>
      <c r="Z521" s="40" t="s">
        <v>910</v>
      </c>
      <c r="AA521" s="49">
        <f t="shared" si="79"/>
        <v>113256.76312428352</v>
      </c>
      <c r="AB521" s="71">
        <f t="shared" si="80"/>
        <v>0.80</v>
      </c>
      <c r="AC521" s="49">
        <f t="shared" si="81"/>
        <v>22651.35</v>
      </c>
      <c r="AD521" s="50">
        <f t="shared" si="82"/>
        <v>0</v>
      </c>
      <c r="AE521" s="50">
        <f t="shared" si="83"/>
        <v>0</v>
      </c>
      <c r="AF521" s="50">
        <f t="shared" si="84"/>
        <v>22651.35</v>
      </c>
      <c r="AG521" s="199">
        <f t="shared" si="85"/>
        <v>22651</v>
      </c>
      <c r="AH521" s="187"/>
      <c r="AI521" s="185" t="s">
        <v>1456</v>
      </c>
      <c r="AJ521" s="185"/>
      <c r="AK521" s="277">
        <f t="shared" si="78"/>
        <v>4801.05</v>
      </c>
      <c r="AL521" s="25">
        <f>(SUMIFS('T1 2019 Pipeline Data Lagasco'!$O:$O,'T1 2019 Pipeline Data Lagasco'!$A:$A,'Dec 31 2018 OFFS'!$AI521,'T1 2019 Pipeline Data Lagasco'!$Q:$Q,'Dec 31 2018 OFFS'!$AK521,'T1 2019 Pipeline Data Lagasco'!$E:$E,'Dec 31 2018 OFFS'!$U521,'T1 2019 Pipeline Data Lagasco'!$G:$G,'Dec 31 2018 OFFS'!$W521))/(MAX(COUNTIFS('T1 2019 Pipeline Data Lagasco'!$A:$A,'Dec 31 2018 OFFS'!$AI521,'T1 2019 Pipeline Data Lagasco'!$Q:$Q,'Dec 31 2018 OFFS'!$AK521,'T1 2019 Pipeline Data Lagasco'!$E:$E,'Dec 31 2018 OFFS'!$U521,'T1 2019 Pipeline Data Lagasco'!$G:$G,'Dec 31 2018 OFFS'!$W521),1))</f>
        <v>22651</v>
      </c>
      <c r="AM521" s="274">
        <f t="shared" si="86"/>
        <v>0</v>
      </c>
    </row>
    <row r="522" spans="1:39" ht="12.7">
      <c r="A522" s="193" t="s">
        <v>909</v>
      </c>
      <c r="B522" s="40" t="s">
        <v>918</v>
      </c>
      <c r="C522" s="40" t="s">
        <v>1266</v>
      </c>
      <c r="D522" s="40" t="s">
        <v>17</v>
      </c>
      <c r="E522" s="40" t="s">
        <v>64</v>
      </c>
      <c r="F522" s="40"/>
      <c r="G522" s="41" t="s">
        <v>108</v>
      </c>
      <c r="H522" s="42">
        <v>42</v>
      </c>
      <c r="I522" s="43">
        <v>43</v>
      </c>
      <c r="J522" s="44">
        <v>0.09</v>
      </c>
      <c r="K522" s="45">
        <v>79</v>
      </c>
      <c r="L522" s="43">
        <v>49</v>
      </c>
      <c r="M522" s="46">
        <v>25.02</v>
      </c>
      <c r="N522" s="40" t="s">
        <v>106</v>
      </c>
      <c r="O522" s="42">
        <v>42</v>
      </c>
      <c r="P522" s="43">
        <v>43</v>
      </c>
      <c r="Q522" s="44">
        <v>9</v>
      </c>
      <c r="R522" s="45">
        <v>79</v>
      </c>
      <c r="S522" s="43">
        <v>49</v>
      </c>
      <c r="T522" s="46">
        <v>13.98</v>
      </c>
      <c r="U522" s="40">
        <v>3</v>
      </c>
      <c r="V522" s="47">
        <v>1221.9159751119998</v>
      </c>
      <c r="W522" s="48">
        <v>1979</v>
      </c>
      <c r="X522" s="40"/>
      <c r="Y522" s="52" t="s">
        <v>1081</v>
      </c>
      <c r="Z522" s="40" t="s">
        <v>910</v>
      </c>
      <c r="AA522" s="49">
        <f t="shared" si="79"/>
        <v>28824.997852892076</v>
      </c>
      <c r="AB522" s="71">
        <f t="shared" si="80"/>
        <v>0.80</v>
      </c>
      <c r="AC522" s="49">
        <f t="shared" si="81"/>
        <v>5765</v>
      </c>
      <c r="AD522" s="50">
        <f t="shared" si="82"/>
        <v>0</v>
      </c>
      <c r="AE522" s="50">
        <f t="shared" si="83"/>
        <v>0</v>
      </c>
      <c r="AF522" s="50">
        <f t="shared" si="84"/>
        <v>5765</v>
      </c>
      <c r="AG522" s="199">
        <f t="shared" si="85"/>
        <v>5765</v>
      </c>
      <c r="AH522" s="187"/>
      <c r="AI522" s="185" t="s">
        <v>1456</v>
      </c>
      <c r="AJ522" s="185"/>
      <c r="AK522" s="277">
        <f t="shared" si="78"/>
        <v>1221.92</v>
      </c>
      <c r="AL522" s="25">
        <f>(SUMIFS('T1 2019 Pipeline Data Lagasco'!$O:$O,'T1 2019 Pipeline Data Lagasco'!$A:$A,'Dec 31 2018 OFFS'!$AI522,'T1 2019 Pipeline Data Lagasco'!$Q:$Q,'Dec 31 2018 OFFS'!$AK522,'T1 2019 Pipeline Data Lagasco'!$E:$E,'Dec 31 2018 OFFS'!$U522,'T1 2019 Pipeline Data Lagasco'!$G:$G,'Dec 31 2018 OFFS'!$W522))/(MAX(COUNTIFS('T1 2019 Pipeline Data Lagasco'!$A:$A,'Dec 31 2018 OFFS'!$AI522,'T1 2019 Pipeline Data Lagasco'!$Q:$Q,'Dec 31 2018 OFFS'!$AK522,'T1 2019 Pipeline Data Lagasco'!$E:$E,'Dec 31 2018 OFFS'!$U522,'T1 2019 Pipeline Data Lagasco'!$G:$G,'Dec 31 2018 OFFS'!$W522),1))</f>
        <v>5764</v>
      </c>
      <c r="AM522" s="274">
        <f t="shared" si="86"/>
        <v>1</v>
      </c>
    </row>
    <row r="523" spans="1:39" ht="12.7">
      <c r="A523" s="193" t="s">
        <v>909</v>
      </c>
      <c r="B523" s="40" t="s">
        <v>918</v>
      </c>
      <c r="C523" s="40" t="s">
        <v>1266</v>
      </c>
      <c r="D523" s="40" t="s">
        <v>17</v>
      </c>
      <c r="E523" s="40" t="s">
        <v>64</v>
      </c>
      <c r="F523" s="40"/>
      <c r="G523" s="41" t="s">
        <v>108</v>
      </c>
      <c r="H523" s="42">
        <v>42</v>
      </c>
      <c r="I523" s="43">
        <v>43</v>
      </c>
      <c r="J523" s="44">
        <v>0.09</v>
      </c>
      <c r="K523" s="45">
        <v>79</v>
      </c>
      <c r="L523" s="43">
        <v>49</v>
      </c>
      <c r="M523" s="46">
        <v>25.02</v>
      </c>
      <c r="N523" s="40" t="s">
        <v>102</v>
      </c>
      <c r="O523" s="42">
        <v>42</v>
      </c>
      <c r="P523" s="43">
        <v>44</v>
      </c>
      <c r="Q523" s="44">
        <v>10.02</v>
      </c>
      <c r="R523" s="45">
        <v>79</v>
      </c>
      <c r="S523" s="43">
        <v>45</v>
      </c>
      <c r="T523" s="46">
        <v>27</v>
      </c>
      <c r="U523" s="40">
        <v>8</v>
      </c>
      <c r="V523" s="47">
        <v>19125.983698079999</v>
      </c>
      <c r="W523" s="48">
        <v>1979</v>
      </c>
      <c r="X523" s="40"/>
      <c r="Y523" s="52" t="s">
        <v>1081</v>
      </c>
      <c r="Z523" s="40" t="s">
        <v>910</v>
      </c>
      <c r="AA523" s="49">
        <f t="shared" si="79"/>
        <v>942910.99631534389</v>
      </c>
      <c r="AB523" s="71">
        <f t="shared" si="80"/>
        <v>0.80</v>
      </c>
      <c r="AC523" s="49">
        <f t="shared" si="81"/>
        <v>188582.20</v>
      </c>
      <c r="AD523" s="50">
        <f t="shared" si="82"/>
        <v>0</v>
      </c>
      <c r="AE523" s="50">
        <f t="shared" si="83"/>
        <v>0</v>
      </c>
      <c r="AF523" s="50">
        <f t="shared" si="84"/>
        <v>188582.20</v>
      </c>
      <c r="AG523" s="199">
        <f t="shared" si="85"/>
        <v>188582</v>
      </c>
      <c r="AH523" s="187"/>
      <c r="AI523" s="185" t="s">
        <v>1456</v>
      </c>
      <c r="AJ523" s="185"/>
      <c r="AK523" s="277">
        <f t="shared" si="78"/>
        <v>19125.98</v>
      </c>
      <c r="AL523" s="25">
        <f>(SUMIFS('T1 2019 Pipeline Data Lagasco'!$O:$O,'T1 2019 Pipeline Data Lagasco'!$A:$A,'Dec 31 2018 OFFS'!$AI523,'T1 2019 Pipeline Data Lagasco'!$Q:$Q,'Dec 31 2018 OFFS'!$AK523,'T1 2019 Pipeline Data Lagasco'!$E:$E,'Dec 31 2018 OFFS'!$U523,'T1 2019 Pipeline Data Lagasco'!$G:$G,'Dec 31 2018 OFFS'!$W523))/(MAX(COUNTIFS('T1 2019 Pipeline Data Lagasco'!$A:$A,'Dec 31 2018 OFFS'!$AI523,'T1 2019 Pipeline Data Lagasco'!$Q:$Q,'Dec 31 2018 OFFS'!$AK523,'T1 2019 Pipeline Data Lagasco'!$E:$E,'Dec 31 2018 OFFS'!$U523,'T1 2019 Pipeline Data Lagasco'!$G:$G,'Dec 31 2018 OFFS'!$W523),1))</f>
        <v>188582</v>
      </c>
      <c r="AM523" s="274">
        <f t="shared" si="86"/>
        <v>0</v>
      </c>
    </row>
    <row r="524" spans="1:39" ht="12.7">
      <c r="A524" s="193" t="s">
        <v>909</v>
      </c>
      <c r="B524" s="40" t="s">
        <v>918</v>
      </c>
      <c r="C524" s="40" t="s">
        <v>1266</v>
      </c>
      <c r="D524" s="40" t="s">
        <v>17</v>
      </c>
      <c r="E524" s="40" t="s">
        <v>64</v>
      </c>
      <c r="F524" s="40"/>
      <c r="G524" s="41" t="s">
        <v>1240</v>
      </c>
      <c r="H524" s="42">
        <v>42</v>
      </c>
      <c r="I524" s="43">
        <v>43</v>
      </c>
      <c r="J524" s="44">
        <f>60*0.623</f>
        <v>37.380000000000003</v>
      </c>
      <c r="K524" s="45">
        <v>79</v>
      </c>
      <c r="L524" s="43">
        <v>48</v>
      </c>
      <c r="M524" s="46">
        <f>60*0.686</f>
        <v>41.16</v>
      </c>
      <c r="N524" s="40" t="s">
        <v>108</v>
      </c>
      <c r="O524" s="42">
        <v>42</v>
      </c>
      <c r="P524" s="43">
        <v>43</v>
      </c>
      <c r="Q524" s="44">
        <f>60*0.15</f>
        <v>9</v>
      </c>
      <c r="R524" s="45">
        <v>79</v>
      </c>
      <c r="S524" s="43">
        <v>49</v>
      </c>
      <c r="T524" s="46">
        <f>60*0.417</f>
        <v>25.02</v>
      </c>
      <c r="U524" s="40">
        <v>3</v>
      </c>
      <c r="V524" s="47">
        <v>4388</v>
      </c>
      <c r="W524" s="48">
        <v>2005</v>
      </c>
      <c r="X524" s="40"/>
      <c r="Y524" s="52"/>
      <c r="Z524" s="40" t="s">
        <v>910</v>
      </c>
      <c r="AA524" s="49">
        <f t="shared" si="79"/>
        <v>103512.92</v>
      </c>
      <c r="AB524" s="71">
        <f t="shared" si="80"/>
        <v>0.54</v>
      </c>
      <c r="AC524" s="49">
        <f t="shared" si="81"/>
        <v>47615.94</v>
      </c>
      <c r="AD524" s="50">
        <f t="shared" si="82"/>
        <v>0</v>
      </c>
      <c r="AE524" s="50">
        <f t="shared" si="83"/>
        <v>0</v>
      </c>
      <c r="AF524" s="50">
        <f t="shared" si="84"/>
        <v>47615.94</v>
      </c>
      <c r="AG524" s="199">
        <f t="shared" si="85"/>
        <v>47615</v>
      </c>
      <c r="AH524" s="187"/>
      <c r="AI524" s="185" t="s">
        <v>1456</v>
      </c>
      <c r="AJ524" s="185"/>
      <c r="AK524" s="277">
        <f t="shared" si="78"/>
        <v>4388</v>
      </c>
      <c r="AL524" s="25">
        <f>(SUMIFS('T1 2019 Pipeline Data Lagasco'!$O:$O,'T1 2019 Pipeline Data Lagasco'!$A:$A,'Dec 31 2018 OFFS'!$AI524,'T1 2019 Pipeline Data Lagasco'!$Q:$Q,'Dec 31 2018 OFFS'!$AK524,'T1 2019 Pipeline Data Lagasco'!$E:$E,'Dec 31 2018 OFFS'!$U524,'T1 2019 Pipeline Data Lagasco'!$G:$G,'Dec 31 2018 OFFS'!$W524))/(MAX(COUNTIFS('T1 2019 Pipeline Data Lagasco'!$A:$A,'Dec 31 2018 OFFS'!$AI524,'T1 2019 Pipeline Data Lagasco'!$Q:$Q,'Dec 31 2018 OFFS'!$AK524,'T1 2019 Pipeline Data Lagasco'!$E:$E,'Dec 31 2018 OFFS'!$U524,'T1 2019 Pipeline Data Lagasco'!$G:$G,'Dec 31 2018 OFFS'!$W524),1))</f>
        <v>47615</v>
      </c>
      <c r="AM524" s="274">
        <f t="shared" si="86"/>
        <v>0</v>
      </c>
    </row>
    <row r="525" spans="1:39" ht="12.7">
      <c r="A525" s="193" t="s">
        <v>909</v>
      </c>
      <c r="B525" s="40" t="s">
        <v>918</v>
      </c>
      <c r="C525" s="40" t="s">
        <v>1266</v>
      </c>
      <c r="D525" s="40" t="s">
        <v>17</v>
      </c>
      <c r="E525" s="40" t="s">
        <v>64</v>
      </c>
      <c r="F525" s="40"/>
      <c r="G525" s="41" t="s">
        <v>107</v>
      </c>
      <c r="H525" s="42">
        <v>42</v>
      </c>
      <c r="I525" s="43">
        <v>43</v>
      </c>
      <c r="J525" s="44">
        <v>13.98</v>
      </c>
      <c r="K525" s="45">
        <v>79</v>
      </c>
      <c r="L525" s="43">
        <v>48</v>
      </c>
      <c r="M525" s="46">
        <v>10.02</v>
      </c>
      <c r="N525" s="40" t="s">
        <v>112</v>
      </c>
      <c r="O525" s="42">
        <v>42</v>
      </c>
      <c r="P525" s="43">
        <v>42</v>
      </c>
      <c r="Q525" s="44">
        <v>48</v>
      </c>
      <c r="R525" s="45">
        <v>79</v>
      </c>
      <c r="S525" s="43">
        <v>46</v>
      </c>
      <c r="T525" s="46">
        <v>46.98</v>
      </c>
      <c r="U525" s="40">
        <v>3</v>
      </c>
      <c r="V525" s="47">
        <v>6734.4814322659995</v>
      </c>
      <c r="W525" s="48">
        <v>1980</v>
      </c>
      <c r="X525" s="40"/>
      <c r="Y525" s="52" t="s">
        <v>1081</v>
      </c>
      <c r="Z525" s="40" t="s">
        <v>910</v>
      </c>
      <c r="AA525" s="49">
        <f t="shared" si="79"/>
        <v>158866.41698715492</v>
      </c>
      <c r="AB525" s="71">
        <f t="shared" si="80"/>
        <v>0.80</v>
      </c>
      <c r="AC525" s="49">
        <f t="shared" si="81"/>
        <v>31773.28</v>
      </c>
      <c r="AD525" s="50">
        <f t="shared" si="82"/>
        <v>0</v>
      </c>
      <c r="AE525" s="50">
        <f t="shared" si="83"/>
        <v>0</v>
      </c>
      <c r="AF525" s="50">
        <f t="shared" si="84"/>
        <v>31773.28</v>
      </c>
      <c r="AG525" s="199">
        <f t="shared" si="85"/>
        <v>31773</v>
      </c>
      <c r="AH525" s="187"/>
      <c r="AI525" s="185" t="s">
        <v>1456</v>
      </c>
      <c r="AJ525" s="185"/>
      <c r="AK525" s="277">
        <f t="shared" si="78"/>
        <v>6734.48</v>
      </c>
      <c r="AL525" s="25">
        <f>(SUMIFS('T1 2019 Pipeline Data Lagasco'!$O:$O,'T1 2019 Pipeline Data Lagasco'!$A:$A,'Dec 31 2018 OFFS'!$AI525,'T1 2019 Pipeline Data Lagasco'!$Q:$Q,'Dec 31 2018 OFFS'!$AK525,'T1 2019 Pipeline Data Lagasco'!$E:$E,'Dec 31 2018 OFFS'!$U525,'T1 2019 Pipeline Data Lagasco'!$G:$G,'Dec 31 2018 OFFS'!$W525))/(MAX(COUNTIFS('T1 2019 Pipeline Data Lagasco'!$A:$A,'Dec 31 2018 OFFS'!$AI525,'T1 2019 Pipeline Data Lagasco'!$Q:$Q,'Dec 31 2018 OFFS'!$AK525,'T1 2019 Pipeline Data Lagasco'!$E:$E,'Dec 31 2018 OFFS'!$U525,'T1 2019 Pipeline Data Lagasco'!$G:$G,'Dec 31 2018 OFFS'!$W525),1))</f>
        <v>31773</v>
      </c>
      <c r="AM525" s="274">
        <f t="shared" si="86"/>
        <v>0</v>
      </c>
    </row>
    <row r="526" spans="1:39" ht="12.7">
      <c r="A526" s="193" t="s">
        <v>909</v>
      </c>
      <c r="B526" s="40" t="s">
        <v>918</v>
      </c>
      <c r="C526" s="40" t="s">
        <v>1266</v>
      </c>
      <c r="D526" s="40" t="s">
        <v>17</v>
      </c>
      <c r="E526" s="40" t="s">
        <v>64</v>
      </c>
      <c r="F526" s="40"/>
      <c r="G526" s="41" t="s">
        <v>113</v>
      </c>
      <c r="H526" s="42">
        <v>42</v>
      </c>
      <c r="I526" s="43">
        <v>43</v>
      </c>
      <c r="J526" s="44">
        <v>46.02</v>
      </c>
      <c r="K526" s="45">
        <v>79</v>
      </c>
      <c r="L526" s="43">
        <v>46</v>
      </c>
      <c r="M526" s="46">
        <v>48</v>
      </c>
      <c r="N526" s="40" t="s">
        <v>102</v>
      </c>
      <c r="O526" s="42">
        <v>42</v>
      </c>
      <c r="P526" s="43">
        <v>44</v>
      </c>
      <c r="Q526" s="44">
        <v>10.02</v>
      </c>
      <c r="R526" s="45">
        <v>79</v>
      </c>
      <c r="S526" s="43">
        <v>45</v>
      </c>
      <c r="T526" s="46">
        <v>27</v>
      </c>
      <c r="U526" s="40">
        <v>3</v>
      </c>
      <c r="V526" s="47">
        <v>6515.7806511979998</v>
      </c>
      <c r="W526" s="48">
        <v>1979</v>
      </c>
      <c r="X526" s="40"/>
      <c r="Y526" s="52" t="s">
        <v>1081</v>
      </c>
      <c r="Z526" s="40" t="s">
        <v>910</v>
      </c>
      <c r="AA526" s="49">
        <f t="shared" si="79"/>
        <v>153707.26556176081</v>
      </c>
      <c r="AB526" s="71">
        <f t="shared" si="80"/>
        <v>0.80</v>
      </c>
      <c r="AC526" s="49">
        <f t="shared" si="81"/>
        <v>30741.45</v>
      </c>
      <c r="AD526" s="50">
        <f t="shared" si="82"/>
        <v>0</v>
      </c>
      <c r="AE526" s="50">
        <f t="shared" si="83"/>
        <v>0</v>
      </c>
      <c r="AF526" s="50">
        <f t="shared" si="84"/>
        <v>30741.45</v>
      </c>
      <c r="AG526" s="199">
        <f t="shared" si="85"/>
        <v>30741</v>
      </c>
      <c r="AH526" s="187"/>
      <c r="AI526" s="185" t="s">
        <v>1456</v>
      </c>
      <c r="AJ526" s="185"/>
      <c r="AK526" s="277">
        <f t="shared" si="78"/>
        <v>6515.78</v>
      </c>
      <c r="AL526" s="25">
        <f>(SUMIFS('T1 2019 Pipeline Data Lagasco'!$O:$O,'T1 2019 Pipeline Data Lagasco'!$A:$A,'Dec 31 2018 OFFS'!$AI526,'T1 2019 Pipeline Data Lagasco'!$Q:$Q,'Dec 31 2018 OFFS'!$AK526,'T1 2019 Pipeline Data Lagasco'!$E:$E,'Dec 31 2018 OFFS'!$U526,'T1 2019 Pipeline Data Lagasco'!$G:$G,'Dec 31 2018 OFFS'!$W526))/(MAX(COUNTIFS('T1 2019 Pipeline Data Lagasco'!$A:$A,'Dec 31 2018 OFFS'!$AI526,'T1 2019 Pipeline Data Lagasco'!$Q:$Q,'Dec 31 2018 OFFS'!$AK526,'T1 2019 Pipeline Data Lagasco'!$E:$E,'Dec 31 2018 OFFS'!$U526,'T1 2019 Pipeline Data Lagasco'!$G:$G,'Dec 31 2018 OFFS'!$W526),1))</f>
        <v>30741</v>
      </c>
      <c r="AM526" s="274">
        <f t="shared" si="86"/>
        <v>0</v>
      </c>
    </row>
    <row r="527" spans="1:39" ht="12.7">
      <c r="A527" s="193" t="s">
        <v>909</v>
      </c>
      <c r="B527" s="40" t="s">
        <v>918</v>
      </c>
      <c r="C527" s="40" t="s">
        <v>1266</v>
      </c>
      <c r="D527" s="40" t="s">
        <v>17</v>
      </c>
      <c r="E527" s="40" t="s">
        <v>64</v>
      </c>
      <c r="F527" s="40"/>
      <c r="G527" s="41" t="s">
        <v>103</v>
      </c>
      <c r="H527" s="42">
        <v>42</v>
      </c>
      <c r="I527" s="43">
        <v>43</v>
      </c>
      <c r="J527" s="44">
        <v>11.036</v>
      </c>
      <c r="K527" s="45">
        <v>79</v>
      </c>
      <c r="L527" s="43">
        <v>45</v>
      </c>
      <c r="M527" s="46">
        <v>44.55</v>
      </c>
      <c r="N527" s="40" t="s">
        <v>114</v>
      </c>
      <c r="O527" s="42">
        <v>42</v>
      </c>
      <c r="P527" s="43">
        <v>42</v>
      </c>
      <c r="Q527" s="44">
        <v>13.98</v>
      </c>
      <c r="R527" s="45">
        <v>79</v>
      </c>
      <c r="S527" s="43">
        <v>45</v>
      </c>
      <c r="T527" s="46">
        <v>16.98</v>
      </c>
      <c r="U527" s="40">
        <v>3</v>
      </c>
      <c r="V527" s="47">
        <v>6132.5129457619996</v>
      </c>
      <c r="W527" s="48">
        <v>1979</v>
      </c>
      <c r="X527" s="40"/>
      <c r="Y527" s="52" t="s">
        <v>1081</v>
      </c>
      <c r="Z527" s="40" t="s">
        <v>910</v>
      </c>
      <c r="AA527" s="49">
        <f t="shared" si="79"/>
        <v>144665.98039052557</v>
      </c>
      <c r="AB527" s="71">
        <f t="shared" si="80"/>
        <v>0.80</v>
      </c>
      <c r="AC527" s="49">
        <f t="shared" si="81"/>
        <v>28933.20</v>
      </c>
      <c r="AD527" s="50">
        <f t="shared" si="82"/>
        <v>0</v>
      </c>
      <c r="AE527" s="50">
        <f t="shared" si="83"/>
        <v>0</v>
      </c>
      <c r="AF527" s="50">
        <f t="shared" si="84"/>
        <v>28933.20</v>
      </c>
      <c r="AG527" s="199">
        <f t="shared" si="85"/>
        <v>28933</v>
      </c>
      <c r="AH527" s="187"/>
      <c r="AI527" s="185" t="s">
        <v>1456</v>
      </c>
      <c r="AJ527" s="185"/>
      <c r="AK527" s="277">
        <f t="shared" si="78"/>
        <v>6132.51</v>
      </c>
      <c r="AL527" s="25">
        <f>(SUMIFS('T1 2019 Pipeline Data Lagasco'!$O:$O,'T1 2019 Pipeline Data Lagasco'!$A:$A,'Dec 31 2018 OFFS'!$AI527,'T1 2019 Pipeline Data Lagasco'!$Q:$Q,'Dec 31 2018 OFFS'!$AK527,'T1 2019 Pipeline Data Lagasco'!$E:$E,'Dec 31 2018 OFFS'!$U527,'T1 2019 Pipeline Data Lagasco'!$G:$G,'Dec 31 2018 OFFS'!$W527))/(MAX(COUNTIFS('T1 2019 Pipeline Data Lagasco'!$A:$A,'Dec 31 2018 OFFS'!$AI527,'T1 2019 Pipeline Data Lagasco'!$Q:$Q,'Dec 31 2018 OFFS'!$AK527,'T1 2019 Pipeline Data Lagasco'!$E:$E,'Dec 31 2018 OFFS'!$U527,'T1 2019 Pipeline Data Lagasco'!$G:$G,'Dec 31 2018 OFFS'!$W527),1))</f>
        <v>28933</v>
      </c>
      <c r="AM527" s="274">
        <f t="shared" si="86"/>
        <v>0</v>
      </c>
    </row>
    <row r="528" spans="1:39" ht="12.7">
      <c r="A528" s="193" t="s">
        <v>909</v>
      </c>
      <c r="B528" s="40" t="s">
        <v>918</v>
      </c>
      <c r="C528" s="40" t="s">
        <v>1266</v>
      </c>
      <c r="D528" s="40" t="s">
        <v>17</v>
      </c>
      <c r="E528" s="40" t="s">
        <v>64</v>
      </c>
      <c r="F528" s="40"/>
      <c r="G528" s="41" t="s">
        <v>114</v>
      </c>
      <c r="H528" s="42">
        <v>42</v>
      </c>
      <c r="I528" s="43">
        <v>42</v>
      </c>
      <c r="J528" s="44">
        <v>13.98</v>
      </c>
      <c r="K528" s="45">
        <v>79</v>
      </c>
      <c r="L528" s="43">
        <v>45</v>
      </c>
      <c r="M528" s="46">
        <v>16.98</v>
      </c>
      <c r="N528" s="40" t="s">
        <v>88</v>
      </c>
      <c r="O528" s="42">
        <v>42</v>
      </c>
      <c r="P528" s="43">
        <v>41</v>
      </c>
      <c r="Q528" s="44">
        <v>16.385999999999999</v>
      </c>
      <c r="R528" s="45">
        <v>79</v>
      </c>
      <c r="S528" s="43">
        <v>44</v>
      </c>
      <c r="T528" s="46">
        <v>20.196999999999999</v>
      </c>
      <c r="U528" s="40">
        <v>3</v>
      </c>
      <c r="V528" s="47">
        <v>7210.1703948679988</v>
      </c>
      <c r="W528" s="48">
        <v>1980</v>
      </c>
      <c r="X528" s="40"/>
      <c r="Y528" s="52" t="s">
        <v>1081</v>
      </c>
      <c r="Z528" s="40" t="s">
        <v>910</v>
      </c>
      <c r="AA528" s="49">
        <f t="shared" si="79"/>
        <v>170087.91961493608</v>
      </c>
      <c r="AB528" s="71">
        <f t="shared" si="80"/>
        <v>0.80</v>
      </c>
      <c r="AC528" s="49">
        <f t="shared" si="81"/>
        <v>34017.58</v>
      </c>
      <c r="AD528" s="50">
        <f t="shared" si="82"/>
        <v>0</v>
      </c>
      <c r="AE528" s="50">
        <f t="shared" si="83"/>
        <v>0</v>
      </c>
      <c r="AF528" s="50">
        <f t="shared" si="84"/>
        <v>34017.58</v>
      </c>
      <c r="AG528" s="199">
        <f t="shared" si="85"/>
        <v>34017</v>
      </c>
      <c r="AH528" s="187"/>
      <c r="AI528" s="185" t="s">
        <v>1456</v>
      </c>
      <c r="AJ528" s="185"/>
      <c r="AK528" s="277">
        <f t="shared" si="78"/>
        <v>7210.17</v>
      </c>
      <c r="AL528" s="25">
        <f>(SUMIFS('T1 2019 Pipeline Data Lagasco'!$O:$O,'T1 2019 Pipeline Data Lagasco'!$A:$A,'Dec 31 2018 OFFS'!$AI528,'T1 2019 Pipeline Data Lagasco'!$Q:$Q,'Dec 31 2018 OFFS'!$AK528,'T1 2019 Pipeline Data Lagasco'!$E:$E,'Dec 31 2018 OFFS'!$U528,'T1 2019 Pipeline Data Lagasco'!$G:$G,'Dec 31 2018 OFFS'!$W528))/(MAX(COUNTIFS('T1 2019 Pipeline Data Lagasco'!$A:$A,'Dec 31 2018 OFFS'!$AI528,'T1 2019 Pipeline Data Lagasco'!$Q:$Q,'Dec 31 2018 OFFS'!$AK528,'T1 2019 Pipeline Data Lagasco'!$E:$E,'Dec 31 2018 OFFS'!$U528,'T1 2019 Pipeline Data Lagasco'!$G:$G,'Dec 31 2018 OFFS'!$W528),1))</f>
        <v>34017</v>
      </c>
      <c r="AM528" s="274">
        <f t="shared" si="86"/>
        <v>0</v>
      </c>
    </row>
    <row r="529" spans="1:39" ht="12.7">
      <c r="A529" s="193" t="s">
        <v>909</v>
      </c>
      <c r="B529" s="40" t="s">
        <v>918</v>
      </c>
      <c r="C529" s="40" t="s">
        <v>1266</v>
      </c>
      <c r="D529" s="40" t="s">
        <v>17</v>
      </c>
      <c r="E529" s="40" t="s">
        <v>64</v>
      </c>
      <c r="F529" s="40"/>
      <c r="G529" s="41" t="s">
        <v>112</v>
      </c>
      <c r="H529" s="42">
        <v>42</v>
      </c>
      <c r="I529" s="43">
        <v>42</v>
      </c>
      <c r="J529" s="44">
        <v>48</v>
      </c>
      <c r="K529" s="45">
        <v>79</v>
      </c>
      <c r="L529" s="43">
        <v>46</v>
      </c>
      <c r="M529" s="46">
        <v>46.98</v>
      </c>
      <c r="N529" s="40" t="s">
        <v>115</v>
      </c>
      <c r="O529" s="42">
        <v>42</v>
      </c>
      <c r="P529" s="43">
        <v>41</v>
      </c>
      <c r="Q529" s="44">
        <v>46.98</v>
      </c>
      <c r="R529" s="45">
        <v>79</v>
      </c>
      <c r="S529" s="43">
        <v>46</v>
      </c>
      <c r="T529" s="46">
        <v>1.02</v>
      </c>
      <c r="U529" s="40">
        <v>3</v>
      </c>
      <c r="V529" s="47">
        <v>7067.2570131799994</v>
      </c>
      <c r="W529" s="48">
        <v>1980</v>
      </c>
      <c r="X529" s="40"/>
      <c r="Y529" s="52" t="s">
        <v>1081</v>
      </c>
      <c r="Z529" s="40" t="s">
        <v>910</v>
      </c>
      <c r="AA529" s="49">
        <f t="shared" si="79"/>
        <v>166716.59294091619</v>
      </c>
      <c r="AB529" s="71">
        <f t="shared" si="80"/>
        <v>0.80</v>
      </c>
      <c r="AC529" s="49">
        <f t="shared" si="81"/>
        <v>33343.32</v>
      </c>
      <c r="AD529" s="50">
        <f t="shared" si="82"/>
        <v>0</v>
      </c>
      <c r="AE529" s="50">
        <f t="shared" si="83"/>
        <v>0</v>
      </c>
      <c r="AF529" s="50">
        <f t="shared" si="84"/>
        <v>33343.32</v>
      </c>
      <c r="AG529" s="199">
        <f t="shared" si="85"/>
        <v>33343</v>
      </c>
      <c r="AH529" s="187"/>
      <c r="AI529" s="185" t="s">
        <v>1456</v>
      </c>
      <c r="AJ529" s="185"/>
      <c r="AK529" s="277">
        <f t="shared" si="78"/>
        <v>7067.26</v>
      </c>
      <c r="AL529" s="25">
        <f>(SUMIFS('T1 2019 Pipeline Data Lagasco'!$O:$O,'T1 2019 Pipeline Data Lagasco'!$A:$A,'Dec 31 2018 OFFS'!$AI529,'T1 2019 Pipeline Data Lagasco'!$Q:$Q,'Dec 31 2018 OFFS'!$AK529,'T1 2019 Pipeline Data Lagasco'!$E:$E,'Dec 31 2018 OFFS'!$U529,'T1 2019 Pipeline Data Lagasco'!$G:$G,'Dec 31 2018 OFFS'!$W529))/(MAX(COUNTIFS('T1 2019 Pipeline Data Lagasco'!$A:$A,'Dec 31 2018 OFFS'!$AI529,'T1 2019 Pipeline Data Lagasco'!$Q:$Q,'Dec 31 2018 OFFS'!$AK529,'T1 2019 Pipeline Data Lagasco'!$E:$E,'Dec 31 2018 OFFS'!$U529,'T1 2019 Pipeline Data Lagasco'!$G:$G,'Dec 31 2018 OFFS'!$W529),1))</f>
        <v>33343</v>
      </c>
      <c r="AM529" s="274">
        <f t="shared" si="86"/>
        <v>0</v>
      </c>
    </row>
    <row r="530" spans="1:39" ht="12.7">
      <c r="A530" s="193" t="s">
        <v>909</v>
      </c>
      <c r="B530" s="40" t="s">
        <v>918</v>
      </c>
      <c r="C530" s="40" t="s">
        <v>1266</v>
      </c>
      <c r="D530" s="40" t="s">
        <v>17</v>
      </c>
      <c r="E530" s="40" t="s">
        <v>64</v>
      </c>
      <c r="F530" s="40"/>
      <c r="G530" s="41" t="s">
        <v>1212</v>
      </c>
      <c r="H530" s="42">
        <v>42</v>
      </c>
      <c r="I530" s="43">
        <v>42</v>
      </c>
      <c r="J530" s="44">
        <v>22.20</v>
      </c>
      <c r="K530" s="45">
        <v>79</v>
      </c>
      <c r="L530" s="43">
        <v>46</v>
      </c>
      <c r="M530" s="46">
        <v>9.36</v>
      </c>
      <c r="N530" s="41" t="s">
        <v>115</v>
      </c>
      <c r="O530" s="42">
        <v>42</v>
      </c>
      <c r="P530" s="43">
        <v>41</v>
      </c>
      <c r="Q530" s="44">
        <v>44.22</v>
      </c>
      <c r="R530" s="45">
        <v>79</v>
      </c>
      <c r="S530" s="43">
        <v>46</v>
      </c>
      <c r="T530" s="46">
        <v>2.94</v>
      </c>
      <c r="U530" s="40">
        <v>3</v>
      </c>
      <c r="V530" s="47">
        <v>3870</v>
      </c>
      <c r="W530" s="48">
        <v>2004</v>
      </c>
      <c r="X530" s="40"/>
      <c r="Y530" s="52" t="s">
        <v>1081</v>
      </c>
      <c r="Z530" s="40" t="s">
        <v>910</v>
      </c>
      <c r="AA530" s="49">
        <f t="shared" si="79"/>
        <v>91293.30</v>
      </c>
      <c r="AB530" s="71">
        <f t="shared" si="80"/>
        <v>0.56000000000000005</v>
      </c>
      <c r="AC530" s="49">
        <f t="shared" si="81"/>
        <v>40169.050000000003</v>
      </c>
      <c r="AD530" s="50">
        <f t="shared" si="82"/>
        <v>0</v>
      </c>
      <c r="AE530" s="50">
        <f t="shared" si="83"/>
        <v>0</v>
      </c>
      <c r="AF530" s="50">
        <f t="shared" si="84"/>
        <v>40169.050000000003</v>
      </c>
      <c r="AG530" s="199">
        <f t="shared" si="85"/>
        <v>40169</v>
      </c>
      <c r="AH530" s="187"/>
      <c r="AI530" s="185" t="s">
        <v>1456</v>
      </c>
      <c r="AJ530" s="185"/>
      <c r="AK530" s="277">
        <f t="shared" si="78"/>
        <v>3870</v>
      </c>
      <c r="AL530" s="25">
        <f>(SUMIFS('T1 2019 Pipeline Data Lagasco'!$O:$O,'T1 2019 Pipeline Data Lagasco'!$A:$A,'Dec 31 2018 OFFS'!$AI530,'T1 2019 Pipeline Data Lagasco'!$Q:$Q,'Dec 31 2018 OFFS'!$AK530,'T1 2019 Pipeline Data Lagasco'!$E:$E,'Dec 31 2018 OFFS'!$U530,'T1 2019 Pipeline Data Lagasco'!$G:$G,'Dec 31 2018 OFFS'!$W530))/(MAX(COUNTIFS('T1 2019 Pipeline Data Lagasco'!$A:$A,'Dec 31 2018 OFFS'!$AI530,'T1 2019 Pipeline Data Lagasco'!$Q:$Q,'Dec 31 2018 OFFS'!$AK530,'T1 2019 Pipeline Data Lagasco'!$E:$E,'Dec 31 2018 OFFS'!$U530,'T1 2019 Pipeline Data Lagasco'!$G:$G,'Dec 31 2018 OFFS'!$W530),1))</f>
        <v>40169</v>
      </c>
      <c r="AM530" s="274">
        <f t="shared" si="86"/>
        <v>0</v>
      </c>
    </row>
    <row r="531" spans="1:39" ht="12.7">
      <c r="A531" s="193" t="s">
        <v>909</v>
      </c>
      <c r="B531" s="40" t="s">
        <v>918</v>
      </c>
      <c r="C531" s="40" t="s">
        <v>1266</v>
      </c>
      <c r="D531" s="40" t="s">
        <v>17</v>
      </c>
      <c r="E531" s="40" t="s">
        <v>64</v>
      </c>
      <c r="F531" s="40"/>
      <c r="G531" s="41" t="s">
        <v>110</v>
      </c>
      <c r="H531" s="42">
        <v>42</v>
      </c>
      <c r="I531" s="43">
        <v>42</v>
      </c>
      <c r="J531" s="44">
        <v>49.98</v>
      </c>
      <c r="K531" s="45">
        <v>79</v>
      </c>
      <c r="L531" s="43">
        <v>49</v>
      </c>
      <c r="M531" s="46">
        <v>45</v>
      </c>
      <c r="N531" s="40" t="s">
        <v>116</v>
      </c>
      <c r="O531" s="42">
        <v>42</v>
      </c>
      <c r="P531" s="43">
        <v>42</v>
      </c>
      <c r="Q531" s="44">
        <v>15.90</v>
      </c>
      <c r="R531" s="45">
        <v>79</v>
      </c>
      <c r="S531" s="43">
        <v>48</v>
      </c>
      <c r="T531" s="46">
        <v>47.10</v>
      </c>
      <c r="U531" s="40">
        <v>3</v>
      </c>
      <c r="V531" s="47">
        <v>5531.2990524119996</v>
      </c>
      <c r="W531" s="48">
        <v>1982</v>
      </c>
      <c r="X531" s="40"/>
      <c r="Y531" s="52" t="s">
        <v>1081</v>
      </c>
      <c r="Z531" s="40" t="s">
        <v>910</v>
      </c>
      <c r="AA531" s="49">
        <f t="shared" si="79"/>
        <v>130483.34464639907</v>
      </c>
      <c r="AB531" s="71">
        <f t="shared" si="80"/>
        <v>0.80</v>
      </c>
      <c r="AC531" s="49">
        <f t="shared" si="81"/>
        <v>26096.67</v>
      </c>
      <c r="AD531" s="50">
        <f t="shared" si="82"/>
        <v>0</v>
      </c>
      <c r="AE531" s="50">
        <f t="shared" si="83"/>
        <v>0</v>
      </c>
      <c r="AF531" s="50">
        <f t="shared" si="84"/>
        <v>26096.67</v>
      </c>
      <c r="AG531" s="199">
        <f t="shared" si="85"/>
        <v>26096</v>
      </c>
      <c r="AH531" s="187"/>
      <c r="AI531" s="185" t="s">
        <v>1456</v>
      </c>
      <c r="AJ531" s="185"/>
      <c r="AK531" s="277">
        <f t="shared" si="78"/>
        <v>5531.30</v>
      </c>
      <c r="AL531" s="25">
        <f>(SUMIFS('T1 2019 Pipeline Data Lagasco'!$O:$O,'T1 2019 Pipeline Data Lagasco'!$A:$A,'Dec 31 2018 OFFS'!$AI531,'T1 2019 Pipeline Data Lagasco'!$Q:$Q,'Dec 31 2018 OFFS'!$AK531,'T1 2019 Pipeline Data Lagasco'!$E:$E,'Dec 31 2018 OFFS'!$U531,'T1 2019 Pipeline Data Lagasco'!$G:$G,'Dec 31 2018 OFFS'!$W531))/(MAX(COUNTIFS('T1 2019 Pipeline Data Lagasco'!$A:$A,'Dec 31 2018 OFFS'!$AI531,'T1 2019 Pipeline Data Lagasco'!$Q:$Q,'Dec 31 2018 OFFS'!$AK531,'T1 2019 Pipeline Data Lagasco'!$E:$E,'Dec 31 2018 OFFS'!$U531,'T1 2019 Pipeline Data Lagasco'!$G:$G,'Dec 31 2018 OFFS'!$W531),1))</f>
        <v>26096</v>
      </c>
      <c r="AM531" s="274">
        <f t="shared" si="86"/>
        <v>0</v>
      </c>
    </row>
    <row r="532" spans="1:39" ht="12.7">
      <c r="A532" s="193" t="s">
        <v>909</v>
      </c>
      <c r="B532" s="40" t="s">
        <v>918</v>
      </c>
      <c r="C532" s="40" t="s">
        <v>1266</v>
      </c>
      <c r="D532" s="40" t="s">
        <v>17</v>
      </c>
      <c r="E532" s="40" t="s">
        <v>64</v>
      </c>
      <c r="F532" s="40"/>
      <c r="G532" s="41" t="s">
        <v>1230</v>
      </c>
      <c r="H532" s="42">
        <v>42</v>
      </c>
      <c r="I532" s="43">
        <v>41</v>
      </c>
      <c r="J532" s="44">
        <f>60*0.103</f>
        <v>6.18</v>
      </c>
      <c r="K532" s="45">
        <v>79</v>
      </c>
      <c r="L532" s="43">
        <v>49</v>
      </c>
      <c r="M532" s="46">
        <f>60*0.822</f>
        <v>49.32</v>
      </c>
      <c r="N532" s="41" t="s">
        <v>123</v>
      </c>
      <c r="O532" s="42">
        <v>42</v>
      </c>
      <c r="P532" s="43">
        <v>42</v>
      </c>
      <c r="Q532" s="44">
        <f>60*0.189</f>
        <v>11.34</v>
      </c>
      <c r="R532" s="45">
        <v>79</v>
      </c>
      <c r="S532" s="43">
        <v>50</v>
      </c>
      <c r="T532" s="46">
        <f>60*0.731</f>
        <v>43.86</v>
      </c>
      <c r="U532" s="40">
        <v>3</v>
      </c>
      <c r="V532" s="47">
        <v>7745</v>
      </c>
      <c r="W532" s="48">
        <v>2005</v>
      </c>
      <c r="X532" s="40"/>
      <c r="Y532" s="52"/>
      <c r="Z532" s="40" t="s">
        <v>910</v>
      </c>
      <c r="AA532" s="49">
        <f t="shared" si="79"/>
        <v>182704.55</v>
      </c>
      <c r="AB532" s="71">
        <f t="shared" si="80"/>
        <v>0.54</v>
      </c>
      <c r="AC532" s="49">
        <f t="shared" si="81"/>
        <v>84044.09</v>
      </c>
      <c r="AD532" s="50">
        <f t="shared" si="82"/>
        <v>0</v>
      </c>
      <c r="AE532" s="50">
        <f t="shared" si="83"/>
        <v>0</v>
      </c>
      <c r="AF532" s="50">
        <f t="shared" si="84"/>
        <v>84044.09</v>
      </c>
      <c r="AG532" s="199">
        <f t="shared" si="85"/>
        <v>84044</v>
      </c>
      <c r="AH532" s="187"/>
      <c r="AI532" s="185" t="s">
        <v>1456</v>
      </c>
      <c r="AJ532" s="185"/>
      <c r="AK532" s="277">
        <f t="shared" si="78"/>
        <v>7745</v>
      </c>
      <c r="AL532" s="25">
        <f>(SUMIFS('T1 2019 Pipeline Data Lagasco'!$O:$O,'T1 2019 Pipeline Data Lagasco'!$A:$A,'Dec 31 2018 OFFS'!$AI532,'T1 2019 Pipeline Data Lagasco'!$Q:$Q,'Dec 31 2018 OFFS'!$AK532,'T1 2019 Pipeline Data Lagasco'!$E:$E,'Dec 31 2018 OFFS'!$U532,'T1 2019 Pipeline Data Lagasco'!$G:$G,'Dec 31 2018 OFFS'!$W532))/(MAX(COUNTIFS('T1 2019 Pipeline Data Lagasco'!$A:$A,'Dec 31 2018 OFFS'!$AI532,'T1 2019 Pipeline Data Lagasco'!$Q:$Q,'Dec 31 2018 OFFS'!$AK532,'T1 2019 Pipeline Data Lagasco'!$E:$E,'Dec 31 2018 OFFS'!$U532,'T1 2019 Pipeline Data Lagasco'!$G:$G,'Dec 31 2018 OFFS'!$W532),1))</f>
        <v>84044</v>
      </c>
      <c r="AM532" s="274">
        <f t="shared" si="86"/>
        <v>0</v>
      </c>
    </row>
    <row r="533" spans="1:39" ht="12.7">
      <c r="A533" s="193" t="s">
        <v>909</v>
      </c>
      <c r="B533" s="40" t="s">
        <v>918</v>
      </c>
      <c r="C533" s="40" t="s">
        <v>1266</v>
      </c>
      <c r="D533" s="40" t="s">
        <v>17</v>
      </c>
      <c r="E533" s="40" t="s">
        <v>64</v>
      </c>
      <c r="F533" s="40"/>
      <c r="G533" s="41" t="s">
        <v>1231</v>
      </c>
      <c r="H533" s="42">
        <v>42</v>
      </c>
      <c r="I533" s="43">
        <v>41</v>
      </c>
      <c r="J533" s="44">
        <f>60*0.22</f>
        <v>13.20</v>
      </c>
      <c r="K533" s="45">
        <v>79</v>
      </c>
      <c r="L533" s="43">
        <v>48</v>
      </c>
      <c r="M533" s="46">
        <f>60*0.155</f>
        <v>9.3000000000000007</v>
      </c>
      <c r="N533" s="41" t="s">
        <v>1232</v>
      </c>
      <c r="O533" s="42">
        <v>42</v>
      </c>
      <c r="P533" s="43">
        <v>41</v>
      </c>
      <c r="Q533" s="44">
        <f>60*0.103</f>
        <v>6.18</v>
      </c>
      <c r="R533" s="45">
        <v>79</v>
      </c>
      <c r="S533" s="43">
        <v>49</v>
      </c>
      <c r="T533" s="46">
        <f>60*0.822</f>
        <v>49.32</v>
      </c>
      <c r="U533" s="40">
        <v>3</v>
      </c>
      <c r="V533" s="47">
        <v>7463</v>
      </c>
      <c r="W533" s="48">
        <v>2005</v>
      </c>
      <c r="X533" s="40"/>
      <c r="Y533" s="52"/>
      <c r="Z533" s="40" t="s">
        <v>910</v>
      </c>
      <c r="AA533" s="49">
        <f t="shared" si="79"/>
        <v>176052.17</v>
      </c>
      <c r="AB533" s="71">
        <f t="shared" si="80"/>
        <v>0.54</v>
      </c>
      <c r="AC533" s="49">
        <f t="shared" si="81"/>
        <v>80984</v>
      </c>
      <c r="AD533" s="50">
        <f t="shared" si="82"/>
        <v>0</v>
      </c>
      <c r="AE533" s="50">
        <f t="shared" si="83"/>
        <v>0</v>
      </c>
      <c r="AF533" s="50">
        <f t="shared" si="84"/>
        <v>80984</v>
      </c>
      <c r="AG533" s="199">
        <f t="shared" si="85"/>
        <v>80984</v>
      </c>
      <c r="AH533" s="187"/>
      <c r="AI533" s="185" t="s">
        <v>1456</v>
      </c>
      <c r="AJ533" s="185"/>
      <c r="AK533" s="277">
        <f t="shared" si="78"/>
        <v>7463</v>
      </c>
      <c r="AL533" s="25">
        <f>(SUMIFS('T1 2019 Pipeline Data Lagasco'!$O:$O,'T1 2019 Pipeline Data Lagasco'!$A:$A,'Dec 31 2018 OFFS'!$AI533,'T1 2019 Pipeline Data Lagasco'!$Q:$Q,'Dec 31 2018 OFFS'!$AK533,'T1 2019 Pipeline Data Lagasco'!$E:$E,'Dec 31 2018 OFFS'!$U533,'T1 2019 Pipeline Data Lagasco'!$G:$G,'Dec 31 2018 OFFS'!$W533))/(MAX(COUNTIFS('T1 2019 Pipeline Data Lagasco'!$A:$A,'Dec 31 2018 OFFS'!$AI533,'T1 2019 Pipeline Data Lagasco'!$Q:$Q,'Dec 31 2018 OFFS'!$AK533,'T1 2019 Pipeline Data Lagasco'!$E:$E,'Dec 31 2018 OFFS'!$U533,'T1 2019 Pipeline Data Lagasco'!$G:$G,'Dec 31 2018 OFFS'!$W533),1))</f>
        <v>80983</v>
      </c>
      <c r="AM533" s="274">
        <f t="shared" si="86"/>
        <v>1</v>
      </c>
    </row>
    <row r="534" spans="1:39" ht="12.7">
      <c r="A534" s="193" t="s">
        <v>909</v>
      </c>
      <c r="B534" s="40" t="s">
        <v>918</v>
      </c>
      <c r="C534" s="40" t="s">
        <v>1266</v>
      </c>
      <c r="D534" s="40" t="s">
        <v>17</v>
      </c>
      <c r="E534" s="40" t="s">
        <v>64</v>
      </c>
      <c r="F534" s="40"/>
      <c r="G534" s="41" t="s">
        <v>1233</v>
      </c>
      <c r="H534" s="42">
        <v>42</v>
      </c>
      <c r="I534" s="43">
        <v>41</v>
      </c>
      <c r="J534" s="44">
        <f>60*0.853</f>
        <v>51.18</v>
      </c>
      <c r="K534" s="45">
        <v>79</v>
      </c>
      <c r="L534" s="43">
        <v>47</v>
      </c>
      <c r="M534" s="46">
        <f>60*0.206</f>
        <v>12.36</v>
      </c>
      <c r="N534" s="41" t="s">
        <v>1234</v>
      </c>
      <c r="O534" s="42">
        <v>42</v>
      </c>
      <c r="P534" s="43">
        <v>41</v>
      </c>
      <c r="Q534" s="44">
        <f>60*0.22</f>
        <v>13.20</v>
      </c>
      <c r="R534" s="45">
        <v>79</v>
      </c>
      <c r="S534" s="43">
        <v>48</v>
      </c>
      <c r="T534" s="46">
        <f>60*0.155</f>
        <v>9.3000000000000007</v>
      </c>
      <c r="U534" s="40">
        <v>3</v>
      </c>
      <c r="V534" s="47">
        <v>5691</v>
      </c>
      <c r="W534" s="48">
        <v>2005</v>
      </c>
      <c r="X534" s="40"/>
      <c r="Y534" s="52"/>
      <c r="Z534" s="40" t="s">
        <v>910</v>
      </c>
      <c r="AA534" s="49">
        <f t="shared" si="79"/>
        <v>134250.69</v>
      </c>
      <c r="AB534" s="71">
        <f t="shared" si="80"/>
        <v>0.54</v>
      </c>
      <c r="AC534" s="49">
        <f t="shared" si="81"/>
        <v>61755.32</v>
      </c>
      <c r="AD534" s="50">
        <f t="shared" si="82"/>
        <v>0</v>
      </c>
      <c r="AE534" s="50">
        <f t="shared" si="83"/>
        <v>0</v>
      </c>
      <c r="AF534" s="50">
        <f t="shared" si="84"/>
        <v>61755.32</v>
      </c>
      <c r="AG534" s="199">
        <f t="shared" si="85"/>
        <v>61755</v>
      </c>
      <c r="AH534" s="187"/>
      <c r="AI534" s="185" t="s">
        <v>1456</v>
      </c>
      <c r="AJ534" s="185"/>
      <c r="AK534" s="277">
        <f t="shared" si="78"/>
        <v>5691</v>
      </c>
      <c r="AL534" s="25">
        <f>(SUMIFS('T1 2019 Pipeline Data Lagasco'!$O:$O,'T1 2019 Pipeline Data Lagasco'!$A:$A,'Dec 31 2018 OFFS'!$AI534,'T1 2019 Pipeline Data Lagasco'!$Q:$Q,'Dec 31 2018 OFFS'!$AK534,'T1 2019 Pipeline Data Lagasco'!$E:$E,'Dec 31 2018 OFFS'!$U534,'T1 2019 Pipeline Data Lagasco'!$G:$G,'Dec 31 2018 OFFS'!$W534))/(MAX(COUNTIFS('T1 2019 Pipeline Data Lagasco'!$A:$A,'Dec 31 2018 OFFS'!$AI534,'T1 2019 Pipeline Data Lagasco'!$Q:$Q,'Dec 31 2018 OFFS'!$AK534,'T1 2019 Pipeline Data Lagasco'!$E:$E,'Dec 31 2018 OFFS'!$U534,'T1 2019 Pipeline Data Lagasco'!$G:$G,'Dec 31 2018 OFFS'!$W534),1))</f>
        <v>61755</v>
      </c>
      <c r="AM534" s="274">
        <f t="shared" si="86"/>
        <v>0</v>
      </c>
    </row>
    <row r="535" spans="1:39" ht="12.7">
      <c r="A535" s="193" t="s">
        <v>909</v>
      </c>
      <c r="B535" s="40" t="s">
        <v>918</v>
      </c>
      <c r="C535" s="40" t="s">
        <v>1266</v>
      </c>
      <c r="D535" s="40" t="s">
        <v>17</v>
      </c>
      <c r="E535" s="40" t="s">
        <v>64</v>
      </c>
      <c r="F535" s="40"/>
      <c r="G535" s="41" t="s">
        <v>115</v>
      </c>
      <c r="H535" s="42">
        <v>42</v>
      </c>
      <c r="I535" s="43">
        <v>41</v>
      </c>
      <c r="J535" s="44">
        <v>46.98</v>
      </c>
      <c r="K535" s="45">
        <v>79</v>
      </c>
      <c r="L535" s="43">
        <v>46</v>
      </c>
      <c r="M535" s="46">
        <v>1.02</v>
      </c>
      <c r="N535" s="40" t="s">
        <v>117</v>
      </c>
      <c r="O535" s="42">
        <v>42</v>
      </c>
      <c r="P535" s="43">
        <v>41</v>
      </c>
      <c r="Q535" s="44">
        <v>13.02</v>
      </c>
      <c r="R535" s="45">
        <v>79</v>
      </c>
      <c r="S535" s="43">
        <v>45</v>
      </c>
      <c r="T535" s="46">
        <v>45</v>
      </c>
      <c r="U535" s="40">
        <v>3</v>
      </c>
      <c r="V535" s="47">
        <v>3640.551075672</v>
      </c>
      <c r="W535" s="48">
        <v>1982</v>
      </c>
      <c r="X535" s="40"/>
      <c r="Y535" s="52" t="s">
        <v>1081</v>
      </c>
      <c r="Z535" s="40" t="s">
        <v>910</v>
      </c>
      <c r="AA535" s="49">
        <f t="shared" si="79"/>
        <v>85880.599875102474</v>
      </c>
      <c r="AB535" s="71">
        <f t="shared" si="80"/>
        <v>0.80</v>
      </c>
      <c r="AC535" s="49">
        <f t="shared" si="81"/>
        <v>17176.12</v>
      </c>
      <c r="AD535" s="50">
        <f t="shared" si="82"/>
        <v>0</v>
      </c>
      <c r="AE535" s="50">
        <f t="shared" si="83"/>
        <v>0</v>
      </c>
      <c r="AF535" s="50">
        <f t="shared" si="84"/>
        <v>17176.12</v>
      </c>
      <c r="AG535" s="199">
        <f t="shared" si="85"/>
        <v>17176</v>
      </c>
      <c r="AH535" s="187"/>
      <c r="AI535" s="185" t="s">
        <v>1456</v>
      </c>
      <c r="AJ535" s="185"/>
      <c r="AK535" s="277">
        <f t="shared" si="78"/>
        <v>3640.55</v>
      </c>
      <c r="AL535" s="25">
        <f>(SUMIFS('T1 2019 Pipeline Data Lagasco'!$O:$O,'T1 2019 Pipeline Data Lagasco'!$A:$A,'Dec 31 2018 OFFS'!$AI535,'T1 2019 Pipeline Data Lagasco'!$Q:$Q,'Dec 31 2018 OFFS'!$AK535,'T1 2019 Pipeline Data Lagasco'!$E:$E,'Dec 31 2018 OFFS'!$U535,'T1 2019 Pipeline Data Lagasco'!$G:$G,'Dec 31 2018 OFFS'!$W535))/(MAX(COUNTIFS('T1 2019 Pipeline Data Lagasco'!$A:$A,'Dec 31 2018 OFFS'!$AI535,'T1 2019 Pipeline Data Lagasco'!$Q:$Q,'Dec 31 2018 OFFS'!$AK535,'T1 2019 Pipeline Data Lagasco'!$E:$E,'Dec 31 2018 OFFS'!$U535,'T1 2019 Pipeline Data Lagasco'!$G:$G,'Dec 31 2018 OFFS'!$W535),1))</f>
        <v>17176</v>
      </c>
      <c r="AM535" s="274">
        <f t="shared" si="86"/>
        <v>0</v>
      </c>
    </row>
    <row r="536" spans="1:39" ht="12.7">
      <c r="A536" s="193" t="s">
        <v>909</v>
      </c>
      <c r="B536" s="40" t="s">
        <v>918</v>
      </c>
      <c r="C536" s="40" t="s">
        <v>1266</v>
      </c>
      <c r="D536" s="40" t="s">
        <v>17</v>
      </c>
      <c r="E536" s="40" t="s">
        <v>64</v>
      </c>
      <c r="F536" s="40"/>
      <c r="G536" s="41" t="s">
        <v>115</v>
      </c>
      <c r="H536" s="42">
        <v>42</v>
      </c>
      <c r="I536" s="43">
        <v>41</v>
      </c>
      <c r="J536" s="44">
        <v>46.98</v>
      </c>
      <c r="K536" s="45">
        <v>79</v>
      </c>
      <c r="L536" s="43">
        <v>46</v>
      </c>
      <c r="M536" s="46">
        <v>1.02</v>
      </c>
      <c r="N536" s="41" t="s">
        <v>118</v>
      </c>
      <c r="O536" s="42">
        <v>42</v>
      </c>
      <c r="P536" s="43">
        <v>41</v>
      </c>
      <c r="Q536" s="44">
        <v>40.98</v>
      </c>
      <c r="R536" s="45">
        <v>79</v>
      </c>
      <c r="S536" s="43">
        <v>46</v>
      </c>
      <c r="T536" s="46">
        <v>16.98</v>
      </c>
      <c r="U536" s="40">
        <v>3</v>
      </c>
      <c r="V536" s="47">
        <v>1337.7952368479998</v>
      </c>
      <c r="W536" s="48">
        <v>1980</v>
      </c>
      <c r="X536" s="40"/>
      <c r="Y536" s="52" t="s">
        <v>1081</v>
      </c>
      <c r="Z536" s="40" t="s">
        <v>910</v>
      </c>
      <c r="AA536" s="49">
        <f t="shared" si="79"/>
        <v>31558.589637244317</v>
      </c>
      <c r="AB536" s="71">
        <f t="shared" si="80"/>
        <v>0.80</v>
      </c>
      <c r="AC536" s="49">
        <f t="shared" si="81"/>
        <v>6311.72</v>
      </c>
      <c r="AD536" s="50">
        <f t="shared" si="82"/>
        <v>0</v>
      </c>
      <c r="AE536" s="50">
        <f t="shared" si="83"/>
        <v>0</v>
      </c>
      <c r="AF536" s="50">
        <f t="shared" si="84"/>
        <v>6311.72</v>
      </c>
      <c r="AG536" s="199">
        <f t="shared" si="85"/>
        <v>6311</v>
      </c>
      <c r="AH536" s="187"/>
      <c r="AI536" s="185" t="s">
        <v>1456</v>
      </c>
      <c r="AJ536" s="185"/>
      <c r="AK536" s="277">
        <f t="shared" si="78"/>
        <v>1337.80</v>
      </c>
      <c r="AL536" s="25">
        <f>(SUMIFS('T1 2019 Pipeline Data Lagasco'!$O:$O,'T1 2019 Pipeline Data Lagasco'!$A:$A,'Dec 31 2018 OFFS'!$AI536,'T1 2019 Pipeline Data Lagasco'!$Q:$Q,'Dec 31 2018 OFFS'!$AK536,'T1 2019 Pipeline Data Lagasco'!$E:$E,'Dec 31 2018 OFFS'!$U536,'T1 2019 Pipeline Data Lagasco'!$G:$G,'Dec 31 2018 OFFS'!$W536))/(MAX(COUNTIFS('T1 2019 Pipeline Data Lagasco'!$A:$A,'Dec 31 2018 OFFS'!$AI536,'T1 2019 Pipeline Data Lagasco'!$Q:$Q,'Dec 31 2018 OFFS'!$AK536,'T1 2019 Pipeline Data Lagasco'!$E:$E,'Dec 31 2018 OFFS'!$U536,'T1 2019 Pipeline Data Lagasco'!$G:$G,'Dec 31 2018 OFFS'!$W536),1))</f>
        <v>6311</v>
      </c>
      <c r="AM536" s="274">
        <f t="shared" si="86"/>
        <v>0</v>
      </c>
    </row>
    <row r="537" spans="1:39" ht="12.7">
      <c r="A537" s="193" t="s">
        <v>909</v>
      </c>
      <c r="B537" s="40" t="s">
        <v>918</v>
      </c>
      <c r="C537" s="40" t="s">
        <v>1266</v>
      </c>
      <c r="D537" s="40" t="s">
        <v>17</v>
      </c>
      <c r="E537" s="40" t="s">
        <v>64</v>
      </c>
      <c r="F537" s="40"/>
      <c r="G537" s="41" t="s">
        <v>1198</v>
      </c>
      <c r="H537" s="42">
        <v>42</v>
      </c>
      <c r="I537" s="43">
        <v>41</v>
      </c>
      <c r="J537" s="44">
        <v>7.56</v>
      </c>
      <c r="K537" s="45">
        <v>79</v>
      </c>
      <c r="L537" s="43">
        <v>46</v>
      </c>
      <c r="M537" s="46">
        <v>50.28</v>
      </c>
      <c r="N537" s="41" t="s">
        <v>115</v>
      </c>
      <c r="O537" s="42">
        <v>42</v>
      </c>
      <c r="P537" s="43">
        <v>41</v>
      </c>
      <c r="Q537" s="44">
        <v>44.22</v>
      </c>
      <c r="R537" s="45">
        <v>79</v>
      </c>
      <c r="S537" s="43">
        <v>46</v>
      </c>
      <c r="T537" s="46">
        <v>2.94</v>
      </c>
      <c r="U537" s="40">
        <v>3</v>
      </c>
      <c r="V537" s="47">
        <v>5122</v>
      </c>
      <c r="W537" s="48">
        <v>2004</v>
      </c>
      <c r="X537" s="40"/>
      <c r="Y537" s="52" t="s">
        <v>1081</v>
      </c>
      <c r="Z537" s="40" t="s">
        <v>910</v>
      </c>
      <c r="AA537" s="49">
        <f t="shared" si="79"/>
        <v>120827.98</v>
      </c>
      <c r="AB537" s="71">
        <f t="shared" si="80"/>
        <v>0.56000000000000005</v>
      </c>
      <c r="AC537" s="49">
        <f t="shared" si="81"/>
        <v>53164.31</v>
      </c>
      <c r="AD537" s="50">
        <f t="shared" si="82"/>
        <v>0</v>
      </c>
      <c r="AE537" s="50">
        <f t="shared" si="83"/>
        <v>0</v>
      </c>
      <c r="AF537" s="50">
        <f t="shared" si="84"/>
        <v>53164.31</v>
      </c>
      <c r="AG537" s="199">
        <f t="shared" si="85"/>
        <v>53164</v>
      </c>
      <c r="AH537" s="187"/>
      <c r="AI537" s="185" t="s">
        <v>1456</v>
      </c>
      <c r="AJ537" s="185"/>
      <c r="AK537" s="277">
        <f t="shared" si="78"/>
        <v>5122</v>
      </c>
      <c r="AL537" s="25">
        <f>(SUMIFS('T1 2019 Pipeline Data Lagasco'!$O:$O,'T1 2019 Pipeline Data Lagasco'!$A:$A,'Dec 31 2018 OFFS'!$AI537,'T1 2019 Pipeline Data Lagasco'!$Q:$Q,'Dec 31 2018 OFFS'!$AK537,'T1 2019 Pipeline Data Lagasco'!$E:$E,'Dec 31 2018 OFFS'!$U537,'T1 2019 Pipeline Data Lagasco'!$G:$G,'Dec 31 2018 OFFS'!$W537))/(MAX(COUNTIFS('T1 2019 Pipeline Data Lagasco'!$A:$A,'Dec 31 2018 OFFS'!$AI537,'T1 2019 Pipeline Data Lagasco'!$Q:$Q,'Dec 31 2018 OFFS'!$AK537,'T1 2019 Pipeline Data Lagasco'!$E:$E,'Dec 31 2018 OFFS'!$U537,'T1 2019 Pipeline Data Lagasco'!$G:$G,'Dec 31 2018 OFFS'!$W537),1))</f>
        <v>53164</v>
      </c>
      <c r="AM537" s="274">
        <f t="shared" si="86"/>
        <v>0</v>
      </c>
    </row>
    <row r="538" spans="1:39" ht="12.7">
      <c r="A538" s="193" t="s">
        <v>909</v>
      </c>
      <c r="B538" s="40" t="s">
        <v>918</v>
      </c>
      <c r="C538" s="40" t="s">
        <v>1266</v>
      </c>
      <c r="D538" s="40" t="s">
        <v>17</v>
      </c>
      <c r="E538" s="40" t="s">
        <v>64</v>
      </c>
      <c r="F538" s="40"/>
      <c r="G538" s="41" t="s">
        <v>87</v>
      </c>
      <c r="H538" s="42">
        <v>42</v>
      </c>
      <c r="I538" s="43">
        <v>40</v>
      </c>
      <c r="J538" s="44">
        <v>36.066000000000003</v>
      </c>
      <c r="K538" s="45">
        <v>79</v>
      </c>
      <c r="L538" s="43">
        <v>45</v>
      </c>
      <c r="M538" s="46">
        <v>11.249000000000001</v>
      </c>
      <c r="N538" s="41" t="s">
        <v>119</v>
      </c>
      <c r="O538" s="42">
        <v>42</v>
      </c>
      <c r="P538" s="43">
        <v>40</v>
      </c>
      <c r="Q538" s="44">
        <v>34.020000000000003</v>
      </c>
      <c r="R538" s="45">
        <v>79</v>
      </c>
      <c r="S538" s="43">
        <v>46</v>
      </c>
      <c r="T538" s="46">
        <v>55.98</v>
      </c>
      <c r="U538" s="40">
        <v>3</v>
      </c>
      <c r="V538" s="47">
        <v>7826.8042352780003</v>
      </c>
      <c r="W538" s="48">
        <v>1985</v>
      </c>
      <c r="X538" s="40"/>
      <c r="Y538" s="52" t="s">
        <v>1081</v>
      </c>
      <c r="Z538" s="40" t="s">
        <v>910</v>
      </c>
      <c r="AA538" s="49">
        <f t="shared" si="79"/>
        <v>184634.31191020802</v>
      </c>
      <c r="AB538" s="71">
        <f t="shared" si="80"/>
        <v>0.80</v>
      </c>
      <c r="AC538" s="49">
        <f t="shared" si="81"/>
        <v>36926.86</v>
      </c>
      <c r="AD538" s="50">
        <f t="shared" si="82"/>
        <v>0</v>
      </c>
      <c r="AE538" s="50">
        <f t="shared" si="83"/>
        <v>0</v>
      </c>
      <c r="AF538" s="50">
        <f t="shared" si="84"/>
        <v>36926.86</v>
      </c>
      <c r="AG538" s="199">
        <f t="shared" si="85"/>
        <v>36926</v>
      </c>
      <c r="AH538" s="187"/>
      <c r="AI538" s="185" t="s">
        <v>1456</v>
      </c>
      <c r="AJ538" s="185"/>
      <c r="AK538" s="277">
        <f t="shared" si="78"/>
        <v>7826.80</v>
      </c>
      <c r="AL538" s="25">
        <f>(SUMIFS('T1 2019 Pipeline Data Lagasco'!$O:$O,'T1 2019 Pipeline Data Lagasco'!$A:$A,'Dec 31 2018 OFFS'!$AI538,'T1 2019 Pipeline Data Lagasco'!$Q:$Q,'Dec 31 2018 OFFS'!$AK538,'T1 2019 Pipeline Data Lagasco'!$E:$E,'Dec 31 2018 OFFS'!$U538,'T1 2019 Pipeline Data Lagasco'!$G:$G,'Dec 31 2018 OFFS'!$W538))/(MAX(COUNTIFS('T1 2019 Pipeline Data Lagasco'!$A:$A,'Dec 31 2018 OFFS'!$AI538,'T1 2019 Pipeline Data Lagasco'!$Q:$Q,'Dec 31 2018 OFFS'!$AK538,'T1 2019 Pipeline Data Lagasco'!$E:$E,'Dec 31 2018 OFFS'!$U538,'T1 2019 Pipeline Data Lagasco'!$G:$G,'Dec 31 2018 OFFS'!$W538),1))</f>
        <v>36926</v>
      </c>
      <c r="AM538" s="274">
        <f t="shared" si="86"/>
        <v>0</v>
      </c>
    </row>
    <row r="539" spans="1:39" ht="12.7">
      <c r="A539" s="193" t="s">
        <v>909</v>
      </c>
      <c r="B539" s="40" t="s">
        <v>918</v>
      </c>
      <c r="C539" s="40" t="s">
        <v>1266</v>
      </c>
      <c r="D539" s="40" t="s">
        <v>17</v>
      </c>
      <c r="E539" s="40" t="s">
        <v>64</v>
      </c>
      <c r="F539" s="40"/>
      <c r="G539" s="41" t="s">
        <v>119</v>
      </c>
      <c r="H539" s="42">
        <v>42</v>
      </c>
      <c r="I539" s="43">
        <v>40</v>
      </c>
      <c r="J539" s="44">
        <v>34.020000000000003</v>
      </c>
      <c r="K539" s="45">
        <v>79</v>
      </c>
      <c r="L539" s="43">
        <v>46</v>
      </c>
      <c r="M539" s="46">
        <v>55.98</v>
      </c>
      <c r="N539" s="40" t="s">
        <v>120</v>
      </c>
      <c r="O539" s="42">
        <v>42</v>
      </c>
      <c r="P539" s="43">
        <v>40</v>
      </c>
      <c r="Q539" s="44">
        <v>45</v>
      </c>
      <c r="R539" s="45">
        <v>79</v>
      </c>
      <c r="S539" s="43">
        <v>47</v>
      </c>
      <c r="T539" s="46">
        <v>45</v>
      </c>
      <c r="U539" s="40">
        <v>3</v>
      </c>
      <c r="V539" s="47">
        <v>3827.034009904</v>
      </c>
      <c r="W539" s="48">
        <v>1985</v>
      </c>
      <c r="X539" s="40"/>
      <c r="Y539" s="52" t="s">
        <v>1081</v>
      </c>
      <c r="Z539" s="40" t="s">
        <v>910</v>
      </c>
      <c r="AA539" s="49">
        <f t="shared" si="79"/>
        <v>90279.732293635359</v>
      </c>
      <c r="AB539" s="71">
        <f t="shared" si="80"/>
        <v>0.80</v>
      </c>
      <c r="AC539" s="49">
        <f t="shared" si="81"/>
        <v>18055.95</v>
      </c>
      <c r="AD539" s="50">
        <f t="shared" si="82"/>
        <v>0</v>
      </c>
      <c r="AE539" s="50">
        <f t="shared" si="83"/>
        <v>0</v>
      </c>
      <c r="AF539" s="50">
        <f t="shared" si="84"/>
        <v>18055.95</v>
      </c>
      <c r="AG539" s="199">
        <f t="shared" si="85"/>
        <v>18055</v>
      </c>
      <c r="AH539" s="187"/>
      <c r="AI539" s="185" t="s">
        <v>1456</v>
      </c>
      <c r="AJ539" s="185"/>
      <c r="AK539" s="277">
        <f t="shared" si="78"/>
        <v>3827.03</v>
      </c>
      <c r="AL539" s="25">
        <f>(SUMIFS('T1 2019 Pipeline Data Lagasco'!$O:$O,'T1 2019 Pipeline Data Lagasco'!$A:$A,'Dec 31 2018 OFFS'!$AI539,'T1 2019 Pipeline Data Lagasco'!$Q:$Q,'Dec 31 2018 OFFS'!$AK539,'T1 2019 Pipeline Data Lagasco'!$E:$E,'Dec 31 2018 OFFS'!$U539,'T1 2019 Pipeline Data Lagasco'!$G:$G,'Dec 31 2018 OFFS'!$W539))/(MAX(COUNTIFS('T1 2019 Pipeline Data Lagasco'!$A:$A,'Dec 31 2018 OFFS'!$AI539,'T1 2019 Pipeline Data Lagasco'!$Q:$Q,'Dec 31 2018 OFFS'!$AK539,'T1 2019 Pipeline Data Lagasco'!$E:$E,'Dec 31 2018 OFFS'!$U539,'T1 2019 Pipeline Data Lagasco'!$G:$G,'Dec 31 2018 OFFS'!$W539),1))</f>
        <v>18055</v>
      </c>
      <c r="AM539" s="274">
        <f t="shared" si="86"/>
        <v>0</v>
      </c>
    </row>
    <row r="540" spans="1:39" ht="12.7">
      <c r="A540" s="193" t="s">
        <v>909</v>
      </c>
      <c r="B540" s="40" t="s">
        <v>918</v>
      </c>
      <c r="C540" s="40" t="s">
        <v>1266</v>
      </c>
      <c r="D540" s="40" t="s">
        <v>17</v>
      </c>
      <c r="E540" s="40" t="s">
        <v>64</v>
      </c>
      <c r="F540" s="40"/>
      <c r="G540" s="41" t="s">
        <v>1281</v>
      </c>
      <c r="H540" s="42">
        <v>42</v>
      </c>
      <c r="I540" s="43">
        <v>40</v>
      </c>
      <c r="J540" s="44">
        <v>15.06</v>
      </c>
      <c r="K540" s="45">
        <v>79</v>
      </c>
      <c r="L540" s="43">
        <v>49</v>
      </c>
      <c r="M540" s="46">
        <v>50.76</v>
      </c>
      <c r="N540" s="41" t="s">
        <v>1230</v>
      </c>
      <c r="O540" s="42">
        <v>42</v>
      </c>
      <c r="P540" s="43">
        <v>41</v>
      </c>
      <c r="Q540" s="44">
        <f>60*0.103</f>
        <v>6.18</v>
      </c>
      <c r="R540" s="45">
        <v>79</v>
      </c>
      <c r="S540" s="43">
        <v>49</v>
      </c>
      <c r="T540" s="46">
        <f>60*0.822</f>
        <v>49.32</v>
      </c>
      <c r="U540" s="40">
        <v>3</v>
      </c>
      <c r="V540" s="47">
        <v>5178</v>
      </c>
      <c r="W540" s="48">
        <v>2006</v>
      </c>
      <c r="X540" s="40"/>
      <c r="Y540" s="52"/>
      <c r="Z540" s="40" t="s">
        <v>910</v>
      </c>
      <c r="AA540" s="49">
        <f t="shared" si="79"/>
        <v>122149.02</v>
      </c>
      <c r="AB540" s="71">
        <f t="shared" si="80"/>
        <v>0.52</v>
      </c>
      <c r="AC540" s="49">
        <f t="shared" si="81"/>
        <v>58631.53</v>
      </c>
      <c r="AD540" s="50">
        <f t="shared" si="82"/>
        <v>0</v>
      </c>
      <c r="AE540" s="50">
        <f t="shared" si="83"/>
        <v>0</v>
      </c>
      <c r="AF540" s="50">
        <f t="shared" si="84"/>
        <v>58631.53</v>
      </c>
      <c r="AG540" s="199">
        <f t="shared" si="85"/>
        <v>58631</v>
      </c>
      <c r="AH540" s="187"/>
      <c r="AI540" s="185" t="s">
        <v>1456</v>
      </c>
      <c r="AJ540" s="185"/>
      <c r="AK540" s="277">
        <f t="shared" si="78"/>
        <v>5178</v>
      </c>
      <c r="AL540" s="25">
        <f>(SUMIFS('T1 2019 Pipeline Data Lagasco'!$O:$O,'T1 2019 Pipeline Data Lagasco'!$A:$A,'Dec 31 2018 OFFS'!$AI540,'T1 2019 Pipeline Data Lagasco'!$Q:$Q,'Dec 31 2018 OFFS'!$AK540,'T1 2019 Pipeline Data Lagasco'!$E:$E,'Dec 31 2018 OFFS'!$U540,'T1 2019 Pipeline Data Lagasco'!$G:$G,'Dec 31 2018 OFFS'!$W540))/(MAX(COUNTIFS('T1 2019 Pipeline Data Lagasco'!$A:$A,'Dec 31 2018 OFFS'!$AI540,'T1 2019 Pipeline Data Lagasco'!$Q:$Q,'Dec 31 2018 OFFS'!$AK540,'T1 2019 Pipeline Data Lagasco'!$E:$E,'Dec 31 2018 OFFS'!$U540,'T1 2019 Pipeline Data Lagasco'!$G:$G,'Dec 31 2018 OFFS'!$W540),1))</f>
        <v>58631</v>
      </c>
      <c r="AM540" s="274">
        <f t="shared" si="86"/>
        <v>0</v>
      </c>
    </row>
    <row r="541" spans="1:39" ht="12.7">
      <c r="A541" s="193" t="s">
        <v>909</v>
      </c>
      <c r="B541" s="40" t="s">
        <v>918</v>
      </c>
      <c r="C541" s="40" t="s">
        <v>1266</v>
      </c>
      <c r="D541" s="40" t="s">
        <v>17</v>
      </c>
      <c r="E541" s="40" t="s">
        <v>1056</v>
      </c>
      <c r="F541" s="40"/>
      <c r="G541" s="41" t="s">
        <v>28</v>
      </c>
      <c r="H541" s="42">
        <v>42</v>
      </c>
      <c r="I541" s="43">
        <v>44</v>
      </c>
      <c r="J541" s="44">
        <v>45.48</v>
      </c>
      <c r="K541" s="45">
        <v>79</v>
      </c>
      <c r="L541" s="43">
        <v>51</v>
      </c>
      <c r="M541" s="46">
        <v>29.82</v>
      </c>
      <c r="N541" s="40" t="s">
        <v>20</v>
      </c>
      <c r="O541" s="42">
        <v>42</v>
      </c>
      <c r="P541" s="43">
        <v>45</v>
      </c>
      <c r="Q541" s="44">
        <v>45</v>
      </c>
      <c r="R541" s="45">
        <v>79</v>
      </c>
      <c r="S541" s="43">
        <v>50</v>
      </c>
      <c r="T541" s="46">
        <v>13.98</v>
      </c>
      <c r="U541" s="40">
        <v>2</v>
      </c>
      <c r="V541" s="47">
        <v>8259</v>
      </c>
      <c r="W541" s="48">
        <v>1978</v>
      </c>
      <c r="X541" s="40"/>
      <c r="Y541" s="52" t="s">
        <v>1081</v>
      </c>
      <c r="Z541" s="40" t="s">
        <v>910</v>
      </c>
      <c r="AA541" s="49">
        <f t="shared" si="79"/>
        <v>134126.15999999997</v>
      </c>
      <c r="AB541" s="71">
        <f t="shared" si="80"/>
        <v>0.80</v>
      </c>
      <c r="AC541" s="49">
        <f t="shared" si="81"/>
        <v>26825.23</v>
      </c>
      <c r="AD541" s="50">
        <f t="shared" si="82"/>
        <v>0</v>
      </c>
      <c r="AE541" s="50">
        <f t="shared" si="83"/>
        <v>0</v>
      </c>
      <c r="AF541" s="50">
        <f t="shared" si="84"/>
        <v>26825.23</v>
      </c>
      <c r="AG541" s="199">
        <f t="shared" si="85"/>
        <v>26825</v>
      </c>
      <c r="AH541" s="187"/>
      <c r="AI541" s="185" t="s">
        <v>1456</v>
      </c>
      <c r="AJ541" s="185"/>
      <c r="AK541" s="277">
        <f t="shared" si="78"/>
        <v>8259</v>
      </c>
      <c r="AL541" s="25">
        <f>(SUMIFS('T1 2019 Pipeline Data Lagasco'!$O:$O,'T1 2019 Pipeline Data Lagasco'!$A:$A,'Dec 31 2018 OFFS'!$AI541,'T1 2019 Pipeline Data Lagasco'!$Q:$Q,'Dec 31 2018 OFFS'!$AK541,'T1 2019 Pipeline Data Lagasco'!$E:$E,'Dec 31 2018 OFFS'!$U541,'T1 2019 Pipeline Data Lagasco'!$G:$G,'Dec 31 2018 OFFS'!$W541))/(MAX(COUNTIFS('T1 2019 Pipeline Data Lagasco'!$A:$A,'Dec 31 2018 OFFS'!$AI541,'T1 2019 Pipeline Data Lagasco'!$Q:$Q,'Dec 31 2018 OFFS'!$AK541,'T1 2019 Pipeline Data Lagasco'!$E:$E,'Dec 31 2018 OFFS'!$U541,'T1 2019 Pipeline Data Lagasco'!$G:$G,'Dec 31 2018 OFFS'!$W541),1))</f>
        <v>26825</v>
      </c>
      <c r="AM541" s="274">
        <f t="shared" si="86"/>
        <v>0</v>
      </c>
    </row>
    <row r="542" spans="1:39" ht="12.7">
      <c r="A542" s="193" t="s">
        <v>909</v>
      </c>
      <c r="B542" s="40" t="s">
        <v>918</v>
      </c>
      <c r="C542" s="40" t="s">
        <v>1266</v>
      </c>
      <c r="D542" s="40" t="s">
        <v>17</v>
      </c>
      <c r="E542" s="40" t="s">
        <v>1056</v>
      </c>
      <c r="F542" s="40"/>
      <c r="G542" s="41" t="s">
        <v>28</v>
      </c>
      <c r="H542" s="42">
        <v>42</v>
      </c>
      <c r="I542" s="43">
        <v>44</v>
      </c>
      <c r="J542" s="44">
        <v>45.48</v>
      </c>
      <c r="K542" s="45">
        <v>79</v>
      </c>
      <c r="L542" s="43">
        <v>51</v>
      </c>
      <c r="M542" s="46">
        <v>29.82</v>
      </c>
      <c r="N542" s="40" t="s">
        <v>29</v>
      </c>
      <c r="O542" s="42">
        <v>42</v>
      </c>
      <c r="P542" s="43">
        <v>44</v>
      </c>
      <c r="Q542" s="44">
        <v>50</v>
      </c>
      <c r="R542" s="45">
        <v>79</v>
      </c>
      <c r="S542" s="43">
        <v>50</v>
      </c>
      <c r="T542" s="46">
        <v>30</v>
      </c>
      <c r="U542" s="40">
        <v>2</v>
      </c>
      <c r="V542" s="47">
        <v>4487</v>
      </c>
      <c r="W542" s="48">
        <v>1978</v>
      </c>
      <c r="X542" s="40"/>
      <c r="Y542" s="52" t="s">
        <v>1081</v>
      </c>
      <c r="Z542" s="40" t="s">
        <v>910</v>
      </c>
      <c r="AA542" s="49">
        <f t="shared" si="79"/>
        <v>72868.87999999999</v>
      </c>
      <c r="AB542" s="71">
        <f t="shared" si="80"/>
        <v>0.80</v>
      </c>
      <c r="AC542" s="49">
        <f t="shared" si="81"/>
        <v>14573.78</v>
      </c>
      <c r="AD542" s="50">
        <f t="shared" si="82"/>
        <v>0</v>
      </c>
      <c r="AE542" s="50">
        <f t="shared" si="83"/>
        <v>0</v>
      </c>
      <c r="AF542" s="50">
        <f t="shared" si="84"/>
        <v>14573.78</v>
      </c>
      <c r="AG542" s="199">
        <f t="shared" si="85"/>
        <v>14573</v>
      </c>
      <c r="AH542" s="187"/>
      <c r="AI542" s="185" t="s">
        <v>1456</v>
      </c>
      <c r="AJ542" s="185"/>
      <c r="AK542" s="277">
        <f t="shared" si="78"/>
        <v>4487</v>
      </c>
      <c r="AL542" s="25">
        <f>(SUMIFS('T1 2019 Pipeline Data Lagasco'!$O:$O,'T1 2019 Pipeline Data Lagasco'!$A:$A,'Dec 31 2018 OFFS'!$AI542,'T1 2019 Pipeline Data Lagasco'!$Q:$Q,'Dec 31 2018 OFFS'!$AK542,'T1 2019 Pipeline Data Lagasco'!$E:$E,'Dec 31 2018 OFFS'!$U542,'T1 2019 Pipeline Data Lagasco'!$G:$G,'Dec 31 2018 OFFS'!$W542))/(MAX(COUNTIFS('T1 2019 Pipeline Data Lagasco'!$A:$A,'Dec 31 2018 OFFS'!$AI542,'T1 2019 Pipeline Data Lagasco'!$Q:$Q,'Dec 31 2018 OFFS'!$AK542,'T1 2019 Pipeline Data Lagasco'!$E:$E,'Dec 31 2018 OFFS'!$U542,'T1 2019 Pipeline Data Lagasco'!$G:$G,'Dec 31 2018 OFFS'!$W542),1))</f>
        <v>14573</v>
      </c>
      <c r="AM542" s="274">
        <f t="shared" si="86"/>
        <v>0</v>
      </c>
    </row>
    <row r="543" spans="1:39" ht="12.7">
      <c r="A543" s="193" t="s">
        <v>909</v>
      </c>
      <c r="B543" s="40" t="s">
        <v>918</v>
      </c>
      <c r="C543" s="40" t="s">
        <v>1266</v>
      </c>
      <c r="D543" s="40" t="s">
        <v>17</v>
      </c>
      <c r="E543" s="40" t="s">
        <v>1056</v>
      </c>
      <c r="F543" s="40"/>
      <c r="G543" s="41" t="s">
        <v>23</v>
      </c>
      <c r="H543" s="42">
        <v>42</v>
      </c>
      <c r="I543" s="43">
        <v>44</v>
      </c>
      <c r="J543" s="44">
        <v>46.98</v>
      </c>
      <c r="K543" s="45">
        <v>79</v>
      </c>
      <c r="L543" s="43">
        <v>52</v>
      </c>
      <c r="M543" s="46">
        <v>45.48</v>
      </c>
      <c r="N543" s="51" t="s">
        <v>28</v>
      </c>
      <c r="O543" s="42">
        <v>42</v>
      </c>
      <c r="P543" s="43">
        <v>44</v>
      </c>
      <c r="Q543" s="44">
        <v>45.48</v>
      </c>
      <c r="R543" s="45">
        <v>79</v>
      </c>
      <c r="S543" s="43">
        <v>51</v>
      </c>
      <c r="T543" s="46">
        <v>29.82</v>
      </c>
      <c r="U543" s="40">
        <v>2</v>
      </c>
      <c r="V543" s="47">
        <v>5647.8672905060002</v>
      </c>
      <c r="W543" s="48">
        <v>1986</v>
      </c>
      <c r="X543" s="40"/>
      <c r="Y543" s="52" t="s">
        <v>1081</v>
      </c>
      <c r="Z543" s="40" t="s">
        <v>910</v>
      </c>
      <c r="AA543" s="49">
        <f t="shared" si="79"/>
        <v>91721.364797817441</v>
      </c>
      <c r="AB543" s="71">
        <f t="shared" si="80"/>
        <v>0.79</v>
      </c>
      <c r="AC543" s="49">
        <f t="shared" si="81"/>
        <v>19261.490000000002</v>
      </c>
      <c r="AD543" s="50">
        <f t="shared" si="82"/>
        <v>0</v>
      </c>
      <c r="AE543" s="50">
        <f t="shared" si="83"/>
        <v>0</v>
      </c>
      <c r="AF543" s="50">
        <f t="shared" si="84"/>
        <v>19261.490000000002</v>
      </c>
      <c r="AG543" s="199">
        <f t="shared" si="85"/>
        <v>19261</v>
      </c>
      <c r="AH543" s="187"/>
      <c r="AI543" s="185" t="s">
        <v>1456</v>
      </c>
      <c r="AJ543" s="185"/>
      <c r="AK543" s="277">
        <f t="shared" si="78"/>
        <v>5647.87</v>
      </c>
      <c r="AL543" s="25">
        <f>(SUMIFS('T1 2019 Pipeline Data Lagasco'!$O:$O,'T1 2019 Pipeline Data Lagasco'!$A:$A,'Dec 31 2018 OFFS'!$AI543,'T1 2019 Pipeline Data Lagasco'!$Q:$Q,'Dec 31 2018 OFFS'!$AK543,'T1 2019 Pipeline Data Lagasco'!$E:$E,'Dec 31 2018 OFFS'!$U543,'T1 2019 Pipeline Data Lagasco'!$G:$G,'Dec 31 2018 OFFS'!$W543))/(MAX(COUNTIFS('T1 2019 Pipeline Data Lagasco'!$A:$A,'Dec 31 2018 OFFS'!$AI543,'T1 2019 Pipeline Data Lagasco'!$Q:$Q,'Dec 31 2018 OFFS'!$AK543,'T1 2019 Pipeline Data Lagasco'!$E:$E,'Dec 31 2018 OFFS'!$U543,'T1 2019 Pipeline Data Lagasco'!$G:$G,'Dec 31 2018 OFFS'!$W543),1))</f>
        <v>19261</v>
      </c>
      <c r="AM543" s="274">
        <f t="shared" si="86"/>
        <v>0</v>
      </c>
    </row>
    <row r="544" spans="1:39" ht="12.7">
      <c r="A544" s="193" t="s">
        <v>909</v>
      </c>
      <c r="B544" s="40" t="s">
        <v>918</v>
      </c>
      <c r="C544" s="40" t="s">
        <v>1266</v>
      </c>
      <c r="D544" s="40" t="s">
        <v>17</v>
      </c>
      <c r="E544" s="40" t="s">
        <v>1056</v>
      </c>
      <c r="F544" s="40"/>
      <c r="G544" s="41" t="s">
        <v>1279</v>
      </c>
      <c r="H544" s="42">
        <v>42</v>
      </c>
      <c r="I544" s="43">
        <v>44</v>
      </c>
      <c r="J544" s="44">
        <v>13.08</v>
      </c>
      <c r="K544" s="45">
        <v>79</v>
      </c>
      <c r="L544" s="43">
        <v>53</v>
      </c>
      <c r="M544" s="46">
        <v>5.16</v>
      </c>
      <c r="N544" s="51" t="s">
        <v>23</v>
      </c>
      <c r="O544" s="42">
        <v>42</v>
      </c>
      <c r="P544" s="43">
        <v>44</v>
      </c>
      <c r="Q544" s="44">
        <v>46.02</v>
      </c>
      <c r="R544" s="45">
        <v>79</v>
      </c>
      <c r="S544" s="43">
        <v>52</v>
      </c>
      <c r="T544" s="46">
        <v>45</v>
      </c>
      <c r="U544" s="40">
        <v>3</v>
      </c>
      <c r="V544" s="47">
        <v>3657</v>
      </c>
      <c r="W544" s="48">
        <v>2006</v>
      </c>
      <c r="X544" s="40"/>
      <c r="Y544" s="52"/>
      <c r="Z544" s="40" t="s">
        <v>910</v>
      </c>
      <c r="AA544" s="49">
        <f t="shared" si="79"/>
        <v>86268.63</v>
      </c>
      <c r="AB544" s="71">
        <f t="shared" si="80"/>
        <v>0.52</v>
      </c>
      <c r="AC544" s="49">
        <f t="shared" si="81"/>
        <v>41408.94</v>
      </c>
      <c r="AD544" s="50">
        <f t="shared" si="82"/>
        <v>0</v>
      </c>
      <c r="AE544" s="50">
        <f t="shared" si="83"/>
        <v>0</v>
      </c>
      <c r="AF544" s="50">
        <f t="shared" si="84"/>
        <v>41408.94</v>
      </c>
      <c r="AG544" s="199">
        <f t="shared" si="85"/>
        <v>41408</v>
      </c>
      <c r="AH544" s="187"/>
      <c r="AI544" s="185" t="s">
        <v>1456</v>
      </c>
      <c r="AJ544" s="185"/>
      <c r="AK544" s="277">
        <f t="shared" si="78"/>
        <v>3657</v>
      </c>
      <c r="AL544" s="25">
        <f>(SUMIFS('T1 2019 Pipeline Data Lagasco'!$O:$O,'T1 2019 Pipeline Data Lagasco'!$A:$A,'Dec 31 2018 OFFS'!$AI544,'T1 2019 Pipeline Data Lagasco'!$Q:$Q,'Dec 31 2018 OFFS'!$AK544,'T1 2019 Pipeline Data Lagasco'!$E:$E,'Dec 31 2018 OFFS'!$U544,'T1 2019 Pipeline Data Lagasco'!$G:$G,'Dec 31 2018 OFFS'!$W544))/(MAX(COUNTIFS('T1 2019 Pipeline Data Lagasco'!$A:$A,'Dec 31 2018 OFFS'!$AI544,'T1 2019 Pipeline Data Lagasco'!$Q:$Q,'Dec 31 2018 OFFS'!$AK544,'T1 2019 Pipeline Data Lagasco'!$E:$E,'Dec 31 2018 OFFS'!$U544,'T1 2019 Pipeline Data Lagasco'!$G:$G,'Dec 31 2018 OFFS'!$W544),1))</f>
        <v>41408</v>
      </c>
      <c r="AM544" s="274">
        <f t="shared" si="86"/>
        <v>0</v>
      </c>
    </row>
    <row r="545" spans="1:39" ht="12.7">
      <c r="A545" s="193" t="s">
        <v>909</v>
      </c>
      <c r="B545" s="40" t="s">
        <v>918</v>
      </c>
      <c r="C545" s="40" t="s">
        <v>1266</v>
      </c>
      <c r="D545" s="40" t="s">
        <v>17</v>
      </c>
      <c r="E545" s="40" t="s">
        <v>64</v>
      </c>
      <c r="F545" s="40"/>
      <c r="G545" s="41" t="s">
        <v>121</v>
      </c>
      <c r="H545" s="42">
        <v>42</v>
      </c>
      <c r="I545" s="43">
        <v>43</v>
      </c>
      <c r="J545" s="44">
        <v>43.02</v>
      </c>
      <c r="K545" s="45">
        <v>79</v>
      </c>
      <c r="L545" s="43">
        <v>51</v>
      </c>
      <c r="M545" s="46">
        <v>18</v>
      </c>
      <c r="N545" s="40" t="s">
        <v>122</v>
      </c>
      <c r="O545" s="42">
        <v>42</v>
      </c>
      <c r="P545" s="43">
        <v>43</v>
      </c>
      <c r="Q545" s="44">
        <v>10.02</v>
      </c>
      <c r="R545" s="45">
        <v>79</v>
      </c>
      <c r="S545" s="43">
        <v>51</v>
      </c>
      <c r="T545" s="46">
        <v>15</v>
      </c>
      <c r="U545" s="40">
        <v>3</v>
      </c>
      <c r="V545" s="47">
        <v>3348.5891418699998</v>
      </c>
      <c r="W545" s="48">
        <v>1982</v>
      </c>
      <c r="X545" s="40"/>
      <c r="Y545" s="52" t="s">
        <v>1081</v>
      </c>
      <c r="Z545" s="40" t="s">
        <v>910</v>
      </c>
      <c r="AA545" s="49">
        <f t="shared" si="79"/>
        <v>78993.217856713294</v>
      </c>
      <c r="AB545" s="71">
        <f t="shared" si="80"/>
        <v>0.80</v>
      </c>
      <c r="AC545" s="49">
        <f t="shared" si="81"/>
        <v>15798.64</v>
      </c>
      <c r="AD545" s="50">
        <f t="shared" si="82"/>
        <v>0</v>
      </c>
      <c r="AE545" s="50">
        <f t="shared" si="83"/>
        <v>0</v>
      </c>
      <c r="AF545" s="50">
        <f t="shared" si="84"/>
        <v>15798.64</v>
      </c>
      <c r="AG545" s="199">
        <f t="shared" si="85"/>
        <v>15798</v>
      </c>
      <c r="AH545" s="187"/>
      <c r="AI545" s="185" t="s">
        <v>1456</v>
      </c>
      <c r="AJ545" s="185"/>
      <c r="AK545" s="277">
        <f t="shared" si="78"/>
        <v>3348.59</v>
      </c>
      <c r="AL545" s="25">
        <f>(SUMIFS('T1 2019 Pipeline Data Lagasco'!$O:$O,'T1 2019 Pipeline Data Lagasco'!$A:$A,'Dec 31 2018 OFFS'!$AI545,'T1 2019 Pipeline Data Lagasco'!$Q:$Q,'Dec 31 2018 OFFS'!$AK545,'T1 2019 Pipeline Data Lagasco'!$E:$E,'Dec 31 2018 OFFS'!$U545,'T1 2019 Pipeline Data Lagasco'!$G:$G,'Dec 31 2018 OFFS'!$W545))/(MAX(COUNTIFS('T1 2019 Pipeline Data Lagasco'!$A:$A,'Dec 31 2018 OFFS'!$AI545,'T1 2019 Pipeline Data Lagasco'!$Q:$Q,'Dec 31 2018 OFFS'!$AK545,'T1 2019 Pipeline Data Lagasco'!$E:$E,'Dec 31 2018 OFFS'!$U545,'T1 2019 Pipeline Data Lagasco'!$G:$G,'Dec 31 2018 OFFS'!$W545),1))</f>
        <v>15798</v>
      </c>
      <c r="AM545" s="274">
        <f t="shared" si="86"/>
        <v>0</v>
      </c>
    </row>
    <row r="546" spans="1:39" ht="12.7">
      <c r="A546" s="193" t="s">
        <v>909</v>
      </c>
      <c r="B546" s="40" t="s">
        <v>918</v>
      </c>
      <c r="C546" s="40" t="s">
        <v>1266</v>
      </c>
      <c r="D546" s="40" t="s">
        <v>17</v>
      </c>
      <c r="E546" s="40" t="s">
        <v>64</v>
      </c>
      <c r="F546" s="40"/>
      <c r="G546" s="41" t="s">
        <v>123</v>
      </c>
      <c r="H546" s="42">
        <v>42</v>
      </c>
      <c r="I546" s="43">
        <v>42</v>
      </c>
      <c r="J546" s="44">
        <v>10.98</v>
      </c>
      <c r="K546" s="45">
        <v>79</v>
      </c>
      <c r="L546" s="43">
        <v>50</v>
      </c>
      <c r="M546" s="46">
        <v>43.02</v>
      </c>
      <c r="N546" s="40" t="s">
        <v>124</v>
      </c>
      <c r="O546" s="42">
        <v>42</v>
      </c>
      <c r="P546" s="43">
        <v>42</v>
      </c>
      <c r="Q546" s="44">
        <v>10.98</v>
      </c>
      <c r="R546" s="45">
        <v>79</v>
      </c>
      <c r="S546" s="43">
        <v>50</v>
      </c>
      <c r="T546" s="46">
        <v>13.98</v>
      </c>
      <c r="U546" s="40">
        <v>3</v>
      </c>
      <c r="V546" s="47">
        <v>2168.5038742080001</v>
      </c>
      <c r="W546" s="48">
        <v>1979</v>
      </c>
      <c r="X546" s="40"/>
      <c r="Y546" s="52" t="s">
        <v>1081</v>
      </c>
      <c r="Z546" s="40" t="s">
        <v>910</v>
      </c>
      <c r="AA546" s="49">
        <f t="shared" si="79"/>
        <v>51155.00639256672</v>
      </c>
      <c r="AB546" s="71">
        <f t="shared" si="80"/>
        <v>0.80</v>
      </c>
      <c r="AC546" s="49">
        <f t="shared" si="81"/>
        <v>10231</v>
      </c>
      <c r="AD546" s="50">
        <f t="shared" si="82"/>
        <v>0</v>
      </c>
      <c r="AE546" s="50">
        <f t="shared" si="83"/>
        <v>0</v>
      </c>
      <c r="AF546" s="50">
        <f t="shared" si="84"/>
        <v>10231</v>
      </c>
      <c r="AG546" s="199">
        <f t="shared" si="85"/>
        <v>10231</v>
      </c>
      <c r="AH546" s="187"/>
      <c r="AI546" s="185" t="s">
        <v>1456</v>
      </c>
      <c r="AJ546" s="185"/>
      <c r="AK546" s="277">
        <f t="shared" si="78"/>
        <v>2168.50</v>
      </c>
      <c r="AL546" s="25">
        <f>(SUMIFS('T1 2019 Pipeline Data Lagasco'!$O:$O,'T1 2019 Pipeline Data Lagasco'!$A:$A,'Dec 31 2018 OFFS'!$AI546,'T1 2019 Pipeline Data Lagasco'!$Q:$Q,'Dec 31 2018 OFFS'!$AK546,'T1 2019 Pipeline Data Lagasco'!$E:$E,'Dec 31 2018 OFFS'!$U546,'T1 2019 Pipeline Data Lagasco'!$G:$G,'Dec 31 2018 OFFS'!$W546))/(MAX(COUNTIFS('T1 2019 Pipeline Data Lagasco'!$A:$A,'Dec 31 2018 OFFS'!$AI546,'T1 2019 Pipeline Data Lagasco'!$Q:$Q,'Dec 31 2018 OFFS'!$AK546,'T1 2019 Pipeline Data Lagasco'!$E:$E,'Dec 31 2018 OFFS'!$U546,'T1 2019 Pipeline Data Lagasco'!$G:$G,'Dec 31 2018 OFFS'!$W546),1))</f>
        <v>10231</v>
      </c>
      <c r="AM546" s="274">
        <f t="shared" si="86"/>
        <v>0</v>
      </c>
    </row>
    <row r="547" spans="1:39" ht="12.7">
      <c r="A547" s="193" t="s">
        <v>909</v>
      </c>
      <c r="B547" s="40" t="s">
        <v>918</v>
      </c>
      <c r="C547" s="40" t="s">
        <v>1266</v>
      </c>
      <c r="D547" s="40" t="s">
        <v>17</v>
      </c>
      <c r="E547" s="40" t="s">
        <v>64</v>
      </c>
      <c r="F547" s="40"/>
      <c r="G547" s="41" t="s">
        <v>123</v>
      </c>
      <c r="H547" s="42">
        <v>42</v>
      </c>
      <c r="I547" s="43">
        <v>42</v>
      </c>
      <c r="J547" s="44">
        <v>10.98</v>
      </c>
      <c r="K547" s="45">
        <v>79</v>
      </c>
      <c r="L547" s="43">
        <v>50</v>
      </c>
      <c r="M547" s="46">
        <v>43.02</v>
      </c>
      <c r="N547" s="40" t="s">
        <v>108</v>
      </c>
      <c r="O547" s="42">
        <v>42</v>
      </c>
      <c r="P547" s="43">
        <v>43</v>
      </c>
      <c r="Q547" s="44">
        <v>0.09</v>
      </c>
      <c r="R547" s="45">
        <v>79</v>
      </c>
      <c r="S547" s="43">
        <v>49</v>
      </c>
      <c r="T547" s="46">
        <v>25.02</v>
      </c>
      <c r="U547" s="40">
        <v>8</v>
      </c>
      <c r="V547" s="47">
        <v>7657.6769435879996</v>
      </c>
      <c r="W547" s="48">
        <v>1979</v>
      </c>
      <c r="X547" s="40"/>
      <c r="Y547" s="52" t="s">
        <v>1081</v>
      </c>
      <c r="Z547" s="40" t="s">
        <v>910</v>
      </c>
      <c r="AA547" s="49">
        <f t="shared" si="79"/>
        <v>377523.47331888834</v>
      </c>
      <c r="AB547" s="71">
        <f t="shared" si="80"/>
        <v>0.80</v>
      </c>
      <c r="AC547" s="49">
        <f t="shared" si="81"/>
        <v>75504.69</v>
      </c>
      <c r="AD547" s="50">
        <f t="shared" si="82"/>
        <v>0</v>
      </c>
      <c r="AE547" s="50">
        <f t="shared" si="83"/>
        <v>0</v>
      </c>
      <c r="AF547" s="50">
        <f t="shared" si="84"/>
        <v>75504.69</v>
      </c>
      <c r="AG547" s="199">
        <f t="shared" si="85"/>
        <v>75504</v>
      </c>
      <c r="AH547" s="187"/>
      <c r="AI547" s="185" t="s">
        <v>1456</v>
      </c>
      <c r="AJ547" s="185"/>
      <c r="AK547" s="277">
        <f t="shared" si="78"/>
        <v>7657.68</v>
      </c>
      <c r="AL547" s="25">
        <f>(SUMIFS('T1 2019 Pipeline Data Lagasco'!$O:$O,'T1 2019 Pipeline Data Lagasco'!$A:$A,'Dec 31 2018 OFFS'!$AI547,'T1 2019 Pipeline Data Lagasco'!$Q:$Q,'Dec 31 2018 OFFS'!$AK547,'T1 2019 Pipeline Data Lagasco'!$E:$E,'Dec 31 2018 OFFS'!$U547,'T1 2019 Pipeline Data Lagasco'!$G:$G,'Dec 31 2018 OFFS'!$W547))/(MAX(COUNTIFS('T1 2019 Pipeline Data Lagasco'!$A:$A,'Dec 31 2018 OFFS'!$AI547,'T1 2019 Pipeline Data Lagasco'!$Q:$Q,'Dec 31 2018 OFFS'!$AK547,'T1 2019 Pipeline Data Lagasco'!$E:$E,'Dec 31 2018 OFFS'!$U547,'T1 2019 Pipeline Data Lagasco'!$G:$G,'Dec 31 2018 OFFS'!$W547),1))</f>
        <v>75504</v>
      </c>
      <c r="AM547" s="274">
        <f t="shared" si="86"/>
        <v>0</v>
      </c>
    </row>
    <row r="548" spans="1:39" ht="12.7">
      <c r="A548" s="193" t="s">
        <v>909</v>
      </c>
      <c r="B548" s="40" t="s">
        <v>918</v>
      </c>
      <c r="C548" s="40" t="s">
        <v>1266</v>
      </c>
      <c r="D548" s="40" t="s">
        <v>17</v>
      </c>
      <c r="E548" s="40" t="s">
        <v>64</v>
      </c>
      <c r="F548" s="139"/>
      <c r="G548" s="41" t="s">
        <v>125</v>
      </c>
      <c r="H548" s="42">
        <v>42</v>
      </c>
      <c r="I548" s="43">
        <v>42</v>
      </c>
      <c r="J548" s="44">
        <v>49.02</v>
      </c>
      <c r="K548" s="45">
        <v>79</v>
      </c>
      <c r="L548" s="43">
        <v>51</v>
      </c>
      <c r="M548" s="46">
        <v>45</v>
      </c>
      <c r="N548" s="40" t="s">
        <v>122</v>
      </c>
      <c r="O548" s="42">
        <v>42</v>
      </c>
      <c r="P548" s="43">
        <v>43</v>
      </c>
      <c r="Q548" s="44">
        <v>10.02</v>
      </c>
      <c r="R548" s="45">
        <v>79</v>
      </c>
      <c r="S548" s="43">
        <v>51</v>
      </c>
      <c r="T548" s="46">
        <v>15</v>
      </c>
      <c r="U548" s="40">
        <v>3</v>
      </c>
      <c r="V548" s="47">
        <v>3088.1560785459997</v>
      </c>
      <c r="W548" s="48">
        <v>1979</v>
      </c>
      <c r="X548" s="40"/>
      <c r="Y548" s="52" t="s">
        <v>1081</v>
      </c>
      <c r="Z548" s="40" t="s">
        <v>910</v>
      </c>
      <c r="AA548" s="49">
        <f t="shared" si="79"/>
        <v>72849.601892900129</v>
      </c>
      <c r="AB548" s="71">
        <f t="shared" si="80"/>
        <v>0.80</v>
      </c>
      <c r="AC548" s="49">
        <f t="shared" si="81"/>
        <v>14569.92</v>
      </c>
      <c r="AD548" s="50">
        <f t="shared" si="82"/>
        <v>0</v>
      </c>
      <c r="AE548" s="50">
        <f t="shared" si="83"/>
        <v>0</v>
      </c>
      <c r="AF548" s="50">
        <f t="shared" si="84"/>
        <v>14569.92</v>
      </c>
      <c r="AG548" s="199">
        <f t="shared" si="85"/>
        <v>14569</v>
      </c>
      <c r="AH548" s="187"/>
      <c r="AI548" s="185" t="s">
        <v>1456</v>
      </c>
      <c r="AJ548" s="185"/>
      <c r="AK548" s="277">
        <f t="shared" si="78"/>
        <v>3088.16</v>
      </c>
      <c r="AL548" s="25">
        <f>(SUMIFS('T1 2019 Pipeline Data Lagasco'!$O:$O,'T1 2019 Pipeline Data Lagasco'!$A:$A,'Dec 31 2018 OFFS'!$AI548,'T1 2019 Pipeline Data Lagasco'!$Q:$Q,'Dec 31 2018 OFFS'!$AK548,'T1 2019 Pipeline Data Lagasco'!$E:$E,'Dec 31 2018 OFFS'!$U548,'T1 2019 Pipeline Data Lagasco'!$G:$G,'Dec 31 2018 OFFS'!$W548))/(MAX(COUNTIFS('T1 2019 Pipeline Data Lagasco'!$A:$A,'Dec 31 2018 OFFS'!$AI548,'T1 2019 Pipeline Data Lagasco'!$Q:$Q,'Dec 31 2018 OFFS'!$AK548,'T1 2019 Pipeline Data Lagasco'!$E:$E,'Dec 31 2018 OFFS'!$U548,'T1 2019 Pipeline Data Lagasco'!$G:$G,'Dec 31 2018 OFFS'!$W548),1))</f>
        <v>14569</v>
      </c>
      <c r="AM548" s="274">
        <f t="shared" si="86"/>
        <v>0</v>
      </c>
    </row>
    <row r="549" spans="1:39" ht="12.7">
      <c r="A549" s="193" t="s">
        <v>909</v>
      </c>
      <c r="B549" s="40" t="s">
        <v>918</v>
      </c>
      <c r="C549" s="40" t="s">
        <v>1266</v>
      </c>
      <c r="D549" s="40" t="s">
        <v>17</v>
      </c>
      <c r="E549" s="40" t="s">
        <v>64</v>
      </c>
      <c r="F549" s="40"/>
      <c r="G549" s="41" t="s">
        <v>126</v>
      </c>
      <c r="H549" s="42">
        <v>42</v>
      </c>
      <c r="I549" s="43">
        <v>41</v>
      </c>
      <c r="J549" s="44">
        <v>12.398</v>
      </c>
      <c r="K549" s="45">
        <v>79</v>
      </c>
      <c r="L549" s="43">
        <v>52</v>
      </c>
      <c r="M549" s="46">
        <v>1.6080000000000001</v>
      </c>
      <c r="N549" s="40" t="s">
        <v>127</v>
      </c>
      <c r="O549" s="42">
        <v>42</v>
      </c>
      <c r="P549" s="43">
        <v>41</v>
      </c>
      <c r="Q549" s="44">
        <v>10.02</v>
      </c>
      <c r="R549" s="45">
        <v>79</v>
      </c>
      <c r="S549" s="43">
        <v>51</v>
      </c>
      <c r="T549" s="46">
        <v>13.98</v>
      </c>
      <c r="U549" s="40">
        <v>3</v>
      </c>
      <c r="V549" s="47">
        <v>3565.6166946399999</v>
      </c>
      <c r="W549" s="48">
        <v>1979</v>
      </c>
      <c r="X549" s="40"/>
      <c r="Y549" s="52" t="s">
        <v>1081</v>
      </c>
      <c r="Z549" s="40" t="s">
        <v>910</v>
      </c>
      <c r="AA549" s="49">
        <f t="shared" si="79"/>
        <v>84112.897826557601</v>
      </c>
      <c r="AB549" s="71">
        <f t="shared" si="80"/>
        <v>0.80</v>
      </c>
      <c r="AC549" s="49">
        <f t="shared" si="81"/>
        <v>16822.580000000002</v>
      </c>
      <c r="AD549" s="50">
        <f t="shared" si="82"/>
        <v>0</v>
      </c>
      <c r="AE549" s="50">
        <f t="shared" si="83"/>
        <v>0</v>
      </c>
      <c r="AF549" s="50">
        <f t="shared" si="84"/>
        <v>16822.580000000002</v>
      </c>
      <c r="AG549" s="199">
        <f t="shared" si="85"/>
        <v>16822</v>
      </c>
      <c r="AH549" s="187"/>
      <c r="AI549" s="185" t="s">
        <v>1456</v>
      </c>
      <c r="AJ549" s="185"/>
      <c r="AK549" s="277">
        <f t="shared" si="78"/>
        <v>3565.62</v>
      </c>
      <c r="AL549" s="25">
        <f>(SUMIFS('T1 2019 Pipeline Data Lagasco'!$O:$O,'T1 2019 Pipeline Data Lagasco'!$A:$A,'Dec 31 2018 OFFS'!$AI549,'T1 2019 Pipeline Data Lagasco'!$Q:$Q,'Dec 31 2018 OFFS'!$AK549,'T1 2019 Pipeline Data Lagasco'!$E:$E,'Dec 31 2018 OFFS'!$U549,'T1 2019 Pipeline Data Lagasco'!$G:$G,'Dec 31 2018 OFFS'!$W549))/(MAX(COUNTIFS('T1 2019 Pipeline Data Lagasco'!$A:$A,'Dec 31 2018 OFFS'!$AI549,'T1 2019 Pipeline Data Lagasco'!$Q:$Q,'Dec 31 2018 OFFS'!$AK549,'T1 2019 Pipeline Data Lagasco'!$E:$E,'Dec 31 2018 OFFS'!$U549,'T1 2019 Pipeline Data Lagasco'!$G:$G,'Dec 31 2018 OFFS'!$W549),1))</f>
        <v>16822</v>
      </c>
      <c r="AM549" s="274">
        <f t="shared" si="86"/>
        <v>0</v>
      </c>
    </row>
    <row r="550" spans="1:39" ht="12.7">
      <c r="A550" s="193" t="s">
        <v>909</v>
      </c>
      <c r="B550" s="40" t="s">
        <v>918</v>
      </c>
      <c r="C550" s="40" t="s">
        <v>1266</v>
      </c>
      <c r="D550" s="40" t="s">
        <v>17</v>
      </c>
      <c r="E550" s="40" t="s">
        <v>64</v>
      </c>
      <c r="F550" s="40"/>
      <c r="G550" s="41" t="s">
        <v>126</v>
      </c>
      <c r="H550" s="42">
        <v>42</v>
      </c>
      <c r="I550" s="43">
        <v>41</v>
      </c>
      <c r="J550" s="44">
        <v>12.398</v>
      </c>
      <c r="K550" s="45">
        <v>79</v>
      </c>
      <c r="L550" s="43">
        <v>52</v>
      </c>
      <c r="M550" s="46">
        <v>1.6080000000000001</v>
      </c>
      <c r="N550" s="40" t="s">
        <v>123</v>
      </c>
      <c r="O550" s="42">
        <v>42</v>
      </c>
      <c r="P550" s="43">
        <v>42</v>
      </c>
      <c r="Q550" s="44">
        <v>10.98</v>
      </c>
      <c r="R550" s="45">
        <v>79</v>
      </c>
      <c r="S550" s="43">
        <v>50</v>
      </c>
      <c r="T550" s="46">
        <v>43.02</v>
      </c>
      <c r="U550" s="40">
        <v>8</v>
      </c>
      <c r="V550" s="47">
        <v>8344.1598633400008</v>
      </c>
      <c r="W550" s="48">
        <v>1979</v>
      </c>
      <c r="X550" s="40"/>
      <c r="Y550" s="52" t="s">
        <v>1081</v>
      </c>
      <c r="Z550" s="40" t="s">
        <v>910</v>
      </c>
      <c r="AA550" s="49">
        <f t="shared" si="79"/>
        <v>411367.08126266202</v>
      </c>
      <c r="AB550" s="71">
        <f t="shared" si="80"/>
        <v>0.80</v>
      </c>
      <c r="AC550" s="49">
        <f t="shared" si="81"/>
        <v>82273.42</v>
      </c>
      <c r="AD550" s="50">
        <f t="shared" si="82"/>
        <v>0</v>
      </c>
      <c r="AE550" s="50">
        <f t="shared" si="83"/>
        <v>0</v>
      </c>
      <c r="AF550" s="50">
        <f t="shared" si="84"/>
        <v>82273.42</v>
      </c>
      <c r="AG550" s="199">
        <f t="shared" si="85"/>
        <v>82273</v>
      </c>
      <c r="AH550" s="187"/>
      <c r="AI550" s="185" t="s">
        <v>1456</v>
      </c>
      <c r="AJ550" s="185"/>
      <c r="AK550" s="277">
        <f t="shared" si="78"/>
        <v>8344.16</v>
      </c>
      <c r="AL550" s="25">
        <f>(SUMIFS('T1 2019 Pipeline Data Lagasco'!$O:$O,'T1 2019 Pipeline Data Lagasco'!$A:$A,'Dec 31 2018 OFFS'!$AI550,'T1 2019 Pipeline Data Lagasco'!$Q:$Q,'Dec 31 2018 OFFS'!$AK550,'T1 2019 Pipeline Data Lagasco'!$E:$E,'Dec 31 2018 OFFS'!$U550,'T1 2019 Pipeline Data Lagasco'!$G:$G,'Dec 31 2018 OFFS'!$W550))/(MAX(COUNTIFS('T1 2019 Pipeline Data Lagasco'!$A:$A,'Dec 31 2018 OFFS'!$AI550,'T1 2019 Pipeline Data Lagasco'!$Q:$Q,'Dec 31 2018 OFFS'!$AK550,'T1 2019 Pipeline Data Lagasco'!$E:$E,'Dec 31 2018 OFFS'!$U550,'T1 2019 Pipeline Data Lagasco'!$G:$G,'Dec 31 2018 OFFS'!$W550),1))</f>
        <v>82273</v>
      </c>
      <c r="AM550" s="274">
        <f t="shared" si="86"/>
        <v>0</v>
      </c>
    </row>
    <row r="551" spans="1:39" ht="12.7">
      <c r="A551" s="193" t="s">
        <v>909</v>
      </c>
      <c r="B551" s="40" t="s">
        <v>918</v>
      </c>
      <c r="C551" s="40" t="s">
        <v>1266</v>
      </c>
      <c r="D551" s="40" t="s">
        <v>17</v>
      </c>
      <c r="E551" s="40" t="s">
        <v>64</v>
      </c>
      <c r="F551" s="40"/>
      <c r="G551" s="40" t="s">
        <v>128</v>
      </c>
      <c r="H551" s="42">
        <v>42</v>
      </c>
      <c r="I551" s="43">
        <v>40</v>
      </c>
      <c r="J551" s="44">
        <v>52.48</v>
      </c>
      <c r="K551" s="45">
        <v>79</v>
      </c>
      <c r="L551" s="43">
        <v>52</v>
      </c>
      <c r="M551" s="46">
        <v>26.66</v>
      </c>
      <c r="N551" s="41" t="s">
        <v>126</v>
      </c>
      <c r="O551" s="42">
        <v>42</v>
      </c>
      <c r="P551" s="43">
        <v>41</v>
      </c>
      <c r="Q551" s="44">
        <v>12.398</v>
      </c>
      <c r="R551" s="45">
        <v>79</v>
      </c>
      <c r="S551" s="43">
        <v>52</v>
      </c>
      <c r="T551" s="46">
        <v>1.6080000000000001</v>
      </c>
      <c r="U551" s="40">
        <v>3</v>
      </c>
      <c r="V551" s="47">
        <v>2751.049789096</v>
      </c>
      <c r="W551" s="48">
        <v>1979</v>
      </c>
      <c r="X551" s="40"/>
      <c r="Y551" s="52" t="s">
        <v>1081</v>
      </c>
      <c r="Z551" s="40" t="s">
        <v>910</v>
      </c>
      <c r="AA551" s="49">
        <f t="shared" si="79"/>
        <v>64897.26452477464</v>
      </c>
      <c r="AB551" s="71">
        <f t="shared" si="80"/>
        <v>0.80</v>
      </c>
      <c r="AC551" s="49">
        <f t="shared" si="81"/>
        <v>12979.45</v>
      </c>
      <c r="AD551" s="50">
        <f t="shared" si="82"/>
        <v>0</v>
      </c>
      <c r="AE551" s="50">
        <f t="shared" si="83"/>
        <v>0</v>
      </c>
      <c r="AF551" s="50">
        <f t="shared" si="84"/>
        <v>12979.45</v>
      </c>
      <c r="AG551" s="199">
        <f t="shared" si="85"/>
        <v>12979</v>
      </c>
      <c r="AH551" s="187"/>
      <c r="AI551" s="185" t="s">
        <v>1456</v>
      </c>
      <c r="AJ551" s="185"/>
      <c r="AK551" s="277">
        <f t="shared" si="78"/>
        <v>2751.05</v>
      </c>
      <c r="AL551" s="25">
        <f>(SUMIFS('T1 2019 Pipeline Data Lagasco'!$O:$O,'T1 2019 Pipeline Data Lagasco'!$A:$A,'Dec 31 2018 OFFS'!$AI551,'T1 2019 Pipeline Data Lagasco'!$Q:$Q,'Dec 31 2018 OFFS'!$AK551,'T1 2019 Pipeline Data Lagasco'!$E:$E,'Dec 31 2018 OFFS'!$U551,'T1 2019 Pipeline Data Lagasco'!$G:$G,'Dec 31 2018 OFFS'!$W551))/(MAX(COUNTIFS('T1 2019 Pipeline Data Lagasco'!$A:$A,'Dec 31 2018 OFFS'!$AI551,'T1 2019 Pipeline Data Lagasco'!$Q:$Q,'Dec 31 2018 OFFS'!$AK551,'T1 2019 Pipeline Data Lagasco'!$E:$E,'Dec 31 2018 OFFS'!$U551,'T1 2019 Pipeline Data Lagasco'!$G:$G,'Dec 31 2018 OFFS'!$W551),1))</f>
        <v>12979</v>
      </c>
      <c r="AM551" s="274">
        <f t="shared" si="86"/>
        <v>0</v>
      </c>
    </row>
    <row r="552" spans="1:39" ht="12.7">
      <c r="A552" s="193" t="s">
        <v>909</v>
      </c>
      <c r="B552" s="40" t="s">
        <v>918</v>
      </c>
      <c r="C552" s="40" t="s">
        <v>1266</v>
      </c>
      <c r="D552" s="40" t="s">
        <v>17</v>
      </c>
      <c r="E552" s="40" t="s">
        <v>64</v>
      </c>
      <c r="F552" s="40"/>
      <c r="G552" s="40" t="s">
        <v>170</v>
      </c>
      <c r="H552" s="42">
        <v>42</v>
      </c>
      <c r="I552" s="43">
        <v>40</v>
      </c>
      <c r="J552" s="44">
        <v>57.43</v>
      </c>
      <c r="K552" s="45">
        <v>79</v>
      </c>
      <c r="L552" s="43">
        <v>52</v>
      </c>
      <c r="M552" s="46">
        <v>29.80</v>
      </c>
      <c r="N552" s="41" t="s">
        <v>126</v>
      </c>
      <c r="O552" s="42">
        <v>42</v>
      </c>
      <c r="P552" s="43">
        <v>41</v>
      </c>
      <c r="Q552" s="44">
        <v>12.398</v>
      </c>
      <c r="R552" s="45">
        <v>79</v>
      </c>
      <c r="S552" s="43">
        <v>52</v>
      </c>
      <c r="T552" s="46">
        <v>1.6080000000000001</v>
      </c>
      <c r="U552" s="40">
        <v>8</v>
      </c>
      <c r="V552" s="47">
        <v>2594.3896886459997</v>
      </c>
      <c r="W552" s="48">
        <v>1979</v>
      </c>
      <c r="X552" s="40"/>
      <c r="Y552" s="52" t="s">
        <v>1081</v>
      </c>
      <c r="Z552" s="40" t="s">
        <v>910</v>
      </c>
      <c r="AA552" s="49">
        <f t="shared" si="79"/>
        <v>127903.41165024778</v>
      </c>
      <c r="AB552" s="71">
        <f t="shared" si="80"/>
        <v>0.80</v>
      </c>
      <c r="AC552" s="49">
        <f t="shared" si="81"/>
        <v>25580.68</v>
      </c>
      <c r="AD552" s="50">
        <f t="shared" si="82"/>
        <v>0</v>
      </c>
      <c r="AE552" s="50">
        <f t="shared" si="83"/>
        <v>0</v>
      </c>
      <c r="AF552" s="50">
        <f t="shared" si="84"/>
        <v>25580.68</v>
      </c>
      <c r="AG552" s="199">
        <f t="shared" si="85"/>
        <v>25580</v>
      </c>
      <c r="AH552" s="187"/>
      <c r="AI552" s="185" t="s">
        <v>1456</v>
      </c>
      <c r="AJ552" s="185"/>
      <c r="AK552" s="277">
        <f t="shared" si="78"/>
        <v>2594.39</v>
      </c>
      <c r="AL552" s="25">
        <f>(SUMIFS('T1 2019 Pipeline Data Lagasco'!$O:$O,'T1 2019 Pipeline Data Lagasco'!$A:$A,'Dec 31 2018 OFFS'!$AI552,'T1 2019 Pipeline Data Lagasco'!$Q:$Q,'Dec 31 2018 OFFS'!$AK552,'T1 2019 Pipeline Data Lagasco'!$E:$E,'Dec 31 2018 OFFS'!$U552,'T1 2019 Pipeline Data Lagasco'!$G:$G,'Dec 31 2018 OFFS'!$W552))/(MAX(COUNTIFS('T1 2019 Pipeline Data Lagasco'!$A:$A,'Dec 31 2018 OFFS'!$AI552,'T1 2019 Pipeline Data Lagasco'!$Q:$Q,'Dec 31 2018 OFFS'!$AK552,'T1 2019 Pipeline Data Lagasco'!$E:$E,'Dec 31 2018 OFFS'!$U552,'T1 2019 Pipeline Data Lagasco'!$G:$G,'Dec 31 2018 OFFS'!$W552),1))</f>
        <v>25580</v>
      </c>
      <c r="AM552" s="274">
        <f t="shared" si="86"/>
        <v>0</v>
      </c>
    </row>
    <row r="553" spans="1:39" ht="12.7">
      <c r="A553" s="193" t="s">
        <v>909</v>
      </c>
      <c r="B553" s="40" t="s">
        <v>918</v>
      </c>
      <c r="C553" s="40" t="s">
        <v>1266</v>
      </c>
      <c r="D553" s="40" t="s">
        <v>17</v>
      </c>
      <c r="E553" s="40" t="s">
        <v>64</v>
      </c>
      <c r="F553" s="40" t="s">
        <v>1051</v>
      </c>
      <c r="G553" s="41" t="s">
        <v>1282</v>
      </c>
      <c r="H553" s="42">
        <v>42</v>
      </c>
      <c r="I553" s="43">
        <v>39</v>
      </c>
      <c r="J553" s="44">
        <v>41.16</v>
      </c>
      <c r="K553" s="45">
        <v>79</v>
      </c>
      <c r="L553" s="43">
        <v>50</v>
      </c>
      <c r="M553" s="46">
        <v>58.14</v>
      </c>
      <c r="N553" s="41" t="s">
        <v>1281</v>
      </c>
      <c r="O553" s="42">
        <v>42</v>
      </c>
      <c r="P553" s="43">
        <v>40</v>
      </c>
      <c r="Q553" s="44">
        <v>15.06</v>
      </c>
      <c r="R553" s="45">
        <v>79</v>
      </c>
      <c r="S553" s="43">
        <v>49</v>
      </c>
      <c r="T553" s="46">
        <v>50.76</v>
      </c>
      <c r="U553" s="40">
        <v>3</v>
      </c>
      <c r="V553" s="47">
        <v>6079</v>
      </c>
      <c r="W553" s="48">
        <v>2006</v>
      </c>
      <c r="X553" s="40"/>
      <c r="Y553" s="52"/>
      <c r="Z553" s="40" t="s">
        <v>910</v>
      </c>
      <c r="AA553" s="49">
        <f t="shared" si="79"/>
        <v>0</v>
      </c>
      <c r="AB553" s="71">
        <f t="shared" si="80"/>
        <v>0.52</v>
      </c>
      <c r="AC553" s="49">
        <f t="shared" si="81"/>
        <v>0</v>
      </c>
      <c r="AD553" s="50">
        <f t="shared" si="82"/>
        <v>0</v>
      </c>
      <c r="AE553" s="50">
        <f t="shared" si="83"/>
        <v>0</v>
      </c>
      <c r="AF553" s="50">
        <f t="shared" si="84"/>
        <v>0</v>
      </c>
      <c r="AG553" s="199">
        <f t="shared" si="85"/>
        <v>0</v>
      </c>
      <c r="AH553" s="187"/>
      <c r="AI553" s="185" t="s">
        <v>1456</v>
      </c>
      <c r="AJ553" s="185"/>
      <c r="AK553" s="277">
        <f t="shared" si="78"/>
        <v>6079</v>
      </c>
      <c r="AL553" s="25">
        <f>(SUMIFS('T1 2019 Pipeline Data Lagasco'!$O:$O,'T1 2019 Pipeline Data Lagasco'!$A:$A,'Dec 31 2018 OFFS'!$AI553,'T1 2019 Pipeline Data Lagasco'!$Q:$Q,'Dec 31 2018 OFFS'!$AK553,'T1 2019 Pipeline Data Lagasco'!$E:$E,'Dec 31 2018 OFFS'!$U553,'T1 2019 Pipeline Data Lagasco'!$G:$G,'Dec 31 2018 OFFS'!$W553))/(MAX(COUNTIFS('T1 2019 Pipeline Data Lagasco'!$A:$A,'Dec 31 2018 OFFS'!$AI553,'T1 2019 Pipeline Data Lagasco'!$Q:$Q,'Dec 31 2018 OFFS'!$AK553,'T1 2019 Pipeline Data Lagasco'!$E:$E,'Dec 31 2018 OFFS'!$U553,'T1 2019 Pipeline Data Lagasco'!$G:$G,'Dec 31 2018 OFFS'!$W553),1))</f>
        <v>0</v>
      </c>
      <c r="AM553" s="274">
        <f t="shared" si="86"/>
        <v>0</v>
      </c>
    </row>
    <row r="554" spans="1:39" ht="12.7">
      <c r="A554" s="193" t="s">
        <v>909</v>
      </c>
      <c r="B554" s="40" t="s">
        <v>918</v>
      </c>
      <c r="C554" s="40" t="s">
        <v>1266</v>
      </c>
      <c r="D554" s="40" t="s">
        <v>17</v>
      </c>
      <c r="E554" s="40" t="s">
        <v>64</v>
      </c>
      <c r="F554" s="40"/>
      <c r="G554" s="40" t="s">
        <v>129</v>
      </c>
      <c r="H554" s="42">
        <v>42</v>
      </c>
      <c r="I554" s="43">
        <v>39</v>
      </c>
      <c r="J554" s="44">
        <v>23.11</v>
      </c>
      <c r="K554" s="45">
        <v>79</v>
      </c>
      <c r="L554" s="43">
        <v>51</v>
      </c>
      <c r="M554" s="46">
        <v>57.05</v>
      </c>
      <c r="N554" s="41" t="s">
        <v>130</v>
      </c>
      <c r="O554" s="42">
        <v>42</v>
      </c>
      <c r="P554" s="43">
        <v>39</v>
      </c>
      <c r="Q554" s="44">
        <v>10.02</v>
      </c>
      <c r="R554" s="45">
        <v>79</v>
      </c>
      <c r="S554" s="43">
        <v>51</v>
      </c>
      <c r="T554" s="46">
        <v>16.98</v>
      </c>
      <c r="U554" s="40">
        <v>3</v>
      </c>
      <c r="V554" s="47">
        <v>3274.6390127780001</v>
      </c>
      <c r="W554" s="48">
        <v>1979</v>
      </c>
      <c r="X554" s="40"/>
      <c r="Y554" s="52" t="s">
        <v>1081</v>
      </c>
      <c r="Z554" s="40" t="s">
        <v>910</v>
      </c>
      <c r="AA554" s="49">
        <f t="shared" si="79"/>
        <v>77248.734311433014</v>
      </c>
      <c r="AB554" s="71">
        <f t="shared" si="80"/>
        <v>0.80</v>
      </c>
      <c r="AC554" s="49">
        <f t="shared" si="81"/>
        <v>15449.75</v>
      </c>
      <c r="AD554" s="50">
        <f t="shared" si="82"/>
        <v>0</v>
      </c>
      <c r="AE554" s="50">
        <f t="shared" si="83"/>
        <v>0</v>
      </c>
      <c r="AF554" s="50">
        <f t="shared" si="84"/>
        <v>15449.75</v>
      </c>
      <c r="AG554" s="199">
        <f t="shared" si="85"/>
        <v>15449</v>
      </c>
      <c r="AH554" s="187"/>
      <c r="AI554" s="185" t="s">
        <v>1456</v>
      </c>
      <c r="AJ554" s="185"/>
      <c r="AK554" s="277">
        <f t="shared" si="78"/>
        <v>3274.64</v>
      </c>
      <c r="AL554" s="25">
        <f>(SUMIFS('T1 2019 Pipeline Data Lagasco'!$O:$O,'T1 2019 Pipeline Data Lagasco'!$A:$A,'Dec 31 2018 OFFS'!$AI554,'T1 2019 Pipeline Data Lagasco'!$Q:$Q,'Dec 31 2018 OFFS'!$AK554,'T1 2019 Pipeline Data Lagasco'!$E:$E,'Dec 31 2018 OFFS'!$U554,'T1 2019 Pipeline Data Lagasco'!$G:$G,'Dec 31 2018 OFFS'!$W554))/(MAX(COUNTIFS('T1 2019 Pipeline Data Lagasco'!$A:$A,'Dec 31 2018 OFFS'!$AI554,'T1 2019 Pipeline Data Lagasco'!$Q:$Q,'Dec 31 2018 OFFS'!$AK554,'T1 2019 Pipeline Data Lagasco'!$E:$E,'Dec 31 2018 OFFS'!$U554,'T1 2019 Pipeline Data Lagasco'!$G:$G,'Dec 31 2018 OFFS'!$W554),1))</f>
        <v>15449</v>
      </c>
      <c r="AM554" s="274">
        <f t="shared" si="86"/>
        <v>0</v>
      </c>
    </row>
    <row r="555" spans="1:39" ht="12.7">
      <c r="A555" s="193" t="s">
        <v>909</v>
      </c>
      <c r="B555" s="40" t="s">
        <v>918</v>
      </c>
      <c r="C555" s="40" t="s">
        <v>1266</v>
      </c>
      <c r="D555" s="40" t="s">
        <v>17</v>
      </c>
      <c r="E555" s="40" t="s">
        <v>64</v>
      </c>
      <c r="F555" s="40"/>
      <c r="G555" s="41" t="s">
        <v>130</v>
      </c>
      <c r="H555" s="42">
        <v>42</v>
      </c>
      <c r="I555" s="43">
        <v>39</v>
      </c>
      <c r="J555" s="44">
        <v>10.02</v>
      </c>
      <c r="K555" s="45">
        <v>79</v>
      </c>
      <c r="L555" s="43">
        <v>51</v>
      </c>
      <c r="M555" s="46">
        <v>16.98</v>
      </c>
      <c r="N555" s="40" t="s">
        <v>131</v>
      </c>
      <c r="O555" s="42">
        <v>42</v>
      </c>
      <c r="P555" s="43">
        <v>38</v>
      </c>
      <c r="Q555" s="44">
        <v>49.98</v>
      </c>
      <c r="R555" s="45">
        <v>79</v>
      </c>
      <c r="S555" s="43">
        <v>50</v>
      </c>
      <c r="T555" s="46">
        <v>15</v>
      </c>
      <c r="U555" s="40">
        <v>3</v>
      </c>
      <c r="V555" s="47">
        <v>5057.0536593220004</v>
      </c>
      <c r="W555" s="48">
        <v>1979</v>
      </c>
      <c r="X555" s="40"/>
      <c r="Y555" s="52" t="s">
        <v>1081</v>
      </c>
      <c r="Z555" s="40" t="s">
        <v>910</v>
      </c>
      <c r="AA555" s="49">
        <f t="shared" si="79"/>
        <v>119295.89582340598</v>
      </c>
      <c r="AB555" s="71">
        <f t="shared" si="80"/>
        <v>0.80</v>
      </c>
      <c r="AC555" s="49">
        <f t="shared" si="81"/>
        <v>23859.18</v>
      </c>
      <c r="AD555" s="50">
        <f t="shared" si="82"/>
        <v>0</v>
      </c>
      <c r="AE555" s="50">
        <f t="shared" si="83"/>
        <v>0</v>
      </c>
      <c r="AF555" s="50">
        <f t="shared" si="84"/>
        <v>23859.18</v>
      </c>
      <c r="AG555" s="199">
        <f t="shared" si="85"/>
        <v>23859</v>
      </c>
      <c r="AH555" s="187"/>
      <c r="AI555" s="185" t="s">
        <v>1456</v>
      </c>
      <c r="AJ555" s="185"/>
      <c r="AK555" s="277">
        <f t="shared" si="78"/>
        <v>5057.05</v>
      </c>
      <c r="AL555" s="25">
        <f>(SUMIFS('T1 2019 Pipeline Data Lagasco'!$O:$O,'T1 2019 Pipeline Data Lagasco'!$A:$A,'Dec 31 2018 OFFS'!$AI555,'T1 2019 Pipeline Data Lagasco'!$Q:$Q,'Dec 31 2018 OFFS'!$AK555,'T1 2019 Pipeline Data Lagasco'!$E:$E,'Dec 31 2018 OFFS'!$U555,'T1 2019 Pipeline Data Lagasco'!$G:$G,'Dec 31 2018 OFFS'!$W555))/(MAX(COUNTIFS('T1 2019 Pipeline Data Lagasco'!$A:$A,'Dec 31 2018 OFFS'!$AI555,'T1 2019 Pipeline Data Lagasco'!$Q:$Q,'Dec 31 2018 OFFS'!$AK555,'T1 2019 Pipeline Data Lagasco'!$E:$E,'Dec 31 2018 OFFS'!$U555,'T1 2019 Pipeline Data Lagasco'!$G:$G,'Dec 31 2018 OFFS'!$W555),1))</f>
        <v>23859</v>
      </c>
      <c r="AM555" s="274">
        <f t="shared" si="86"/>
        <v>0</v>
      </c>
    </row>
    <row r="556" spans="1:39" ht="12.7">
      <c r="A556" s="193" t="s">
        <v>909</v>
      </c>
      <c r="B556" s="40" t="s">
        <v>918</v>
      </c>
      <c r="C556" s="40" t="s">
        <v>1266</v>
      </c>
      <c r="D556" s="40" t="s">
        <v>17</v>
      </c>
      <c r="E556" s="40" t="s">
        <v>64</v>
      </c>
      <c r="F556" s="40"/>
      <c r="G556" s="41" t="s">
        <v>131</v>
      </c>
      <c r="H556" s="42">
        <v>42</v>
      </c>
      <c r="I556" s="43">
        <v>38</v>
      </c>
      <c r="J556" s="44">
        <v>49.98</v>
      </c>
      <c r="K556" s="45">
        <v>79</v>
      </c>
      <c r="L556" s="43">
        <v>50</v>
      </c>
      <c r="M556" s="46">
        <v>15</v>
      </c>
      <c r="N556" s="40" t="s">
        <v>132</v>
      </c>
      <c r="O556" s="42">
        <v>42</v>
      </c>
      <c r="P556" s="43">
        <v>38</v>
      </c>
      <c r="Q556" s="44">
        <v>7.02</v>
      </c>
      <c r="R556" s="45">
        <v>79</v>
      </c>
      <c r="S556" s="43">
        <v>50</v>
      </c>
      <c r="T556" s="46">
        <v>12</v>
      </c>
      <c r="U556" s="40">
        <v>3</v>
      </c>
      <c r="V556" s="47">
        <v>4355.1836009079998</v>
      </c>
      <c r="W556" s="48">
        <v>1979</v>
      </c>
      <c r="X556" s="40"/>
      <c r="Y556" s="52" t="s">
        <v>1081</v>
      </c>
      <c r="Z556" s="40" t="s">
        <v>910</v>
      </c>
      <c r="AA556" s="49">
        <f t="shared" si="79"/>
        <v>102738.78114541971</v>
      </c>
      <c r="AB556" s="71">
        <f t="shared" si="80"/>
        <v>0.80</v>
      </c>
      <c r="AC556" s="49">
        <f t="shared" si="81"/>
        <v>20547.759999999998</v>
      </c>
      <c r="AD556" s="50">
        <f t="shared" si="82"/>
        <v>0</v>
      </c>
      <c r="AE556" s="50">
        <f t="shared" si="83"/>
        <v>0</v>
      </c>
      <c r="AF556" s="50">
        <f t="shared" si="84"/>
        <v>20547.759999999998</v>
      </c>
      <c r="AG556" s="199">
        <f t="shared" si="85"/>
        <v>20547</v>
      </c>
      <c r="AH556" s="187"/>
      <c r="AI556" s="185" t="s">
        <v>1456</v>
      </c>
      <c r="AJ556" s="185"/>
      <c r="AK556" s="277">
        <f t="shared" si="78"/>
        <v>4355.18</v>
      </c>
      <c r="AL556" s="25">
        <f>(SUMIFS('T1 2019 Pipeline Data Lagasco'!$O:$O,'T1 2019 Pipeline Data Lagasco'!$A:$A,'Dec 31 2018 OFFS'!$AI556,'T1 2019 Pipeline Data Lagasco'!$Q:$Q,'Dec 31 2018 OFFS'!$AK556,'T1 2019 Pipeline Data Lagasco'!$E:$E,'Dec 31 2018 OFFS'!$U556,'T1 2019 Pipeline Data Lagasco'!$G:$G,'Dec 31 2018 OFFS'!$W556))/(MAX(COUNTIFS('T1 2019 Pipeline Data Lagasco'!$A:$A,'Dec 31 2018 OFFS'!$AI556,'T1 2019 Pipeline Data Lagasco'!$Q:$Q,'Dec 31 2018 OFFS'!$AK556,'T1 2019 Pipeline Data Lagasco'!$E:$E,'Dec 31 2018 OFFS'!$U556,'T1 2019 Pipeline Data Lagasco'!$G:$G,'Dec 31 2018 OFFS'!$W556),1))</f>
        <v>20547</v>
      </c>
      <c r="AM556" s="274">
        <f t="shared" si="86"/>
        <v>0</v>
      </c>
    </row>
    <row r="557" spans="1:39" ht="12.7">
      <c r="A557" s="193" t="s">
        <v>909</v>
      </c>
      <c r="B557" s="40" t="s">
        <v>918</v>
      </c>
      <c r="C557" s="40" t="s">
        <v>1266</v>
      </c>
      <c r="D557" s="40" t="s">
        <v>17</v>
      </c>
      <c r="E557" s="40" t="s">
        <v>64</v>
      </c>
      <c r="F557" s="40"/>
      <c r="G557" s="41" t="s">
        <v>131</v>
      </c>
      <c r="H557" s="42">
        <v>42</v>
      </c>
      <c r="I557" s="43">
        <v>38</v>
      </c>
      <c r="J557" s="44">
        <v>49.98</v>
      </c>
      <c r="K557" s="45">
        <v>79</v>
      </c>
      <c r="L557" s="43">
        <v>50</v>
      </c>
      <c r="M557" s="46">
        <v>15</v>
      </c>
      <c r="N557" s="40" t="s">
        <v>133</v>
      </c>
      <c r="O557" s="42">
        <v>42</v>
      </c>
      <c r="P557" s="43">
        <v>38</v>
      </c>
      <c r="Q557" s="44">
        <v>5.605</v>
      </c>
      <c r="R557" s="45">
        <v>79</v>
      </c>
      <c r="S557" s="43">
        <v>49</v>
      </c>
      <c r="T557" s="46">
        <v>6.5810000000000004</v>
      </c>
      <c r="U557" s="40">
        <v>3</v>
      </c>
      <c r="V557" s="47">
        <v>6807.2832674279998</v>
      </c>
      <c r="W557" s="48">
        <v>1981</v>
      </c>
      <c r="X557" s="40"/>
      <c r="Y557" s="52" t="s">
        <v>1081</v>
      </c>
      <c r="Z557" s="40" t="s">
        <v>910</v>
      </c>
      <c r="AA557" s="49">
        <f t="shared" si="79"/>
        <v>160583.81227862652</v>
      </c>
      <c r="AB557" s="71">
        <f t="shared" si="80"/>
        <v>0.80</v>
      </c>
      <c r="AC557" s="49">
        <f t="shared" si="81"/>
        <v>32116.76</v>
      </c>
      <c r="AD557" s="50">
        <f t="shared" si="82"/>
        <v>0</v>
      </c>
      <c r="AE557" s="50">
        <f t="shared" si="83"/>
        <v>0</v>
      </c>
      <c r="AF557" s="50">
        <f t="shared" si="84"/>
        <v>32116.76</v>
      </c>
      <c r="AG557" s="199">
        <f t="shared" si="85"/>
        <v>32116</v>
      </c>
      <c r="AH557" s="187"/>
      <c r="AI557" s="185" t="s">
        <v>1456</v>
      </c>
      <c r="AJ557" s="185"/>
      <c r="AK557" s="277">
        <f t="shared" si="78"/>
        <v>6807.28</v>
      </c>
      <c r="AL557" s="25">
        <f>(SUMIFS('T1 2019 Pipeline Data Lagasco'!$O:$O,'T1 2019 Pipeline Data Lagasco'!$A:$A,'Dec 31 2018 OFFS'!$AI557,'T1 2019 Pipeline Data Lagasco'!$Q:$Q,'Dec 31 2018 OFFS'!$AK557,'T1 2019 Pipeline Data Lagasco'!$E:$E,'Dec 31 2018 OFFS'!$U557,'T1 2019 Pipeline Data Lagasco'!$G:$G,'Dec 31 2018 OFFS'!$W557))/(MAX(COUNTIFS('T1 2019 Pipeline Data Lagasco'!$A:$A,'Dec 31 2018 OFFS'!$AI557,'T1 2019 Pipeline Data Lagasco'!$Q:$Q,'Dec 31 2018 OFFS'!$AK557,'T1 2019 Pipeline Data Lagasco'!$E:$E,'Dec 31 2018 OFFS'!$U557,'T1 2019 Pipeline Data Lagasco'!$G:$G,'Dec 31 2018 OFFS'!$W557),1))</f>
        <v>32116</v>
      </c>
      <c r="AM557" s="274">
        <f t="shared" si="86"/>
        <v>0</v>
      </c>
    </row>
    <row r="558" spans="1:39" ht="12.7">
      <c r="A558" s="193" t="s">
        <v>909</v>
      </c>
      <c r="B558" s="40" t="s">
        <v>918</v>
      </c>
      <c r="C558" s="40" t="s">
        <v>1266</v>
      </c>
      <c r="D558" s="40" t="s">
        <v>17</v>
      </c>
      <c r="E558" s="40" t="s">
        <v>64</v>
      </c>
      <c r="F558" s="40"/>
      <c r="G558" s="41" t="s">
        <v>134</v>
      </c>
      <c r="H558" s="42">
        <v>42</v>
      </c>
      <c r="I558" s="43">
        <v>37</v>
      </c>
      <c r="J558" s="44">
        <v>10.98</v>
      </c>
      <c r="K558" s="45">
        <v>79</v>
      </c>
      <c r="L558" s="43">
        <v>50</v>
      </c>
      <c r="M558" s="46">
        <v>15</v>
      </c>
      <c r="N558" s="41" t="s">
        <v>135</v>
      </c>
      <c r="O558" s="42">
        <v>42</v>
      </c>
      <c r="P558" s="43">
        <v>36</v>
      </c>
      <c r="Q558" s="44">
        <v>31.02</v>
      </c>
      <c r="R558" s="45">
        <v>79</v>
      </c>
      <c r="S558" s="43">
        <v>49</v>
      </c>
      <c r="T558" s="46">
        <v>40.98</v>
      </c>
      <c r="U558" s="40">
        <v>3</v>
      </c>
      <c r="V558" s="47">
        <v>4779.0681030679998</v>
      </c>
      <c r="W558" s="48">
        <v>1981</v>
      </c>
      <c r="X558" s="40"/>
      <c r="Y558" s="52" t="s">
        <v>1081</v>
      </c>
      <c r="Z558" s="40" t="s">
        <v>910</v>
      </c>
      <c r="AA558" s="49">
        <f t="shared" si="79"/>
        <v>112738.21655137412</v>
      </c>
      <c r="AB558" s="71">
        <f t="shared" si="80"/>
        <v>0.80</v>
      </c>
      <c r="AC558" s="49">
        <f t="shared" si="81"/>
        <v>22547.64</v>
      </c>
      <c r="AD558" s="50">
        <f t="shared" si="82"/>
        <v>0</v>
      </c>
      <c r="AE558" s="50">
        <f t="shared" si="83"/>
        <v>0</v>
      </c>
      <c r="AF558" s="50">
        <f t="shared" si="84"/>
        <v>22547.64</v>
      </c>
      <c r="AG558" s="199">
        <f t="shared" si="85"/>
        <v>22547</v>
      </c>
      <c r="AH558" s="187"/>
      <c r="AI558" s="185" t="s">
        <v>1456</v>
      </c>
      <c r="AJ558" s="185"/>
      <c r="AK558" s="277">
        <f t="shared" si="78"/>
        <v>4779.07</v>
      </c>
      <c r="AL558" s="25">
        <f>(SUMIFS('T1 2019 Pipeline Data Lagasco'!$O:$O,'T1 2019 Pipeline Data Lagasco'!$A:$A,'Dec 31 2018 OFFS'!$AI558,'T1 2019 Pipeline Data Lagasco'!$Q:$Q,'Dec 31 2018 OFFS'!$AK558,'T1 2019 Pipeline Data Lagasco'!$E:$E,'Dec 31 2018 OFFS'!$U558,'T1 2019 Pipeline Data Lagasco'!$G:$G,'Dec 31 2018 OFFS'!$W558))/(MAX(COUNTIFS('T1 2019 Pipeline Data Lagasco'!$A:$A,'Dec 31 2018 OFFS'!$AI558,'T1 2019 Pipeline Data Lagasco'!$Q:$Q,'Dec 31 2018 OFFS'!$AK558,'T1 2019 Pipeline Data Lagasco'!$E:$E,'Dec 31 2018 OFFS'!$U558,'T1 2019 Pipeline Data Lagasco'!$G:$G,'Dec 31 2018 OFFS'!$W558),1))</f>
        <v>22547</v>
      </c>
      <c r="AM558" s="274">
        <f t="shared" si="86"/>
        <v>0</v>
      </c>
    </row>
    <row r="559" spans="1:39" ht="12.7">
      <c r="A559" s="193" t="s">
        <v>909</v>
      </c>
      <c r="B559" s="40" t="s">
        <v>918</v>
      </c>
      <c r="C559" s="40" t="s">
        <v>1266</v>
      </c>
      <c r="D559" s="40" t="s">
        <v>17</v>
      </c>
      <c r="E559" s="40" t="s">
        <v>138</v>
      </c>
      <c r="F559" s="40"/>
      <c r="G559" s="41" t="s">
        <v>136</v>
      </c>
      <c r="H559" s="42">
        <v>42</v>
      </c>
      <c r="I559" s="43">
        <v>35</v>
      </c>
      <c r="J559" s="44">
        <v>27</v>
      </c>
      <c r="K559" s="45">
        <v>79</v>
      </c>
      <c r="L559" s="43">
        <v>50</v>
      </c>
      <c r="M559" s="46">
        <v>15</v>
      </c>
      <c r="N559" s="41" t="s">
        <v>137</v>
      </c>
      <c r="O559" s="42">
        <v>42</v>
      </c>
      <c r="P559" s="43">
        <v>34</v>
      </c>
      <c r="Q559" s="44">
        <v>43.98</v>
      </c>
      <c r="R559" s="45">
        <v>79</v>
      </c>
      <c r="S559" s="43">
        <v>49</v>
      </c>
      <c r="T559" s="46">
        <v>34.020000000000003</v>
      </c>
      <c r="U559" s="40">
        <v>3</v>
      </c>
      <c r="V559" s="47">
        <v>5326.3449901060003</v>
      </c>
      <c r="W559" s="48">
        <v>1984</v>
      </c>
      <c r="X559" s="40"/>
      <c r="Y559" s="52" t="s">
        <v>1081</v>
      </c>
      <c r="Z559" s="40" t="s">
        <v>910</v>
      </c>
      <c r="AA559" s="49">
        <f t="shared" si="79"/>
        <v>125648.47831660055</v>
      </c>
      <c r="AB559" s="71">
        <f t="shared" si="80"/>
        <v>0.80</v>
      </c>
      <c r="AC559" s="49">
        <f t="shared" si="81"/>
        <v>25129.70</v>
      </c>
      <c r="AD559" s="50">
        <f t="shared" si="82"/>
        <v>0</v>
      </c>
      <c r="AE559" s="50">
        <f t="shared" si="83"/>
        <v>0</v>
      </c>
      <c r="AF559" s="50">
        <f t="shared" si="84"/>
        <v>25129.70</v>
      </c>
      <c r="AG559" s="199">
        <f t="shared" si="85"/>
        <v>25129</v>
      </c>
      <c r="AH559" s="187"/>
      <c r="AI559" s="185" t="s">
        <v>1456</v>
      </c>
      <c r="AJ559" s="185"/>
      <c r="AK559" s="277">
        <f t="shared" si="78"/>
        <v>5326.34</v>
      </c>
      <c r="AL559" s="25">
        <f>(SUMIFS('T1 2019 Pipeline Data Lagasco'!$O:$O,'T1 2019 Pipeline Data Lagasco'!$A:$A,'Dec 31 2018 OFFS'!$AI559,'T1 2019 Pipeline Data Lagasco'!$Q:$Q,'Dec 31 2018 OFFS'!$AK559,'T1 2019 Pipeline Data Lagasco'!$E:$E,'Dec 31 2018 OFFS'!$U559,'T1 2019 Pipeline Data Lagasco'!$G:$G,'Dec 31 2018 OFFS'!$W559))/(MAX(COUNTIFS('T1 2019 Pipeline Data Lagasco'!$A:$A,'Dec 31 2018 OFFS'!$AI559,'T1 2019 Pipeline Data Lagasco'!$Q:$Q,'Dec 31 2018 OFFS'!$AK559,'T1 2019 Pipeline Data Lagasco'!$E:$E,'Dec 31 2018 OFFS'!$U559,'T1 2019 Pipeline Data Lagasco'!$G:$G,'Dec 31 2018 OFFS'!$W559),1))</f>
        <v>25129</v>
      </c>
      <c r="AM559" s="274">
        <f t="shared" si="86"/>
        <v>0</v>
      </c>
    </row>
    <row r="560" spans="1:39" ht="12.7">
      <c r="A560" s="193" t="s">
        <v>909</v>
      </c>
      <c r="B560" s="40" t="s">
        <v>918</v>
      </c>
      <c r="C560" s="40" t="s">
        <v>1266</v>
      </c>
      <c r="D560" s="40" t="s">
        <v>17</v>
      </c>
      <c r="E560" s="40" t="s">
        <v>138</v>
      </c>
      <c r="F560" s="40"/>
      <c r="G560" s="40" t="s">
        <v>139</v>
      </c>
      <c r="H560" s="42">
        <v>42</v>
      </c>
      <c r="I560" s="43">
        <v>35</v>
      </c>
      <c r="J560" s="44">
        <v>29.72</v>
      </c>
      <c r="K560" s="45">
        <v>79</v>
      </c>
      <c r="L560" s="43">
        <v>50</v>
      </c>
      <c r="M560" s="46">
        <v>25.22</v>
      </c>
      <c r="N560" s="41" t="s">
        <v>136</v>
      </c>
      <c r="O560" s="42">
        <v>42</v>
      </c>
      <c r="P560" s="43">
        <v>35</v>
      </c>
      <c r="Q560" s="44">
        <v>27</v>
      </c>
      <c r="R560" s="45">
        <v>79</v>
      </c>
      <c r="S560" s="43">
        <v>50</v>
      </c>
      <c r="T560" s="46">
        <v>15</v>
      </c>
      <c r="U560" s="40">
        <v>3</v>
      </c>
      <c r="V560" s="47">
        <v>812.63121006199992</v>
      </c>
      <c r="W560" s="48">
        <v>1984</v>
      </c>
      <c r="X560" s="40"/>
      <c r="Y560" s="52" t="s">
        <v>1081</v>
      </c>
      <c r="Z560" s="40" t="s">
        <v>910</v>
      </c>
      <c r="AA560" s="49">
        <f t="shared" si="79"/>
        <v>19169.97024536258</v>
      </c>
      <c r="AB560" s="71">
        <f t="shared" si="80"/>
        <v>0.80</v>
      </c>
      <c r="AC560" s="49">
        <f t="shared" si="81"/>
        <v>3833.99</v>
      </c>
      <c r="AD560" s="50">
        <f t="shared" si="82"/>
        <v>0</v>
      </c>
      <c r="AE560" s="50">
        <f t="shared" si="83"/>
        <v>0</v>
      </c>
      <c r="AF560" s="50">
        <f t="shared" si="84"/>
        <v>3833.99</v>
      </c>
      <c r="AG560" s="199">
        <f t="shared" si="85"/>
        <v>3833</v>
      </c>
      <c r="AH560" s="187"/>
      <c r="AI560" s="185" t="s">
        <v>1456</v>
      </c>
      <c r="AJ560" s="185"/>
      <c r="AK560" s="277">
        <f t="shared" si="78"/>
        <v>812.63</v>
      </c>
      <c r="AL560" s="25">
        <f>(SUMIFS('T1 2019 Pipeline Data Lagasco'!$O:$O,'T1 2019 Pipeline Data Lagasco'!$A:$A,'Dec 31 2018 OFFS'!$AI560,'T1 2019 Pipeline Data Lagasco'!$Q:$Q,'Dec 31 2018 OFFS'!$AK560,'T1 2019 Pipeline Data Lagasco'!$E:$E,'Dec 31 2018 OFFS'!$U560,'T1 2019 Pipeline Data Lagasco'!$G:$G,'Dec 31 2018 OFFS'!$W560))/(MAX(COUNTIFS('T1 2019 Pipeline Data Lagasco'!$A:$A,'Dec 31 2018 OFFS'!$AI560,'T1 2019 Pipeline Data Lagasco'!$Q:$Q,'Dec 31 2018 OFFS'!$AK560,'T1 2019 Pipeline Data Lagasco'!$E:$E,'Dec 31 2018 OFFS'!$U560,'T1 2019 Pipeline Data Lagasco'!$G:$G,'Dec 31 2018 OFFS'!$W560),1))</f>
        <v>3833</v>
      </c>
      <c r="AM560" s="274">
        <f t="shared" si="86"/>
        <v>0</v>
      </c>
    </row>
    <row r="561" spans="1:39" ht="12.7">
      <c r="A561" s="193" t="s">
        <v>909</v>
      </c>
      <c r="B561" s="40" t="s">
        <v>918</v>
      </c>
      <c r="C561" s="40" t="s">
        <v>1266</v>
      </c>
      <c r="D561" s="40" t="s">
        <v>17</v>
      </c>
      <c r="E561" s="40" t="s">
        <v>64</v>
      </c>
      <c r="F561" s="40"/>
      <c r="G561" s="41" t="s">
        <v>133</v>
      </c>
      <c r="H561" s="42">
        <v>42</v>
      </c>
      <c r="I561" s="43">
        <v>38</v>
      </c>
      <c r="J561" s="44">
        <v>5.605</v>
      </c>
      <c r="K561" s="45">
        <v>79</v>
      </c>
      <c r="L561" s="43">
        <v>49</v>
      </c>
      <c r="M561" s="46">
        <v>6.5810000000000004</v>
      </c>
      <c r="N561" s="41" t="s">
        <v>140</v>
      </c>
      <c r="O561" s="42">
        <v>42</v>
      </c>
      <c r="P561" s="43">
        <v>36</v>
      </c>
      <c r="Q561" s="44">
        <v>45</v>
      </c>
      <c r="R561" s="45">
        <v>79</v>
      </c>
      <c r="S561" s="43">
        <v>50</v>
      </c>
      <c r="T561" s="46">
        <v>43.02</v>
      </c>
      <c r="U561" s="40">
        <v>3</v>
      </c>
      <c r="V561" s="47">
        <v>10889.894697751999</v>
      </c>
      <c r="W561" s="48">
        <v>1981</v>
      </c>
      <c r="X561" s="40"/>
      <c r="Y561" s="52" t="s">
        <v>1081</v>
      </c>
      <c r="Z561" s="40" t="s">
        <v>910</v>
      </c>
      <c r="AA561" s="49">
        <f t="shared" si="79"/>
        <v>256892.61591996966</v>
      </c>
      <c r="AB561" s="71">
        <f t="shared" si="80"/>
        <v>0.80</v>
      </c>
      <c r="AC561" s="49">
        <f t="shared" si="81"/>
        <v>51378.52</v>
      </c>
      <c r="AD561" s="50">
        <f t="shared" si="82"/>
        <v>0</v>
      </c>
      <c r="AE561" s="50">
        <f t="shared" si="83"/>
        <v>0</v>
      </c>
      <c r="AF561" s="50">
        <f t="shared" si="84"/>
        <v>51378.52</v>
      </c>
      <c r="AG561" s="199">
        <f t="shared" si="85"/>
        <v>51378</v>
      </c>
      <c r="AH561" s="187"/>
      <c r="AI561" s="185" t="s">
        <v>1456</v>
      </c>
      <c r="AJ561" s="185"/>
      <c r="AK561" s="277">
        <f t="shared" si="78"/>
        <v>10889.89</v>
      </c>
      <c r="AL561" s="25">
        <f>(SUMIFS('T1 2019 Pipeline Data Lagasco'!$O:$O,'T1 2019 Pipeline Data Lagasco'!$A:$A,'Dec 31 2018 OFFS'!$AI561,'T1 2019 Pipeline Data Lagasco'!$Q:$Q,'Dec 31 2018 OFFS'!$AK561,'T1 2019 Pipeline Data Lagasco'!$E:$E,'Dec 31 2018 OFFS'!$U561,'T1 2019 Pipeline Data Lagasco'!$G:$G,'Dec 31 2018 OFFS'!$W561))/(MAX(COUNTIFS('T1 2019 Pipeline Data Lagasco'!$A:$A,'Dec 31 2018 OFFS'!$AI561,'T1 2019 Pipeline Data Lagasco'!$Q:$Q,'Dec 31 2018 OFFS'!$AK561,'T1 2019 Pipeline Data Lagasco'!$E:$E,'Dec 31 2018 OFFS'!$U561,'T1 2019 Pipeline Data Lagasco'!$G:$G,'Dec 31 2018 OFFS'!$W561),1))</f>
        <v>51378</v>
      </c>
      <c r="AM561" s="274">
        <f t="shared" si="86"/>
        <v>0</v>
      </c>
    </row>
    <row r="562" spans="1:39" ht="12.7">
      <c r="A562" s="193" t="s">
        <v>909</v>
      </c>
      <c r="B562" s="40" t="s">
        <v>918</v>
      </c>
      <c r="C562" s="40" t="s">
        <v>1266</v>
      </c>
      <c r="D562" s="40" t="s">
        <v>17</v>
      </c>
      <c r="E562" s="40" t="s">
        <v>64</v>
      </c>
      <c r="F562" s="40"/>
      <c r="G562" s="41" t="s">
        <v>133</v>
      </c>
      <c r="H562" s="42">
        <v>42</v>
      </c>
      <c r="I562" s="43">
        <v>38</v>
      </c>
      <c r="J562" s="44">
        <v>5.605</v>
      </c>
      <c r="K562" s="45">
        <v>79</v>
      </c>
      <c r="L562" s="43">
        <v>49</v>
      </c>
      <c r="M562" s="46">
        <v>6.5810000000000004</v>
      </c>
      <c r="N562" s="41" t="s">
        <v>141</v>
      </c>
      <c r="O562" s="42">
        <v>42</v>
      </c>
      <c r="P562" s="43">
        <v>37</v>
      </c>
      <c r="Q562" s="44">
        <v>13.98</v>
      </c>
      <c r="R562" s="45">
        <v>79</v>
      </c>
      <c r="S562" s="43">
        <v>48</v>
      </c>
      <c r="T562" s="46">
        <v>46.98</v>
      </c>
      <c r="U562" s="40">
        <v>3</v>
      </c>
      <c r="V562" s="47">
        <v>5428.2806826919996</v>
      </c>
      <c r="W562" s="48">
        <v>1981</v>
      </c>
      <c r="X562" s="40"/>
      <c r="Y562" s="52" t="s">
        <v>1081</v>
      </c>
      <c r="Z562" s="40" t="s">
        <v>910</v>
      </c>
      <c r="AA562" s="49">
        <f t="shared" si="79"/>
        <v>128053.14130470427</v>
      </c>
      <c r="AB562" s="71">
        <f t="shared" si="80"/>
        <v>0.80</v>
      </c>
      <c r="AC562" s="49">
        <f t="shared" si="81"/>
        <v>25610.63</v>
      </c>
      <c r="AD562" s="50">
        <f t="shared" si="82"/>
        <v>0</v>
      </c>
      <c r="AE562" s="50">
        <f t="shared" si="83"/>
        <v>0</v>
      </c>
      <c r="AF562" s="50">
        <f t="shared" si="84"/>
        <v>25610.63</v>
      </c>
      <c r="AG562" s="199">
        <f t="shared" si="85"/>
        <v>25610</v>
      </c>
      <c r="AH562" s="187"/>
      <c r="AI562" s="185" t="s">
        <v>1456</v>
      </c>
      <c r="AJ562" s="185"/>
      <c r="AK562" s="277">
        <f t="shared" si="78"/>
        <v>5428.28</v>
      </c>
      <c r="AL562" s="25">
        <f>(SUMIFS('T1 2019 Pipeline Data Lagasco'!$O:$O,'T1 2019 Pipeline Data Lagasco'!$A:$A,'Dec 31 2018 OFFS'!$AI562,'T1 2019 Pipeline Data Lagasco'!$Q:$Q,'Dec 31 2018 OFFS'!$AK562,'T1 2019 Pipeline Data Lagasco'!$E:$E,'Dec 31 2018 OFFS'!$U562,'T1 2019 Pipeline Data Lagasco'!$G:$G,'Dec 31 2018 OFFS'!$W562))/(MAX(COUNTIFS('T1 2019 Pipeline Data Lagasco'!$A:$A,'Dec 31 2018 OFFS'!$AI562,'T1 2019 Pipeline Data Lagasco'!$Q:$Q,'Dec 31 2018 OFFS'!$AK562,'T1 2019 Pipeline Data Lagasco'!$E:$E,'Dec 31 2018 OFFS'!$U562,'T1 2019 Pipeline Data Lagasco'!$G:$G,'Dec 31 2018 OFFS'!$W562),1))</f>
        <v>25610</v>
      </c>
      <c r="AM562" s="274">
        <f t="shared" si="86"/>
        <v>0</v>
      </c>
    </row>
    <row r="563" spans="1:39" ht="12.7">
      <c r="A563" s="193" t="s">
        <v>909</v>
      </c>
      <c r="B563" s="40" t="s">
        <v>918</v>
      </c>
      <c r="C563" s="40" t="s">
        <v>1266</v>
      </c>
      <c r="D563" s="40" t="s">
        <v>17</v>
      </c>
      <c r="E563" s="40" t="s">
        <v>64</v>
      </c>
      <c r="F563" s="40"/>
      <c r="G563" s="41" t="s">
        <v>133</v>
      </c>
      <c r="H563" s="42">
        <v>42</v>
      </c>
      <c r="I563" s="43">
        <v>38</v>
      </c>
      <c r="J563" s="44">
        <v>5.605</v>
      </c>
      <c r="K563" s="45">
        <v>79</v>
      </c>
      <c r="L563" s="43">
        <v>49</v>
      </c>
      <c r="M563" s="46">
        <v>6.5810000000000004</v>
      </c>
      <c r="N563" s="41" t="s">
        <v>142</v>
      </c>
      <c r="O563" s="42">
        <v>42</v>
      </c>
      <c r="P563" s="43">
        <v>38</v>
      </c>
      <c r="Q563" s="44">
        <v>13.98</v>
      </c>
      <c r="R563" s="45">
        <v>79</v>
      </c>
      <c r="S563" s="43">
        <v>47</v>
      </c>
      <c r="T563" s="46">
        <v>45</v>
      </c>
      <c r="U563" s="40">
        <v>3</v>
      </c>
      <c r="V563" s="47">
        <v>6157.184861058</v>
      </c>
      <c r="W563" s="48">
        <v>1981</v>
      </c>
      <c r="X563" s="40"/>
      <c r="Y563" s="52" t="s">
        <v>1081</v>
      </c>
      <c r="Z563" s="40" t="s">
        <v>910</v>
      </c>
      <c r="AA563" s="49">
        <f t="shared" si="79"/>
        <v>145247.99087235823</v>
      </c>
      <c r="AB563" s="71">
        <f t="shared" si="80"/>
        <v>0.80</v>
      </c>
      <c r="AC563" s="49">
        <f t="shared" si="81"/>
        <v>29049.60</v>
      </c>
      <c r="AD563" s="50">
        <f t="shared" si="82"/>
        <v>0</v>
      </c>
      <c r="AE563" s="50">
        <f t="shared" si="83"/>
        <v>0</v>
      </c>
      <c r="AF563" s="50">
        <f t="shared" si="84"/>
        <v>29049.60</v>
      </c>
      <c r="AG563" s="199">
        <f t="shared" si="85"/>
        <v>29049</v>
      </c>
      <c r="AH563" s="187"/>
      <c r="AI563" s="185" t="s">
        <v>1456</v>
      </c>
      <c r="AJ563" s="185"/>
      <c r="AK563" s="277">
        <f t="shared" si="78"/>
        <v>6157.18</v>
      </c>
      <c r="AL563" s="25">
        <f>(SUMIFS('T1 2019 Pipeline Data Lagasco'!$O:$O,'T1 2019 Pipeline Data Lagasco'!$A:$A,'Dec 31 2018 OFFS'!$AI563,'T1 2019 Pipeline Data Lagasco'!$Q:$Q,'Dec 31 2018 OFFS'!$AK563,'T1 2019 Pipeline Data Lagasco'!$E:$E,'Dec 31 2018 OFFS'!$U563,'T1 2019 Pipeline Data Lagasco'!$G:$G,'Dec 31 2018 OFFS'!$W563))/(MAX(COUNTIFS('T1 2019 Pipeline Data Lagasco'!$A:$A,'Dec 31 2018 OFFS'!$AI563,'T1 2019 Pipeline Data Lagasco'!$Q:$Q,'Dec 31 2018 OFFS'!$AK563,'T1 2019 Pipeline Data Lagasco'!$E:$E,'Dec 31 2018 OFFS'!$U563,'T1 2019 Pipeline Data Lagasco'!$G:$G,'Dec 31 2018 OFFS'!$W563),1))</f>
        <v>29049</v>
      </c>
      <c r="AM563" s="274">
        <f t="shared" si="86"/>
        <v>0</v>
      </c>
    </row>
    <row r="564" spans="1:39" ht="12.7">
      <c r="A564" s="193" t="s">
        <v>909</v>
      </c>
      <c r="B564" s="40" t="s">
        <v>918</v>
      </c>
      <c r="C564" s="40" t="s">
        <v>1266</v>
      </c>
      <c r="D564" s="40" t="s">
        <v>17</v>
      </c>
      <c r="E564" s="40" t="s">
        <v>64</v>
      </c>
      <c r="F564" s="40"/>
      <c r="G564" s="41" t="s">
        <v>142</v>
      </c>
      <c r="H564" s="42">
        <v>42</v>
      </c>
      <c r="I564" s="43">
        <v>38</v>
      </c>
      <c r="J564" s="44">
        <v>13.98</v>
      </c>
      <c r="K564" s="45">
        <v>79</v>
      </c>
      <c r="L564" s="43">
        <v>47</v>
      </c>
      <c r="M564" s="46">
        <v>45</v>
      </c>
      <c r="N564" s="41" t="s">
        <v>143</v>
      </c>
      <c r="O564" s="42">
        <v>42</v>
      </c>
      <c r="P564" s="43">
        <v>38</v>
      </c>
      <c r="Q564" s="44">
        <v>45</v>
      </c>
      <c r="R564" s="45">
        <v>79</v>
      </c>
      <c r="S564" s="43">
        <v>48</v>
      </c>
      <c r="T564" s="46">
        <v>16.02</v>
      </c>
      <c r="U564" s="40">
        <v>3</v>
      </c>
      <c r="V564" s="47">
        <v>3903.8056612240002</v>
      </c>
      <c r="W564" s="48">
        <v>1991</v>
      </c>
      <c r="X564" s="40"/>
      <c r="Y564" s="52" t="s">
        <v>1081</v>
      </c>
      <c r="Z564" s="40" t="s">
        <v>910</v>
      </c>
      <c r="AA564" s="49">
        <f t="shared" si="79"/>
        <v>92090.775548274163</v>
      </c>
      <c r="AB564" s="71">
        <f t="shared" si="80"/>
        <v>0.72</v>
      </c>
      <c r="AC564" s="49">
        <f t="shared" si="81"/>
        <v>25785.42</v>
      </c>
      <c r="AD564" s="50">
        <f t="shared" si="82"/>
        <v>0</v>
      </c>
      <c r="AE564" s="50">
        <f t="shared" si="83"/>
        <v>0</v>
      </c>
      <c r="AF564" s="50">
        <f t="shared" si="84"/>
        <v>25785.42</v>
      </c>
      <c r="AG564" s="199">
        <f t="shared" si="85"/>
        <v>25785</v>
      </c>
      <c r="AH564" s="187"/>
      <c r="AI564" s="185" t="s">
        <v>1456</v>
      </c>
      <c r="AJ564" s="185"/>
      <c r="AK564" s="277">
        <f t="shared" si="78"/>
        <v>3903.81</v>
      </c>
      <c r="AL564" s="25">
        <f>(SUMIFS('T1 2019 Pipeline Data Lagasco'!$O:$O,'T1 2019 Pipeline Data Lagasco'!$A:$A,'Dec 31 2018 OFFS'!$AI564,'T1 2019 Pipeline Data Lagasco'!$Q:$Q,'Dec 31 2018 OFFS'!$AK564,'T1 2019 Pipeline Data Lagasco'!$E:$E,'Dec 31 2018 OFFS'!$U564,'T1 2019 Pipeline Data Lagasco'!$G:$G,'Dec 31 2018 OFFS'!$W564))/(MAX(COUNTIFS('T1 2019 Pipeline Data Lagasco'!$A:$A,'Dec 31 2018 OFFS'!$AI564,'T1 2019 Pipeline Data Lagasco'!$Q:$Q,'Dec 31 2018 OFFS'!$AK564,'T1 2019 Pipeline Data Lagasco'!$E:$E,'Dec 31 2018 OFFS'!$U564,'T1 2019 Pipeline Data Lagasco'!$G:$G,'Dec 31 2018 OFFS'!$W564),1))</f>
        <v>25785</v>
      </c>
      <c r="AM564" s="274">
        <f t="shared" si="86"/>
        <v>0</v>
      </c>
    </row>
    <row r="565" spans="1:39" ht="12.7">
      <c r="A565" s="193" t="s">
        <v>909</v>
      </c>
      <c r="B565" s="40" t="s">
        <v>918</v>
      </c>
      <c r="C565" s="40" t="s">
        <v>1266</v>
      </c>
      <c r="D565" s="40" t="s">
        <v>17</v>
      </c>
      <c r="E565" s="40" t="s">
        <v>64</v>
      </c>
      <c r="F565" s="139" t="s">
        <v>1051</v>
      </c>
      <c r="G565" s="41" t="s">
        <v>142</v>
      </c>
      <c r="H565" s="42">
        <v>42</v>
      </c>
      <c r="I565" s="43">
        <v>38</v>
      </c>
      <c r="J565" s="44">
        <v>13.98</v>
      </c>
      <c r="K565" s="45">
        <v>79</v>
      </c>
      <c r="L565" s="43">
        <v>47</v>
      </c>
      <c r="M565" s="46">
        <v>45</v>
      </c>
      <c r="N565" s="41" t="s">
        <v>144</v>
      </c>
      <c r="O565" s="42">
        <v>42</v>
      </c>
      <c r="P565" s="43">
        <v>37</v>
      </c>
      <c r="Q565" s="44">
        <v>15</v>
      </c>
      <c r="R565" s="45">
        <v>79</v>
      </c>
      <c r="S565" s="43">
        <v>47</v>
      </c>
      <c r="T565" s="46">
        <v>45</v>
      </c>
      <c r="U565" s="40">
        <v>3</v>
      </c>
      <c r="V565" s="47">
        <v>5971.3909031839994</v>
      </c>
      <c r="W565" s="48">
        <v>1982</v>
      </c>
      <c r="X565" s="40"/>
      <c r="Y565" s="52" t="s">
        <v>1081</v>
      </c>
      <c r="Z565" s="40" t="s">
        <v>910</v>
      </c>
      <c r="AA565" s="49">
        <f t="shared" si="79"/>
        <v>0</v>
      </c>
      <c r="AB565" s="71">
        <f t="shared" si="80"/>
        <v>0.80</v>
      </c>
      <c r="AC565" s="49">
        <f t="shared" si="81"/>
        <v>0</v>
      </c>
      <c r="AD565" s="50">
        <f t="shared" si="82"/>
        <v>0</v>
      </c>
      <c r="AE565" s="50">
        <f t="shared" si="83"/>
        <v>0</v>
      </c>
      <c r="AF565" s="50">
        <f t="shared" si="84"/>
        <v>0</v>
      </c>
      <c r="AG565" s="199">
        <f t="shared" si="85"/>
        <v>0</v>
      </c>
      <c r="AH565" s="187"/>
      <c r="AI565" s="185" t="s">
        <v>1456</v>
      </c>
      <c r="AJ565" s="185"/>
      <c r="AK565" s="277">
        <f t="shared" si="78"/>
        <v>5971.39</v>
      </c>
      <c r="AL565" s="25">
        <f>(SUMIFS('T1 2019 Pipeline Data Lagasco'!$O:$O,'T1 2019 Pipeline Data Lagasco'!$A:$A,'Dec 31 2018 OFFS'!$AI565,'T1 2019 Pipeline Data Lagasco'!$Q:$Q,'Dec 31 2018 OFFS'!$AK565,'T1 2019 Pipeline Data Lagasco'!$E:$E,'Dec 31 2018 OFFS'!$U565,'T1 2019 Pipeline Data Lagasco'!$G:$G,'Dec 31 2018 OFFS'!$W565))/(MAX(COUNTIFS('T1 2019 Pipeline Data Lagasco'!$A:$A,'Dec 31 2018 OFFS'!$AI565,'T1 2019 Pipeline Data Lagasco'!$Q:$Q,'Dec 31 2018 OFFS'!$AK565,'T1 2019 Pipeline Data Lagasco'!$E:$E,'Dec 31 2018 OFFS'!$U565,'T1 2019 Pipeline Data Lagasco'!$G:$G,'Dec 31 2018 OFFS'!$W565),1))</f>
        <v>0</v>
      </c>
      <c r="AM565" s="274">
        <f t="shared" si="86"/>
        <v>0</v>
      </c>
    </row>
    <row r="566" spans="1:39" ht="12.7">
      <c r="A566" s="193" t="s">
        <v>909</v>
      </c>
      <c r="B566" s="40" t="s">
        <v>918</v>
      </c>
      <c r="C566" s="40" t="s">
        <v>1266</v>
      </c>
      <c r="D566" s="40" t="s">
        <v>17</v>
      </c>
      <c r="E566" s="40" t="s">
        <v>64</v>
      </c>
      <c r="F566" s="40"/>
      <c r="G566" s="41" t="s">
        <v>1208</v>
      </c>
      <c r="H566" s="42">
        <v>42</v>
      </c>
      <c r="I566" s="43">
        <v>37</v>
      </c>
      <c r="J566" s="44">
        <v>34.200000000000003</v>
      </c>
      <c r="K566" s="45">
        <v>79</v>
      </c>
      <c r="L566" s="43">
        <v>48</v>
      </c>
      <c r="M566" s="46">
        <v>8.2799999999999994</v>
      </c>
      <c r="N566" s="41" t="s">
        <v>1209</v>
      </c>
      <c r="O566" s="42">
        <v>42</v>
      </c>
      <c r="P566" s="43">
        <v>37</v>
      </c>
      <c r="Q566" s="44">
        <v>13.62</v>
      </c>
      <c r="R566" s="45">
        <v>79</v>
      </c>
      <c r="S566" s="43">
        <v>48</v>
      </c>
      <c r="T566" s="46">
        <v>46.92</v>
      </c>
      <c r="U566" s="40">
        <v>3</v>
      </c>
      <c r="V566" s="47">
        <v>3558</v>
      </c>
      <c r="W566" s="48">
        <v>2004</v>
      </c>
      <c r="X566" s="40"/>
      <c r="Y566" s="52" t="s">
        <v>1081</v>
      </c>
      <c r="Z566" s="40" t="s">
        <v>910</v>
      </c>
      <c r="AA566" s="49">
        <f t="shared" si="79"/>
        <v>83933.22</v>
      </c>
      <c r="AB566" s="71">
        <f t="shared" si="80"/>
        <v>0.56000000000000005</v>
      </c>
      <c r="AC566" s="49">
        <f t="shared" si="81"/>
        <v>36930.620000000003</v>
      </c>
      <c r="AD566" s="50">
        <f t="shared" si="82"/>
        <v>0</v>
      </c>
      <c r="AE566" s="50">
        <f t="shared" si="83"/>
        <v>0</v>
      </c>
      <c r="AF566" s="50">
        <f t="shared" si="84"/>
        <v>36930.620000000003</v>
      </c>
      <c r="AG566" s="199">
        <f t="shared" si="85"/>
        <v>36930</v>
      </c>
      <c r="AH566" s="187"/>
      <c r="AI566" s="185" t="s">
        <v>1456</v>
      </c>
      <c r="AJ566" s="185"/>
      <c r="AK566" s="277">
        <f t="shared" si="78"/>
        <v>3558</v>
      </c>
      <c r="AL566" s="25">
        <f>(SUMIFS('T1 2019 Pipeline Data Lagasco'!$O:$O,'T1 2019 Pipeline Data Lagasco'!$A:$A,'Dec 31 2018 OFFS'!$AI566,'T1 2019 Pipeline Data Lagasco'!$Q:$Q,'Dec 31 2018 OFFS'!$AK566,'T1 2019 Pipeline Data Lagasco'!$E:$E,'Dec 31 2018 OFFS'!$U566,'T1 2019 Pipeline Data Lagasco'!$G:$G,'Dec 31 2018 OFFS'!$W566))/(MAX(COUNTIFS('T1 2019 Pipeline Data Lagasco'!$A:$A,'Dec 31 2018 OFFS'!$AI566,'T1 2019 Pipeline Data Lagasco'!$Q:$Q,'Dec 31 2018 OFFS'!$AK566,'T1 2019 Pipeline Data Lagasco'!$E:$E,'Dec 31 2018 OFFS'!$U566,'T1 2019 Pipeline Data Lagasco'!$G:$G,'Dec 31 2018 OFFS'!$W566),1))</f>
        <v>36930</v>
      </c>
      <c r="AM566" s="274">
        <f t="shared" si="86"/>
        <v>0</v>
      </c>
    </row>
    <row r="567" spans="1:39" ht="12.7">
      <c r="A567" s="193" t="s">
        <v>909</v>
      </c>
      <c r="B567" s="40" t="s">
        <v>918</v>
      </c>
      <c r="C567" s="40" t="s">
        <v>1266</v>
      </c>
      <c r="D567" s="40" t="s">
        <v>17</v>
      </c>
      <c r="E567" s="40" t="s">
        <v>64</v>
      </c>
      <c r="F567" s="40"/>
      <c r="G567" s="41" t="s">
        <v>141</v>
      </c>
      <c r="H567" s="42">
        <v>42</v>
      </c>
      <c r="I567" s="43">
        <v>37</v>
      </c>
      <c r="J567" s="44">
        <v>13.98</v>
      </c>
      <c r="K567" s="45">
        <v>79</v>
      </c>
      <c r="L567" s="43">
        <v>48</v>
      </c>
      <c r="M567" s="46">
        <v>46.98</v>
      </c>
      <c r="N567" s="41" t="s">
        <v>145</v>
      </c>
      <c r="O567" s="42">
        <v>42</v>
      </c>
      <c r="P567" s="43">
        <v>36</v>
      </c>
      <c r="Q567" s="44">
        <v>43.02</v>
      </c>
      <c r="R567" s="45">
        <v>79</v>
      </c>
      <c r="S567" s="43">
        <v>48</v>
      </c>
      <c r="T567" s="46">
        <v>43.98</v>
      </c>
      <c r="U567" s="40">
        <v>3</v>
      </c>
      <c r="V567" s="47">
        <v>3142.5524024299998</v>
      </c>
      <c r="W567" s="48">
        <v>1984</v>
      </c>
      <c r="X567" s="40"/>
      <c r="Y567" s="52" t="s">
        <v>1081</v>
      </c>
      <c r="Z567" s="40" t="s">
        <v>910</v>
      </c>
      <c r="AA567" s="49">
        <f t="shared" si="79"/>
        <v>74132.811173323702</v>
      </c>
      <c r="AB567" s="71">
        <f t="shared" si="80"/>
        <v>0.80</v>
      </c>
      <c r="AC567" s="49">
        <f t="shared" si="81"/>
        <v>14826.56</v>
      </c>
      <c r="AD567" s="50">
        <f t="shared" si="82"/>
        <v>0</v>
      </c>
      <c r="AE567" s="50">
        <f t="shared" si="83"/>
        <v>0</v>
      </c>
      <c r="AF567" s="50">
        <f t="shared" si="84"/>
        <v>14826.56</v>
      </c>
      <c r="AG567" s="199">
        <f t="shared" si="85"/>
        <v>14826</v>
      </c>
      <c r="AH567" s="187"/>
      <c r="AI567" s="185" t="s">
        <v>1456</v>
      </c>
      <c r="AJ567" s="185"/>
      <c r="AK567" s="277">
        <f t="shared" si="78"/>
        <v>3142.55</v>
      </c>
      <c r="AL567" s="25">
        <f>(SUMIFS('T1 2019 Pipeline Data Lagasco'!$O:$O,'T1 2019 Pipeline Data Lagasco'!$A:$A,'Dec 31 2018 OFFS'!$AI567,'T1 2019 Pipeline Data Lagasco'!$Q:$Q,'Dec 31 2018 OFFS'!$AK567,'T1 2019 Pipeline Data Lagasco'!$E:$E,'Dec 31 2018 OFFS'!$U567,'T1 2019 Pipeline Data Lagasco'!$G:$G,'Dec 31 2018 OFFS'!$W567))/(MAX(COUNTIFS('T1 2019 Pipeline Data Lagasco'!$A:$A,'Dec 31 2018 OFFS'!$AI567,'T1 2019 Pipeline Data Lagasco'!$Q:$Q,'Dec 31 2018 OFFS'!$AK567,'T1 2019 Pipeline Data Lagasco'!$E:$E,'Dec 31 2018 OFFS'!$U567,'T1 2019 Pipeline Data Lagasco'!$G:$G,'Dec 31 2018 OFFS'!$W567),1))</f>
        <v>14826</v>
      </c>
      <c r="AM567" s="274">
        <f t="shared" si="86"/>
        <v>0</v>
      </c>
    </row>
    <row r="568" spans="1:39" ht="12.7">
      <c r="A568" s="193" t="s">
        <v>909</v>
      </c>
      <c r="B568" s="40" t="s">
        <v>918</v>
      </c>
      <c r="C568" s="40" t="s">
        <v>1266</v>
      </c>
      <c r="D568" s="40" t="s">
        <v>17</v>
      </c>
      <c r="E568" s="40" t="s">
        <v>64</v>
      </c>
      <c r="F568" s="40"/>
      <c r="G568" s="41" t="s">
        <v>1199</v>
      </c>
      <c r="H568" s="42">
        <v>42</v>
      </c>
      <c r="I568" s="43">
        <v>39</v>
      </c>
      <c r="J568" s="44">
        <v>47.16</v>
      </c>
      <c r="K568" s="45">
        <v>79</v>
      </c>
      <c r="L568" s="43">
        <v>42</v>
      </c>
      <c r="M568" s="46">
        <v>13.32</v>
      </c>
      <c r="N568" s="41" t="s">
        <v>1200</v>
      </c>
      <c r="O568" s="42">
        <v>42</v>
      </c>
      <c r="P568" s="43">
        <v>40</v>
      </c>
      <c r="Q568" s="44">
        <v>13.02</v>
      </c>
      <c r="R568" s="45">
        <v>79</v>
      </c>
      <c r="S568" s="43">
        <v>41</v>
      </c>
      <c r="T568" s="46">
        <v>47.22</v>
      </c>
      <c r="U568" s="40">
        <v>3</v>
      </c>
      <c r="V568" s="47">
        <v>3261</v>
      </c>
      <c r="W568" s="48">
        <v>2004</v>
      </c>
      <c r="X568" s="40"/>
      <c r="Y568" s="52" t="s">
        <v>1081</v>
      </c>
      <c r="Z568" s="40" t="s">
        <v>910</v>
      </c>
      <c r="AA568" s="49">
        <f t="shared" si="79"/>
        <v>76926.990000000005</v>
      </c>
      <c r="AB568" s="71">
        <f t="shared" si="80"/>
        <v>0.56000000000000005</v>
      </c>
      <c r="AC568" s="49">
        <f t="shared" si="81"/>
        <v>33847.879999999997</v>
      </c>
      <c r="AD568" s="50">
        <f t="shared" si="82"/>
        <v>0</v>
      </c>
      <c r="AE568" s="50">
        <f t="shared" si="83"/>
        <v>0</v>
      </c>
      <c r="AF568" s="50">
        <f t="shared" si="84"/>
        <v>33847.879999999997</v>
      </c>
      <c r="AG568" s="199">
        <f t="shared" si="85"/>
        <v>33847</v>
      </c>
      <c r="AH568" s="187"/>
      <c r="AI568" s="185" t="s">
        <v>1456</v>
      </c>
      <c r="AJ568" s="185"/>
      <c r="AK568" s="277">
        <f t="shared" si="78"/>
        <v>3261</v>
      </c>
      <c r="AL568" s="25">
        <f>(SUMIFS('T1 2019 Pipeline Data Lagasco'!$O:$O,'T1 2019 Pipeline Data Lagasco'!$A:$A,'Dec 31 2018 OFFS'!$AI568,'T1 2019 Pipeline Data Lagasco'!$Q:$Q,'Dec 31 2018 OFFS'!$AK568,'T1 2019 Pipeline Data Lagasco'!$E:$E,'Dec 31 2018 OFFS'!$U568,'T1 2019 Pipeline Data Lagasco'!$G:$G,'Dec 31 2018 OFFS'!$W568))/(MAX(COUNTIFS('T1 2019 Pipeline Data Lagasco'!$A:$A,'Dec 31 2018 OFFS'!$AI568,'T1 2019 Pipeline Data Lagasco'!$Q:$Q,'Dec 31 2018 OFFS'!$AK568,'T1 2019 Pipeline Data Lagasco'!$E:$E,'Dec 31 2018 OFFS'!$U568,'T1 2019 Pipeline Data Lagasco'!$G:$G,'Dec 31 2018 OFFS'!$W568),1))</f>
        <v>33847</v>
      </c>
      <c r="AM568" s="274">
        <f t="shared" si="86"/>
        <v>0</v>
      </c>
    </row>
    <row r="569" spans="1:39" ht="12.7">
      <c r="A569" s="193" t="s">
        <v>909</v>
      </c>
      <c r="B569" s="40" t="s">
        <v>918</v>
      </c>
      <c r="C569" s="40" t="s">
        <v>1266</v>
      </c>
      <c r="D569" s="40" t="s">
        <v>17</v>
      </c>
      <c r="E569" s="40" t="s">
        <v>138</v>
      </c>
      <c r="F569" s="40"/>
      <c r="G569" s="41" t="s">
        <v>146</v>
      </c>
      <c r="H569" s="42">
        <v>42</v>
      </c>
      <c r="I569" s="43">
        <v>38</v>
      </c>
      <c r="J569" s="44">
        <v>44.399000000000001</v>
      </c>
      <c r="K569" s="45">
        <v>79</v>
      </c>
      <c r="L569" s="43">
        <v>44</v>
      </c>
      <c r="M569" s="46">
        <v>38.055999999999997</v>
      </c>
      <c r="N569" s="40" t="s">
        <v>147</v>
      </c>
      <c r="O569" s="42">
        <v>42</v>
      </c>
      <c r="P569" s="43">
        <v>38</v>
      </c>
      <c r="Q569" s="44">
        <v>14.82</v>
      </c>
      <c r="R569" s="45">
        <v>79</v>
      </c>
      <c r="S569" s="43">
        <v>43</v>
      </c>
      <c r="T569" s="46">
        <v>40.50</v>
      </c>
      <c r="U569" s="40">
        <v>3</v>
      </c>
      <c r="V569" s="47">
        <v>5241.9289820519998</v>
      </c>
      <c r="W569" s="48">
        <v>1994</v>
      </c>
      <c r="X569" s="40"/>
      <c r="Y569" s="52" t="s">
        <v>1081</v>
      </c>
      <c r="Z569" s="40" t="s">
        <v>910</v>
      </c>
      <c r="AA569" s="49">
        <f t="shared" si="79"/>
        <v>123657.10468660668</v>
      </c>
      <c r="AB569" s="71">
        <f t="shared" si="80"/>
        <v>0.68</v>
      </c>
      <c r="AC569" s="49">
        <f t="shared" si="81"/>
        <v>39570.269999999997</v>
      </c>
      <c r="AD569" s="50">
        <f t="shared" si="82"/>
        <v>0</v>
      </c>
      <c r="AE569" s="50">
        <f t="shared" si="83"/>
        <v>0</v>
      </c>
      <c r="AF569" s="50">
        <f t="shared" si="84"/>
        <v>39570.269999999997</v>
      </c>
      <c r="AG569" s="199">
        <f t="shared" si="85"/>
        <v>39570</v>
      </c>
      <c r="AH569" s="187"/>
      <c r="AI569" s="185" t="s">
        <v>1456</v>
      </c>
      <c r="AJ569" s="185"/>
      <c r="AK569" s="277">
        <f t="shared" si="78"/>
        <v>5241.93</v>
      </c>
      <c r="AL569" s="25">
        <f>(SUMIFS('T1 2019 Pipeline Data Lagasco'!$O:$O,'T1 2019 Pipeline Data Lagasco'!$A:$A,'Dec 31 2018 OFFS'!$AI569,'T1 2019 Pipeline Data Lagasco'!$Q:$Q,'Dec 31 2018 OFFS'!$AK569,'T1 2019 Pipeline Data Lagasco'!$E:$E,'Dec 31 2018 OFFS'!$U569,'T1 2019 Pipeline Data Lagasco'!$G:$G,'Dec 31 2018 OFFS'!$W569))/(MAX(COUNTIFS('T1 2019 Pipeline Data Lagasco'!$A:$A,'Dec 31 2018 OFFS'!$AI569,'T1 2019 Pipeline Data Lagasco'!$Q:$Q,'Dec 31 2018 OFFS'!$AK569,'T1 2019 Pipeline Data Lagasco'!$E:$E,'Dec 31 2018 OFFS'!$U569,'T1 2019 Pipeline Data Lagasco'!$G:$G,'Dec 31 2018 OFFS'!$W569),1))</f>
        <v>39570</v>
      </c>
      <c r="AM569" s="274">
        <f t="shared" si="86"/>
        <v>0</v>
      </c>
    </row>
    <row r="570" spans="1:39" ht="12.7">
      <c r="A570" s="193" t="s">
        <v>909</v>
      </c>
      <c r="B570" s="40" t="s">
        <v>918</v>
      </c>
      <c r="C570" s="40" t="s">
        <v>1266</v>
      </c>
      <c r="D570" s="40" t="s">
        <v>17</v>
      </c>
      <c r="E570" s="40" t="s">
        <v>138</v>
      </c>
      <c r="F570" s="40"/>
      <c r="G570" s="41" t="s">
        <v>147</v>
      </c>
      <c r="H570" s="42">
        <v>42</v>
      </c>
      <c r="I570" s="43">
        <v>38</v>
      </c>
      <c r="J570" s="44">
        <v>14.82</v>
      </c>
      <c r="K570" s="45">
        <v>79</v>
      </c>
      <c r="L570" s="43">
        <v>43</v>
      </c>
      <c r="M570" s="46">
        <v>40.50</v>
      </c>
      <c r="N570" s="40" t="s">
        <v>148</v>
      </c>
      <c r="O570" s="42">
        <v>42</v>
      </c>
      <c r="P570" s="43">
        <v>37</v>
      </c>
      <c r="Q570" s="44">
        <v>43.20</v>
      </c>
      <c r="R570" s="45">
        <v>79</v>
      </c>
      <c r="S570" s="43">
        <v>43</v>
      </c>
      <c r="T570" s="46">
        <v>47.70</v>
      </c>
      <c r="U570" s="40">
        <v>3</v>
      </c>
      <c r="V570" s="47">
        <v>3246.3253653040001</v>
      </c>
      <c r="W570" s="48">
        <v>1983</v>
      </c>
      <c r="X570" s="40"/>
      <c r="Y570" s="52" t="s">
        <v>1081</v>
      </c>
      <c r="Z570" s="40" t="s">
        <v>910</v>
      </c>
      <c r="AA570" s="49">
        <f t="shared" si="79"/>
        <v>76580.815367521369</v>
      </c>
      <c r="AB570" s="71">
        <f t="shared" si="80"/>
        <v>0.80</v>
      </c>
      <c r="AC570" s="49">
        <f t="shared" si="81"/>
        <v>15316.16</v>
      </c>
      <c r="AD570" s="50">
        <f t="shared" si="82"/>
        <v>0</v>
      </c>
      <c r="AE570" s="50">
        <f t="shared" si="83"/>
        <v>0</v>
      </c>
      <c r="AF570" s="50">
        <f t="shared" si="84"/>
        <v>15316.16</v>
      </c>
      <c r="AG570" s="199">
        <f t="shared" si="85"/>
        <v>15316</v>
      </c>
      <c r="AH570" s="187"/>
      <c r="AI570" s="185" t="s">
        <v>1456</v>
      </c>
      <c r="AJ570" s="185"/>
      <c r="AK570" s="277">
        <f t="shared" si="78"/>
        <v>3246.33</v>
      </c>
      <c r="AL570" s="25">
        <f>(SUMIFS('T1 2019 Pipeline Data Lagasco'!$O:$O,'T1 2019 Pipeline Data Lagasco'!$A:$A,'Dec 31 2018 OFFS'!$AI570,'T1 2019 Pipeline Data Lagasco'!$Q:$Q,'Dec 31 2018 OFFS'!$AK570,'T1 2019 Pipeline Data Lagasco'!$E:$E,'Dec 31 2018 OFFS'!$U570,'T1 2019 Pipeline Data Lagasco'!$G:$G,'Dec 31 2018 OFFS'!$W570))/(MAX(COUNTIFS('T1 2019 Pipeline Data Lagasco'!$A:$A,'Dec 31 2018 OFFS'!$AI570,'T1 2019 Pipeline Data Lagasco'!$Q:$Q,'Dec 31 2018 OFFS'!$AK570,'T1 2019 Pipeline Data Lagasco'!$E:$E,'Dec 31 2018 OFFS'!$U570,'T1 2019 Pipeline Data Lagasco'!$G:$G,'Dec 31 2018 OFFS'!$W570),1))</f>
        <v>15316</v>
      </c>
      <c r="AM570" s="274">
        <f t="shared" si="86"/>
        <v>0</v>
      </c>
    </row>
    <row r="571" spans="1:39" ht="12.7">
      <c r="A571" s="193" t="s">
        <v>909</v>
      </c>
      <c r="B571" s="40" t="s">
        <v>918</v>
      </c>
      <c r="C571" s="40" t="s">
        <v>1266</v>
      </c>
      <c r="D571" s="40" t="s">
        <v>17</v>
      </c>
      <c r="E571" s="40" t="s">
        <v>138</v>
      </c>
      <c r="F571" s="40"/>
      <c r="G571" s="41" t="s">
        <v>149</v>
      </c>
      <c r="H571" s="42">
        <v>42</v>
      </c>
      <c r="I571" s="43">
        <v>38</v>
      </c>
      <c r="J571" s="44">
        <v>9</v>
      </c>
      <c r="K571" s="45">
        <v>79</v>
      </c>
      <c r="L571" s="43">
        <v>41</v>
      </c>
      <c r="M571" s="46">
        <v>43.98</v>
      </c>
      <c r="N571" s="41" t="s">
        <v>150</v>
      </c>
      <c r="O571" s="42">
        <v>42</v>
      </c>
      <c r="P571" s="43">
        <v>38</v>
      </c>
      <c r="Q571" s="44">
        <v>40.020000000000003</v>
      </c>
      <c r="R571" s="45">
        <v>79</v>
      </c>
      <c r="S571" s="43">
        <v>40</v>
      </c>
      <c r="T571" s="46">
        <v>42</v>
      </c>
      <c r="U571" s="40">
        <v>3</v>
      </c>
      <c r="V571" s="47">
        <v>5597.2439323919998</v>
      </c>
      <c r="W571" s="48">
        <v>1981</v>
      </c>
      <c r="X571" s="40"/>
      <c r="Y571" s="52" t="s">
        <v>1081</v>
      </c>
      <c r="Z571" s="40" t="s">
        <v>910</v>
      </c>
      <c r="AA571" s="49">
        <f t="shared" si="79"/>
        <v>132038.98436512728</v>
      </c>
      <c r="AB571" s="71">
        <f t="shared" si="80"/>
        <v>0.80</v>
      </c>
      <c r="AC571" s="49">
        <f t="shared" si="81"/>
        <v>26407.80</v>
      </c>
      <c r="AD571" s="50">
        <f t="shared" si="82"/>
        <v>0</v>
      </c>
      <c r="AE571" s="50">
        <f t="shared" si="83"/>
        <v>0</v>
      </c>
      <c r="AF571" s="50">
        <f t="shared" si="84"/>
        <v>26407.80</v>
      </c>
      <c r="AG571" s="199">
        <f t="shared" si="85"/>
        <v>26407</v>
      </c>
      <c r="AH571" s="187"/>
      <c r="AI571" s="185" t="s">
        <v>1456</v>
      </c>
      <c r="AJ571" s="185"/>
      <c r="AK571" s="277">
        <f t="shared" si="78"/>
        <v>5597.24</v>
      </c>
      <c r="AL571" s="25">
        <f>(SUMIFS('T1 2019 Pipeline Data Lagasco'!$O:$O,'T1 2019 Pipeline Data Lagasco'!$A:$A,'Dec 31 2018 OFFS'!$AI571,'T1 2019 Pipeline Data Lagasco'!$Q:$Q,'Dec 31 2018 OFFS'!$AK571,'T1 2019 Pipeline Data Lagasco'!$E:$E,'Dec 31 2018 OFFS'!$U571,'T1 2019 Pipeline Data Lagasco'!$G:$G,'Dec 31 2018 OFFS'!$W571))/(MAX(COUNTIFS('T1 2019 Pipeline Data Lagasco'!$A:$A,'Dec 31 2018 OFFS'!$AI571,'T1 2019 Pipeline Data Lagasco'!$Q:$Q,'Dec 31 2018 OFFS'!$AK571,'T1 2019 Pipeline Data Lagasco'!$E:$E,'Dec 31 2018 OFFS'!$U571,'T1 2019 Pipeline Data Lagasco'!$G:$G,'Dec 31 2018 OFFS'!$W571),1))</f>
        <v>26407</v>
      </c>
      <c r="AM571" s="274">
        <f t="shared" si="86"/>
        <v>0</v>
      </c>
    </row>
    <row r="572" spans="1:39" ht="12.7">
      <c r="A572" s="193" t="s">
        <v>909</v>
      </c>
      <c r="B572" s="40" t="s">
        <v>918</v>
      </c>
      <c r="C572" s="40" t="s">
        <v>1266</v>
      </c>
      <c r="D572" s="40" t="s">
        <v>17</v>
      </c>
      <c r="E572" s="40" t="s">
        <v>138</v>
      </c>
      <c r="F572" s="40"/>
      <c r="G572" s="41" t="s">
        <v>150</v>
      </c>
      <c r="H572" s="42">
        <v>42</v>
      </c>
      <c r="I572" s="43">
        <v>38</v>
      </c>
      <c r="J572" s="44">
        <v>40.020000000000003</v>
      </c>
      <c r="K572" s="45">
        <v>79</v>
      </c>
      <c r="L572" s="43">
        <v>40</v>
      </c>
      <c r="M572" s="46">
        <v>42</v>
      </c>
      <c r="N572" s="41" t="s">
        <v>151</v>
      </c>
      <c r="O572" s="42">
        <v>42</v>
      </c>
      <c r="P572" s="43">
        <v>39</v>
      </c>
      <c r="Q572" s="44">
        <v>12</v>
      </c>
      <c r="R572" s="45">
        <v>79</v>
      </c>
      <c r="S572" s="43">
        <v>40</v>
      </c>
      <c r="T572" s="46">
        <v>45</v>
      </c>
      <c r="U572" s="40">
        <v>3</v>
      </c>
      <c r="V572" s="47">
        <v>3245.6363889459999</v>
      </c>
      <c r="W572" s="48">
        <v>1984</v>
      </c>
      <c r="X572" s="40"/>
      <c r="Y572" s="52" t="s">
        <v>1081</v>
      </c>
      <c r="Z572" s="40" t="s">
        <v>910</v>
      </c>
      <c r="AA572" s="49">
        <f t="shared" si="79"/>
        <v>76564.562415236142</v>
      </c>
      <c r="AB572" s="71">
        <f t="shared" si="80"/>
        <v>0.80</v>
      </c>
      <c r="AC572" s="49">
        <f t="shared" si="81"/>
        <v>15312.91</v>
      </c>
      <c r="AD572" s="50">
        <f t="shared" si="82"/>
        <v>0</v>
      </c>
      <c r="AE572" s="50">
        <f t="shared" si="83"/>
        <v>0</v>
      </c>
      <c r="AF572" s="50">
        <f t="shared" si="84"/>
        <v>15312.91</v>
      </c>
      <c r="AG572" s="199">
        <f t="shared" si="85"/>
        <v>15312</v>
      </c>
      <c r="AH572" s="187"/>
      <c r="AI572" s="185" t="s">
        <v>1456</v>
      </c>
      <c r="AJ572" s="185"/>
      <c r="AK572" s="277">
        <f t="shared" si="78"/>
        <v>3245.64</v>
      </c>
      <c r="AL572" s="25">
        <f>(SUMIFS('T1 2019 Pipeline Data Lagasco'!$O:$O,'T1 2019 Pipeline Data Lagasco'!$A:$A,'Dec 31 2018 OFFS'!$AI572,'T1 2019 Pipeline Data Lagasco'!$Q:$Q,'Dec 31 2018 OFFS'!$AK572,'T1 2019 Pipeline Data Lagasco'!$E:$E,'Dec 31 2018 OFFS'!$U572,'T1 2019 Pipeline Data Lagasco'!$G:$G,'Dec 31 2018 OFFS'!$W572))/(MAX(COUNTIFS('T1 2019 Pipeline Data Lagasco'!$A:$A,'Dec 31 2018 OFFS'!$AI572,'T1 2019 Pipeline Data Lagasco'!$Q:$Q,'Dec 31 2018 OFFS'!$AK572,'T1 2019 Pipeline Data Lagasco'!$E:$E,'Dec 31 2018 OFFS'!$U572,'T1 2019 Pipeline Data Lagasco'!$G:$G,'Dec 31 2018 OFFS'!$W572),1))</f>
        <v>15312</v>
      </c>
      <c r="AM572" s="274">
        <f t="shared" si="86"/>
        <v>0</v>
      </c>
    </row>
    <row r="573" spans="1:39" ht="12.7">
      <c r="A573" s="193" t="s">
        <v>909</v>
      </c>
      <c r="B573" s="40" t="s">
        <v>918</v>
      </c>
      <c r="C573" s="40" t="s">
        <v>1266</v>
      </c>
      <c r="D573" s="40" t="s">
        <v>17</v>
      </c>
      <c r="E573" s="40" t="s">
        <v>138</v>
      </c>
      <c r="F573" s="40"/>
      <c r="G573" s="41" t="s">
        <v>150</v>
      </c>
      <c r="H573" s="42">
        <v>42</v>
      </c>
      <c r="I573" s="43">
        <v>38</v>
      </c>
      <c r="J573" s="44">
        <v>40.020000000000003</v>
      </c>
      <c r="K573" s="45">
        <v>79</v>
      </c>
      <c r="L573" s="43">
        <v>40</v>
      </c>
      <c r="M573" s="46">
        <v>42</v>
      </c>
      <c r="N573" s="41" t="s">
        <v>152</v>
      </c>
      <c r="O573" s="42">
        <v>42</v>
      </c>
      <c r="P573" s="43">
        <v>39</v>
      </c>
      <c r="Q573" s="44">
        <v>40.200000000000003</v>
      </c>
      <c r="R573" s="45">
        <v>79</v>
      </c>
      <c r="S573" s="43">
        <v>39</v>
      </c>
      <c r="T573" s="46">
        <v>40.98</v>
      </c>
      <c r="U573" s="40">
        <v>3</v>
      </c>
      <c r="V573" s="47">
        <v>7610.6953176519992</v>
      </c>
      <c r="W573" s="48">
        <v>1981</v>
      </c>
      <c r="X573" s="40"/>
      <c r="Y573" s="52" t="s">
        <v>1081</v>
      </c>
      <c r="Z573" s="40" t="s">
        <v>910</v>
      </c>
      <c r="AA573" s="49">
        <f t="shared" si="79"/>
        <v>179536.30254341065</v>
      </c>
      <c r="AB573" s="71">
        <f t="shared" si="80"/>
        <v>0.80</v>
      </c>
      <c r="AC573" s="49">
        <f t="shared" si="81"/>
        <v>35907.26</v>
      </c>
      <c r="AD573" s="50">
        <f t="shared" si="82"/>
        <v>0</v>
      </c>
      <c r="AE573" s="50">
        <f t="shared" si="83"/>
        <v>0</v>
      </c>
      <c r="AF573" s="50">
        <f t="shared" si="84"/>
        <v>35907.26</v>
      </c>
      <c r="AG573" s="199">
        <f t="shared" si="85"/>
        <v>35907</v>
      </c>
      <c r="AH573" s="187"/>
      <c r="AI573" s="185" t="s">
        <v>1456</v>
      </c>
      <c r="AJ573" s="185"/>
      <c r="AK573" s="277">
        <f t="shared" si="78"/>
        <v>7610.70</v>
      </c>
      <c r="AL573" s="25">
        <f>(SUMIFS('T1 2019 Pipeline Data Lagasco'!$O:$O,'T1 2019 Pipeline Data Lagasco'!$A:$A,'Dec 31 2018 OFFS'!$AI573,'T1 2019 Pipeline Data Lagasco'!$Q:$Q,'Dec 31 2018 OFFS'!$AK573,'T1 2019 Pipeline Data Lagasco'!$E:$E,'Dec 31 2018 OFFS'!$U573,'T1 2019 Pipeline Data Lagasco'!$G:$G,'Dec 31 2018 OFFS'!$W573))/(MAX(COUNTIFS('T1 2019 Pipeline Data Lagasco'!$A:$A,'Dec 31 2018 OFFS'!$AI573,'T1 2019 Pipeline Data Lagasco'!$Q:$Q,'Dec 31 2018 OFFS'!$AK573,'T1 2019 Pipeline Data Lagasco'!$E:$E,'Dec 31 2018 OFFS'!$U573,'T1 2019 Pipeline Data Lagasco'!$G:$G,'Dec 31 2018 OFFS'!$W573),1))</f>
        <v>35907</v>
      </c>
      <c r="AM573" s="274">
        <f t="shared" si="86"/>
        <v>0</v>
      </c>
    </row>
    <row r="574" spans="1:39" ht="12.7">
      <c r="A574" s="193" t="s">
        <v>909</v>
      </c>
      <c r="B574" s="40" t="s">
        <v>918</v>
      </c>
      <c r="C574" s="40" t="s">
        <v>1266</v>
      </c>
      <c r="D574" s="40" t="s">
        <v>17</v>
      </c>
      <c r="E574" s="40" t="s">
        <v>138</v>
      </c>
      <c r="F574" s="40"/>
      <c r="G574" s="41" t="s">
        <v>148</v>
      </c>
      <c r="H574" s="42">
        <v>42</v>
      </c>
      <c r="I574" s="43">
        <v>37</v>
      </c>
      <c r="J574" s="44">
        <v>43.20</v>
      </c>
      <c r="K574" s="45">
        <v>79</v>
      </c>
      <c r="L574" s="43">
        <v>43</v>
      </c>
      <c r="M574" s="46">
        <v>47.70</v>
      </c>
      <c r="N574" s="41" t="s">
        <v>149</v>
      </c>
      <c r="O574" s="42">
        <v>42</v>
      </c>
      <c r="P574" s="43">
        <v>38</v>
      </c>
      <c r="Q574" s="44">
        <v>9</v>
      </c>
      <c r="R574" s="45">
        <v>79</v>
      </c>
      <c r="S574" s="43">
        <v>41</v>
      </c>
      <c r="T574" s="46">
        <v>43.98</v>
      </c>
      <c r="U574" s="40">
        <v>3</v>
      </c>
      <c r="V574" s="47">
        <v>9611.1217689059995</v>
      </c>
      <c r="W574" s="48">
        <v>1983</v>
      </c>
      <c r="X574" s="40"/>
      <c r="Y574" s="52" t="s">
        <v>1081</v>
      </c>
      <c r="Z574" s="40" t="s">
        <v>910</v>
      </c>
      <c r="AA574" s="49">
        <f t="shared" si="79"/>
        <v>226726.36252849252</v>
      </c>
      <c r="AB574" s="71">
        <f t="shared" si="80"/>
        <v>0.80</v>
      </c>
      <c r="AC574" s="49">
        <f t="shared" si="81"/>
        <v>45345.27</v>
      </c>
      <c r="AD574" s="50">
        <f t="shared" si="82"/>
        <v>0</v>
      </c>
      <c r="AE574" s="50">
        <f t="shared" si="83"/>
        <v>0</v>
      </c>
      <c r="AF574" s="50">
        <f t="shared" si="84"/>
        <v>45345.27</v>
      </c>
      <c r="AG574" s="199">
        <f t="shared" si="85"/>
        <v>45345</v>
      </c>
      <c r="AH574" s="187"/>
      <c r="AI574" s="185" t="s">
        <v>1456</v>
      </c>
      <c r="AJ574" s="185"/>
      <c r="AK574" s="277">
        <f t="shared" si="78"/>
        <v>9611.1200000000008</v>
      </c>
      <c r="AL574" s="25">
        <f>(SUMIFS('T1 2019 Pipeline Data Lagasco'!$O:$O,'T1 2019 Pipeline Data Lagasco'!$A:$A,'Dec 31 2018 OFFS'!$AI574,'T1 2019 Pipeline Data Lagasco'!$Q:$Q,'Dec 31 2018 OFFS'!$AK574,'T1 2019 Pipeline Data Lagasco'!$E:$E,'Dec 31 2018 OFFS'!$U574,'T1 2019 Pipeline Data Lagasco'!$G:$G,'Dec 31 2018 OFFS'!$W574))/(MAX(COUNTIFS('T1 2019 Pipeline Data Lagasco'!$A:$A,'Dec 31 2018 OFFS'!$AI574,'T1 2019 Pipeline Data Lagasco'!$Q:$Q,'Dec 31 2018 OFFS'!$AK574,'T1 2019 Pipeline Data Lagasco'!$E:$E,'Dec 31 2018 OFFS'!$U574,'T1 2019 Pipeline Data Lagasco'!$G:$G,'Dec 31 2018 OFFS'!$W574),1))</f>
        <v>45345</v>
      </c>
      <c r="AM574" s="274">
        <f t="shared" si="86"/>
        <v>0</v>
      </c>
    </row>
    <row r="575" spans="1:39" ht="12.7">
      <c r="A575" s="193" t="s">
        <v>909</v>
      </c>
      <c r="B575" s="40" t="s">
        <v>918</v>
      </c>
      <c r="C575" s="40" t="s">
        <v>1266</v>
      </c>
      <c r="D575" s="40" t="s">
        <v>17</v>
      </c>
      <c r="E575" s="40" t="s">
        <v>138</v>
      </c>
      <c r="F575" s="40"/>
      <c r="G575" s="41" t="s">
        <v>152</v>
      </c>
      <c r="H575" s="42">
        <v>42</v>
      </c>
      <c r="I575" s="43">
        <v>39</v>
      </c>
      <c r="J575" s="44">
        <v>40.200000000000003</v>
      </c>
      <c r="K575" s="45">
        <v>79</v>
      </c>
      <c r="L575" s="43">
        <v>39</v>
      </c>
      <c r="M575" s="46">
        <v>40.98</v>
      </c>
      <c r="N575" s="40" t="s">
        <v>71</v>
      </c>
      <c r="O575" s="42">
        <v>42</v>
      </c>
      <c r="P575" s="43">
        <v>40</v>
      </c>
      <c r="Q575" s="44">
        <v>40.98</v>
      </c>
      <c r="R575" s="45">
        <v>79</v>
      </c>
      <c r="S575" s="43">
        <v>39</v>
      </c>
      <c r="T575" s="46">
        <v>36</v>
      </c>
      <c r="U575" s="40">
        <v>3</v>
      </c>
      <c r="V575" s="47">
        <v>6165.0916849759997</v>
      </c>
      <c r="W575" s="48">
        <v>1984</v>
      </c>
      <c r="X575" s="40"/>
      <c r="Y575" s="52" t="s">
        <v>1081</v>
      </c>
      <c r="Z575" s="40" t="s">
        <v>910</v>
      </c>
      <c r="AA575" s="49">
        <f t="shared" si="79"/>
        <v>145434.51284858384</v>
      </c>
      <c r="AB575" s="71">
        <f t="shared" si="80"/>
        <v>0.80</v>
      </c>
      <c r="AC575" s="49">
        <f t="shared" si="81"/>
        <v>29086.90</v>
      </c>
      <c r="AD575" s="50">
        <f t="shared" si="82"/>
        <v>0</v>
      </c>
      <c r="AE575" s="50">
        <f t="shared" si="83"/>
        <v>0</v>
      </c>
      <c r="AF575" s="50">
        <f t="shared" si="84"/>
        <v>29086.90</v>
      </c>
      <c r="AG575" s="199">
        <f t="shared" si="85"/>
        <v>29086</v>
      </c>
      <c r="AH575" s="187"/>
      <c r="AI575" s="185" t="s">
        <v>1456</v>
      </c>
      <c r="AJ575" s="185"/>
      <c r="AK575" s="277">
        <f t="shared" si="78"/>
        <v>6165.09</v>
      </c>
      <c r="AL575" s="25">
        <f>(SUMIFS('T1 2019 Pipeline Data Lagasco'!$O:$O,'T1 2019 Pipeline Data Lagasco'!$A:$A,'Dec 31 2018 OFFS'!$AI575,'T1 2019 Pipeline Data Lagasco'!$Q:$Q,'Dec 31 2018 OFFS'!$AK575,'T1 2019 Pipeline Data Lagasco'!$E:$E,'Dec 31 2018 OFFS'!$U575,'T1 2019 Pipeline Data Lagasco'!$G:$G,'Dec 31 2018 OFFS'!$W575))/(MAX(COUNTIFS('T1 2019 Pipeline Data Lagasco'!$A:$A,'Dec 31 2018 OFFS'!$AI575,'T1 2019 Pipeline Data Lagasco'!$Q:$Q,'Dec 31 2018 OFFS'!$AK575,'T1 2019 Pipeline Data Lagasco'!$E:$E,'Dec 31 2018 OFFS'!$U575,'T1 2019 Pipeline Data Lagasco'!$G:$G,'Dec 31 2018 OFFS'!$W575),1))</f>
        <v>29086</v>
      </c>
      <c r="AM575" s="274">
        <f t="shared" si="86"/>
        <v>0</v>
      </c>
    </row>
    <row r="576" spans="1:39" ht="12.7">
      <c r="A576" s="193" t="s">
        <v>909</v>
      </c>
      <c r="B576" s="40" t="s">
        <v>918</v>
      </c>
      <c r="C576" s="40" t="s">
        <v>1266</v>
      </c>
      <c r="D576" s="40" t="s">
        <v>17</v>
      </c>
      <c r="E576" s="40" t="s">
        <v>138</v>
      </c>
      <c r="F576" s="40"/>
      <c r="G576" s="41" t="s">
        <v>152</v>
      </c>
      <c r="H576" s="42">
        <v>42</v>
      </c>
      <c r="I576" s="43">
        <v>39</v>
      </c>
      <c r="J576" s="44">
        <v>40.200000000000003</v>
      </c>
      <c r="K576" s="45">
        <v>79</v>
      </c>
      <c r="L576" s="43">
        <v>39</v>
      </c>
      <c r="M576" s="46">
        <v>40.98</v>
      </c>
      <c r="N576" s="40" t="s">
        <v>153</v>
      </c>
      <c r="O576" s="42">
        <v>42</v>
      </c>
      <c r="P576" s="43">
        <v>38</v>
      </c>
      <c r="Q576" s="44">
        <v>15</v>
      </c>
      <c r="R576" s="45">
        <v>79</v>
      </c>
      <c r="S576" s="43">
        <v>39</v>
      </c>
      <c r="T576" s="46">
        <v>43.02</v>
      </c>
      <c r="U576" s="40">
        <v>3</v>
      </c>
      <c r="V576" s="47">
        <v>8627.6244220599983</v>
      </c>
      <c r="W576" s="48">
        <v>1991</v>
      </c>
      <c r="X576" s="40"/>
      <c r="Y576" s="52" t="s">
        <v>1081</v>
      </c>
      <c r="Z576" s="40" t="s">
        <v>910</v>
      </c>
      <c r="AA576" s="49">
        <f t="shared" si="79"/>
        <v>203525.66011639536</v>
      </c>
      <c r="AB576" s="71">
        <f t="shared" si="80"/>
        <v>0.72</v>
      </c>
      <c r="AC576" s="49">
        <f t="shared" si="81"/>
        <v>56987.18</v>
      </c>
      <c r="AD576" s="50">
        <f t="shared" si="82"/>
        <v>0</v>
      </c>
      <c r="AE576" s="50">
        <f t="shared" si="83"/>
        <v>0</v>
      </c>
      <c r="AF576" s="50">
        <f t="shared" si="84"/>
        <v>56987.18</v>
      </c>
      <c r="AG576" s="199">
        <f t="shared" si="85"/>
        <v>56987</v>
      </c>
      <c r="AH576" s="187"/>
      <c r="AI576" s="185" t="s">
        <v>1456</v>
      </c>
      <c r="AJ576" s="185"/>
      <c r="AK576" s="277">
        <f t="shared" si="78"/>
        <v>8627.6200000000008</v>
      </c>
      <c r="AL576" s="25">
        <f>(SUMIFS('T1 2019 Pipeline Data Lagasco'!$O:$O,'T1 2019 Pipeline Data Lagasco'!$A:$A,'Dec 31 2018 OFFS'!$AI576,'T1 2019 Pipeline Data Lagasco'!$Q:$Q,'Dec 31 2018 OFFS'!$AK576,'T1 2019 Pipeline Data Lagasco'!$E:$E,'Dec 31 2018 OFFS'!$U576,'T1 2019 Pipeline Data Lagasco'!$G:$G,'Dec 31 2018 OFFS'!$W576))/(MAX(COUNTIFS('T1 2019 Pipeline Data Lagasco'!$A:$A,'Dec 31 2018 OFFS'!$AI576,'T1 2019 Pipeline Data Lagasco'!$Q:$Q,'Dec 31 2018 OFFS'!$AK576,'T1 2019 Pipeline Data Lagasco'!$E:$E,'Dec 31 2018 OFFS'!$U576,'T1 2019 Pipeline Data Lagasco'!$G:$G,'Dec 31 2018 OFFS'!$W576),1))</f>
        <v>56987</v>
      </c>
      <c r="AM576" s="274">
        <f t="shared" si="86"/>
        <v>0</v>
      </c>
    </row>
    <row r="577" spans="1:39" ht="12.7">
      <c r="A577" s="193" t="s">
        <v>909</v>
      </c>
      <c r="B577" s="40" t="s">
        <v>918</v>
      </c>
      <c r="C577" s="40" t="s">
        <v>1266</v>
      </c>
      <c r="D577" s="40" t="s">
        <v>17</v>
      </c>
      <c r="E577" s="40" t="s">
        <v>138</v>
      </c>
      <c r="F577" s="40"/>
      <c r="G577" s="41" t="s">
        <v>152</v>
      </c>
      <c r="H577" s="42">
        <v>42</v>
      </c>
      <c r="I577" s="43">
        <v>39</v>
      </c>
      <c r="J577" s="44">
        <v>40.200000000000003</v>
      </c>
      <c r="K577" s="45">
        <v>79</v>
      </c>
      <c r="L577" s="43">
        <v>39</v>
      </c>
      <c r="M577" s="46">
        <v>40.98</v>
      </c>
      <c r="N577" s="40" t="s">
        <v>154</v>
      </c>
      <c r="O577" s="42">
        <v>42</v>
      </c>
      <c r="P577" s="43">
        <v>38</v>
      </c>
      <c r="Q577" s="44">
        <v>40.98</v>
      </c>
      <c r="R577" s="45">
        <v>79</v>
      </c>
      <c r="S577" s="43">
        <v>38</v>
      </c>
      <c r="T577" s="46">
        <v>45</v>
      </c>
      <c r="U577" s="40">
        <v>3</v>
      </c>
      <c r="V577" s="47">
        <v>7311.2530691059992</v>
      </c>
      <c r="W577" s="48">
        <v>1982</v>
      </c>
      <c r="X577" s="40"/>
      <c r="Y577" s="52" t="s">
        <v>1081</v>
      </c>
      <c r="Z577" s="40" t="s">
        <v>910</v>
      </c>
      <c r="AA577" s="49">
        <f t="shared" si="79"/>
        <v>172472.45990021052</v>
      </c>
      <c r="AB577" s="71">
        <f t="shared" si="80"/>
        <v>0.80</v>
      </c>
      <c r="AC577" s="49">
        <f t="shared" si="81"/>
        <v>34494.49</v>
      </c>
      <c r="AD577" s="50">
        <f t="shared" si="82"/>
        <v>0</v>
      </c>
      <c r="AE577" s="50">
        <f t="shared" si="83"/>
        <v>0</v>
      </c>
      <c r="AF577" s="50">
        <f t="shared" si="84"/>
        <v>34494.49</v>
      </c>
      <c r="AG577" s="199">
        <f t="shared" si="85"/>
        <v>34494</v>
      </c>
      <c r="AH577" s="187"/>
      <c r="AI577" s="185" t="s">
        <v>1456</v>
      </c>
      <c r="AJ577" s="185"/>
      <c r="AK577" s="277">
        <f t="shared" si="78"/>
        <v>7311.25</v>
      </c>
      <c r="AL577" s="25">
        <f>(SUMIFS('T1 2019 Pipeline Data Lagasco'!$O:$O,'T1 2019 Pipeline Data Lagasco'!$A:$A,'Dec 31 2018 OFFS'!$AI577,'T1 2019 Pipeline Data Lagasco'!$Q:$Q,'Dec 31 2018 OFFS'!$AK577,'T1 2019 Pipeline Data Lagasco'!$E:$E,'Dec 31 2018 OFFS'!$U577,'T1 2019 Pipeline Data Lagasco'!$G:$G,'Dec 31 2018 OFFS'!$W577))/(MAX(COUNTIFS('T1 2019 Pipeline Data Lagasco'!$A:$A,'Dec 31 2018 OFFS'!$AI577,'T1 2019 Pipeline Data Lagasco'!$Q:$Q,'Dec 31 2018 OFFS'!$AK577,'T1 2019 Pipeline Data Lagasco'!$E:$E,'Dec 31 2018 OFFS'!$U577,'T1 2019 Pipeline Data Lagasco'!$G:$G,'Dec 31 2018 OFFS'!$W577),1))</f>
        <v>34494</v>
      </c>
      <c r="AM577" s="274">
        <f t="shared" si="86"/>
        <v>0</v>
      </c>
    </row>
    <row r="578" spans="1:39" ht="12.7">
      <c r="A578" s="193" t="s">
        <v>909</v>
      </c>
      <c r="B578" s="40" t="s">
        <v>918</v>
      </c>
      <c r="C578" s="40" t="s">
        <v>1266</v>
      </c>
      <c r="D578" s="40" t="s">
        <v>17</v>
      </c>
      <c r="E578" s="40" t="s">
        <v>138</v>
      </c>
      <c r="F578" s="40"/>
      <c r="G578" s="41" t="s">
        <v>152</v>
      </c>
      <c r="H578" s="42">
        <v>42</v>
      </c>
      <c r="I578" s="43">
        <v>39</v>
      </c>
      <c r="J578" s="44">
        <v>40.200000000000003</v>
      </c>
      <c r="K578" s="45">
        <v>79</v>
      </c>
      <c r="L578" s="43">
        <v>39</v>
      </c>
      <c r="M578" s="46">
        <v>40.98</v>
      </c>
      <c r="N578" s="40" t="s">
        <v>73</v>
      </c>
      <c r="O578" s="42">
        <v>42</v>
      </c>
      <c r="P578" s="43">
        <v>40</v>
      </c>
      <c r="Q578" s="44">
        <v>10.02</v>
      </c>
      <c r="R578" s="45">
        <v>79</v>
      </c>
      <c r="S578" s="43">
        <v>39</v>
      </c>
      <c r="T578" s="46">
        <v>4.9800000000000004</v>
      </c>
      <c r="U578" s="40">
        <v>6</v>
      </c>
      <c r="V578" s="47">
        <v>4043.7006702959998</v>
      </c>
      <c r="W578" s="48">
        <v>1984</v>
      </c>
      <c r="X578" s="40"/>
      <c r="Y578" s="52" t="s">
        <v>1081</v>
      </c>
      <c r="Z578" s="40" t="s">
        <v>910</v>
      </c>
      <c r="AA578" s="49">
        <f t="shared" si="79"/>
        <v>140033.35421235047</v>
      </c>
      <c r="AB578" s="71">
        <f t="shared" si="80"/>
        <v>0.80</v>
      </c>
      <c r="AC578" s="49">
        <f t="shared" si="81"/>
        <v>28006.67</v>
      </c>
      <c r="AD578" s="50">
        <f t="shared" si="82"/>
        <v>0</v>
      </c>
      <c r="AE578" s="50">
        <f t="shared" si="83"/>
        <v>0</v>
      </c>
      <c r="AF578" s="50">
        <f t="shared" si="84"/>
        <v>28006.67</v>
      </c>
      <c r="AG578" s="199">
        <f t="shared" si="85"/>
        <v>28006</v>
      </c>
      <c r="AH578" s="187"/>
      <c r="AI578" s="185" t="s">
        <v>1456</v>
      </c>
      <c r="AJ578" s="185"/>
      <c r="AK578" s="277">
        <f t="shared" si="78"/>
        <v>4043.70</v>
      </c>
      <c r="AL578" s="25">
        <f>(SUMIFS('T1 2019 Pipeline Data Lagasco'!$O:$O,'T1 2019 Pipeline Data Lagasco'!$A:$A,'Dec 31 2018 OFFS'!$AI578,'T1 2019 Pipeline Data Lagasco'!$Q:$Q,'Dec 31 2018 OFFS'!$AK578,'T1 2019 Pipeline Data Lagasco'!$E:$E,'Dec 31 2018 OFFS'!$U578,'T1 2019 Pipeline Data Lagasco'!$G:$G,'Dec 31 2018 OFFS'!$W578))/(MAX(COUNTIFS('T1 2019 Pipeline Data Lagasco'!$A:$A,'Dec 31 2018 OFFS'!$AI578,'T1 2019 Pipeline Data Lagasco'!$Q:$Q,'Dec 31 2018 OFFS'!$AK578,'T1 2019 Pipeline Data Lagasco'!$E:$E,'Dec 31 2018 OFFS'!$U578,'T1 2019 Pipeline Data Lagasco'!$G:$G,'Dec 31 2018 OFFS'!$W578),1))</f>
        <v>28006</v>
      </c>
      <c r="AM578" s="274">
        <f t="shared" si="86"/>
        <v>0</v>
      </c>
    </row>
    <row r="579" spans="1:39" ht="12.7">
      <c r="A579" s="193" t="s">
        <v>909</v>
      </c>
      <c r="B579" s="40" t="s">
        <v>918</v>
      </c>
      <c r="C579" s="40" t="s">
        <v>1266</v>
      </c>
      <c r="D579" s="40" t="s">
        <v>17</v>
      </c>
      <c r="E579" s="40" t="s">
        <v>138</v>
      </c>
      <c r="F579" s="40"/>
      <c r="G579" s="41" t="s">
        <v>154</v>
      </c>
      <c r="H579" s="42">
        <v>42</v>
      </c>
      <c r="I579" s="43">
        <v>38</v>
      </c>
      <c r="J579" s="44">
        <v>40.98</v>
      </c>
      <c r="K579" s="45">
        <v>79</v>
      </c>
      <c r="L579" s="43">
        <v>38</v>
      </c>
      <c r="M579" s="46">
        <v>45</v>
      </c>
      <c r="N579" s="40" t="s">
        <v>155</v>
      </c>
      <c r="O579" s="42">
        <v>42</v>
      </c>
      <c r="P579" s="43">
        <v>38</v>
      </c>
      <c r="Q579" s="44">
        <v>53.28</v>
      </c>
      <c r="R579" s="45">
        <v>79</v>
      </c>
      <c r="S579" s="43">
        <v>37</v>
      </c>
      <c r="T579" s="46">
        <v>34.880000000000003</v>
      </c>
      <c r="U579" s="40">
        <v>3</v>
      </c>
      <c r="V579" s="47">
        <v>5386.9749096099995</v>
      </c>
      <c r="W579" s="48">
        <v>1982</v>
      </c>
      <c r="X579" s="40" t="s">
        <v>2</v>
      </c>
      <c r="Y579" s="52" t="s">
        <v>1081</v>
      </c>
      <c r="Z579" s="40" t="s">
        <v>910</v>
      </c>
      <c r="AA579" s="49">
        <f t="shared" si="79"/>
        <v>127078.73811769989</v>
      </c>
      <c r="AB579" s="71">
        <f t="shared" si="80"/>
        <v>0.80</v>
      </c>
      <c r="AC579" s="49">
        <f t="shared" si="81"/>
        <v>25415.75</v>
      </c>
      <c r="AD579" s="50">
        <f t="shared" si="82"/>
        <v>6353.9375</v>
      </c>
      <c r="AE579" s="50">
        <f t="shared" si="83"/>
        <v>0</v>
      </c>
      <c r="AF579" s="50">
        <f t="shared" si="84"/>
        <v>19061.8125</v>
      </c>
      <c r="AG579" s="199">
        <f t="shared" si="85"/>
        <v>19061</v>
      </c>
      <c r="AH579" s="187"/>
      <c r="AI579" s="185" t="s">
        <v>1456</v>
      </c>
      <c r="AJ579" s="185"/>
      <c r="AK579" s="277">
        <f t="shared" si="87" ref="AK579:AK642">ROUND(V579,2)</f>
        <v>5386.97</v>
      </c>
      <c r="AL579" s="25">
        <f>(SUMIFS('T1 2019 Pipeline Data Lagasco'!$O:$O,'T1 2019 Pipeline Data Lagasco'!$A:$A,'Dec 31 2018 OFFS'!$AI579,'T1 2019 Pipeline Data Lagasco'!$Q:$Q,'Dec 31 2018 OFFS'!$AK579,'T1 2019 Pipeline Data Lagasco'!$E:$E,'Dec 31 2018 OFFS'!$U579,'T1 2019 Pipeline Data Lagasco'!$G:$G,'Dec 31 2018 OFFS'!$W579))/(MAX(COUNTIFS('T1 2019 Pipeline Data Lagasco'!$A:$A,'Dec 31 2018 OFFS'!$AI579,'T1 2019 Pipeline Data Lagasco'!$Q:$Q,'Dec 31 2018 OFFS'!$AK579,'T1 2019 Pipeline Data Lagasco'!$E:$E,'Dec 31 2018 OFFS'!$U579,'T1 2019 Pipeline Data Lagasco'!$G:$G,'Dec 31 2018 OFFS'!$W579),1))</f>
        <v>19061</v>
      </c>
      <c r="AM579" s="274">
        <f t="shared" si="86"/>
        <v>0</v>
      </c>
    </row>
    <row r="580" spans="1:39" ht="12.7">
      <c r="A580" s="193" t="s">
        <v>909</v>
      </c>
      <c r="B580" s="40" t="s">
        <v>918</v>
      </c>
      <c r="C580" s="40" t="s">
        <v>1266</v>
      </c>
      <c r="D580" s="40" t="s">
        <v>17</v>
      </c>
      <c r="E580" s="40" t="s">
        <v>138</v>
      </c>
      <c r="F580" s="40"/>
      <c r="G580" s="41" t="s">
        <v>154</v>
      </c>
      <c r="H580" s="42">
        <v>42</v>
      </c>
      <c r="I580" s="43">
        <v>38</v>
      </c>
      <c r="J580" s="44">
        <v>40.98</v>
      </c>
      <c r="K580" s="45">
        <v>79</v>
      </c>
      <c r="L580" s="43">
        <v>38</v>
      </c>
      <c r="M580" s="46">
        <v>45</v>
      </c>
      <c r="N580" s="41" t="s">
        <v>156</v>
      </c>
      <c r="O580" s="42">
        <v>42</v>
      </c>
      <c r="P580" s="43">
        <v>36</v>
      </c>
      <c r="Q580" s="44">
        <v>15</v>
      </c>
      <c r="R580" s="45">
        <v>79</v>
      </c>
      <c r="S580" s="43">
        <v>38</v>
      </c>
      <c r="T580" s="46">
        <v>16.98</v>
      </c>
      <c r="U580" s="40">
        <v>3</v>
      </c>
      <c r="V580" s="47">
        <v>14927.853898398</v>
      </c>
      <c r="W580" s="48">
        <v>1982</v>
      </c>
      <c r="X580" s="40"/>
      <c r="Y580" s="52" t="s">
        <v>1081</v>
      </c>
      <c r="Z580" s="40" t="s">
        <v>910</v>
      </c>
      <c r="AA580" s="49">
        <f t="shared" si="88" ref="AA580:AA643">IF(F580="ABAND",0,(IF(Z580="steel",VLOOKUP(U580,steelrates,2,FALSE)*V580,VLOOKUP(U580,plasticrates,2,FALSE)*V580)))</f>
        <v>352148.0734632088</v>
      </c>
      <c r="AB580" s="71">
        <f t="shared" si="89" ref="AB580:AB643">IF(W580=0,0,(VLOOKUP(W580,depreciation,2)))</f>
        <v>0.80</v>
      </c>
      <c r="AC580" s="49">
        <f t="shared" si="90" ref="AC580:AC643">ROUND(+AA580-(+AA580*AB580),2)</f>
        <v>70429.61</v>
      </c>
      <c r="AD580" s="50">
        <f t="shared" si="91" ref="AD580:AD643">(IF(X580="LOOP",AC580*0.25,0))</f>
        <v>0</v>
      </c>
      <c r="AE580" s="50">
        <f t="shared" si="92" ref="AE580:AE643">(IF(F580="SUSP",AC580*0.2,0))</f>
        <v>0</v>
      </c>
      <c r="AF580" s="50">
        <f t="shared" si="93" ref="AF580:AF643">+AC580-AD580-AE580</f>
        <v>70429.61</v>
      </c>
      <c r="AG580" s="199">
        <f t="shared" si="94" ref="AG580:AG643">ROUNDDOWN(AF580,0)</f>
        <v>70429</v>
      </c>
      <c r="AH580" s="187"/>
      <c r="AI580" s="185" t="s">
        <v>1456</v>
      </c>
      <c r="AJ580" s="185"/>
      <c r="AK580" s="277">
        <f t="shared" si="87"/>
        <v>14927.85</v>
      </c>
      <c r="AL580" s="25">
        <f>(SUMIFS('T1 2019 Pipeline Data Lagasco'!$O:$O,'T1 2019 Pipeline Data Lagasco'!$A:$A,'Dec 31 2018 OFFS'!$AI580,'T1 2019 Pipeline Data Lagasco'!$Q:$Q,'Dec 31 2018 OFFS'!$AK580,'T1 2019 Pipeline Data Lagasco'!$E:$E,'Dec 31 2018 OFFS'!$U580,'T1 2019 Pipeline Data Lagasco'!$G:$G,'Dec 31 2018 OFFS'!$W580))/(MAX(COUNTIFS('T1 2019 Pipeline Data Lagasco'!$A:$A,'Dec 31 2018 OFFS'!$AI580,'T1 2019 Pipeline Data Lagasco'!$Q:$Q,'Dec 31 2018 OFFS'!$AK580,'T1 2019 Pipeline Data Lagasco'!$E:$E,'Dec 31 2018 OFFS'!$U580,'T1 2019 Pipeline Data Lagasco'!$G:$G,'Dec 31 2018 OFFS'!$W580),1))</f>
        <v>70429</v>
      </c>
      <c r="AM580" s="274">
        <f t="shared" si="95" ref="AM580:AM643">AG580-AL580</f>
        <v>0</v>
      </c>
    </row>
    <row r="581" spans="1:39" ht="12.7">
      <c r="A581" s="193" t="s">
        <v>909</v>
      </c>
      <c r="B581" s="40" t="s">
        <v>918</v>
      </c>
      <c r="C581" s="40" t="s">
        <v>1266</v>
      </c>
      <c r="D581" s="40" t="s">
        <v>17</v>
      </c>
      <c r="E581" s="40" t="s">
        <v>138</v>
      </c>
      <c r="F581" s="40"/>
      <c r="G581" s="41" t="s">
        <v>154</v>
      </c>
      <c r="H581" s="42">
        <v>42</v>
      </c>
      <c r="I581" s="43">
        <v>38</v>
      </c>
      <c r="J581" s="44">
        <v>40.98</v>
      </c>
      <c r="K581" s="45">
        <v>79</v>
      </c>
      <c r="L581" s="43">
        <v>38</v>
      </c>
      <c r="M581" s="46">
        <v>45</v>
      </c>
      <c r="N581" s="41" t="s">
        <v>157</v>
      </c>
      <c r="O581" s="42">
        <v>42</v>
      </c>
      <c r="P581" s="43">
        <v>38</v>
      </c>
      <c r="Q581" s="44">
        <v>13.02</v>
      </c>
      <c r="R581" s="45">
        <v>79</v>
      </c>
      <c r="S581" s="43">
        <v>37</v>
      </c>
      <c r="T581" s="46">
        <v>43.98</v>
      </c>
      <c r="U581" s="40">
        <v>3</v>
      </c>
      <c r="V581" s="47">
        <v>5368.372547944</v>
      </c>
      <c r="W581" s="48">
        <v>1984</v>
      </c>
      <c r="X581" s="40"/>
      <c r="Y581" s="52" t="s">
        <v>1081</v>
      </c>
      <c r="Z581" s="40" t="s">
        <v>910</v>
      </c>
      <c r="AA581" s="49">
        <f t="shared" si="88"/>
        <v>126639.90840599895</v>
      </c>
      <c r="AB581" s="71">
        <f t="shared" si="89"/>
        <v>0.80</v>
      </c>
      <c r="AC581" s="49">
        <f t="shared" si="90"/>
        <v>25327.98</v>
      </c>
      <c r="AD581" s="50">
        <f t="shared" si="91"/>
        <v>0</v>
      </c>
      <c r="AE581" s="50">
        <f t="shared" si="92"/>
        <v>0</v>
      </c>
      <c r="AF581" s="50">
        <f t="shared" si="93"/>
        <v>25327.98</v>
      </c>
      <c r="AG581" s="199">
        <f t="shared" si="94"/>
        <v>25327</v>
      </c>
      <c r="AH581" s="187"/>
      <c r="AI581" s="185" t="s">
        <v>1456</v>
      </c>
      <c r="AJ581" s="185"/>
      <c r="AK581" s="277">
        <f t="shared" si="87"/>
        <v>5368.37</v>
      </c>
      <c r="AL581" s="25">
        <f>(SUMIFS('T1 2019 Pipeline Data Lagasco'!$O:$O,'T1 2019 Pipeline Data Lagasco'!$A:$A,'Dec 31 2018 OFFS'!$AI581,'T1 2019 Pipeline Data Lagasco'!$Q:$Q,'Dec 31 2018 OFFS'!$AK581,'T1 2019 Pipeline Data Lagasco'!$E:$E,'Dec 31 2018 OFFS'!$U581,'T1 2019 Pipeline Data Lagasco'!$G:$G,'Dec 31 2018 OFFS'!$W581))/(MAX(COUNTIFS('T1 2019 Pipeline Data Lagasco'!$A:$A,'Dec 31 2018 OFFS'!$AI581,'T1 2019 Pipeline Data Lagasco'!$Q:$Q,'Dec 31 2018 OFFS'!$AK581,'T1 2019 Pipeline Data Lagasco'!$E:$E,'Dec 31 2018 OFFS'!$U581,'T1 2019 Pipeline Data Lagasco'!$G:$G,'Dec 31 2018 OFFS'!$W581),1))</f>
        <v>25327</v>
      </c>
      <c r="AM581" s="274">
        <f t="shared" si="95"/>
        <v>0</v>
      </c>
    </row>
    <row r="582" spans="1:39" ht="12.7">
      <c r="A582" s="193" t="s">
        <v>909</v>
      </c>
      <c r="B582" s="40" t="s">
        <v>918</v>
      </c>
      <c r="C582" s="40" t="s">
        <v>1266</v>
      </c>
      <c r="D582" s="40" t="s">
        <v>17</v>
      </c>
      <c r="E582" s="40" t="s">
        <v>138</v>
      </c>
      <c r="F582" s="40"/>
      <c r="G582" s="41" t="s">
        <v>154</v>
      </c>
      <c r="H582" s="42">
        <v>42</v>
      </c>
      <c r="I582" s="43">
        <v>38</v>
      </c>
      <c r="J582" s="44">
        <v>40.98</v>
      </c>
      <c r="K582" s="45">
        <v>79</v>
      </c>
      <c r="L582" s="43">
        <v>38</v>
      </c>
      <c r="M582" s="46">
        <v>45</v>
      </c>
      <c r="N582" s="41" t="s">
        <v>158</v>
      </c>
      <c r="O582" s="42">
        <v>42</v>
      </c>
      <c r="P582" s="43">
        <v>39</v>
      </c>
      <c r="Q582" s="44">
        <v>11.535</v>
      </c>
      <c r="R582" s="45">
        <v>79</v>
      </c>
      <c r="S582" s="43">
        <v>38</v>
      </c>
      <c r="T582" s="46">
        <v>13.495</v>
      </c>
      <c r="U582" s="40">
        <v>3</v>
      </c>
      <c r="V582" s="47">
        <v>3887.8279713979996</v>
      </c>
      <c r="W582" s="48">
        <v>1984</v>
      </c>
      <c r="X582" s="40"/>
      <c r="Y582" s="52" t="s">
        <v>1081</v>
      </c>
      <c r="Z582" s="40" t="s">
        <v>910</v>
      </c>
      <c r="AA582" s="49">
        <f t="shared" si="88"/>
        <v>91713.861845278807</v>
      </c>
      <c r="AB582" s="71">
        <f t="shared" si="89"/>
        <v>0.80</v>
      </c>
      <c r="AC582" s="49">
        <f t="shared" si="90"/>
        <v>18342.77</v>
      </c>
      <c r="AD582" s="50">
        <f t="shared" si="91"/>
        <v>0</v>
      </c>
      <c r="AE582" s="50">
        <f t="shared" si="92"/>
        <v>0</v>
      </c>
      <c r="AF582" s="50">
        <f t="shared" si="93"/>
        <v>18342.77</v>
      </c>
      <c r="AG582" s="199">
        <f t="shared" si="94"/>
        <v>18342</v>
      </c>
      <c r="AH582" s="187"/>
      <c r="AI582" s="185" t="s">
        <v>1456</v>
      </c>
      <c r="AJ582" s="185"/>
      <c r="AK582" s="277">
        <f t="shared" si="87"/>
        <v>3887.83</v>
      </c>
      <c r="AL582" s="25">
        <f>(SUMIFS('T1 2019 Pipeline Data Lagasco'!$O:$O,'T1 2019 Pipeline Data Lagasco'!$A:$A,'Dec 31 2018 OFFS'!$AI582,'T1 2019 Pipeline Data Lagasco'!$Q:$Q,'Dec 31 2018 OFFS'!$AK582,'T1 2019 Pipeline Data Lagasco'!$E:$E,'Dec 31 2018 OFFS'!$U582,'T1 2019 Pipeline Data Lagasco'!$G:$G,'Dec 31 2018 OFFS'!$W582))/(MAX(COUNTIFS('T1 2019 Pipeline Data Lagasco'!$A:$A,'Dec 31 2018 OFFS'!$AI582,'T1 2019 Pipeline Data Lagasco'!$Q:$Q,'Dec 31 2018 OFFS'!$AK582,'T1 2019 Pipeline Data Lagasco'!$E:$E,'Dec 31 2018 OFFS'!$U582,'T1 2019 Pipeline Data Lagasco'!$G:$G,'Dec 31 2018 OFFS'!$W582),1))</f>
        <v>18342</v>
      </c>
      <c r="AM582" s="274">
        <f t="shared" si="95"/>
        <v>0</v>
      </c>
    </row>
    <row r="583" spans="1:39" ht="12.7">
      <c r="A583" s="193" t="s">
        <v>909</v>
      </c>
      <c r="B583" s="40" t="s">
        <v>918</v>
      </c>
      <c r="C583" s="40" t="s">
        <v>1266</v>
      </c>
      <c r="D583" s="40" t="s">
        <v>17</v>
      </c>
      <c r="E583" s="40" t="s">
        <v>138</v>
      </c>
      <c r="F583" s="40"/>
      <c r="G583" s="41" t="s">
        <v>157</v>
      </c>
      <c r="H583" s="42">
        <v>42</v>
      </c>
      <c r="I583" s="43">
        <v>38</v>
      </c>
      <c r="J583" s="44">
        <v>13.02</v>
      </c>
      <c r="K583" s="45">
        <v>79</v>
      </c>
      <c r="L583" s="43">
        <v>37</v>
      </c>
      <c r="M583" s="46">
        <v>43.98</v>
      </c>
      <c r="N583" s="40" t="s">
        <v>159</v>
      </c>
      <c r="O583" s="42">
        <v>42</v>
      </c>
      <c r="P583" s="43">
        <v>38</v>
      </c>
      <c r="Q583" s="44">
        <v>15.95</v>
      </c>
      <c r="R583" s="45">
        <v>79</v>
      </c>
      <c r="S583" s="43">
        <v>37</v>
      </c>
      <c r="T583" s="46">
        <v>21.04</v>
      </c>
      <c r="U583" s="40">
        <v>3</v>
      </c>
      <c r="V583" s="47">
        <v>1740.387088706</v>
      </c>
      <c r="W583" s="48">
        <v>1984</v>
      </c>
      <c r="X583" s="40"/>
      <c r="Y583" s="52" t="s">
        <v>1081</v>
      </c>
      <c r="Z583" s="40" t="s">
        <v>910</v>
      </c>
      <c r="AA583" s="49">
        <f t="shared" si="88"/>
        <v>41055.731422574536</v>
      </c>
      <c r="AB583" s="71">
        <f t="shared" si="89"/>
        <v>0.80</v>
      </c>
      <c r="AC583" s="49">
        <f t="shared" si="90"/>
        <v>8211.15</v>
      </c>
      <c r="AD583" s="50">
        <f t="shared" si="91"/>
        <v>0</v>
      </c>
      <c r="AE583" s="50">
        <f t="shared" si="92"/>
        <v>0</v>
      </c>
      <c r="AF583" s="50">
        <f t="shared" si="93"/>
        <v>8211.15</v>
      </c>
      <c r="AG583" s="199">
        <f t="shared" si="94"/>
        <v>8211</v>
      </c>
      <c r="AH583" s="187"/>
      <c r="AI583" s="185" t="s">
        <v>1456</v>
      </c>
      <c r="AJ583" s="185"/>
      <c r="AK583" s="277">
        <f t="shared" si="87"/>
        <v>1740.39</v>
      </c>
      <c r="AL583" s="25">
        <f>(SUMIFS('T1 2019 Pipeline Data Lagasco'!$O:$O,'T1 2019 Pipeline Data Lagasco'!$A:$A,'Dec 31 2018 OFFS'!$AI583,'T1 2019 Pipeline Data Lagasco'!$Q:$Q,'Dec 31 2018 OFFS'!$AK583,'T1 2019 Pipeline Data Lagasco'!$E:$E,'Dec 31 2018 OFFS'!$U583,'T1 2019 Pipeline Data Lagasco'!$G:$G,'Dec 31 2018 OFFS'!$W583))/(MAX(COUNTIFS('T1 2019 Pipeline Data Lagasco'!$A:$A,'Dec 31 2018 OFFS'!$AI583,'T1 2019 Pipeline Data Lagasco'!$Q:$Q,'Dec 31 2018 OFFS'!$AK583,'T1 2019 Pipeline Data Lagasco'!$E:$E,'Dec 31 2018 OFFS'!$U583,'T1 2019 Pipeline Data Lagasco'!$G:$G,'Dec 31 2018 OFFS'!$W583),1))</f>
        <v>8211</v>
      </c>
      <c r="AM583" s="274">
        <f t="shared" si="95"/>
        <v>0</v>
      </c>
    </row>
    <row r="584" spans="1:39" ht="12.7">
      <c r="A584" s="193" t="s">
        <v>909</v>
      </c>
      <c r="B584" s="40" t="s">
        <v>918</v>
      </c>
      <c r="C584" s="40" t="s">
        <v>1266</v>
      </c>
      <c r="D584" s="40" t="s">
        <v>17</v>
      </c>
      <c r="E584" s="40" t="s">
        <v>138</v>
      </c>
      <c r="F584" s="40"/>
      <c r="G584" s="41" t="s">
        <v>160</v>
      </c>
      <c r="H584" s="42">
        <v>42</v>
      </c>
      <c r="I584" s="43">
        <v>37</v>
      </c>
      <c r="J584" s="44">
        <v>10.02</v>
      </c>
      <c r="K584" s="45">
        <v>79</v>
      </c>
      <c r="L584" s="43">
        <v>37</v>
      </c>
      <c r="M584" s="46">
        <v>45</v>
      </c>
      <c r="N584" s="40" t="s">
        <v>161</v>
      </c>
      <c r="O584" s="42">
        <v>42</v>
      </c>
      <c r="P584" s="43">
        <v>37</v>
      </c>
      <c r="Q584" s="44">
        <v>11.57</v>
      </c>
      <c r="R584" s="45">
        <v>79</v>
      </c>
      <c r="S584" s="43">
        <v>36</v>
      </c>
      <c r="T584" s="46">
        <v>58.47</v>
      </c>
      <c r="U584" s="40">
        <v>3</v>
      </c>
      <c r="V584" s="47">
        <v>3482.8739148839995</v>
      </c>
      <c r="W584" s="48">
        <v>1984</v>
      </c>
      <c r="X584" s="40"/>
      <c r="Y584" s="52" t="s">
        <v>1081</v>
      </c>
      <c r="Z584" s="40" t="s">
        <v>910</v>
      </c>
      <c r="AA584" s="49">
        <f t="shared" si="88"/>
        <v>82160.995652113546</v>
      </c>
      <c r="AB584" s="71">
        <f t="shared" si="89"/>
        <v>0.80</v>
      </c>
      <c r="AC584" s="49">
        <f t="shared" si="90"/>
        <v>16432.20</v>
      </c>
      <c r="AD584" s="50">
        <f t="shared" si="91"/>
        <v>0</v>
      </c>
      <c r="AE584" s="50">
        <f t="shared" si="92"/>
        <v>0</v>
      </c>
      <c r="AF584" s="50">
        <f t="shared" si="93"/>
        <v>16432.20</v>
      </c>
      <c r="AG584" s="199">
        <f t="shared" si="94"/>
        <v>16432</v>
      </c>
      <c r="AH584" s="187"/>
      <c r="AI584" s="185" t="s">
        <v>1456</v>
      </c>
      <c r="AJ584" s="185"/>
      <c r="AK584" s="277">
        <f t="shared" si="87"/>
        <v>3482.87</v>
      </c>
      <c r="AL584" s="25">
        <f>(SUMIFS('T1 2019 Pipeline Data Lagasco'!$O:$O,'T1 2019 Pipeline Data Lagasco'!$A:$A,'Dec 31 2018 OFFS'!$AI584,'T1 2019 Pipeline Data Lagasco'!$Q:$Q,'Dec 31 2018 OFFS'!$AK584,'T1 2019 Pipeline Data Lagasco'!$E:$E,'Dec 31 2018 OFFS'!$U584,'T1 2019 Pipeline Data Lagasco'!$G:$G,'Dec 31 2018 OFFS'!$W584))/(MAX(COUNTIFS('T1 2019 Pipeline Data Lagasco'!$A:$A,'Dec 31 2018 OFFS'!$AI584,'T1 2019 Pipeline Data Lagasco'!$Q:$Q,'Dec 31 2018 OFFS'!$AK584,'T1 2019 Pipeline Data Lagasco'!$E:$E,'Dec 31 2018 OFFS'!$U584,'T1 2019 Pipeline Data Lagasco'!$G:$G,'Dec 31 2018 OFFS'!$W584),1))</f>
        <v>16432</v>
      </c>
      <c r="AM584" s="274">
        <f t="shared" si="95"/>
        <v>0</v>
      </c>
    </row>
    <row r="585" spans="1:39" ht="12.7">
      <c r="A585" s="193" t="s">
        <v>909</v>
      </c>
      <c r="B585" s="40" t="s">
        <v>918</v>
      </c>
      <c r="C585" s="40" t="s">
        <v>1266</v>
      </c>
      <c r="D585" s="40" t="s">
        <v>17</v>
      </c>
      <c r="E585" s="40" t="s">
        <v>138</v>
      </c>
      <c r="F585" s="40"/>
      <c r="G585" s="41" t="s">
        <v>160</v>
      </c>
      <c r="H585" s="42">
        <v>42</v>
      </c>
      <c r="I585" s="43">
        <v>37</v>
      </c>
      <c r="J585" s="44">
        <v>10.02</v>
      </c>
      <c r="K585" s="45">
        <v>79</v>
      </c>
      <c r="L585" s="43">
        <v>37</v>
      </c>
      <c r="M585" s="46">
        <v>45</v>
      </c>
      <c r="N585" s="40" t="s">
        <v>162</v>
      </c>
      <c r="O585" s="42">
        <v>42</v>
      </c>
      <c r="P585" s="43">
        <v>36</v>
      </c>
      <c r="Q585" s="44">
        <v>33</v>
      </c>
      <c r="R585" s="45">
        <v>79</v>
      </c>
      <c r="S585" s="43">
        <v>37</v>
      </c>
      <c r="T585" s="46">
        <v>13.02</v>
      </c>
      <c r="U585" s="40">
        <v>3</v>
      </c>
      <c r="V585" s="47">
        <v>4446.1612885619998</v>
      </c>
      <c r="W585" s="48">
        <v>1984</v>
      </c>
      <c r="X585" s="40"/>
      <c r="Y585" s="52" t="s">
        <v>1081</v>
      </c>
      <c r="Z585" s="40" t="s">
        <v>910</v>
      </c>
      <c r="AA585" s="49">
        <f t="shared" si="88"/>
        <v>104884.94479717758</v>
      </c>
      <c r="AB585" s="71">
        <f t="shared" si="89"/>
        <v>0.80</v>
      </c>
      <c r="AC585" s="49">
        <f t="shared" si="90"/>
        <v>20976.99</v>
      </c>
      <c r="AD585" s="50">
        <f t="shared" si="91"/>
        <v>0</v>
      </c>
      <c r="AE585" s="50">
        <f t="shared" si="92"/>
        <v>0</v>
      </c>
      <c r="AF585" s="50">
        <f t="shared" si="93"/>
        <v>20976.99</v>
      </c>
      <c r="AG585" s="199">
        <f t="shared" si="94"/>
        <v>20976</v>
      </c>
      <c r="AH585" s="187"/>
      <c r="AI585" s="185" t="s">
        <v>1456</v>
      </c>
      <c r="AJ585" s="185"/>
      <c r="AK585" s="277">
        <f t="shared" si="87"/>
        <v>4446.16</v>
      </c>
      <c r="AL585" s="25">
        <f>(SUMIFS('T1 2019 Pipeline Data Lagasco'!$O:$O,'T1 2019 Pipeline Data Lagasco'!$A:$A,'Dec 31 2018 OFFS'!$AI585,'T1 2019 Pipeline Data Lagasco'!$Q:$Q,'Dec 31 2018 OFFS'!$AK585,'T1 2019 Pipeline Data Lagasco'!$E:$E,'Dec 31 2018 OFFS'!$U585,'T1 2019 Pipeline Data Lagasco'!$G:$G,'Dec 31 2018 OFFS'!$W585))/(MAX(COUNTIFS('T1 2019 Pipeline Data Lagasco'!$A:$A,'Dec 31 2018 OFFS'!$AI585,'T1 2019 Pipeline Data Lagasco'!$Q:$Q,'Dec 31 2018 OFFS'!$AK585,'T1 2019 Pipeline Data Lagasco'!$E:$E,'Dec 31 2018 OFFS'!$U585,'T1 2019 Pipeline Data Lagasco'!$G:$G,'Dec 31 2018 OFFS'!$W585),1))</f>
        <v>20976</v>
      </c>
      <c r="AM585" s="274">
        <f t="shared" si="95"/>
        <v>0</v>
      </c>
    </row>
    <row r="586" spans="1:39" ht="12.7">
      <c r="A586" s="193" t="s">
        <v>909</v>
      </c>
      <c r="B586" s="40" t="s">
        <v>918</v>
      </c>
      <c r="C586" s="40" t="s">
        <v>1266</v>
      </c>
      <c r="D586" s="40" t="s">
        <v>17</v>
      </c>
      <c r="E586" s="40" t="s">
        <v>138</v>
      </c>
      <c r="F586" s="40"/>
      <c r="G586" s="41" t="s">
        <v>163</v>
      </c>
      <c r="H586" s="42">
        <v>42</v>
      </c>
      <c r="I586" s="43">
        <v>37</v>
      </c>
      <c r="J586" s="44">
        <v>45</v>
      </c>
      <c r="K586" s="45">
        <v>79</v>
      </c>
      <c r="L586" s="43">
        <v>38</v>
      </c>
      <c r="M586" s="46">
        <v>43.98</v>
      </c>
      <c r="N586" s="40" t="s">
        <v>164</v>
      </c>
      <c r="O586" s="42">
        <v>42</v>
      </c>
      <c r="P586" s="43">
        <v>37</v>
      </c>
      <c r="Q586" s="44">
        <v>15</v>
      </c>
      <c r="R586" s="45">
        <v>79</v>
      </c>
      <c r="S586" s="43">
        <v>39</v>
      </c>
      <c r="T586" s="46">
        <v>13.98</v>
      </c>
      <c r="U586" s="40">
        <v>3</v>
      </c>
      <c r="V586" s="47">
        <v>3775.8857174220002</v>
      </c>
      <c r="W586" s="48">
        <v>1984</v>
      </c>
      <c r="X586" s="40"/>
      <c r="Y586" s="52" t="s">
        <v>1081</v>
      </c>
      <c r="Z586" s="40" t="s">
        <v>910</v>
      </c>
      <c r="AA586" s="49">
        <f t="shared" si="88"/>
        <v>89073.144073984979</v>
      </c>
      <c r="AB586" s="71">
        <f t="shared" si="89"/>
        <v>0.80</v>
      </c>
      <c r="AC586" s="49">
        <f t="shared" si="90"/>
        <v>17814.63</v>
      </c>
      <c r="AD586" s="50">
        <f t="shared" si="91"/>
        <v>0</v>
      </c>
      <c r="AE586" s="50">
        <f t="shared" si="92"/>
        <v>0</v>
      </c>
      <c r="AF586" s="50">
        <f t="shared" si="93"/>
        <v>17814.63</v>
      </c>
      <c r="AG586" s="199">
        <f t="shared" si="94"/>
        <v>17814</v>
      </c>
      <c r="AH586" s="187"/>
      <c r="AI586" s="185" t="s">
        <v>1456</v>
      </c>
      <c r="AJ586" s="185"/>
      <c r="AK586" s="277">
        <f t="shared" si="87"/>
        <v>3775.89</v>
      </c>
      <c r="AL586" s="25">
        <f>(SUMIFS('T1 2019 Pipeline Data Lagasco'!$O:$O,'T1 2019 Pipeline Data Lagasco'!$A:$A,'Dec 31 2018 OFFS'!$AI586,'T1 2019 Pipeline Data Lagasco'!$Q:$Q,'Dec 31 2018 OFFS'!$AK586,'T1 2019 Pipeline Data Lagasco'!$E:$E,'Dec 31 2018 OFFS'!$U586,'T1 2019 Pipeline Data Lagasco'!$G:$G,'Dec 31 2018 OFFS'!$W586))/(MAX(COUNTIFS('T1 2019 Pipeline Data Lagasco'!$A:$A,'Dec 31 2018 OFFS'!$AI586,'T1 2019 Pipeline Data Lagasco'!$Q:$Q,'Dec 31 2018 OFFS'!$AK586,'T1 2019 Pipeline Data Lagasco'!$E:$E,'Dec 31 2018 OFFS'!$U586,'T1 2019 Pipeline Data Lagasco'!$G:$G,'Dec 31 2018 OFFS'!$W586),1))</f>
        <v>17814</v>
      </c>
      <c r="AM586" s="274">
        <f t="shared" si="95"/>
        <v>0</v>
      </c>
    </row>
    <row r="587" spans="1:39" ht="12.7">
      <c r="A587" s="193" t="s">
        <v>909</v>
      </c>
      <c r="B587" s="40" t="s">
        <v>918</v>
      </c>
      <c r="C587" s="40" t="s">
        <v>1266</v>
      </c>
      <c r="D587" s="40" t="s">
        <v>17</v>
      </c>
      <c r="E587" s="40" t="s">
        <v>138</v>
      </c>
      <c r="F587" s="40"/>
      <c r="G587" s="41" t="s">
        <v>165</v>
      </c>
      <c r="H587" s="42">
        <v>42</v>
      </c>
      <c r="I587" s="43">
        <v>37</v>
      </c>
      <c r="J587" s="44">
        <v>42</v>
      </c>
      <c r="K587" s="45">
        <v>79</v>
      </c>
      <c r="L587" s="43">
        <v>38</v>
      </c>
      <c r="M587" s="46">
        <v>36</v>
      </c>
      <c r="N587" s="40" t="s">
        <v>163</v>
      </c>
      <c r="O587" s="42">
        <v>42</v>
      </c>
      <c r="P587" s="43">
        <v>37</v>
      </c>
      <c r="Q587" s="44">
        <v>45</v>
      </c>
      <c r="R587" s="45">
        <v>79</v>
      </c>
      <c r="S587" s="43">
        <v>38</v>
      </c>
      <c r="T587" s="46">
        <v>43.98</v>
      </c>
      <c r="U587" s="40">
        <v>3</v>
      </c>
      <c r="V587" s="47">
        <v>669.48816958800001</v>
      </c>
      <c r="W587" s="48">
        <v>1984</v>
      </c>
      <c r="X587" s="40"/>
      <c r="Y587" s="52" t="s">
        <v>1081</v>
      </c>
      <c r="Z587" s="40" t="s">
        <v>910</v>
      </c>
      <c r="AA587" s="49">
        <f t="shared" si="88"/>
        <v>15793.225920580921</v>
      </c>
      <c r="AB587" s="71">
        <f t="shared" si="89"/>
        <v>0.80</v>
      </c>
      <c r="AC587" s="49">
        <f t="shared" si="90"/>
        <v>3158.65</v>
      </c>
      <c r="AD587" s="50">
        <f t="shared" si="91"/>
        <v>0</v>
      </c>
      <c r="AE587" s="50">
        <f t="shared" si="92"/>
        <v>0</v>
      </c>
      <c r="AF587" s="50">
        <f t="shared" si="93"/>
        <v>3158.65</v>
      </c>
      <c r="AG587" s="199">
        <f t="shared" si="94"/>
        <v>3158</v>
      </c>
      <c r="AH587" s="187"/>
      <c r="AI587" s="185" t="s">
        <v>1456</v>
      </c>
      <c r="AJ587" s="185"/>
      <c r="AK587" s="277">
        <f t="shared" si="87"/>
        <v>669.49</v>
      </c>
      <c r="AL587" s="25">
        <f>(SUMIFS('T1 2019 Pipeline Data Lagasco'!$O:$O,'T1 2019 Pipeline Data Lagasco'!$A:$A,'Dec 31 2018 OFFS'!$AI587,'T1 2019 Pipeline Data Lagasco'!$Q:$Q,'Dec 31 2018 OFFS'!$AK587,'T1 2019 Pipeline Data Lagasco'!$E:$E,'Dec 31 2018 OFFS'!$U587,'T1 2019 Pipeline Data Lagasco'!$G:$G,'Dec 31 2018 OFFS'!$W587))/(MAX(COUNTIFS('T1 2019 Pipeline Data Lagasco'!$A:$A,'Dec 31 2018 OFFS'!$AI587,'T1 2019 Pipeline Data Lagasco'!$Q:$Q,'Dec 31 2018 OFFS'!$AK587,'T1 2019 Pipeline Data Lagasco'!$E:$E,'Dec 31 2018 OFFS'!$U587,'T1 2019 Pipeline Data Lagasco'!$G:$G,'Dec 31 2018 OFFS'!$W587),1))</f>
        <v>3158</v>
      </c>
      <c r="AM587" s="274">
        <f t="shared" si="95"/>
        <v>0</v>
      </c>
    </row>
    <row r="588" spans="1:39" ht="12.7">
      <c r="A588" s="193" t="s">
        <v>909</v>
      </c>
      <c r="B588" s="40" t="s">
        <v>918</v>
      </c>
      <c r="C588" s="40" t="s">
        <v>1266</v>
      </c>
      <c r="D588" s="40" t="s">
        <v>17</v>
      </c>
      <c r="E588" s="40" t="s">
        <v>138</v>
      </c>
      <c r="F588" s="40"/>
      <c r="G588" s="41" t="s">
        <v>165</v>
      </c>
      <c r="H588" s="42">
        <v>42</v>
      </c>
      <c r="I588" s="43">
        <v>37</v>
      </c>
      <c r="J588" s="44">
        <v>42</v>
      </c>
      <c r="K588" s="45">
        <v>79</v>
      </c>
      <c r="L588" s="43">
        <v>38</v>
      </c>
      <c r="M588" s="46">
        <v>36</v>
      </c>
      <c r="N588" s="40" t="s">
        <v>160</v>
      </c>
      <c r="O588" s="42">
        <v>42</v>
      </c>
      <c r="P588" s="43">
        <v>37</v>
      </c>
      <c r="Q588" s="44">
        <v>10.02</v>
      </c>
      <c r="R588" s="45">
        <v>79</v>
      </c>
      <c r="S588" s="43">
        <v>37</v>
      </c>
      <c r="T588" s="46">
        <v>45</v>
      </c>
      <c r="U588" s="40">
        <v>3</v>
      </c>
      <c r="V588" s="47">
        <v>5002.5261018459996</v>
      </c>
      <c r="W588" s="48">
        <v>1984</v>
      </c>
      <c r="X588" s="40"/>
      <c r="Y588" s="52" t="s">
        <v>1081</v>
      </c>
      <c r="Z588" s="40" t="s">
        <v>910</v>
      </c>
      <c r="AA588" s="49">
        <f t="shared" si="88"/>
        <v>118009.59074254712</v>
      </c>
      <c r="AB588" s="71">
        <f t="shared" si="89"/>
        <v>0.80</v>
      </c>
      <c r="AC588" s="49">
        <f t="shared" si="90"/>
        <v>23601.92</v>
      </c>
      <c r="AD588" s="50">
        <f t="shared" si="91"/>
        <v>0</v>
      </c>
      <c r="AE588" s="50">
        <f t="shared" si="92"/>
        <v>0</v>
      </c>
      <c r="AF588" s="50">
        <f t="shared" si="93"/>
        <v>23601.92</v>
      </c>
      <c r="AG588" s="199">
        <f t="shared" si="94"/>
        <v>23601</v>
      </c>
      <c r="AH588" s="187"/>
      <c r="AI588" s="185" t="s">
        <v>1456</v>
      </c>
      <c r="AJ588" s="185"/>
      <c r="AK588" s="277">
        <f t="shared" si="87"/>
        <v>5002.53</v>
      </c>
      <c r="AL588" s="25">
        <f>(SUMIFS('T1 2019 Pipeline Data Lagasco'!$O:$O,'T1 2019 Pipeline Data Lagasco'!$A:$A,'Dec 31 2018 OFFS'!$AI588,'T1 2019 Pipeline Data Lagasco'!$Q:$Q,'Dec 31 2018 OFFS'!$AK588,'T1 2019 Pipeline Data Lagasco'!$E:$E,'Dec 31 2018 OFFS'!$U588,'T1 2019 Pipeline Data Lagasco'!$G:$G,'Dec 31 2018 OFFS'!$W588))/(MAX(COUNTIFS('T1 2019 Pipeline Data Lagasco'!$A:$A,'Dec 31 2018 OFFS'!$AI588,'T1 2019 Pipeline Data Lagasco'!$Q:$Q,'Dec 31 2018 OFFS'!$AK588,'T1 2019 Pipeline Data Lagasco'!$E:$E,'Dec 31 2018 OFFS'!$U588,'T1 2019 Pipeline Data Lagasco'!$G:$G,'Dec 31 2018 OFFS'!$W588),1))</f>
        <v>23601</v>
      </c>
      <c r="AM588" s="274">
        <f t="shared" si="95"/>
        <v>0</v>
      </c>
    </row>
    <row r="589" spans="1:39" ht="12.7">
      <c r="A589" s="193" t="s">
        <v>909</v>
      </c>
      <c r="B589" s="40" t="s">
        <v>918</v>
      </c>
      <c r="C589" s="40" t="s">
        <v>1266</v>
      </c>
      <c r="D589" s="40" t="s">
        <v>17</v>
      </c>
      <c r="E589" s="40" t="s">
        <v>138</v>
      </c>
      <c r="F589" s="139" t="s">
        <v>1051</v>
      </c>
      <c r="G589" s="41" t="s">
        <v>156</v>
      </c>
      <c r="H589" s="42">
        <v>42</v>
      </c>
      <c r="I589" s="43">
        <v>36</v>
      </c>
      <c r="J589" s="44">
        <v>15</v>
      </c>
      <c r="K589" s="45">
        <v>79</v>
      </c>
      <c r="L589" s="43">
        <v>38</v>
      </c>
      <c r="M589" s="46">
        <v>16.98</v>
      </c>
      <c r="N589" s="40" t="s">
        <v>166</v>
      </c>
      <c r="O589" s="42">
        <v>42</v>
      </c>
      <c r="P589" s="43">
        <v>35</v>
      </c>
      <c r="Q589" s="44">
        <v>43.02</v>
      </c>
      <c r="R589" s="45">
        <v>79</v>
      </c>
      <c r="S589" s="43">
        <v>37</v>
      </c>
      <c r="T589" s="46">
        <v>16.02</v>
      </c>
      <c r="U589" s="40">
        <v>3</v>
      </c>
      <c r="V589" s="47">
        <v>5592.4867146819997</v>
      </c>
      <c r="W589" s="48">
        <v>1982</v>
      </c>
      <c r="X589" s="40"/>
      <c r="Y589" s="52" t="s">
        <v>1081</v>
      </c>
      <c r="Z589" s="40" t="s">
        <v>910</v>
      </c>
      <c r="AA589" s="49">
        <f t="shared" si="88"/>
        <v>0</v>
      </c>
      <c r="AB589" s="71">
        <f t="shared" si="89"/>
        <v>0.80</v>
      </c>
      <c r="AC589" s="49">
        <f t="shared" si="90"/>
        <v>0</v>
      </c>
      <c r="AD589" s="50">
        <f t="shared" si="91"/>
        <v>0</v>
      </c>
      <c r="AE589" s="50">
        <f t="shared" si="92"/>
        <v>0</v>
      </c>
      <c r="AF589" s="50">
        <f t="shared" si="93"/>
        <v>0</v>
      </c>
      <c r="AG589" s="199">
        <f t="shared" si="94"/>
        <v>0</v>
      </c>
      <c r="AH589" s="187"/>
      <c r="AI589" s="185" t="s">
        <v>1456</v>
      </c>
      <c r="AJ589" s="185"/>
      <c r="AK589" s="277">
        <f t="shared" si="87"/>
        <v>5592.49</v>
      </c>
      <c r="AL589" s="25">
        <f>(SUMIFS('T1 2019 Pipeline Data Lagasco'!$O:$O,'T1 2019 Pipeline Data Lagasco'!$A:$A,'Dec 31 2018 OFFS'!$AI589,'T1 2019 Pipeline Data Lagasco'!$Q:$Q,'Dec 31 2018 OFFS'!$AK589,'T1 2019 Pipeline Data Lagasco'!$E:$E,'Dec 31 2018 OFFS'!$U589,'T1 2019 Pipeline Data Lagasco'!$G:$G,'Dec 31 2018 OFFS'!$W589))/(MAX(COUNTIFS('T1 2019 Pipeline Data Lagasco'!$A:$A,'Dec 31 2018 OFFS'!$AI589,'T1 2019 Pipeline Data Lagasco'!$Q:$Q,'Dec 31 2018 OFFS'!$AK589,'T1 2019 Pipeline Data Lagasco'!$E:$E,'Dec 31 2018 OFFS'!$U589,'T1 2019 Pipeline Data Lagasco'!$G:$G,'Dec 31 2018 OFFS'!$W589),1))</f>
        <v>0</v>
      </c>
      <c r="AM589" s="274">
        <f t="shared" si="95"/>
        <v>0</v>
      </c>
    </row>
    <row r="590" spans="1:39" ht="12.7">
      <c r="A590" s="193" t="s">
        <v>909</v>
      </c>
      <c r="B590" s="40" t="s">
        <v>918</v>
      </c>
      <c r="C590" s="40" t="s">
        <v>1266</v>
      </c>
      <c r="D590" s="40" t="s">
        <v>17</v>
      </c>
      <c r="E590" s="40" t="s">
        <v>138</v>
      </c>
      <c r="F590" s="40"/>
      <c r="G590" s="41" t="s">
        <v>1283</v>
      </c>
      <c r="H590" s="42">
        <v>42</v>
      </c>
      <c r="I590" s="43">
        <v>34</v>
      </c>
      <c r="J590" s="44">
        <v>18.72</v>
      </c>
      <c r="K590" s="45">
        <v>79</v>
      </c>
      <c r="L590" s="43">
        <v>48</v>
      </c>
      <c r="M590" s="46">
        <v>46.68</v>
      </c>
      <c r="N590" s="41" t="s">
        <v>137</v>
      </c>
      <c r="O590" s="42">
        <v>42</v>
      </c>
      <c r="P590" s="43">
        <v>34</v>
      </c>
      <c r="Q590" s="44">
        <v>43.32</v>
      </c>
      <c r="R590" s="45">
        <v>79</v>
      </c>
      <c r="S590" s="43">
        <v>49</v>
      </c>
      <c r="T590" s="46">
        <v>35.10</v>
      </c>
      <c r="U590" s="40">
        <v>3</v>
      </c>
      <c r="V590" s="47">
        <v>4387</v>
      </c>
      <c r="W590" s="48">
        <v>2006</v>
      </c>
      <c r="X590" s="40"/>
      <c r="Y590" s="52"/>
      <c r="Z590" s="40" t="s">
        <v>910</v>
      </c>
      <c r="AA590" s="49">
        <f t="shared" si="88"/>
        <v>103489.33</v>
      </c>
      <c r="AB590" s="71">
        <f t="shared" si="89"/>
        <v>0.52</v>
      </c>
      <c r="AC590" s="49">
        <f t="shared" si="90"/>
        <v>49674.88</v>
      </c>
      <c r="AD590" s="50">
        <f t="shared" si="91"/>
        <v>0</v>
      </c>
      <c r="AE590" s="50">
        <f t="shared" si="92"/>
        <v>0</v>
      </c>
      <c r="AF590" s="50">
        <f t="shared" si="93"/>
        <v>49674.88</v>
      </c>
      <c r="AG590" s="199">
        <f t="shared" si="94"/>
        <v>49674</v>
      </c>
      <c r="AH590" s="187">
        <f>SUM(AF422:AF590)</f>
        <v>4945048.6324999994</v>
      </c>
      <c r="AI590" s="185" t="s">
        <v>1456</v>
      </c>
      <c r="AJ590" s="185"/>
      <c r="AK590" s="277">
        <f t="shared" si="87"/>
        <v>4387</v>
      </c>
      <c r="AL590" s="25">
        <f>(SUMIFS('T1 2019 Pipeline Data Lagasco'!$O:$O,'T1 2019 Pipeline Data Lagasco'!$A:$A,'Dec 31 2018 OFFS'!$AI590,'T1 2019 Pipeline Data Lagasco'!$Q:$Q,'Dec 31 2018 OFFS'!$AK590,'T1 2019 Pipeline Data Lagasco'!$E:$E,'Dec 31 2018 OFFS'!$U590,'T1 2019 Pipeline Data Lagasco'!$G:$G,'Dec 31 2018 OFFS'!$W590))/(MAX(COUNTIFS('T1 2019 Pipeline Data Lagasco'!$A:$A,'Dec 31 2018 OFFS'!$AI590,'T1 2019 Pipeline Data Lagasco'!$Q:$Q,'Dec 31 2018 OFFS'!$AK590,'T1 2019 Pipeline Data Lagasco'!$E:$E,'Dec 31 2018 OFFS'!$U590,'T1 2019 Pipeline Data Lagasco'!$G:$G,'Dec 31 2018 OFFS'!$W590),1))</f>
        <v>49674</v>
      </c>
      <c r="AM590" s="274">
        <f t="shared" si="95"/>
        <v>0</v>
      </c>
    </row>
    <row r="591" spans="1:39" ht="12.7">
      <c r="A591" s="193" t="s">
        <v>909</v>
      </c>
      <c r="B591" s="40" t="s">
        <v>918</v>
      </c>
      <c r="C591" s="40" t="s">
        <v>1266</v>
      </c>
      <c r="D591" s="40" t="s">
        <v>229</v>
      </c>
      <c r="E591" s="40" t="s">
        <v>1053</v>
      </c>
      <c r="F591" s="40"/>
      <c r="G591" s="41" t="s">
        <v>232</v>
      </c>
      <c r="H591" s="42">
        <v>42</v>
      </c>
      <c r="I591" s="43">
        <v>44</v>
      </c>
      <c r="J591" s="44">
        <v>3.095</v>
      </c>
      <c r="K591" s="45">
        <v>79</v>
      </c>
      <c r="L591" s="43">
        <v>59</v>
      </c>
      <c r="M591" s="46">
        <v>53.997</v>
      </c>
      <c r="N591" s="40" t="s">
        <v>233</v>
      </c>
      <c r="O591" s="42">
        <v>42</v>
      </c>
      <c r="P591" s="43">
        <v>44</v>
      </c>
      <c r="Q591" s="44">
        <v>3.1920000000000002</v>
      </c>
      <c r="R591" s="45">
        <v>79</v>
      </c>
      <c r="S591" s="43">
        <v>58</v>
      </c>
      <c r="T591" s="46">
        <v>55.308</v>
      </c>
      <c r="U591" s="40">
        <v>2</v>
      </c>
      <c r="V591" s="47">
        <v>4380.2164085819995</v>
      </c>
      <c r="W591" s="48">
        <v>1964</v>
      </c>
      <c r="X591" s="40"/>
      <c r="Y591" s="52" t="s">
        <v>1081</v>
      </c>
      <c r="Z591" s="40" t="s">
        <v>910</v>
      </c>
      <c r="AA591" s="49">
        <f t="shared" si="88"/>
        <v>71134.714475371671</v>
      </c>
      <c r="AB591" s="71">
        <f t="shared" si="89"/>
        <v>0.80</v>
      </c>
      <c r="AC591" s="49">
        <f t="shared" si="90"/>
        <v>14226.94</v>
      </c>
      <c r="AD591" s="50">
        <f t="shared" si="91"/>
        <v>0</v>
      </c>
      <c r="AE591" s="50">
        <f t="shared" si="92"/>
        <v>0</v>
      </c>
      <c r="AF591" s="50">
        <f t="shared" si="93"/>
        <v>14226.94</v>
      </c>
      <c r="AG591" s="199">
        <f t="shared" si="94"/>
        <v>14226</v>
      </c>
      <c r="AH591" s="187"/>
      <c r="AI591" s="185" t="s">
        <v>1457</v>
      </c>
      <c r="AJ591" s="185"/>
      <c r="AK591" s="277">
        <f t="shared" si="87"/>
        <v>4380.22</v>
      </c>
      <c r="AL591" s="25">
        <f>(SUMIFS('T1 2019 Pipeline Data Lagasco'!$O:$O,'T1 2019 Pipeline Data Lagasco'!$A:$A,'Dec 31 2018 OFFS'!$AI591,'T1 2019 Pipeline Data Lagasco'!$Q:$Q,'Dec 31 2018 OFFS'!$AK591,'T1 2019 Pipeline Data Lagasco'!$E:$E,'Dec 31 2018 OFFS'!$U591,'T1 2019 Pipeline Data Lagasco'!$G:$G,'Dec 31 2018 OFFS'!$W591))/(MAX(COUNTIFS('T1 2019 Pipeline Data Lagasco'!$A:$A,'Dec 31 2018 OFFS'!$AI591,'T1 2019 Pipeline Data Lagasco'!$Q:$Q,'Dec 31 2018 OFFS'!$AK591,'T1 2019 Pipeline Data Lagasco'!$E:$E,'Dec 31 2018 OFFS'!$U591,'T1 2019 Pipeline Data Lagasco'!$G:$G,'Dec 31 2018 OFFS'!$W591),1))</f>
        <v>14226</v>
      </c>
      <c r="AM591" s="274">
        <f t="shared" si="95"/>
        <v>0</v>
      </c>
    </row>
    <row r="592" spans="1:39" ht="12.7">
      <c r="A592" s="193" t="s">
        <v>909</v>
      </c>
      <c r="B592" s="40" t="s">
        <v>918</v>
      </c>
      <c r="C592" s="40" t="s">
        <v>1266</v>
      </c>
      <c r="D592" s="40" t="s">
        <v>229</v>
      </c>
      <c r="E592" s="40" t="s">
        <v>293</v>
      </c>
      <c r="F592" s="40" t="s">
        <v>1051</v>
      </c>
      <c r="G592" s="41" t="s">
        <v>253</v>
      </c>
      <c r="H592" s="42">
        <v>42</v>
      </c>
      <c r="I592" s="43">
        <v>44</v>
      </c>
      <c r="J592" s="44">
        <f>0.498*60</f>
        <v>29.88</v>
      </c>
      <c r="K592" s="45">
        <v>80</v>
      </c>
      <c r="L592" s="43">
        <v>9</v>
      </c>
      <c r="M592" s="46">
        <f>0.195*60</f>
        <v>11.70</v>
      </c>
      <c r="N592" s="40" t="s">
        <v>1173</v>
      </c>
      <c r="O592" s="42">
        <v>42</v>
      </c>
      <c r="P592" s="43">
        <v>44</v>
      </c>
      <c r="Q592" s="44">
        <v>38.354999999999997</v>
      </c>
      <c r="R592" s="45">
        <v>80</v>
      </c>
      <c r="S592" s="43">
        <v>8</v>
      </c>
      <c r="T592" s="46">
        <v>15.962</v>
      </c>
      <c r="U592" s="40">
        <v>3</v>
      </c>
      <c r="V592" s="47">
        <v>4246</v>
      </c>
      <c r="W592" s="48">
        <v>1982</v>
      </c>
      <c r="X592" s="40"/>
      <c r="Y592" s="52" t="s">
        <v>1081</v>
      </c>
      <c r="Z592" s="40" t="s">
        <v>910</v>
      </c>
      <c r="AA592" s="49">
        <f t="shared" si="88"/>
        <v>0</v>
      </c>
      <c r="AB592" s="71">
        <f t="shared" si="89"/>
        <v>0.80</v>
      </c>
      <c r="AC592" s="49">
        <f t="shared" si="90"/>
        <v>0</v>
      </c>
      <c r="AD592" s="50">
        <f t="shared" si="91"/>
        <v>0</v>
      </c>
      <c r="AE592" s="50">
        <f t="shared" si="92"/>
        <v>0</v>
      </c>
      <c r="AF592" s="50">
        <f t="shared" si="93"/>
        <v>0</v>
      </c>
      <c r="AG592" s="199">
        <f t="shared" si="94"/>
        <v>0</v>
      </c>
      <c r="AH592" s="187"/>
      <c r="AI592" s="185" t="s">
        <v>1457</v>
      </c>
      <c r="AJ592" s="185"/>
      <c r="AK592" s="277">
        <f t="shared" si="87"/>
        <v>4246</v>
      </c>
      <c r="AL592" s="25">
        <f>(SUMIFS('T1 2019 Pipeline Data Lagasco'!$O:$O,'T1 2019 Pipeline Data Lagasco'!$A:$A,'Dec 31 2018 OFFS'!$AI592,'T1 2019 Pipeline Data Lagasco'!$Q:$Q,'Dec 31 2018 OFFS'!$AK592,'T1 2019 Pipeline Data Lagasco'!$E:$E,'Dec 31 2018 OFFS'!$U592,'T1 2019 Pipeline Data Lagasco'!$G:$G,'Dec 31 2018 OFFS'!$W592))/(MAX(COUNTIFS('T1 2019 Pipeline Data Lagasco'!$A:$A,'Dec 31 2018 OFFS'!$AI592,'T1 2019 Pipeline Data Lagasco'!$Q:$Q,'Dec 31 2018 OFFS'!$AK592,'T1 2019 Pipeline Data Lagasco'!$E:$E,'Dec 31 2018 OFFS'!$U592,'T1 2019 Pipeline Data Lagasco'!$G:$G,'Dec 31 2018 OFFS'!$W592),1))</f>
        <v>0</v>
      </c>
      <c r="AM592" s="274">
        <f t="shared" si="95"/>
        <v>0</v>
      </c>
    </row>
    <row r="593" spans="1:39" ht="12.7">
      <c r="A593" s="193" t="s">
        <v>909</v>
      </c>
      <c r="B593" s="40" t="s">
        <v>918</v>
      </c>
      <c r="C593" s="40" t="s">
        <v>1266</v>
      </c>
      <c r="D593" s="40" t="s">
        <v>229</v>
      </c>
      <c r="E593" s="40" t="s">
        <v>293</v>
      </c>
      <c r="F593" s="40"/>
      <c r="G593" s="41" t="s">
        <v>253</v>
      </c>
      <c r="H593" s="42">
        <v>42</v>
      </c>
      <c r="I593" s="43">
        <v>44</v>
      </c>
      <c r="J593" s="44">
        <f>0.498*60</f>
        <v>29.88</v>
      </c>
      <c r="K593" s="45">
        <v>80</v>
      </c>
      <c r="L593" s="43">
        <v>9</v>
      </c>
      <c r="M593" s="46">
        <f>0.195*60</f>
        <v>11.70</v>
      </c>
      <c r="N593" s="41" t="s">
        <v>286</v>
      </c>
      <c r="O593" s="42">
        <v>42</v>
      </c>
      <c r="P593" s="43">
        <v>43</v>
      </c>
      <c r="Q593" s="44">
        <v>42.521873999999997</v>
      </c>
      <c r="R593" s="45">
        <v>80</v>
      </c>
      <c r="S593" s="43">
        <v>9</v>
      </c>
      <c r="T593" s="46">
        <v>46.260874000000001</v>
      </c>
      <c r="U593" s="40">
        <v>3</v>
      </c>
      <c r="V593" s="47">
        <v>5444.2911809159996</v>
      </c>
      <c r="W593" s="48">
        <v>1982</v>
      </c>
      <c r="X593" s="40"/>
      <c r="Y593" s="52" t="s">
        <v>1081</v>
      </c>
      <c r="Z593" s="40" t="s">
        <v>910</v>
      </c>
      <c r="AA593" s="49">
        <f t="shared" si="88"/>
        <v>128430.82895780842</v>
      </c>
      <c r="AB593" s="71">
        <f t="shared" si="89"/>
        <v>0.80</v>
      </c>
      <c r="AC593" s="49">
        <f t="shared" si="90"/>
        <v>25686.17</v>
      </c>
      <c r="AD593" s="50">
        <f t="shared" si="91"/>
        <v>0</v>
      </c>
      <c r="AE593" s="50">
        <f t="shared" si="92"/>
        <v>0</v>
      </c>
      <c r="AF593" s="50">
        <f t="shared" si="93"/>
        <v>25686.17</v>
      </c>
      <c r="AG593" s="199">
        <f t="shared" si="94"/>
        <v>25686</v>
      </c>
      <c r="AH593" s="187"/>
      <c r="AI593" s="185" t="s">
        <v>1457</v>
      </c>
      <c r="AJ593" s="185"/>
      <c r="AK593" s="277">
        <f t="shared" si="87"/>
        <v>5444.29</v>
      </c>
      <c r="AL593" s="25">
        <f>(SUMIFS('T1 2019 Pipeline Data Lagasco'!$O:$O,'T1 2019 Pipeline Data Lagasco'!$A:$A,'Dec 31 2018 OFFS'!$AI593,'T1 2019 Pipeline Data Lagasco'!$Q:$Q,'Dec 31 2018 OFFS'!$AK593,'T1 2019 Pipeline Data Lagasco'!$E:$E,'Dec 31 2018 OFFS'!$U593,'T1 2019 Pipeline Data Lagasco'!$G:$G,'Dec 31 2018 OFFS'!$W593))/(MAX(COUNTIFS('T1 2019 Pipeline Data Lagasco'!$A:$A,'Dec 31 2018 OFFS'!$AI593,'T1 2019 Pipeline Data Lagasco'!$Q:$Q,'Dec 31 2018 OFFS'!$AK593,'T1 2019 Pipeline Data Lagasco'!$E:$E,'Dec 31 2018 OFFS'!$U593,'T1 2019 Pipeline Data Lagasco'!$G:$G,'Dec 31 2018 OFFS'!$W593),1))</f>
        <v>25686</v>
      </c>
      <c r="AM593" s="274">
        <f t="shared" si="95"/>
        <v>0</v>
      </c>
    </row>
    <row r="594" spans="1:39" ht="12.7">
      <c r="A594" s="193" t="s">
        <v>909</v>
      </c>
      <c r="B594" s="40" t="s">
        <v>918</v>
      </c>
      <c r="C594" s="40" t="s">
        <v>1266</v>
      </c>
      <c r="D594" s="40" t="s">
        <v>229</v>
      </c>
      <c r="E594" s="40" t="s">
        <v>293</v>
      </c>
      <c r="F594" s="40" t="s">
        <v>1051</v>
      </c>
      <c r="G594" s="41" t="s">
        <v>299</v>
      </c>
      <c r="H594" s="42">
        <v>42</v>
      </c>
      <c r="I594" s="43">
        <v>46</v>
      </c>
      <c r="J594" s="44">
        <v>23.158999999999999</v>
      </c>
      <c r="K594" s="45">
        <v>80</v>
      </c>
      <c r="L594" s="43">
        <v>13</v>
      </c>
      <c r="M594" s="46">
        <v>45.35</v>
      </c>
      <c r="N594" s="40" t="s">
        <v>250</v>
      </c>
      <c r="O594" s="42">
        <v>42</v>
      </c>
      <c r="P594" s="43">
        <v>46</v>
      </c>
      <c r="Q594" s="44">
        <f>0.167*60</f>
        <v>10.020000000000001</v>
      </c>
      <c r="R594" s="45">
        <v>80</v>
      </c>
      <c r="S594" s="43">
        <v>12</v>
      </c>
      <c r="T594" s="46">
        <f>0.767*60</f>
        <v>46.02</v>
      </c>
      <c r="U594" s="40">
        <v>3</v>
      </c>
      <c r="V594" s="47">
        <v>4620.83</v>
      </c>
      <c r="W594" s="48">
        <v>1966</v>
      </c>
      <c r="X594" s="40"/>
      <c r="Y594" s="52"/>
      <c r="Z594" s="40" t="s">
        <v>910</v>
      </c>
      <c r="AA594" s="49">
        <f t="shared" si="88"/>
        <v>0</v>
      </c>
      <c r="AB594" s="71">
        <f t="shared" si="89"/>
        <v>0.80</v>
      </c>
      <c r="AC594" s="49">
        <f t="shared" si="90"/>
        <v>0</v>
      </c>
      <c r="AD594" s="50">
        <f t="shared" si="91"/>
        <v>0</v>
      </c>
      <c r="AE594" s="50">
        <f t="shared" si="92"/>
        <v>0</v>
      </c>
      <c r="AF594" s="50">
        <f t="shared" si="93"/>
        <v>0</v>
      </c>
      <c r="AG594" s="199">
        <f t="shared" si="94"/>
        <v>0</v>
      </c>
      <c r="AH594" s="187"/>
      <c r="AI594" s="185" t="s">
        <v>1457</v>
      </c>
      <c r="AJ594" s="185"/>
      <c r="AK594" s="277">
        <f t="shared" si="87"/>
        <v>4620.83</v>
      </c>
      <c r="AL594" s="25">
        <f>(SUMIFS('T1 2019 Pipeline Data Lagasco'!$O:$O,'T1 2019 Pipeline Data Lagasco'!$A:$A,'Dec 31 2018 OFFS'!$AI594,'T1 2019 Pipeline Data Lagasco'!$Q:$Q,'Dec 31 2018 OFFS'!$AK594,'T1 2019 Pipeline Data Lagasco'!$E:$E,'Dec 31 2018 OFFS'!$U594,'T1 2019 Pipeline Data Lagasco'!$G:$G,'Dec 31 2018 OFFS'!$W594))/(MAX(COUNTIFS('T1 2019 Pipeline Data Lagasco'!$A:$A,'Dec 31 2018 OFFS'!$AI594,'T1 2019 Pipeline Data Lagasco'!$Q:$Q,'Dec 31 2018 OFFS'!$AK594,'T1 2019 Pipeline Data Lagasco'!$E:$E,'Dec 31 2018 OFFS'!$U594,'T1 2019 Pipeline Data Lagasco'!$G:$G,'Dec 31 2018 OFFS'!$W594),1))</f>
        <v>0</v>
      </c>
      <c r="AM594" s="274">
        <f t="shared" si="95"/>
        <v>0</v>
      </c>
    </row>
    <row r="595" spans="1:39" ht="12.7">
      <c r="A595" s="193" t="s">
        <v>909</v>
      </c>
      <c r="B595" s="40" t="s">
        <v>918</v>
      </c>
      <c r="C595" s="40" t="s">
        <v>1266</v>
      </c>
      <c r="D595" s="40" t="s">
        <v>229</v>
      </c>
      <c r="E595" s="40" t="s">
        <v>293</v>
      </c>
      <c r="F595" s="40" t="s">
        <v>1051</v>
      </c>
      <c r="G595" s="41" t="s">
        <v>252</v>
      </c>
      <c r="H595" s="42">
        <v>42</v>
      </c>
      <c r="I595" s="43">
        <v>45</v>
      </c>
      <c r="J595" s="44">
        <v>1.62</v>
      </c>
      <c r="K595" s="45">
        <v>80</v>
      </c>
      <c r="L595" s="43">
        <v>10</v>
      </c>
      <c r="M595" s="46">
        <v>6.12</v>
      </c>
      <c r="N595" s="40" t="s">
        <v>251</v>
      </c>
      <c r="O595" s="42">
        <v>42</v>
      </c>
      <c r="P595" s="43">
        <v>45</v>
      </c>
      <c r="Q595" s="44">
        <v>7.1580000000000004</v>
      </c>
      <c r="R595" s="45">
        <v>80</v>
      </c>
      <c r="S595" s="43">
        <v>10</v>
      </c>
      <c r="T595" s="46">
        <v>13.545</v>
      </c>
      <c r="U595" s="40">
        <v>3</v>
      </c>
      <c r="V595" s="47">
        <v>788.19</v>
      </c>
      <c r="W595" s="48">
        <v>1966</v>
      </c>
      <c r="X595" s="40"/>
      <c r="Y595" s="52"/>
      <c r="Z595" s="40" t="s">
        <v>910</v>
      </c>
      <c r="AA595" s="49">
        <f t="shared" si="88"/>
        <v>0</v>
      </c>
      <c r="AB595" s="71">
        <f t="shared" si="89"/>
        <v>0.80</v>
      </c>
      <c r="AC595" s="49">
        <f t="shared" si="90"/>
        <v>0</v>
      </c>
      <c r="AD595" s="50">
        <f t="shared" si="91"/>
        <v>0</v>
      </c>
      <c r="AE595" s="50">
        <f t="shared" si="92"/>
        <v>0</v>
      </c>
      <c r="AF595" s="50">
        <f t="shared" si="93"/>
        <v>0</v>
      </c>
      <c r="AG595" s="199">
        <f t="shared" si="94"/>
        <v>0</v>
      </c>
      <c r="AH595" s="187"/>
      <c r="AI595" s="185" t="s">
        <v>1457</v>
      </c>
      <c r="AJ595" s="185"/>
      <c r="AK595" s="277">
        <f t="shared" si="87"/>
        <v>788.19</v>
      </c>
      <c r="AL595" s="25">
        <f>(SUMIFS('T1 2019 Pipeline Data Lagasco'!$O:$O,'T1 2019 Pipeline Data Lagasco'!$A:$A,'Dec 31 2018 OFFS'!$AI595,'T1 2019 Pipeline Data Lagasco'!$Q:$Q,'Dec 31 2018 OFFS'!$AK595,'T1 2019 Pipeline Data Lagasco'!$E:$E,'Dec 31 2018 OFFS'!$U595,'T1 2019 Pipeline Data Lagasco'!$G:$G,'Dec 31 2018 OFFS'!$W595))/(MAX(COUNTIFS('T1 2019 Pipeline Data Lagasco'!$A:$A,'Dec 31 2018 OFFS'!$AI595,'T1 2019 Pipeline Data Lagasco'!$Q:$Q,'Dec 31 2018 OFFS'!$AK595,'T1 2019 Pipeline Data Lagasco'!$E:$E,'Dec 31 2018 OFFS'!$U595,'T1 2019 Pipeline Data Lagasco'!$G:$G,'Dec 31 2018 OFFS'!$W595),1))</f>
        <v>0</v>
      </c>
      <c r="AM595" s="274">
        <f t="shared" si="95"/>
        <v>0</v>
      </c>
    </row>
    <row r="596" spans="1:39" ht="12.7">
      <c r="A596" s="193" t="s">
        <v>909</v>
      </c>
      <c r="B596" s="40" t="s">
        <v>918</v>
      </c>
      <c r="C596" s="40" t="s">
        <v>1266</v>
      </c>
      <c r="D596" s="40" t="s">
        <v>229</v>
      </c>
      <c r="E596" s="40" t="s">
        <v>293</v>
      </c>
      <c r="F596" s="40"/>
      <c r="G596" s="41" t="s">
        <v>252</v>
      </c>
      <c r="H596" s="42">
        <v>42</v>
      </c>
      <c r="I596" s="43">
        <v>45</v>
      </c>
      <c r="J596" s="44">
        <v>1.62</v>
      </c>
      <c r="K596" s="45">
        <v>80</v>
      </c>
      <c r="L596" s="43">
        <v>10</v>
      </c>
      <c r="M596" s="46">
        <v>6.12</v>
      </c>
      <c r="N596" s="41" t="s">
        <v>253</v>
      </c>
      <c r="O596" s="42">
        <v>42</v>
      </c>
      <c r="P596" s="43">
        <v>44</v>
      </c>
      <c r="Q596" s="44">
        <f>0.498*60</f>
        <v>29.88</v>
      </c>
      <c r="R596" s="45">
        <v>80</v>
      </c>
      <c r="S596" s="43">
        <v>9</v>
      </c>
      <c r="T596" s="46">
        <f>0.195*60</f>
        <v>11.70</v>
      </c>
      <c r="U596" s="40">
        <v>3</v>
      </c>
      <c r="V596" s="47">
        <v>5178.3134983299997</v>
      </c>
      <c r="W596" s="48">
        <v>1966</v>
      </c>
      <c r="X596" s="40"/>
      <c r="Y596" s="52" t="s">
        <v>1081</v>
      </c>
      <c r="Z596" s="40" t="s">
        <v>910</v>
      </c>
      <c r="AA596" s="49">
        <f t="shared" si="88"/>
        <v>122156.41542560469</v>
      </c>
      <c r="AB596" s="71">
        <f t="shared" si="89"/>
        <v>0.80</v>
      </c>
      <c r="AC596" s="49">
        <f t="shared" si="90"/>
        <v>24431.28</v>
      </c>
      <c r="AD596" s="50">
        <f t="shared" si="91"/>
        <v>0</v>
      </c>
      <c r="AE596" s="50">
        <f t="shared" si="92"/>
        <v>0</v>
      </c>
      <c r="AF596" s="50">
        <f t="shared" si="93"/>
        <v>24431.28</v>
      </c>
      <c r="AG596" s="199">
        <f t="shared" si="94"/>
        <v>24431</v>
      </c>
      <c r="AH596" s="187"/>
      <c r="AI596" s="185" t="s">
        <v>1457</v>
      </c>
      <c r="AJ596" s="185"/>
      <c r="AK596" s="277">
        <f t="shared" si="87"/>
        <v>5178.3100000000004</v>
      </c>
      <c r="AL596" s="25">
        <f>(SUMIFS('T1 2019 Pipeline Data Lagasco'!$O:$O,'T1 2019 Pipeline Data Lagasco'!$A:$A,'Dec 31 2018 OFFS'!$AI596,'T1 2019 Pipeline Data Lagasco'!$Q:$Q,'Dec 31 2018 OFFS'!$AK596,'T1 2019 Pipeline Data Lagasco'!$E:$E,'Dec 31 2018 OFFS'!$U596,'T1 2019 Pipeline Data Lagasco'!$G:$G,'Dec 31 2018 OFFS'!$W596))/(MAX(COUNTIFS('T1 2019 Pipeline Data Lagasco'!$A:$A,'Dec 31 2018 OFFS'!$AI596,'T1 2019 Pipeline Data Lagasco'!$Q:$Q,'Dec 31 2018 OFFS'!$AK596,'T1 2019 Pipeline Data Lagasco'!$E:$E,'Dec 31 2018 OFFS'!$U596,'T1 2019 Pipeline Data Lagasco'!$G:$G,'Dec 31 2018 OFFS'!$W596),1))</f>
        <v>24431</v>
      </c>
      <c r="AM596" s="274">
        <f t="shared" si="95"/>
        <v>0</v>
      </c>
    </row>
    <row r="597" spans="1:39" ht="12.7">
      <c r="A597" s="193" t="s">
        <v>909</v>
      </c>
      <c r="B597" s="40" t="s">
        <v>918</v>
      </c>
      <c r="C597" s="40" t="s">
        <v>1266</v>
      </c>
      <c r="D597" s="40" t="s">
        <v>229</v>
      </c>
      <c r="E597" s="40" t="s">
        <v>293</v>
      </c>
      <c r="F597" s="40"/>
      <c r="G597" s="41" t="s">
        <v>252</v>
      </c>
      <c r="H597" s="42">
        <v>42</v>
      </c>
      <c r="I597" s="43">
        <v>45</v>
      </c>
      <c r="J597" s="44">
        <v>1.62</v>
      </c>
      <c r="K597" s="45">
        <v>80</v>
      </c>
      <c r="L597" s="43">
        <v>10</v>
      </c>
      <c r="M597" s="46">
        <v>6.12</v>
      </c>
      <c r="N597" s="40" t="s">
        <v>331</v>
      </c>
      <c r="O597" s="42">
        <v>42</v>
      </c>
      <c r="P597" s="43">
        <v>43</v>
      </c>
      <c r="Q597" s="44">
        <v>44.587000000000003</v>
      </c>
      <c r="R597" s="45">
        <v>80</v>
      </c>
      <c r="S597" s="43">
        <v>10</v>
      </c>
      <c r="T597" s="46">
        <v>11.067</v>
      </c>
      <c r="U597" s="40">
        <v>6</v>
      </c>
      <c r="V597" s="47">
        <v>7807.545705651999</v>
      </c>
      <c r="W597" s="48">
        <v>1982</v>
      </c>
      <c r="X597" s="40"/>
      <c r="Y597" s="52" t="s">
        <v>1081</v>
      </c>
      <c r="Z597" s="40" t="s">
        <v>910</v>
      </c>
      <c r="AA597" s="49">
        <f t="shared" si="88"/>
        <v>270375.30778672872</v>
      </c>
      <c r="AB597" s="71">
        <f t="shared" si="89"/>
        <v>0.80</v>
      </c>
      <c r="AC597" s="49">
        <f t="shared" si="90"/>
        <v>54075.06</v>
      </c>
      <c r="AD597" s="50">
        <f t="shared" si="91"/>
        <v>0</v>
      </c>
      <c r="AE597" s="50">
        <f t="shared" si="92"/>
        <v>0</v>
      </c>
      <c r="AF597" s="50">
        <f t="shared" si="93"/>
        <v>54075.06</v>
      </c>
      <c r="AG597" s="199">
        <f t="shared" si="94"/>
        <v>54075</v>
      </c>
      <c r="AH597" s="187"/>
      <c r="AI597" s="185" t="s">
        <v>1457</v>
      </c>
      <c r="AJ597" s="185"/>
      <c r="AK597" s="277">
        <f t="shared" si="87"/>
        <v>7807.55</v>
      </c>
      <c r="AL597" s="25">
        <f>(SUMIFS('T1 2019 Pipeline Data Lagasco'!$O:$O,'T1 2019 Pipeline Data Lagasco'!$A:$A,'Dec 31 2018 OFFS'!$AI597,'T1 2019 Pipeline Data Lagasco'!$Q:$Q,'Dec 31 2018 OFFS'!$AK597,'T1 2019 Pipeline Data Lagasco'!$E:$E,'Dec 31 2018 OFFS'!$U597,'T1 2019 Pipeline Data Lagasco'!$G:$G,'Dec 31 2018 OFFS'!$W597))/(MAX(COUNTIFS('T1 2019 Pipeline Data Lagasco'!$A:$A,'Dec 31 2018 OFFS'!$AI597,'T1 2019 Pipeline Data Lagasco'!$Q:$Q,'Dec 31 2018 OFFS'!$AK597,'T1 2019 Pipeline Data Lagasco'!$E:$E,'Dec 31 2018 OFFS'!$U597,'T1 2019 Pipeline Data Lagasco'!$G:$G,'Dec 31 2018 OFFS'!$W597),1))</f>
        <v>54075</v>
      </c>
      <c r="AM597" s="274">
        <f t="shared" si="95"/>
        <v>0</v>
      </c>
    </row>
    <row r="598" spans="1:39" ht="12.7">
      <c r="A598" s="193" t="s">
        <v>909</v>
      </c>
      <c r="B598" s="40" t="s">
        <v>918</v>
      </c>
      <c r="C598" s="40" t="s">
        <v>1266</v>
      </c>
      <c r="D598" s="40" t="s">
        <v>229</v>
      </c>
      <c r="E598" s="40" t="s">
        <v>293</v>
      </c>
      <c r="F598" s="40" t="s">
        <v>1051</v>
      </c>
      <c r="G598" s="41" t="s">
        <v>937</v>
      </c>
      <c r="H598" s="42">
        <v>42</v>
      </c>
      <c r="I598" s="43">
        <v>45</v>
      </c>
      <c r="J598" s="44">
        <v>54.60</v>
      </c>
      <c r="K598" s="45">
        <v>80</v>
      </c>
      <c r="L598" s="43">
        <v>11</v>
      </c>
      <c r="M598" s="46">
        <v>34.68</v>
      </c>
      <c r="N598" s="40" t="s">
        <v>254</v>
      </c>
      <c r="O598" s="42">
        <v>42</v>
      </c>
      <c r="P598" s="43">
        <v>45</v>
      </c>
      <c r="Q598" s="44">
        <v>44.631</v>
      </c>
      <c r="R598" s="45">
        <v>80</v>
      </c>
      <c r="S598" s="43">
        <v>11</v>
      </c>
      <c r="T598" s="46">
        <v>29.54</v>
      </c>
      <c r="U598" s="40">
        <v>3</v>
      </c>
      <c r="V598" s="47">
        <v>1079.6600000000001</v>
      </c>
      <c r="W598" s="48">
        <v>1966</v>
      </c>
      <c r="X598" s="40"/>
      <c r="Y598" s="52"/>
      <c r="Z598" s="40" t="s">
        <v>910</v>
      </c>
      <c r="AA598" s="49">
        <f t="shared" si="88"/>
        <v>0</v>
      </c>
      <c r="AB598" s="71">
        <f t="shared" si="89"/>
        <v>0.80</v>
      </c>
      <c r="AC598" s="49">
        <f t="shared" si="90"/>
        <v>0</v>
      </c>
      <c r="AD598" s="50">
        <f t="shared" si="91"/>
        <v>0</v>
      </c>
      <c r="AE598" s="50">
        <f t="shared" si="92"/>
        <v>0</v>
      </c>
      <c r="AF598" s="50">
        <f t="shared" si="93"/>
        <v>0</v>
      </c>
      <c r="AG598" s="199">
        <f t="shared" si="94"/>
        <v>0</v>
      </c>
      <c r="AH598" s="187"/>
      <c r="AI598" s="185" t="s">
        <v>1457</v>
      </c>
      <c r="AJ598" s="185"/>
      <c r="AK598" s="277">
        <f t="shared" si="87"/>
        <v>1079.6600000000001</v>
      </c>
      <c r="AL598" s="25">
        <f>(SUMIFS('T1 2019 Pipeline Data Lagasco'!$O:$O,'T1 2019 Pipeline Data Lagasco'!$A:$A,'Dec 31 2018 OFFS'!$AI598,'T1 2019 Pipeline Data Lagasco'!$Q:$Q,'Dec 31 2018 OFFS'!$AK598,'T1 2019 Pipeline Data Lagasco'!$E:$E,'Dec 31 2018 OFFS'!$U598,'T1 2019 Pipeline Data Lagasco'!$G:$G,'Dec 31 2018 OFFS'!$W598))/(MAX(COUNTIFS('T1 2019 Pipeline Data Lagasco'!$A:$A,'Dec 31 2018 OFFS'!$AI598,'T1 2019 Pipeline Data Lagasco'!$Q:$Q,'Dec 31 2018 OFFS'!$AK598,'T1 2019 Pipeline Data Lagasco'!$E:$E,'Dec 31 2018 OFFS'!$U598,'T1 2019 Pipeline Data Lagasco'!$G:$G,'Dec 31 2018 OFFS'!$W598),1))</f>
        <v>0</v>
      </c>
      <c r="AM598" s="274">
        <f t="shared" si="95"/>
        <v>0</v>
      </c>
    </row>
    <row r="599" spans="1:39" ht="12.7">
      <c r="A599" s="193" t="s">
        <v>909</v>
      </c>
      <c r="B599" s="40" t="s">
        <v>918</v>
      </c>
      <c r="C599" s="40" t="s">
        <v>1266</v>
      </c>
      <c r="D599" s="40" t="s">
        <v>229</v>
      </c>
      <c r="E599" s="40" t="s">
        <v>293</v>
      </c>
      <c r="F599" s="40" t="s">
        <v>1051</v>
      </c>
      <c r="G599" s="40" t="s">
        <v>254</v>
      </c>
      <c r="H599" s="42">
        <v>42</v>
      </c>
      <c r="I599" s="43">
        <v>45</v>
      </c>
      <c r="J599" s="44">
        <v>44.631</v>
      </c>
      <c r="K599" s="45">
        <v>80</v>
      </c>
      <c r="L599" s="43">
        <v>11</v>
      </c>
      <c r="M599" s="46">
        <v>29.54</v>
      </c>
      <c r="N599" s="41" t="s">
        <v>255</v>
      </c>
      <c r="O599" s="42">
        <v>42</v>
      </c>
      <c r="P599" s="43">
        <v>45</v>
      </c>
      <c r="Q599" s="44">
        <v>26.19</v>
      </c>
      <c r="R599" s="45">
        <v>80</v>
      </c>
      <c r="S599" s="43">
        <v>11</v>
      </c>
      <c r="T599" s="46">
        <v>55.381</v>
      </c>
      <c r="U599" s="40">
        <v>3</v>
      </c>
      <c r="V599" s="47">
        <v>2683.63</v>
      </c>
      <c r="W599" s="48">
        <v>1966</v>
      </c>
      <c r="X599" s="40"/>
      <c r="Y599" s="52"/>
      <c r="Z599" s="40" t="s">
        <v>910</v>
      </c>
      <c r="AA599" s="49">
        <f t="shared" si="88"/>
        <v>0</v>
      </c>
      <c r="AB599" s="71">
        <f t="shared" si="89"/>
        <v>0.80</v>
      </c>
      <c r="AC599" s="49">
        <f t="shared" si="90"/>
        <v>0</v>
      </c>
      <c r="AD599" s="50">
        <f t="shared" si="91"/>
        <v>0</v>
      </c>
      <c r="AE599" s="50">
        <f t="shared" si="92"/>
        <v>0</v>
      </c>
      <c r="AF599" s="50">
        <f t="shared" si="93"/>
        <v>0</v>
      </c>
      <c r="AG599" s="199">
        <f t="shared" si="94"/>
        <v>0</v>
      </c>
      <c r="AH599" s="187"/>
      <c r="AI599" s="185" t="s">
        <v>1457</v>
      </c>
      <c r="AJ599" s="185"/>
      <c r="AK599" s="277">
        <f t="shared" si="87"/>
        <v>2683.63</v>
      </c>
      <c r="AL599" s="25">
        <f>(SUMIFS('T1 2019 Pipeline Data Lagasco'!$O:$O,'T1 2019 Pipeline Data Lagasco'!$A:$A,'Dec 31 2018 OFFS'!$AI599,'T1 2019 Pipeline Data Lagasco'!$Q:$Q,'Dec 31 2018 OFFS'!$AK599,'T1 2019 Pipeline Data Lagasco'!$E:$E,'Dec 31 2018 OFFS'!$U599,'T1 2019 Pipeline Data Lagasco'!$G:$G,'Dec 31 2018 OFFS'!$W599))/(MAX(COUNTIFS('T1 2019 Pipeline Data Lagasco'!$A:$A,'Dec 31 2018 OFFS'!$AI599,'T1 2019 Pipeline Data Lagasco'!$Q:$Q,'Dec 31 2018 OFFS'!$AK599,'T1 2019 Pipeline Data Lagasco'!$E:$E,'Dec 31 2018 OFFS'!$U599,'T1 2019 Pipeline Data Lagasco'!$G:$G,'Dec 31 2018 OFFS'!$W599),1))</f>
        <v>0</v>
      </c>
      <c r="AM599" s="274">
        <f t="shared" si="95"/>
        <v>0</v>
      </c>
    </row>
    <row r="600" spans="1:39" ht="12.7">
      <c r="A600" s="193" t="s">
        <v>909</v>
      </c>
      <c r="B600" s="40" t="s">
        <v>918</v>
      </c>
      <c r="C600" s="40" t="s">
        <v>1266</v>
      </c>
      <c r="D600" s="40" t="s">
        <v>229</v>
      </c>
      <c r="E600" s="40" t="s">
        <v>293</v>
      </c>
      <c r="F600" s="40" t="s">
        <v>1051</v>
      </c>
      <c r="G600" s="41" t="s">
        <v>255</v>
      </c>
      <c r="H600" s="42">
        <v>42</v>
      </c>
      <c r="I600" s="43">
        <v>45</v>
      </c>
      <c r="J600" s="44">
        <v>26.19</v>
      </c>
      <c r="K600" s="45">
        <v>80</v>
      </c>
      <c r="L600" s="43">
        <v>11</v>
      </c>
      <c r="M600" s="46">
        <v>55.381</v>
      </c>
      <c r="N600" s="41" t="s">
        <v>256</v>
      </c>
      <c r="O600" s="42">
        <v>42</v>
      </c>
      <c r="P600" s="43">
        <v>45</v>
      </c>
      <c r="Q600" s="44">
        <v>3.121</v>
      </c>
      <c r="R600" s="45">
        <v>80</v>
      </c>
      <c r="S600" s="43">
        <v>11</v>
      </c>
      <c r="T600" s="46">
        <v>32.340000000000003</v>
      </c>
      <c r="U600" s="40">
        <v>3</v>
      </c>
      <c r="V600" s="47">
        <v>2899.93</v>
      </c>
      <c r="W600" s="48">
        <v>1966</v>
      </c>
      <c r="X600" s="40"/>
      <c r="Y600" s="52"/>
      <c r="Z600" s="40" t="s">
        <v>910</v>
      </c>
      <c r="AA600" s="49">
        <f t="shared" si="88"/>
        <v>0</v>
      </c>
      <c r="AB600" s="71">
        <f t="shared" si="89"/>
        <v>0.80</v>
      </c>
      <c r="AC600" s="49">
        <f t="shared" si="90"/>
        <v>0</v>
      </c>
      <c r="AD600" s="50">
        <f t="shared" si="91"/>
        <v>0</v>
      </c>
      <c r="AE600" s="50">
        <f t="shared" si="92"/>
        <v>0</v>
      </c>
      <c r="AF600" s="50">
        <f t="shared" si="93"/>
        <v>0</v>
      </c>
      <c r="AG600" s="199">
        <f t="shared" si="94"/>
        <v>0</v>
      </c>
      <c r="AH600" s="187"/>
      <c r="AI600" s="185" t="s">
        <v>1457</v>
      </c>
      <c r="AJ600" s="185"/>
      <c r="AK600" s="277">
        <f t="shared" si="87"/>
        <v>2899.93</v>
      </c>
      <c r="AL600" s="25">
        <f>(SUMIFS('T1 2019 Pipeline Data Lagasco'!$O:$O,'T1 2019 Pipeline Data Lagasco'!$A:$A,'Dec 31 2018 OFFS'!$AI600,'T1 2019 Pipeline Data Lagasco'!$Q:$Q,'Dec 31 2018 OFFS'!$AK600,'T1 2019 Pipeline Data Lagasco'!$E:$E,'Dec 31 2018 OFFS'!$U600,'T1 2019 Pipeline Data Lagasco'!$G:$G,'Dec 31 2018 OFFS'!$W600))/(MAX(COUNTIFS('T1 2019 Pipeline Data Lagasco'!$A:$A,'Dec 31 2018 OFFS'!$AI600,'T1 2019 Pipeline Data Lagasco'!$Q:$Q,'Dec 31 2018 OFFS'!$AK600,'T1 2019 Pipeline Data Lagasco'!$E:$E,'Dec 31 2018 OFFS'!$U600,'T1 2019 Pipeline Data Lagasco'!$G:$G,'Dec 31 2018 OFFS'!$W600),1))</f>
        <v>0</v>
      </c>
      <c r="AM600" s="274">
        <f t="shared" si="95"/>
        <v>0</v>
      </c>
    </row>
    <row r="601" spans="1:39" ht="12.7">
      <c r="A601" s="193" t="s">
        <v>909</v>
      </c>
      <c r="B601" s="40" t="s">
        <v>918</v>
      </c>
      <c r="C601" s="40" t="s">
        <v>1266</v>
      </c>
      <c r="D601" s="40" t="s">
        <v>229</v>
      </c>
      <c r="E601" s="40" t="s">
        <v>293</v>
      </c>
      <c r="F601" s="40" t="s">
        <v>1051</v>
      </c>
      <c r="G601" s="41" t="s">
        <v>256</v>
      </c>
      <c r="H601" s="42">
        <v>42</v>
      </c>
      <c r="I601" s="43">
        <v>45</v>
      </c>
      <c r="J601" s="44">
        <v>3.121</v>
      </c>
      <c r="K601" s="45">
        <v>80</v>
      </c>
      <c r="L601" s="43">
        <v>11</v>
      </c>
      <c r="M601" s="46">
        <v>32.340000000000003</v>
      </c>
      <c r="N601" s="41" t="s">
        <v>251</v>
      </c>
      <c r="O601" s="42">
        <v>42</v>
      </c>
      <c r="P601" s="43">
        <v>45</v>
      </c>
      <c r="Q601" s="44">
        <v>7.1580000000000004</v>
      </c>
      <c r="R601" s="45">
        <v>80</v>
      </c>
      <c r="S601" s="43">
        <v>10</v>
      </c>
      <c r="T601" s="46">
        <v>13.545</v>
      </c>
      <c r="U601" s="40">
        <v>3</v>
      </c>
      <c r="V601" s="47">
        <v>5893.175682352</v>
      </c>
      <c r="W601" s="48">
        <v>1966</v>
      </c>
      <c r="X601" s="40"/>
      <c r="Y601" s="52" t="s">
        <v>1081</v>
      </c>
      <c r="Z601" s="40" t="s">
        <v>910</v>
      </c>
      <c r="AA601" s="49">
        <f t="shared" si="88"/>
        <v>0</v>
      </c>
      <c r="AB601" s="71">
        <f t="shared" si="89"/>
        <v>0.80</v>
      </c>
      <c r="AC601" s="49">
        <f t="shared" si="90"/>
        <v>0</v>
      </c>
      <c r="AD601" s="50">
        <f t="shared" si="91"/>
        <v>0</v>
      </c>
      <c r="AE601" s="50">
        <f t="shared" si="92"/>
        <v>0</v>
      </c>
      <c r="AF601" s="50">
        <f t="shared" si="93"/>
        <v>0</v>
      </c>
      <c r="AG601" s="199">
        <f t="shared" si="94"/>
        <v>0</v>
      </c>
      <c r="AH601" s="187"/>
      <c r="AI601" s="185" t="s">
        <v>1457</v>
      </c>
      <c r="AJ601" s="185"/>
      <c r="AK601" s="277">
        <f t="shared" si="87"/>
        <v>5893.18</v>
      </c>
      <c r="AL601" s="25">
        <f>(SUMIFS('T1 2019 Pipeline Data Lagasco'!$O:$O,'T1 2019 Pipeline Data Lagasco'!$A:$A,'Dec 31 2018 OFFS'!$AI601,'T1 2019 Pipeline Data Lagasco'!$Q:$Q,'Dec 31 2018 OFFS'!$AK601,'T1 2019 Pipeline Data Lagasco'!$E:$E,'Dec 31 2018 OFFS'!$U601,'T1 2019 Pipeline Data Lagasco'!$G:$G,'Dec 31 2018 OFFS'!$W601))/(MAX(COUNTIFS('T1 2019 Pipeline Data Lagasco'!$A:$A,'Dec 31 2018 OFFS'!$AI601,'T1 2019 Pipeline Data Lagasco'!$Q:$Q,'Dec 31 2018 OFFS'!$AK601,'T1 2019 Pipeline Data Lagasco'!$E:$E,'Dec 31 2018 OFFS'!$U601,'T1 2019 Pipeline Data Lagasco'!$G:$G,'Dec 31 2018 OFFS'!$W601),1))</f>
        <v>0</v>
      </c>
      <c r="AM601" s="274">
        <f t="shared" si="95"/>
        <v>0</v>
      </c>
    </row>
    <row r="602" spans="1:39" ht="12.7">
      <c r="A602" s="193" t="s">
        <v>909</v>
      </c>
      <c r="B602" s="40" t="s">
        <v>918</v>
      </c>
      <c r="C602" s="40" t="s">
        <v>1266</v>
      </c>
      <c r="D602" s="40" t="s">
        <v>229</v>
      </c>
      <c r="E602" s="40" t="s">
        <v>1053</v>
      </c>
      <c r="F602" s="40"/>
      <c r="G602" s="41" t="s">
        <v>257</v>
      </c>
      <c r="H602" s="42" t="s">
        <v>78</v>
      </c>
      <c r="I602" s="43" t="s">
        <v>258</v>
      </c>
      <c r="J602" s="44" t="s">
        <v>259</v>
      </c>
      <c r="K602" s="45">
        <v>80</v>
      </c>
      <c r="L602" s="43">
        <v>6</v>
      </c>
      <c r="M602" s="46">
        <v>27.52</v>
      </c>
      <c r="N602" s="40" t="s">
        <v>260</v>
      </c>
      <c r="O602" s="42">
        <v>42</v>
      </c>
      <c r="P602" s="43">
        <v>45</v>
      </c>
      <c r="Q602" s="44">
        <v>4.3600000000000003</v>
      </c>
      <c r="R602" s="45">
        <v>80</v>
      </c>
      <c r="S602" s="43">
        <v>4</v>
      </c>
      <c r="T602" s="46">
        <v>46.70</v>
      </c>
      <c r="U602" s="40">
        <v>3</v>
      </c>
      <c r="V602" s="47">
        <v>7555.0522746440001</v>
      </c>
      <c r="W602" s="48">
        <v>1980</v>
      </c>
      <c r="X602" s="40"/>
      <c r="Y602" s="52" t="s">
        <v>1081</v>
      </c>
      <c r="Z602" s="40" t="s">
        <v>910</v>
      </c>
      <c r="AA602" s="49">
        <f t="shared" si="88"/>
        <v>178223.68315885196</v>
      </c>
      <c r="AB602" s="71">
        <f t="shared" si="89"/>
        <v>0.80</v>
      </c>
      <c r="AC602" s="49">
        <f t="shared" si="90"/>
        <v>35644.74</v>
      </c>
      <c r="AD602" s="50">
        <f t="shared" si="91"/>
        <v>0</v>
      </c>
      <c r="AE602" s="50">
        <f t="shared" si="92"/>
        <v>0</v>
      </c>
      <c r="AF602" s="50">
        <f t="shared" si="93"/>
        <v>35644.74</v>
      </c>
      <c r="AG602" s="199">
        <f t="shared" si="94"/>
        <v>35644</v>
      </c>
      <c r="AH602" s="187"/>
      <c r="AI602" s="185" t="s">
        <v>1457</v>
      </c>
      <c r="AJ602" s="185"/>
      <c r="AK602" s="277">
        <f t="shared" si="87"/>
        <v>7555.05</v>
      </c>
      <c r="AL602" s="25">
        <f>(SUMIFS('T1 2019 Pipeline Data Lagasco'!$O:$O,'T1 2019 Pipeline Data Lagasco'!$A:$A,'Dec 31 2018 OFFS'!$AI602,'T1 2019 Pipeline Data Lagasco'!$Q:$Q,'Dec 31 2018 OFFS'!$AK602,'T1 2019 Pipeline Data Lagasco'!$E:$E,'Dec 31 2018 OFFS'!$U602,'T1 2019 Pipeline Data Lagasco'!$G:$G,'Dec 31 2018 OFFS'!$W602))/(MAX(COUNTIFS('T1 2019 Pipeline Data Lagasco'!$A:$A,'Dec 31 2018 OFFS'!$AI602,'T1 2019 Pipeline Data Lagasco'!$Q:$Q,'Dec 31 2018 OFFS'!$AK602,'T1 2019 Pipeline Data Lagasco'!$E:$E,'Dec 31 2018 OFFS'!$U602,'T1 2019 Pipeline Data Lagasco'!$G:$G,'Dec 31 2018 OFFS'!$W602),1))</f>
        <v>35644</v>
      </c>
      <c r="AM602" s="274">
        <f t="shared" si="95"/>
        <v>0</v>
      </c>
    </row>
    <row r="603" spans="1:39" ht="12.7">
      <c r="A603" s="193" t="s">
        <v>909</v>
      </c>
      <c r="B603" s="40" t="s">
        <v>918</v>
      </c>
      <c r="C603" s="40" t="s">
        <v>1266</v>
      </c>
      <c r="D603" s="40" t="s">
        <v>229</v>
      </c>
      <c r="E603" s="40" t="s">
        <v>1053</v>
      </c>
      <c r="F603" s="40"/>
      <c r="G603" s="41" t="s">
        <v>257</v>
      </c>
      <c r="H603" s="42" t="s">
        <v>78</v>
      </c>
      <c r="I603" s="43" t="s">
        <v>258</v>
      </c>
      <c r="J603" s="44" t="s">
        <v>259</v>
      </c>
      <c r="K603" s="45">
        <v>80</v>
      </c>
      <c r="L603" s="43">
        <v>6</v>
      </c>
      <c r="M603" s="46">
        <v>27.52</v>
      </c>
      <c r="N603" s="40" t="s">
        <v>261</v>
      </c>
      <c r="O603" s="42">
        <v>42</v>
      </c>
      <c r="P603" s="43">
        <v>44</v>
      </c>
      <c r="Q603" s="44">
        <f>0.575*60</f>
        <v>34.50</v>
      </c>
      <c r="R603" s="45">
        <v>80</v>
      </c>
      <c r="S603" s="43">
        <v>5</v>
      </c>
      <c r="T603" s="46">
        <f>0.992*60</f>
        <v>59.52</v>
      </c>
      <c r="U603" s="40">
        <v>3</v>
      </c>
      <c r="V603" s="47">
        <v>4271.4893776099998</v>
      </c>
      <c r="W603" s="48">
        <v>1966</v>
      </c>
      <c r="X603" s="40"/>
      <c r="Y603" s="52" t="s">
        <v>1081</v>
      </c>
      <c r="Z603" s="40" t="s">
        <v>910</v>
      </c>
      <c r="AA603" s="49">
        <f t="shared" si="88"/>
        <v>100764.4344178199</v>
      </c>
      <c r="AB603" s="71">
        <f t="shared" si="89"/>
        <v>0.80</v>
      </c>
      <c r="AC603" s="49">
        <f t="shared" si="90"/>
        <v>20152.89</v>
      </c>
      <c r="AD603" s="50">
        <f t="shared" si="91"/>
        <v>0</v>
      </c>
      <c r="AE603" s="50">
        <f t="shared" si="92"/>
        <v>0</v>
      </c>
      <c r="AF603" s="50">
        <f t="shared" si="93"/>
        <v>20152.89</v>
      </c>
      <c r="AG603" s="199">
        <f t="shared" si="94"/>
        <v>20152</v>
      </c>
      <c r="AH603" s="187"/>
      <c r="AI603" s="185" t="s">
        <v>1457</v>
      </c>
      <c r="AJ603" s="185"/>
      <c r="AK603" s="277">
        <f t="shared" si="87"/>
        <v>4271.49</v>
      </c>
      <c r="AL603" s="25">
        <f>(SUMIFS('T1 2019 Pipeline Data Lagasco'!$O:$O,'T1 2019 Pipeline Data Lagasco'!$A:$A,'Dec 31 2018 OFFS'!$AI603,'T1 2019 Pipeline Data Lagasco'!$Q:$Q,'Dec 31 2018 OFFS'!$AK603,'T1 2019 Pipeline Data Lagasco'!$E:$E,'Dec 31 2018 OFFS'!$U603,'T1 2019 Pipeline Data Lagasco'!$G:$G,'Dec 31 2018 OFFS'!$W603))/(MAX(COUNTIFS('T1 2019 Pipeline Data Lagasco'!$A:$A,'Dec 31 2018 OFFS'!$AI603,'T1 2019 Pipeline Data Lagasco'!$Q:$Q,'Dec 31 2018 OFFS'!$AK603,'T1 2019 Pipeline Data Lagasco'!$E:$E,'Dec 31 2018 OFFS'!$U603,'T1 2019 Pipeline Data Lagasco'!$G:$G,'Dec 31 2018 OFFS'!$W603),1))</f>
        <v>20152</v>
      </c>
      <c r="AM603" s="274">
        <f t="shared" si="95"/>
        <v>0</v>
      </c>
    </row>
    <row r="604" spans="1:39" ht="12.7">
      <c r="A604" s="193" t="s">
        <v>909</v>
      </c>
      <c r="B604" s="40" t="s">
        <v>918</v>
      </c>
      <c r="C604" s="40" t="s">
        <v>1266</v>
      </c>
      <c r="D604" s="40" t="s">
        <v>229</v>
      </c>
      <c r="E604" s="40" t="s">
        <v>1053</v>
      </c>
      <c r="F604" s="40" t="s">
        <v>1051</v>
      </c>
      <c r="G604" s="41" t="s">
        <v>227</v>
      </c>
      <c r="H604" s="42">
        <v>42</v>
      </c>
      <c r="I604" s="43">
        <v>45</v>
      </c>
      <c r="J604" s="44">
        <v>37.08</v>
      </c>
      <c r="K604" s="45">
        <v>80</v>
      </c>
      <c r="L604" s="43">
        <v>1</v>
      </c>
      <c r="M604" s="46">
        <v>8.52</v>
      </c>
      <c r="N604" s="40" t="s">
        <v>228</v>
      </c>
      <c r="O604" s="42">
        <v>42</v>
      </c>
      <c r="P604" s="43">
        <v>46</v>
      </c>
      <c r="Q604" s="44">
        <f>0.152*60</f>
        <v>9.1199999999999992</v>
      </c>
      <c r="R604" s="45">
        <v>80</v>
      </c>
      <c r="S604" s="43">
        <v>1</v>
      </c>
      <c r="T604" s="46">
        <f>0.035*60</f>
        <v>2.10</v>
      </c>
      <c r="U604" s="40">
        <v>2</v>
      </c>
      <c r="V604" s="47">
        <v>3278.9697213139998</v>
      </c>
      <c r="W604" s="48">
        <v>1964</v>
      </c>
      <c r="X604" s="40"/>
      <c r="Y604" s="52" t="s">
        <v>1081</v>
      </c>
      <c r="Z604" s="40" t="s">
        <v>910</v>
      </c>
      <c r="AA604" s="49">
        <f t="shared" si="88"/>
        <v>0</v>
      </c>
      <c r="AB604" s="71">
        <f t="shared" si="89"/>
        <v>0.80</v>
      </c>
      <c r="AC604" s="49">
        <f t="shared" si="90"/>
        <v>0</v>
      </c>
      <c r="AD604" s="50">
        <f t="shared" si="91"/>
        <v>0</v>
      </c>
      <c r="AE604" s="50">
        <f t="shared" si="92"/>
        <v>0</v>
      </c>
      <c r="AF604" s="50">
        <f t="shared" si="93"/>
        <v>0</v>
      </c>
      <c r="AG604" s="199">
        <f t="shared" si="94"/>
        <v>0</v>
      </c>
      <c r="AH604" s="187"/>
      <c r="AI604" s="185" t="s">
        <v>1457</v>
      </c>
      <c r="AJ604" s="185"/>
      <c r="AK604" s="277">
        <f t="shared" si="87"/>
        <v>3278.97</v>
      </c>
      <c r="AL604" s="25">
        <f>(SUMIFS('T1 2019 Pipeline Data Lagasco'!$O:$O,'T1 2019 Pipeline Data Lagasco'!$A:$A,'Dec 31 2018 OFFS'!$AI604,'T1 2019 Pipeline Data Lagasco'!$Q:$Q,'Dec 31 2018 OFFS'!$AK604,'T1 2019 Pipeline Data Lagasco'!$E:$E,'Dec 31 2018 OFFS'!$U604,'T1 2019 Pipeline Data Lagasco'!$G:$G,'Dec 31 2018 OFFS'!$W604))/(MAX(COUNTIFS('T1 2019 Pipeline Data Lagasco'!$A:$A,'Dec 31 2018 OFFS'!$AI604,'T1 2019 Pipeline Data Lagasco'!$Q:$Q,'Dec 31 2018 OFFS'!$AK604,'T1 2019 Pipeline Data Lagasco'!$E:$E,'Dec 31 2018 OFFS'!$U604,'T1 2019 Pipeline Data Lagasco'!$G:$G,'Dec 31 2018 OFFS'!$W604),1))</f>
        <v>0</v>
      </c>
      <c r="AM604" s="274">
        <f t="shared" si="95"/>
        <v>0</v>
      </c>
    </row>
    <row r="605" spans="1:39" ht="12.7">
      <c r="A605" s="193" t="s">
        <v>909</v>
      </c>
      <c r="B605" s="40" t="s">
        <v>918</v>
      </c>
      <c r="C605" s="40" t="s">
        <v>1266</v>
      </c>
      <c r="D605" s="40" t="s">
        <v>229</v>
      </c>
      <c r="E605" s="40" t="s">
        <v>1053</v>
      </c>
      <c r="F605" s="40" t="s">
        <v>1051</v>
      </c>
      <c r="G605" s="41" t="s">
        <v>227</v>
      </c>
      <c r="H605" s="42">
        <v>42</v>
      </c>
      <c r="I605" s="43">
        <v>45</v>
      </c>
      <c r="J605" s="44">
        <v>37.08</v>
      </c>
      <c r="K605" s="45">
        <v>80</v>
      </c>
      <c r="L605" s="43">
        <v>1</v>
      </c>
      <c r="M605" s="46">
        <v>8.52</v>
      </c>
      <c r="N605" s="40" t="s">
        <v>230</v>
      </c>
      <c r="O605" s="42">
        <v>42</v>
      </c>
      <c r="P605" s="43">
        <v>45</v>
      </c>
      <c r="Q605" s="44">
        <f>0.767*60</f>
        <v>46.02</v>
      </c>
      <c r="R605" s="45">
        <v>80</v>
      </c>
      <c r="S605" s="43">
        <v>0</v>
      </c>
      <c r="T605" s="46">
        <f>0.238*60</f>
        <v>14.28</v>
      </c>
      <c r="U605" s="40">
        <v>2</v>
      </c>
      <c r="V605" s="47">
        <v>4146.3253392399993</v>
      </c>
      <c r="W605" s="48">
        <v>1965</v>
      </c>
      <c r="X605" s="40"/>
      <c r="Y605" s="52" t="s">
        <v>1081</v>
      </c>
      <c r="Z605" s="40" t="s">
        <v>910</v>
      </c>
      <c r="AA605" s="49">
        <f t="shared" si="88"/>
        <v>0</v>
      </c>
      <c r="AB605" s="71">
        <f t="shared" si="89"/>
        <v>0.80</v>
      </c>
      <c r="AC605" s="49">
        <f t="shared" si="90"/>
        <v>0</v>
      </c>
      <c r="AD605" s="50">
        <f t="shared" si="91"/>
        <v>0</v>
      </c>
      <c r="AE605" s="50">
        <f t="shared" si="92"/>
        <v>0</v>
      </c>
      <c r="AF605" s="50">
        <f t="shared" si="93"/>
        <v>0</v>
      </c>
      <c r="AG605" s="199">
        <f t="shared" si="94"/>
        <v>0</v>
      </c>
      <c r="AH605" s="187"/>
      <c r="AI605" s="185" t="s">
        <v>1457</v>
      </c>
      <c r="AJ605" s="185"/>
      <c r="AK605" s="277">
        <f t="shared" si="87"/>
        <v>4146.33</v>
      </c>
      <c r="AL605" s="25">
        <f>(SUMIFS('T1 2019 Pipeline Data Lagasco'!$O:$O,'T1 2019 Pipeline Data Lagasco'!$A:$A,'Dec 31 2018 OFFS'!$AI605,'T1 2019 Pipeline Data Lagasco'!$Q:$Q,'Dec 31 2018 OFFS'!$AK605,'T1 2019 Pipeline Data Lagasco'!$E:$E,'Dec 31 2018 OFFS'!$U605,'T1 2019 Pipeline Data Lagasco'!$G:$G,'Dec 31 2018 OFFS'!$W605))/(MAX(COUNTIFS('T1 2019 Pipeline Data Lagasco'!$A:$A,'Dec 31 2018 OFFS'!$AI605,'T1 2019 Pipeline Data Lagasco'!$Q:$Q,'Dec 31 2018 OFFS'!$AK605,'T1 2019 Pipeline Data Lagasco'!$E:$E,'Dec 31 2018 OFFS'!$U605,'T1 2019 Pipeline Data Lagasco'!$G:$G,'Dec 31 2018 OFFS'!$W605),1))</f>
        <v>0</v>
      </c>
      <c r="AM605" s="274">
        <f t="shared" si="95"/>
        <v>0</v>
      </c>
    </row>
    <row r="606" spans="1:39" ht="12.7">
      <c r="A606" s="193" t="s">
        <v>909</v>
      </c>
      <c r="B606" s="40" t="s">
        <v>918</v>
      </c>
      <c r="C606" s="40" t="s">
        <v>1266</v>
      </c>
      <c r="D606" s="40" t="s">
        <v>229</v>
      </c>
      <c r="E606" s="40" t="s">
        <v>1053</v>
      </c>
      <c r="F606" s="40"/>
      <c r="G606" s="40" t="s">
        <v>260</v>
      </c>
      <c r="H606" s="42">
        <v>42</v>
      </c>
      <c r="I606" s="43">
        <v>45</v>
      </c>
      <c r="J606" s="44">
        <v>4.3600000000000003</v>
      </c>
      <c r="K606" s="45">
        <v>80</v>
      </c>
      <c r="L606" s="43">
        <v>4</v>
      </c>
      <c r="M606" s="46">
        <v>46.70</v>
      </c>
      <c r="N606" s="41" t="s">
        <v>1303</v>
      </c>
      <c r="O606" s="42">
        <v>42</v>
      </c>
      <c r="P606" s="43">
        <v>44</v>
      </c>
      <c r="Q606" s="44">
        <f>0.538*60</f>
        <v>32.28</v>
      </c>
      <c r="R606" s="45">
        <v>80</v>
      </c>
      <c r="S606" s="43">
        <v>3</v>
      </c>
      <c r="T606" s="46">
        <f>0.768*60</f>
        <v>46.08</v>
      </c>
      <c r="U606" s="40">
        <v>3</v>
      </c>
      <c r="V606" s="47">
        <v>5568.5693925399992</v>
      </c>
      <c r="W606" s="48">
        <v>1965</v>
      </c>
      <c r="X606" s="40"/>
      <c r="Y606" s="52" t="s">
        <v>1081</v>
      </c>
      <c r="Z606" s="40" t="s">
        <v>910</v>
      </c>
      <c r="AA606" s="49">
        <f t="shared" si="88"/>
        <v>131362.55197001857</v>
      </c>
      <c r="AB606" s="71">
        <f t="shared" si="89"/>
        <v>0.80</v>
      </c>
      <c r="AC606" s="49">
        <f t="shared" si="90"/>
        <v>26272.51</v>
      </c>
      <c r="AD606" s="50">
        <f t="shared" si="91"/>
        <v>0</v>
      </c>
      <c r="AE606" s="50">
        <f t="shared" si="92"/>
        <v>0</v>
      </c>
      <c r="AF606" s="50">
        <f t="shared" si="93"/>
        <v>26272.51</v>
      </c>
      <c r="AG606" s="199">
        <f t="shared" si="94"/>
        <v>26272</v>
      </c>
      <c r="AH606" s="187"/>
      <c r="AI606" s="185" t="s">
        <v>1457</v>
      </c>
      <c r="AJ606" s="185"/>
      <c r="AK606" s="277">
        <f t="shared" si="87"/>
        <v>5568.57</v>
      </c>
      <c r="AL606" s="25">
        <f>(SUMIFS('T1 2019 Pipeline Data Lagasco'!$O:$O,'T1 2019 Pipeline Data Lagasco'!$A:$A,'Dec 31 2018 OFFS'!$AI606,'T1 2019 Pipeline Data Lagasco'!$Q:$Q,'Dec 31 2018 OFFS'!$AK606,'T1 2019 Pipeline Data Lagasco'!$E:$E,'Dec 31 2018 OFFS'!$U606,'T1 2019 Pipeline Data Lagasco'!$G:$G,'Dec 31 2018 OFFS'!$W606))/(MAX(COUNTIFS('T1 2019 Pipeline Data Lagasco'!$A:$A,'Dec 31 2018 OFFS'!$AI606,'T1 2019 Pipeline Data Lagasco'!$Q:$Q,'Dec 31 2018 OFFS'!$AK606,'T1 2019 Pipeline Data Lagasco'!$E:$E,'Dec 31 2018 OFFS'!$U606,'T1 2019 Pipeline Data Lagasco'!$G:$G,'Dec 31 2018 OFFS'!$W606),1))</f>
        <v>26272</v>
      </c>
      <c r="AM606" s="274">
        <f t="shared" si="95"/>
        <v>0</v>
      </c>
    </row>
    <row r="607" spans="1:39" ht="12.7">
      <c r="A607" s="193" t="s">
        <v>909</v>
      </c>
      <c r="B607" s="40" t="s">
        <v>918</v>
      </c>
      <c r="C607" s="40" t="s">
        <v>1266</v>
      </c>
      <c r="D607" s="40" t="s">
        <v>229</v>
      </c>
      <c r="E607" s="40" t="s">
        <v>231</v>
      </c>
      <c r="F607" s="40" t="s">
        <v>1051</v>
      </c>
      <c r="G607" s="41" t="s">
        <v>273</v>
      </c>
      <c r="H607" s="42">
        <v>42</v>
      </c>
      <c r="I607" s="43">
        <v>43</v>
      </c>
      <c r="J607" s="44">
        <v>49.094000000000001</v>
      </c>
      <c r="K607" s="45">
        <v>79</v>
      </c>
      <c r="L607" s="43">
        <v>54</v>
      </c>
      <c r="M607" s="46">
        <v>38.402000000000001</v>
      </c>
      <c r="N607" s="41" t="s">
        <v>263</v>
      </c>
      <c r="O607" s="42">
        <v>42</v>
      </c>
      <c r="P607" s="43">
        <v>44</v>
      </c>
      <c r="Q607" s="44">
        <v>15.898999999999999</v>
      </c>
      <c r="R607" s="45">
        <v>79</v>
      </c>
      <c r="S607" s="43">
        <v>54</v>
      </c>
      <c r="T607" s="46">
        <v>44.290999999999997</v>
      </c>
      <c r="U607" s="40">
        <v>3</v>
      </c>
      <c r="V607" s="47">
        <v>2749.18</v>
      </c>
      <c r="W607" s="48">
        <v>1962</v>
      </c>
      <c r="X607" s="40"/>
      <c r="Y607" s="52"/>
      <c r="Z607" s="40" t="s">
        <v>910</v>
      </c>
      <c r="AA607" s="49">
        <f t="shared" si="88"/>
        <v>0</v>
      </c>
      <c r="AB607" s="71">
        <f t="shared" si="89"/>
        <v>0.80</v>
      </c>
      <c r="AC607" s="49">
        <f t="shared" si="90"/>
        <v>0</v>
      </c>
      <c r="AD607" s="50">
        <f t="shared" si="91"/>
        <v>0</v>
      </c>
      <c r="AE607" s="50">
        <f t="shared" si="92"/>
        <v>0</v>
      </c>
      <c r="AF607" s="50">
        <f t="shared" si="93"/>
        <v>0</v>
      </c>
      <c r="AG607" s="199">
        <f t="shared" si="94"/>
        <v>0</v>
      </c>
      <c r="AH607" s="187"/>
      <c r="AI607" s="185" t="s">
        <v>1457</v>
      </c>
      <c r="AJ607" s="185"/>
      <c r="AK607" s="277">
        <f t="shared" si="87"/>
        <v>2749.18</v>
      </c>
      <c r="AL607" s="25">
        <f>(SUMIFS('T1 2019 Pipeline Data Lagasco'!$O:$O,'T1 2019 Pipeline Data Lagasco'!$A:$A,'Dec 31 2018 OFFS'!$AI607,'T1 2019 Pipeline Data Lagasco'!$Q:$Q,'Dec 31 2018 OFFS'!$AK607,'T1 2019 Pipeline Data Lagasco'!$E:$E,'Dec 31 2018 OFFS'!$U607,'T1 2019 Pipeline Data Lagasco'!$G:$G,'Dec 31 2018 OFFS'!$W607))/(MAX(COUNTIFS('T1 2019 Pipeline Data Lagasco'!$A:$A,'Dec 31 2018 OFFS'!$AI607,'T1 2019 Pipeline Data Lagasco'!$Q:$Q,'Dec 31 2018 OFFS'!$AK607,'T1 2019 Pipeline Data Lagasco'!$E:$E,'Dec 31 2018 OFFS'!$U607,'T1 2019 Pipeline Data Lagasco'!$G:$G,'Dec 31 2018 OFFS'!$W607),1))</f>
        <v>0</v>
      </c>
      <c r="AM607" s="274">
        <f t="shared" si="95"/>
        <v>0</v>
      </c>
    </row>
    <row r="608" spans="1:39" ht="12.7">
      <c r="A608" s="193" t="s">
        <v>909</v>
      </c>
      <c r="B608" s="40" t="s">
        <v>918</v>
      </c>
      <c r="C608" s="40" t="s">
        <v>1266</v>
      </c>
      <c r="D608" s="40" t="s">
        <v>229</v>
      </c>
      <c r="E608" s="40" t="s">
        <v>64</v>
      </c>
      <c r="F608" s="40"/>
      <c r="G608" s="41" t="s">
        <v>264</v>
      </c>
      <c r="H608" s="42">
        <v>42</v>
      </c>
      <c r="I608" s="43">
        <v>40</v>
      </c>
      <c r="J608" s="44">
        <v>48</v>
      </c>
      <c r="K608" s="45">
        <v>79</v>
      </c>
      <c r="L608" s="43">
        <v>52</v>
      </c>
      <c r="M608" s="46">
        <v>43.98</v>
      </c>
      <c r="N608" s="40" t="s">
        <v>128</v>
      </c>
      <c r="O608" s="42">
        <v>42</v>
      </c>
      <c r="P608" s="43">
        <v>40</v>
      </c>
      <c r="Q608" s="44">
        <v>52.48</v>
      </c>
      <c r="R608" s="45">
        <v>79</v>
      </c>
      <c r="S608" s="43">
        <v>52</v>
      </c>
      <c r="T608" s="46">
        <v>26.66</v>
      </c>
      <c r="U608" s="40">
        <v>3</v>
      </c>
      <c r="V608" s="47">
        <v>1370.997335624</v>
      </c>
      <c r="W608" s="48">
        <v>1979</v>
      </c>
      <c r="X608" s="40"/>
      <c r="Y608" s="52" t="s">
        <v>1081</v>
      </c>
      <c r="Z608" s="40" t="s">
        <v>910</v>
      </c>
      <c r="AA608" s="49">
        <f t="shared" si="88"/>
        <v>32341.827147370161</v>
      </c>
      <c r="AB608" s="71">
        <f t="shared" si="89"/>
        <v>0.80</v>
      </c>
      <c r="AC608" s="49">
        <f t="shared" si="90"/>
        <v>6468.37</v>
      </c>
      <c r="AD608" s="50">
        <f t="shared" si="91"/>
        <v>0</v>
      </c>
      <c r="AE608" s="50">
        <f t="shared" si="92"/>
        <v>0</v>
      </c>
      <c r="AF608" s="50">
        <f t="shared" si="93"/>
        <v>6468.37</v>
      </c>
      <c r="AG608" s="199">
        <f t="shared" si="94"/>
        <v>6468</v>
      </c>
      <c r="AH608" s="187"/>
      <c r="AI608" s="185" t="s">
        <v>1457</v>
      </c>
      <c r="AJ608" s="185"/>
      <c r="AK608" s="277">
        <f t="shared" si="87"/>
        <v>1371</v>
      </c>
      <c r="AL608" s="25">
        <f>(SUMIFS('T1 2019 Pipeline Data Lagasco'!$O:$O,'T1 2019 Pipeline Data Lagasco'!$A:$A,'Dec 31 2018 OFFS'!$AI608,'T1 2019 Pipeline Data Lagasco'!$Q:$Q,'Dec 31 2018 OFFS'!$AK608,'T1 2019 Pipeline Data Lagasco'!$E:$E,'Dec 31 2018 OFFS'!$U608,'T1 2019 Pipeline Data Lagasco'!$G:$G,'Dec 31 2018 OFFS'!$W608))/(MAX(COUNTIFS('T1 2019 Pipeline Data Lagasco'!$A:$A,'Dec 31 2018 OFFS'!$AI608,'T1 2019 Pipeline Data Lagasco'!$Q:$Q,'Dec 31 2018 OFFS'!$AK608,'T1 2019 Pipeline Data Lagasco'!$E:$E,'Dec 31 2018 OFFS'!$U608,'T1 2019 Pipeline Data Lagasco'!$G:$G,'Dec 31 2018 OFFS'!$W608),1))</f>
        <v>6468</v>
      </c>
      <c r="AM608" s="274">
        <f t="shared" si="95"/>
        <v>0</v>
      </c>
    </row>
    <row r="609" spans="1:39" ht="12.7">
      <c r="A609" s="193" t="s">
        <v>909</v>
      </c>
      <c r="B609" s="40" t="s">
        <v>918</v>
      </c>
      <c r="C609" s="40" t="s">
        <v>1266</v>
      </c>
      <c r="D609" s="40" t="s">
        <v>229</v>
      </c>
      <c r="E609" s="40" t="s">
        <v>64</v>
      </c>
      <c r="F609" s="40"/>
      <c r="G609" s="41" t="s">
        <v>265</v>
      </c>
      <c r="H609" s="42">
        <v>42</v>
      </c>
      <c r="I609" s="43">
        <v>40</v>
      </c>
      <c r="J609" s="44">
        <v>42.48</v>
      </c>
      <c r="K609" s="45">
        <v>79</v>
      </c>
      <c r="L609" s="43">
        <v>54</v>
      </c>
      <c r="M609" s="46">
        <v>34.44</v>
      </c>
      <c r="N609" s="40" t="s">
        <v>264</v>
      </c>
      <c r="O609" s="42">
        <v>42</v>
      </c>
      <c r="P609" s="43">
        <v>40</v>
      </c>
      <c r="Q609" s="44">
        <v>48</v>
      </c>
      <c r="R609" s="45">
        <v>79</v>
      </c>
      <c r="S609" s="43">
        <v>52</v>
      </c>
      <c r="T609" s="46">
        <v>43.98</v>
      </c>
      <c r="U609" s="40">
        <v>3</v>
      </c>
      <c r="V609" s="47">
        <v>8270.3737762379988</v>
      </c>
      <c r="W609" s="48">
        <v>1979</v>
      </c>
      <c r="X609" s="40"/>
      <c r="Y609" s="52" t="s">
        <v>1081</v>
      </c>
      <c r="Z609" s="40" t="s">
        <v>910</v>
      </c>
      <c r="AA609" s="49">
        <f t="shared" si="88"/>
        <v>195098.11738145439</v>
      </c>
      <c r="AB609" s="71">
        <f t="shared" si="89"/>
        <v>0.80</v>
      </c>
      <c r="AC609" s="49">
        <f t="shared" si="90"/>
        <v>39019.620000000003</v>
      </c>
      <c r="AD609" s="50">
        <f t="shared" si="91"/>
        <v>0</v>
      </c>
      <c r="AE609" s="50">
        <f t="shared" si="92"/>
        <v>0</v>
      </c>
      <c r="AF609" s="50">
        <f t="shared" si="93"/>
        <v>39019.620000000003</v>
      </c>
      <c r="AG609" s="199">
        <f t="shared" si="94"/>
        <v>39019</v>
      </c>
      <c r="AH609" s="187"/>
      <c r="AI609" s="185" t="s">
        <v>1457</v>
      </c>
      <c r="AJ609" s="185"/>
      <c r="AK609" s="277">
        <f t="shared" si="87"/>
        <v>8270.3700000000008</v>
      </c>
      <c r="AL609" s="25">
        <f>(SUMIFS('T1 2019 Pipeline Data Lagasco'!$O:$O,'T1 2019 Pipeline Data Lagasco'!$A:$A,'Dec 31 2018 OFFS'!$AI609,'T1 2019 Pipeline Data Lagasco'!$Q:$Q,'Dec 31 2018 OFFS'!$AK609,'T1 2019 Pipeline Data Lagasco'!$E:$E,'Dec 31 2018 OFFS'!$U609,'T1 2019 Pipeline Data Lagasco'!$G:$G,'Dec 31 2018 OFFS'!$W609))/(MAX(COUNTIFS('T1 2019 Pipeline Data Lagasco'!$A:$A,'Dec 31 2018 OFFS'!$AI609,'T1 2019 Pipeline Data Lagasco'!$Q:$Q,'Dec 31 2018 OFFS'!$AK609,'T1 2019 Pipeline Data Lagasco'!$E:$E,'Dec 31 2018 OFFS'!$U609,'T1 2019 Pipeline Data Lagasco'!$G:$G,'Dec 31 2018 OFFS'!$W609),1))</f>
        <v>39019</v>
      </c>
      <c r="AM609" s="274">
        <f t="shared" si="95"/>
        <v>0</v>
      </c>
    </row>
    <row r="610" spans="1:39" ht="12.7">
      <c r="A610" s="193" t="s">
        <v>909</v>
      </c>
      <c r="B610" s="40" t="s">
        <v>918</v>
      </c>
      <c r="C610" s="40" t="s">
        <v>1266</v>
      </c>
      <c r="D610" s="40" t="s">
        <v>229</v>
      </c>
      <c r="E610" s="40" t="s">
        <v>231</v>
      </c>
      <c r="F610" s="40" t="s">
        <v>1051</v>
      </c>
      <c r="G610" s="41" t="s">
        <v>938</v>
      </c>
      <c r="H610" s="42">
        <v>42</v>
      </c>
      <c r="I610" s="43">
        <v>44</v>
      </c>
      <c r="J610" s="44">
        <v>15.301</v>
      </c>
      <c r="K610" s="45">
        <v>79</v>
      </c>
      <c r="L610" s="43">
        <v>57</v>
      </c>
      <c r="M610" s="46">
        <v>3.492</v>
      </c>
      <c r="N610" s="40" t="s">
        <v>266</v>
      </c>
      <c r="O610" s="42">
        <v>42</v>
      </c>
      <c r="P610" s="43">
        <v>43</v>
      </c>
      <c r="Q610" s="44">
        <v>49.86</v>
      </c>
      <c r="R610" s="45">
        <v>79</v>
      </c>
      <c r="S610" s="43">
        <v>56</v>
      </c>
      <c r="T610" s="46">
        <v>43.20</v>
      </c>
      <c r="U610" s="40">
        <v>3</v>
      </c>
      <c r="V610" s="47">
        <v>2987.99</v>
      </c>
      <c r="W610" s="48">
        <v>1979</v>
      </c>
      <c r="X610" s="40"/>
      <c r="Y610" s="52"/>
      <c r="Z610" s="40" t="s">
        <v>910</v>
      </c>
      <c r="AA610" s="49">
        <f t="shared" si="88"/>
        <v>0</v>
      </c>
      <c r="AB610" s="71">
        <f t="shared" si="89"/>
        <v>0.80</v>
      </c>
      <c r="AC610" s="49">
        <f t="shared" si="90"/>
        <v>0</v>
      </c>
      <c r="AD610" s="50">
        <f t="shared" si="91"/>
        <v>0</v>
      </c>
      <c r="AE610" s="50">
        <f t="shared" si="92"/>
        <v>0</v>
      </c>
      <c r="AF610" s="50">
        <f t="shared" si="93"/>
        <v>0</v>
      </c>
      <c r="AG610" s="199">
        <f t="shared" si="94"/>
        <v>0</v>
      </c>
      <c r="AH610" s="187"/>
      <c r="AI610" s="185" t="s">
        <v>1457</v>
      </c>
      <c r="AJ610" s="185"/>
      <c r="AK610" s="277">
        <f t="shared" si="87"/>
        <v>2987.99</v>
      </c>
      <c r="AL610" s="25">
        <f>(SUMIFS('T1 2019 Pipeline Data Lagasco'!$O:$O,'T1 2019 Pipeline Data Lagasco'!$A:$A,'Dec 31 2018 OFFS'!$AI610,'T1 2019 Pipeline Data Lagasco'!$Q:$Q,'Dec 31 2018 OFFS'!$AK610,'T1 2019 Pipeline Data Lagasco'!$E:$E,'Dec 31 2018 OFFS'!$U610,'T1 2019 Pipeline Data Lagasco'!$G:$G,'Dec 31 2018 OFFS'!$W610))/(MAX(COUNTIFS('T1 2019 Pipeline Data Lagasco'!$A:$A,'Dec 31 2018 OFFS'!$AI610,'T1 2019 Pipeline Data Lagasco'!$Q:$Q,'Dec 31 2018 OFFS'!$AK610,'T1 2019 Pipeline Data Lagasco'!$E:$E,'Dec 31 2018 OFFS'!$U610,'T1 2019 Pipeline Data Lagasco'!$G:$G,'Dec 31 2018 OFFS'!$W610),1))</f>
        <v>0</v>
      </c>
      <c r="AM610" s="274">
        <f t="shared" si="95"/>
        <v>0</v>
      </c>
    </row>
    <row r="611" spans="1:39" ht="12.7">
      <c r="A611" s="193" t="s">
        <v>909</v>
      </c>
      <c r="B611" s="40" t="s">
        <v>918</v>
      </c>
      <c r="C611" s="40" t="s">
        <v>1266</v>
      </c>
      <c r="D611" s="40" t="s">
        <v>229</v>
      </c>
      <c r="E611" s="40" t="s">
        <v>1053</v>
      </c>
      <c r="F611" s="40"/>
      <c r="G611" s="41" t="s">
        <v>233</v>
      </c>
      <c r="H611" s="42">
        <v>42</v>
      </c>
      <c r="I611" s="43">
        <v>44</v>
      </c>
      <c r="J611" s="44">
        <v>3.1920000000000002</v>
      </c>
      <c r="K611" s="45">
        <v>79</v>
      </c>
      <c r="L611" s="43">
        <v>58</v>
      </c>
      <c r="M611" s="46">
        <v>55.308</v>
      </c>
      <c r="N611" s="40" t="s">
        <v>267</v>
      </c>
      <c r="O611" s="42">
        <v>42</v>
      </c>
      <c r="P611" s="43">
        <v>42</v>
      </c>
      <c r="Q611" s="44">
        <v>59.598999999999997</v>
      </c>
      <c r="R611" s="45">
        <v>79</v>
      </c>
      <c r="S611" s="43">
        <v>56</v>
      </c>
      <c r="T611" s="46">
        <v>40.262</v>
      </c>
      <c r="U611" s="40">
        <v>3</v>
      </c>
      <c r="V611" s="47">
        <v>11961.121700849999</v>
      </c>
      <c r="W611" s="48">
        <v>1980</v>
      </c>
      <c r="X611" s="40"/>
      <c r="Y611" s="52" t="s">
        <v>1081</v>
      </c>
      <c r="Z611" s="40" t="s">
        <v>910</v>
      </c>
      <c r="AA611" s="49">
        <f t="shared" si="88"/>
        <v>282162.86092305148</v>
      </c>
      <c r="AB611" s="71">
        <f t="shared" si="89"/>
        <v>0.80</v>
      </c>
      <c r="AC611" s="49">
        <f t="shared" si="90"/>
        <v>56432.57</v>
      </c>
      <c r="AD611" s="50">
        <f t="shared" si="91"/>
        <v>0</v>
      </c>
      <c r="AE611" s="50">
        <f t="shared" si="92"/>
        <v>0</v>
      </c>
      <c r="AF611" s="50">
        <f t="shared" si="93"/>
        <v>56432.57</v>
      </c>
      <c r="AG611" s="199">
        <f t="shared" si="94"/>
        <v>56432</v>
      </c>
      <c r="AH611" s="187"/>
      <c r="AI611" s="185" t="s">
        <v>1457</v>
      </c>
      <c r="AJ611" s="185"/>
      <c r="AK611" s="277">
        <f t="shared" si="87"/>
        <v>11961.12</v>
      </c>
      <c r="AL611" s="25">
        <f>(SUMIFS('T1 2019 Pipeline Data Lagasco'!$O:$O,'T1 2019 Pipeline Data Lagasco'!$A:$A,'Dec 31 2018 OFFS'!$AI611,'T1 2019 Pipeline Data Lagasco'!$Q:$Q,'Dec 31 2018 OFFS'!$AK611,'T1 2019 Pipeline Data Lagasco'!$E:$E,'Dec 31 2018 OFFS'!$U611,'T1 2019 Pipeline Data Lagasco'!$G:$G,'Dec 31 2018 OFFS'!$W611))/(MAX(COUNTIFS('T1 2019 Pipeline Data Lagasco'!$A:$A,'Dec 31 2018 OFFS'!$AI611,'T1 2019 Pipeline Data Lagasco'!$Q:$Q,'Dec 31 2018 OFFS'!$AK611,'T1 2019 Pipeline Data Lagasco'!$E:$E,'Dec 31 2018 OFFS'!$U611,'T1 2019 Pipeline Data Lagasco'!$G:$G,'Dec 31 2018 OFFS'!$W611),1))</f>
        <v>56432</v>
      </c>
      <c r="AM611" s="274">
        <f t="shared" si="95"/>
        <v>0</v>
      </c>
    </row>
    <row r="612" spans="1:39" ht="12.7">
      <c r="A612" s="193" t="s">
        <v>909</v>
      </c>
      <c r="B612" s="40" t="s">
        <v>918</v>
      </c>
      <c r="C612" s="40" t="s">
        <v>1266</v>
      </c>
      <c r="D612" s="40" t="s">
        <v>229</v>
      </c>
      <c r="E612" s="40" t="s">
        <v>231</v>
      </c>
      <c r="F612" s="40" t="s">
        <v>1051</v>
      </c>
      <c r="G612" s="41" t="s">
        <v>268</v>
      </c>
      <c r="H612" s="42">
        <v>42</v>
      </c>
      <c r="I612" s="43">
        <v>43</v>
      </c>
      <c r="J612" s="44">
        <v>54.192999999999998</v>
      </c>
      <c r="K612" s="45">
        <v>79</v>
      </c>
      <c r="L612" s="43">
        <v>56</v>
      </c>
      <c r="M612" s="46">
        <v>28.692</v>
      </c>
      <c r="N612" s="40" t="s">
        <v>269</v>
      </c>
      <c r="O612" s="42">
        <v>42</v>
      </c>
      <c r="P612" s="43">
        <v>43</v>
      </c>
      <c r="Q612" s="44">
        <v>32.82</v>
      </c>
      <c r="R612" s="45">
        <v>79</v>
      </c>
      <c r="S612" s="43">
        <v>56</v>
      </c>
      <c r="T612" s="46">
        <v>14.52</v>
      </c>
      <c r="U612" s="40">
        <v>3</v>
      </c>
      <c r="V612" s="47">
        <v>2408.595730772</v>
      </c>
      <c r="W612" s="48">
        <v>1979</v>
      </c>
      <c r="X612" s="40"/>
      <c r="Y612" s="52" t="s">
        <v>1081</v>
      </c>
      <c r="Z612" s="40" t="s">
        <v>910</v>
      </c>
      <c r="AA612" s="49">
        <f t="shared" si="88"/>
        <v>0</v>
      </c>
      <c r="AB612" s="71">
        <f t="shared" si="89"/>
        <v>0.80</v>
      </c>
      <c r="AC612" s="49">
        <f t="shared" si="90"/>
        <v>0</v>
      </c>
      <c r="AD612" s="50">
        <f t="shared" si="91"/>
        <v>0</v>
      </c>
      <c r="AE612" s="50">
        <f t="shared" si="92"/>
        <v>0</v>
      </c>
      <c r="AF612" s="50">
        <f t="shared" si="93"/>
        <v>0</v>
      </c>
      <c r="AG612" s="199">
        <f t="shared" si="94"/>
        <v>0</v>
      </c>
      <c r="AH612" s="187"/>
      <c r="AI612" s="185" t="s">
        <v>1457</v>
      </c>
      <c r="AJ612" s="185"/>
      <c r="AK612" s="277">
        <f t="shared" si="87"/>
        <v>2408.60</v>
      </c>
      <c r="AL612" s="25">
        <f>(SUMIFS('T1 2019 Pipeline Data Lagasco'!$O:$O,'T1 2019 Pipeline Data Lagasco'!$A:$A,'Dec 31 2018 OFFS'!$AI612,'T1 2019 Pipeline Data Lagasco'!$Q:$Q,'Dec 31 2018 OFFS'!$AK612,'T1 2019 Pipeline Data Lagasco'!$E:$E,'Dec 31 2018 OFFS'!$U612,'T1 2019 Pipeline Data Lagasco'!$G:$G,'Dec 31 2018 OFFS'!$W612))/(MAX(COUNTIFS('T1 2019 Pipeline Data Lagasco'!$A:$A,'Dec 31 2018 OFFS'!$AI612,'T1 2019 Pipeline Data Lagasco'!$Q:$Q,'Dec 31 2018 OFFS'!$AK612,'T1 2019 Pipeline Data Lagasco'!$E:$E,'Dec 31 2018 OFFS'!$U612,'T1 2019 Pipeline Data Lagasco'!$G:$G,'Dec 31 2018 OFFS'!$W612),1))</f>
        <v>0</v>
      </c>
      <c r="AM612" s="274">
        <f t="shared" si="95"/>
        <v>0</v>
      </c>
    </row>
    <row r="613" spans="1:39" ht="12.7">
      <c r="A613" s="193" t="s">
        <v>909</v>
      </c>
      <c r="B613" s="40" t="s">
        <v>918</v>
      </c>
      <c r="C613" s="40" t="s">
        <v>1266</v>
      </c>
      <c r="D613" s="40" t="s">
        <v>229</v>
      </c>
      <c r="E613" s="40" t="s">
        <v>231</v>
      </c>
      <c r="F613" s="40" t="s">
        <v>1051</v>
      </c>
      <c r="G613" s="41" t="s">
        <v>266</v>
      </c>
      <c r="H613" s="42">
        <v>42</v>
      </c>
      <c r="I613" s="43">
        <v>43</v>
      </c>
      <c r="J613" s="44">
        <v>49.86</v>
      </c>
      <c r="K613" s="45">
        <v>79</v>
      </c>
      <c r="L613" s="43">
        <v>56</v>
      </c>
      <c r="M613" s="46">
        <v>43.20</v>
      </c>
      <c r="N613" s="40" t="s">
        <v>270</v>
      </c>
      <c r="O613" s="42">
        <v>42</v>
      </c>
      <c r="P613" s="43">
        <v>43</v>
      </c>
      <c r="Q613" s="44">
        <v>5.82</v>
      </c>
      <c r="R613" s="45">
        <v>79</v>
      </c>
      <c r="S613" s="43">
        <v>56</v>
      </c>
      <c r="T613" s="46">
        <v>8.16</v>
      </c>
      <c r="U613" s="40">
        <v>3</v>
      </c>
      <c r="V613" s="47">
        <v>5169.3239972779993</v>
      </c>
      <c r="W613" s="48">
        <v>1962</v>
      </c>
      <c r="X613" s="40"/>
      <c r="Y613" s="52" t="s">
        <v>1081</v>
      </c>
      <c r="Z613" s="40" t="s">
        <v>910</v>
      </c>
      <c r="AA613" s="49">
        <f t="shared" si="88"/>
        <v>0</v>
      </c>
      <c r="AB613" s="71">
        <f t="shared" si="89"/>
        <v>0.80</v>
      </c>
      <c r="AC613" s="49">
        <f t="shared" si="90"/>
        <v>0</v>
      </c>
      <c r="AD613" s="50">
        <f t="shared" si="91"/>
        <v>0</v>
      </c>
      <c r="AE613" s="50">
        <f t="shared" si="92"/>
        <v>0</v>
      </c>
      <c r="AF613" s="50">
        <f t="shared" si="93"/>
        <v>0</v>
      </c>
      <c r="AG613" s="199">
        <f t="shared" si="94"/>
        <v>0</v>
      </c>
      <c r="AH613" s="187"/>
      <c r="AI613" s="185" t="s">
        <v>1457</v>
      </c>
      <c r="AJ613" s="185"/>
      <c r="AK613" s="277">
        <f t="shared" si="87"/>
        <v>5169.32</v>
      </c>
      <c r="AL613" s="25">
        <f>(SUMIFS('T1 2019 Pipeline Data Lagasco'!$O:$O,'T1 2019 Pipeline Data Lagasco'!$A:$A,'Dec 31 2018 OFFS'!$AI613,'T1 2019 Pipeline Data Lagasco'!$Q:$Q,'Dec 31 2018 OFFS'!$AK613,'T1 2019 Pipeline Data Lagasco'!$E:$E,'Dec 31 2018 OFFS'!$U613,'T1 2019 Pipeline Data Lagasco'!$G:$G,'Dec 31 2018 OFFS'!$W613))/(MAX(COUNTIFS('T1 2019 Pipeline Data Lagasco'!$A:$A,'Dec 31 2018 OFFS'!$AI613,'T1 2019 Pipeline Data Lagasco'!$Q:$Q,'Dec 31 2018 OFFS'!$AK613,'T1 2019 Pipeline Data Lagasco'!$E:$E,'Dec 31 2018 OFFS'!$U613,'T1 2019 Pipeline Data Lagasco'!$G:$G,'Dec 31 2018 OFFS'!$W613),1))</f>
        <v>0</v>
      </c>
      <c r="AM613" s="274">
        <f t="shared" si="95"/>
        <v>0</v>
      </c>
    </row>
    <row r="614" spans="1:39" ht="12.7">
      <c r="A614" s="193" t="s">
        <v>909</v>
      </c>
      <c r="B614" s="40" t="s">
        <v>918</v>
      </c>
      <c r="C614" s="40" t="s">
        <v>1266</v>
      </c>
      <c r="D614" s="40" t="s">
        <v>229</v>
      </c>
      <c r="E614" s="40" t="s">
        <v>231</v>
      </c>
      <c r="F614" s="40" t="s">
        <v>1051</v>
      </c>
      <c r="G614" s="41" t="s">
        <v>271</v>
      </c>
      <c r="H614" s="42">
        <v>42</v>
      </c>
      <c r="I614" s="43">
        <v>43</v>
      </c>
      <c r="J614" s="44">
        <v>23.700448000000002</v>
      </c>
      <c r="K614" s="45">
        <v>79</v>
      </c>
      <c r="L614" s="43">
        <v>56</v>
      </c>
      <c r="M614" s="46">
        <v>55.052456999999997</v>
      </c>
      <c r="N614" s="41" t="s">
        <v>269</v>
      </c>
      <c r="O614" s="42">
        <v>42</v>
      </c>
      <c r="P614" s="43">
        <v>43</v>
      </c>
      <c r="Q614" s="44">
        <v>32.82</v>
      </c>
      <c r="R614" s="45">
        <v>79</v>
      </c>
      <c r="S614" s="43">
        <v>56</v>
      </c>
      <c r="T614" s="46">
        <v>14.52</v>
      </c>
      <c r="U614" s="40">
        <v>3</v>
      </c>
      <c r="V614" s="47">
        <v>3163.3201183639999</v>
      </c>
      <c r="W614" s="48">
        <v>1979</v>
      </c>
      <c r="X614" s="40"/>
      <c r="Y614" s="52" t="s">
        <v>1081</v>
      </c>
      <c r="Z614" s="40" t="s">
        <v>910</v>
      </c>
      <c r="AA614" s="49">
        <f t="shared" si="88"/>
        <v>0</v>
      </c>
      <c r="AB614" s="71">
        <f t="shared" si="89"/>
        <v>0.80</v>
      </c>
      <c r="AC614" s="49">
        <f t="shared" si="90"/>
        <v>0</v>
      </c>
      <c r="AD614" s="50">
        <f t="shared" si="91"/>
        <v>0</v>
      </c>
      <c r="AE614" s="50">
        <f t="shared" si="92"/>
        <v>0</v>
      </c>
      <c r="AF614" s="50">
        <f t="shared" si="93"/>
        <v>0</v>
      </c>
      <c r="AG614" s="199">
        <f t="shared" si="94"/>
        <v>0</v>
      </c>
      <c r="AH614" s="187"/>
      <c r="AI614" s="185" t="s">
        <v>1457</v>
      </c>
      <c r="AJ614" s="185"/>
      <c r="AK614" s="277">
        <f t="shared" si="87"/>
        <v>3163.32</v>
      </c>
      <c r="AL614" s="25">
        <f>(SUMIFS('T1 2019 Pipeline Data Lagasco'!$O:$O,'T1 2019 Pipeline Data Lagasco'!$A:$A,'Dec 31 2018 OFFS'!$AI614,'T1 2019 Pipeline Data Lagasco'!$Q:$Q,'Dec 31 2018 OFFS'!$AK614,'T1 2019 Pipeline Data Lagasco'!$E:$E,'Dec 31 2018 OFFS'!$U614,'T1 2019 Pipeline Data Lagasco'!$G:$G,'Dec 31 2018 OFFS'!$W614))/(MAX(COUNTIFS('T1 2019 Pipeline Data Lagasco'!$A:$A,'Dec 31 2018 OFFS'!$AI614,'T1 2019 Pipeline Data Lagasco'!$Q:$Q,'Dec 31 2018 OFFS'!$AK614,'T1 2019 Pipeline Data Lagasco'!$E:$E,'Dec 31 2018 OFFS'!$U614,'T1 2019 Pipeline Data Lagasco'!$G:$G,'Dec 31 2018 OFFS'!$W614),1))</f>
        <v>0</v>
      </c>
      <c r="AM614" s="274">
        <f t="shared" si="95"/>
        <v>0</v>
      </c>
    </row>
    <row r="615" spans="1:39" ht="12.7">
      <c r="A615" s="193" t="s">
        <v>909</v>
      </c>
      <c r="B615" s="40" t="s">
        <v>918</v>
      </c>
      <c r="C615" s="40" t="s">
        <v>1266</v>
      </c>
      <c r="D615" s="40" t="s">
        <v>229</v>
      </c>
      <c r="E615" s="40" t="s">
        <v>231</v>
      </c>
      <c r="F615" s="40" t="s">
        <v>1051</v>
      </c>
      <c r="G615" s="41" t="s">
        <v>269</v>
      </c>
      <c r="H615" s="42">
        <v>42</v>
      </c>
      <c r="I615" s="43">
        <v>43</v>
      </c>
      <c r="J615" s="44">
        <v>32.82</v>
      </c>
      <c r="K615" s="45">
        <v>79</v>
      </c>
      <c r="L615" s="43">
        <v>56</v>
      </c>
      <c r="M615" s="46">
        <v>14.52</v>
      </c>
      <c r="N615" s="41" t="s">
        <v>272</v>
      </c>
      <c r="O615" s="42">
        <v>42</v>
      </c>
      <c r="P615" s="43">
        <v>43</v>
      </c>
      <c r="Q615" s="44">
        <v>44.497999999999998</v>
      </c>
      <c r="R615" s="45">
        <v>79</v>
      </c>
      <c r="S615" s="43">
        <v>55</v>
      </c>
      <c r="T615" s="46">
        <v>9.61</v>
      </c>
      <c r="U615" s="40">
        <v>3</v>
      </c>
      <c r="V615" s="47">
        <v>4987.2373883779992</v>
      </c>
      <c r="W615" s="48">
        <v>1962</v>
      </c>
      <c r="X615" s="40"/>
      <c r="Y615" s="52" t="s">
        <v>1081</v>
      </c>
      <c r="Z615" s="40" t="s">
        <v>910</v>
      </c>
      <c r="AA615" s="49">
        <f t="shared" si="88"/>
        <v>0</v>
      </c>
      <c r="AB615" s="71">
        <f t="shared" si="89"/>
        <v>0.80</v>
      </c>
      <c r="AC615" s="49">
        <f t="shared" si="90"/>
        <v>0</v>
      </c>
      <c r="AD615" s="50">
        <f t="shared" si="91"/>
        <v>0</v>
      </c>
      <c r="AE615" s="50">
        <f t="shared" si="92"/>
        <v>0</v>
      </c>
      <c r="AF615" s="50">
        <f t="shared" si="93"/>
        <v>0</v>
      </c>
      <c r="AG615" s="199">
        <f t="shared" si="94"/>
        <v>0</v>
      </c>
      <c r="AH615" s="187"/>
      <c r="AI615" s="185" t="s">
        <v>1457</v>
      </c>
      <c r="AJ615" s="185"/>
      <c r="AK615" s="277">
        <f t="shared" si="87"/>
        <v>4987.24</v>
      </c>
      <c r="AL615" s="25">
        <f>(SUMIFS('T1 2019 Pipeline Data Lagasco'!$O:$O,'T1 2019 Pipeline Data Lagasco'!$A:$A,'Dec 31 2018 OFFS'!$AI615,'T1 2019 Pipeline Data Lagasco'!$Q:$Q,'Dec 31 2018 OFFS'!$AK615,'T1 2019 Pipeline Data Lagasco'!$E:$E,'Dec 31 2018 OFFS'!$U615,'T1 2019 Pipeline Data Lagasco'!$G:$G,'Dec 31 2018 OFFS'!$W615))/(MAX(COUNTIFS('T1 2019 Pipeline Data Lagasco'!$A:$A,'Dec 31 2018 OFFS'!$AI615,'T1 2019 Pipeline Data Lagasco'!$Q:$Q,'Dec 31 2018 OFFS'!$AK615,'T1 2019 Pipeline Data Lagasco'!$E:$E,'Dec 31 2018 OFFS'!$U615,'T1 2019 Pipeline Data Lagasco'!$G:$G,'Dec 31 2018 OFFS'!$W615),1))</f>
        <v>0</v>
      </c>
      <c r="AM615" s="274">
        <f t="shared" si="95"/>
        <v>0</v>
      </c>
    </row>
    <row r="616" spans="1:39" ht="12.7">
      <c r="A616" s="193" t="s">
        <v>909</v>
      </c>
      <c r="B616" s="40" t="s">
        <v>918</v>
      </c>
      <c r="C616" s="40" t="s">
        <v>1266</v>
      </c>
      <c r="D616" s="40" t="s">
        <v>229</v>
      </c>
      <c r="E616" s="40" t="s">
        <v>231</v>
      </c>
      <c r="F616" s="40" t="s">
        <v>1051</v>
      </c>
      <c r="G616" s="41" t="s">
        <v>272</v>
      </c>
      <c r="H616" s="42">
        <v>42</v>
      </c>
      <c r="I616" s="43">
        <v>43</v>
      </c>
      <c r="J616" s="44">
        <v>44.497999999999998</v>
      </c>
      <c r="K616" s="45">
        <v>79</v>
      </c>
      <c r="L616" s="43">
        <v>55</v>
      </c>
      <c r="M616" s="46">
        <v>9.61</v>
      </c>
      <c r="N616" s="41" t="s">
        <v>273</v>
      </c>
      <c r="O616" s="42">
        <v>42</v>
      </c>
      <c r="P616" s="43">
        <v>43</v>
      </c>
      <c r="Q616" s="44">
        <v>49.094000000000001</v>
      </c>
      <c r="R616" s="45">
        <v>79</v>
      </c>
      <c r="S616" s="43">
        <v>54</v>
      </c>
      <c r="T616" s="46">
        <v>38.402000000000001</v>
      </c>
      <c r="U616" s="40">
        <v>3</v>
      </c>
      <c r="V616" s="47">
        <v>2375.39</v>
      </c>
      <c r="W616" s="48">
        <v>1962</v>
      </c>
      <c r="X616" s="40"/>
      <c r="Y616" s="52"/>
      <c r="Z616" s="40" t="s">
        <v>910</v>
      </c>
      <c r="AA616" s="49">
        <f t="shared" si="88"/>
        <v>0</v>
      </c>
      <c r="AB616" s="71">
        <f t="shared" si="89"/>
        <v>0.80</v>
      </c>
      <c r="AC616" s="49">
        <f t="shared" si="90"/>
        <v>0</v>
      </c>
      <c r="AD616" s="50">
        <f t="shared" si="91"/>
        <v>0</v>
      </c>
      <c r="AE616" s="50">
        <f t="shared" si="92"/>
        <v>0</v>
      </c>
      <c r="AF616" s="50">
        <f t="shared" si="93"/>
        <v>0</v>
      </c>
      <c r="AG616" s="199">
        <f t="shared" si="94"/>
        <v>0</v>
      </c>
      <c r="AH616" s="187"/>
      <c r="AI616" s="185" t="s">
        <v>1457</v>
      </c>
      <c r="AJ616" s="185"/>
      <c r="AK616" s="277">
        <f t="shared" si="87"/>
        <v>2375.39</v>
      </c>
      <c r="AL616" s="25">
        <f>(SUMIFS('T1 2019 Pipeline Data Lagasco'!$O:$O,'T1 2019 Pipeline Data Lagasco'!$A:$A,'Dec 31 2018 OFFS'!$AI616,'T1 2019 Pipeline Data Lagasco'!$Q:$Q,'Dec 31 2018 OFFS'!$AK616,'T1 2019 Pipeline Data Lagasco'!$E:$E,'Dec 31 2018 OFFS'!$U616,'T1 2019 Pipeline Data Lagasco'!$G:$G,'Dec 31 2018 OFFS'!$W616))/(MAX(COUNTIFS('T1 2019 Pipeline Data Lagasco'!$A:$A,'Dec 31 2018 OFFS'!$AI616,'T1 2019 Pipeline Data Lagasco'!$Q:$Q,'Dec 31 2018 OFFS'!$AK616,'T1 2019 Pipeline Data Lagasco'!$E:$E,'Dec 31 2018 OFFS'!$U616,'T1 2019 Pipeline Data Lagasco'!$G:$G,'Dec 31 2018 OFFS'!$W616),1))</f>
        <v>0</v>
      </c>
      <c r="AM616" s="274">
        <f t="shared" si="95"/>
        <v>0</v>
      </c>
    </row>
    <row r="617" spans="1:39" ht="12.7">
      <c r="A617" s="193" t="s">
        <v>909</v>
      </c>
      <c r="B617" s="40" t="s">
        <v>918</v>
      </c>
      <c r="C617" s="40" t="s">
        <v>1266</v>
      </c>
      <c r="D617" s="40" t="s">
        <v>229</v>
      </c>
      <c r="E617" s="40" t="s">
        <v>231</v>
      </c>
      <c r="F617" s="40" t="s">
        <v>1051</v>
      </c>
      <c r="G617" s="41" t="s">
        <v>274</v>
      </c>
      <c r="H617" s="42">
        <v>42</v>
      </c>
      <c r="I617" s="43">
        <v>42</v>
      </c>
      <c r="J617" s="44">
        <v>59.500999999999998</v>
      </c>
      <c r="K617" s="45">
        <v>79</v>
      </c>
      <c r="L617" s="43">
        <v>56</v>
      </c>
      <c r="M617" s="46">
        <v>40.201999999999998</v>
      </c>
      <c r="N617" s="40" t="s">
        <v>275</v>
      </c>
      <c r="O617" s="42">
        <v>42</v>
      </c>
      <c r="P617" s="43">
        <v>43</v>
      </c>
      <c r="Q617" s="44">
        <v>12.209</v>
      </c>
      <c r="R617" s="45">
        <v>79</v>
      </c>
      <c r="S617" s="43">
        <v>55</v>
      </c>
      <c r="T617" s="46">
        <v>34.908000000000001</v>
      </c>
      <c r="U617" s="40">
        <v>3</v>
      </c>
      <c r="V617" s="47">
        <v>5041.4040534759997</v>
      </c>
      <c r="W617" s="48">
        <v>1962</v>
      </c>
      <c r="X617" s="40"/>
      <c r="Y617" s="52" t="s">
        <v>1081</v>
      </c>
      <c r="Z617" s="40" t="s">
        <v>910</v>
      </c>
      <c r="AA617" s="49">
        <f t="shared" si="88"/>
        <v>0</v>
      </c>
      <c r="AB617" s="71">
        <f t="shared" si="89"/>
        <v>0.80</v>
      </c>
      <c r="AC617" s="49">
        <f t="shared" si="90"/>
        <v>0</v>
      </c>
      <c r="AD617" s="50">
        <f t="shared" si="91"/>
        <v>0</v>
      </c>
      <c r="AE617" s="50">
        <f t="shared" si="92"/>
        <v>0</v>
      </c>
      <c r="AF617" s="50">
        <f t="shared" si="93"/>
        <v>0</v>
      </c>
      <c r="AG617" s="199">
        <f t="shared" si="94"/>
        <v>0</v>
      </c>
      <c r="AH617" s="187"/>
      <c r="AI617" s="185" t="s">
        <v>1457</v>
      </c>
      <c r="AJ617" s="185"/>
      <c r="AK617" s="277">
        <f t="shared" si="87"/>
        <v>5041.3999999999996</v>
      </c>
      <c r="AL617" s="25">
        <f>(SUMIFS('T1 2019 Pipeline Data Lagasco'!$O:$O,'T1 2019 Pipeline Data Lagasco'!$A:$A,'Dec 31 2018 OFFS'!$AI617,'T1 2019 Pipeline Data Lagasco'!$Q:$Q,'Dec 31 2018 OFFS'!$AK617,'T1 2019 Pipeline Data Lagasco'!$E:$E,'Dec 31 2018 OFFS'!$U617,'T1 2019 Pipeline Data Lagasco'!$G:$G,'Dec 31 2018 OFFS'!$W617))/(MAX(COUNTIFS('T1 2019 Pipeline Data Lagasco'!$A:$A,'Dec 31 2018 OFFS'!$AI617,'T1 2019 Pipeline Data Lagasco'!$Q:$Q,'Dec 31 2018 OFFS'!$AK617,'T1 2019 Pipeline Data Lagasco'!$E:$E,'Dec 31 2018 OFFS'!$U617,'T1 2019 Pipeline Data Lagasco'!$G:$G,'Dec 31 2018 OFFS'!$W617),1))</f>
        <v>0</v>
      </c>
      <c r="AM617" s="274">
        <f t="shared" si="95"/>
        <v>0</v>
      </c>
    </row>
    <row r="618" spans="1:39" ht="12.7">
      <c r="A618" s="193" t="s">
        <v>909</v>
      </c>
      <c r="B618" s="40" t="s">
        <v>918</v>
      </c>
      <c r="C618" s="40" t="s">
        <v>1266</v>
      </c>
      <c r="D618" s="40" t="s">
        <v>229</v>
      </c>
      <c r="E618" s="40" t="s">
        <v>231</v>
      </c>
      <c r="F618" s="40"/>
      <c r="G618" s="41" t="s">
        <v>267</v>
      </c>
      <c r="H618" s="42">
        <v>42</v>
      </c>
      <c r="I618" s="43">
        <v>42</v>
      </c>
      <c r="J618" s="44">
        <v>59.598999999999997</v>
      </c>
      <c r="K618" s="45">
        <v>79</v>
      </c>
      <c r="L618" s="43">
        <v>56</v>
      </c>
      <c r="M618" s="46">
        <v>40.262</v>
      </c>
      <c r="N618" s="40" t="s">
        <v>276</v>
      </c>
      <c r="O618" s="42">
        <v>42</v>
      </c>
      <c r="P618" s="43">
        <v>42</v>
      </c>
      <c r="Q618" s="44">
        <v>16.706</v>
      </c>
      <c r="R618" s="45">
        <v>79</v>
      </c>
      <c r="S618" s="43">
        <v>57</v>
      </c>
      <c r="T618" s="46">
        <v>14.905</v>
      </c>
      <c r="U618" s="40">
        <v>3</v>
      </c>
      <c r="V618" s="47">
        <v>5054.5602210739999</v>
      </c>
      <c r="W618" s="48">
        <v>1984</v>
      </c>
      <c r="X618" s="40"/>
      <c r="Y618" s="52" t="s">
        <v>1081</v>
      </c>
      <c r="Z618" s="40" t="s">
        <v>910</v>
      </c>
      <c r="AA618" s="49">
        <f t="shared" si="88"/>
        <v>119237.07561513566</v>
      </c>
      <c r="AB618" s="71">
        <f t="shared" si="89"/>
        <v>0.80</v>
      </c>
      <c r="AC618" s="49">
        <f t="shared" si="90"/>
        <v>23847.42</v>
      </c>
      <c r="AD618" s="50">
        <f t="shared" si="91"/>
        <v>0</v>
      </c>
      <c r="AE618" s="50">
        <f t="shared" si="92"/>
        <v>0</v>
      </c>
      <c r="AF618" s="50">
        <f t="shared" si="93"/>
        <v>23847.42</v>
      </c>
      <c r="AG618" s="199">
        <f t="shared" si="94"/>
        <v>23847</v>
      </c>
      <c r="AH618" s="187"/>
      <c r="AI618" s="185" t="s">
        <v>1457</v>
      </c>
      <c r="AJ618" s="185"/>
      <c r="AK618" s="277">
        <f t="shared" si="87"/>
        <v>5054.5600000000004</v>
      </c>
      <c r="AL618" s="25">
        <f>(SUMIFS('T1 2019 Pipeline Data Lagasco'!$O:$O,'T1 2019 Pipeline Data Lagasco'!$A:$A,'Dec 31 2018 OFFS'!$AI618,'T1 2019 Pipeline Data Lagasco'!$Q:$Q,'Dec 31 2018 OFFS'!$AK618,'T1 2019 Pipeline Data Lagasco'!$E:$E,'Dec 31 2018 OFFS'!$U618,'T1 2019 Pipeline Data Lagasco'!$G:$G,'Dec 31 2018 OFFS'!$W618))/(MAX(COUNTIFS('T1 2019 Pipeline Data Lagasco'!$A:$A,'Dec 31 2018 OFFS'!$AI618,'T1 2019 Pipeline Data Lagasco'!$Q:$Q,'Dec 31 2018 OFFS'!$AK618,'T1 2019 Pipeline Data Lagasco'!$E:$E,'Dec 31 2018 OFFS'!$U618,'T1 2019 Pipeline Data Lagasco'!$G:$G,'Dec 31 2018 OFFS'!$W618),1))</f>
        <v>23847</v>
      </c>
      <c r="AM618" s="274">
        <f t="shared" si="95"/>
        <v>0</v>
      </c>
    </row>
    <row r="619" spans="1:39" ht="12.7">
      <c r="A619" s="193" t="s">
        <v>909</v>
      </c>
      <c r="B619" s="40" t="s">
        <v>918</v>
      </c>
      <c r="C619" s="40" t="s">
        <v>1266</v>
      </c>
      <c r="D619" s="40" t="s">
        <v>229</v>
      </c>
      <c r="E619" s="40" t="s">
        <v>138</v>
      </c>
      <c r="F619" s="40"/>
      <c r="G619" s="41" t="s">
        <v>276</v>
      </c>
      <c r="H619" s="42">
        <v>42</v>
      </c>
      <c r="I619" s="43">
        <v>42</v>
      </c>
      <c r="J619" s="44">
        <v>16.706</v>
      </c>
      <c r="K619" s="45">
        <v>79</v>
      </c>
      <c r="L619" s="43">
        <v>57</v>
      </c>
      <c r="M619" s="46">
        <v>14.905</v>
      </c>
      <c r="N619" s="40" t="s">
        <v>277</v>
      </c>
      <c r="O619" s="42">
        <v>42</v>
      </c>
      <c r="P619" s="43">
        <v>40</v>
      </c>
      <c r="Q619" s="44">
        <v>43.893999999999998</v>
      </c>
      <c r="R619" s="45">
        <v>79</v>
      </c>
      <c r="S619" s="43">
        <v>57</v>
      </c>
      <c r="T619" s="46">
        <v>43.603000000000002</v>
      </c>
      <c r="U619" s="40">
        <v>3</v>
      </c>
      <c r="V619" s="47">
        <v>9637.8606132759996</v>
      </c>
      <c r="W619" s="48">
        <v>1984</v>
      </c>
      <c r="X619" s="40"/>
      <c r="Y619" s="52" t="s">
        <v>1081</v>
      </c>
      <c r="Z619" s="40" t="s">
        <v>910</v>
      </c>
      <c r="AA619" s="49">
        <f t="shared" si="88"/>
        <v>227357.13186718084</v>
      </c>
      <c r="AB619" s="71">
        <f t="shared" si="89"/>
        <v>0.80</v>
      </c>
      <c r="AC619" s="49">
        <f t="shared" si="90"/>
        <v>45471.43</v>
      </c>
      <c r="AD619" s="50">
        <f t="shared" si="91"/>
        <v>0</v>
      </c>
      <c r="AE619" s="50">
        <f t="shared" si="92"/>
        <v>0</v>
      </c>
      <c r="AF619" s="50">
        <f t="shared" si="93"/>
        <v>45471.43</v>
      </c>
      <c r="AG619" s="199">
        <f t="shared" si="94"/>
        <v>45471</v>
      </c>
      <c r="AH619" s="187"/>
      <c r="AI619" s="185" t="s">
        <v>1457</v>
      </c>
      <c r="AJ619" s="185"/>
      <c r="AK619" s="277">
        <f t="shared" si="87"/>
        <v>9637.86</v>
      </c>
      <c r="AL619" s="25">
        <f>(SUMIFS('T1 2019 Pipeline Data Lagasco'!$O:$O,'T1 2019 Pipeline Data Lagasco'!$A:$A,'Dec 31 2018 OFFS'!$AI619,'T1 2019 Pipeline Data Lagasco'!$Q:$Q,'Dec 31 2018 OFFS'!$AK619,'T1 2019 Pipeline Data Lagasco'!$E:$E,'Dec 31 2018 OFFS'!$U619,'T1 2019 Pipeline Data Lagasco'!$G:$G,'Dec 31 2018 OFFS'!$W619))/(MAX(COUNTIFS('T1 2019 Pipeline Data Lagasco'!$A:$A,'Dec 31 2018 OFFS'!$AI619,'T1 2019 Pipeline Data Lagasco'!$Q:$Q,'Dec 31 2018 OFFS'!$AK619,'T1 2019 Pipeline Data Lagasco'!$E:$E,'Dec 31 2018 OFFS'!$U619,'T1 2019 Pipeline Data Lagasco'!$G:$G,'Dec 31 2018 OFFS'!$W619),1))</f>
        <v>45471</v>
      </c>
      <c r="AM619" s="274">
        <f t="shared" si="95"/>
        <v>0</v>
      </c>
    </row>
    <row r="620" spans="1:39" ht="12.7">
      <c r="A620" s="193" t="s">
        <v>909</v>
      </c>
      <c r="B620" s="40" t="s">
        <v>918</v>
      </c>
      <c r="C620" s="40" t="s">
        <v>1266</v>
      </c>
      <c r="D620" s="40" t="s">
        <v>229</v>
      </c>
      <c r="E620" s="40" t="s">
        <v>231</v>
      </c>
      <c r="F620" s="40"/>
      <c r="G620" s="41" t="s">
        <v>278</v>
      </c>
      <c r="H620" s="42">
        <v>42</v>
      </c>
      <c r="I620" s="43">
        <v>41</v>
      </c>
      <c r="J620" s="44">
        <v>31.595</v>
      </c>
      <c r="K620" s="45">
        <v>79</v>
      </c>
      <c r="L620" s="43">
        <v>58</v>
      </c>
      <c r="M620" s="46">
        <v>27.189</v>
      </c>
      <c r="N620" s="40" t="s">
        <v>279</v>
      </c>
      <c r="O620" s="42" t="s">
        <v>78</v>
      </c>
      <c r="P620" s="43" t="s">
        <v>280</v>
      </c>
      <c r="Q620" s="44" t="s">
        <v>281</v>
      </c>
      <c r="R620" s="45">
        <v>79</v>
      </c>
      <c r="S620" s="43">
        <v>59</v>
      </c>
      <c r="T620" s="46">
        <v>34.79</v>
      </c>
      <c r="U620" s="40">
        <v>3</v>
      </c>
      <c r="V620" s="47">
        <v>9872.6703177620002</v>
      </c>
      <c r="W620" s="48">
        <v>1978</v>
      </c>
      <c r="X620" s="40"/>
      <c r="Y620" s="52" t="s">
        <v>1081</v>
      </c>
      <c r="Z620" s="40" t="s">
        <v>910</v>
      </c>
      <c r="AA620" s="49">
        <f t="shared" si="88"/>
        <v>232896.29279600558</v>
      </c>
      <c r="AB620" s="71">
        <f t="shared" si="89"/>
        <v>0.80</v>
      </c>
      <c r="AC620" s="49">
        <f t="shared" si="90"/>
        <v>46579.26</v>
      </c>
      <c r="AD620" s="50">
        <f t="shared" si="91"/>
        <v>0</v>
      </c>
      <c r="AE620" s="50">
        <f t="shared" si="92"/>
        <v>0</v>
      </c>
      <c r="AF620" s="50">
        <f t="shared" si="93"/>
        <v>46579.26</v>
      </c>
      <c r="AG620" s="199">
        <f t="shared" si="94"/>
        <v>46579</v>
      </c>
      <c r="AH620" s="187"/>
      <c r="AI620" s="185" t="s">
        <v>1457</v>
      </c>
      <c r="AJ620" s="185"/>
      <c r="AK620" s="277">
        <f t="shared" si="87"/>
        <v>9872.67</v>
      </c>
      <c r="AL620" s="25">
        <f>(SUMIFS('T1 2019 Pipeline Data Lagasco'!$O:$O,'T1 2019 Pipeline Data Lagasco'!$A:$A,'Dec 31 2018 OFFS'!$AI620,'T1 2019 Pipeline Data Lagasco'!$Q:$Q,'Dec 31 2018 OFFS'!$AK620,'T1 2019 Pipeline Data Lagasco'!$E:$E,'Dec 31 2018 OFFS'!$U620,'T1 2019 Pipeline Data Lagasco'!$G:$G,'Dec 31 2018 OFFS'!$W620))/(MAX(COUNTIFS('T1 2019 Pipeline Data Lagasco'!$A:$A,'Dec 31 2018 OFFS'!$AI620,'T1 2019 Pipeline Data Lagasco'!$Q:$Q,'Dec 31 2018 OFFS'!$AK620,'T1 2019 Pipeline Data Lagasco'!$E:$E,'Dec 31 2018 OFFS'!$U620,'T1 2019 Pipeline Data Lagasco'!$G:$G,'Dec 31 2018 OFFS'!$W620),1))</f>
        <v>46579</v>
      </c>
      <c r="AM620" s="274">
        <f t="shared" si="95"/>
        <v>0</v>
      </c>
    </row>
    <row r="621" spans="1:39" ht="12.7">
      <c r="A621" s="193" t="s">
        <v>909</v>
      </c>
      <c r="B621" s="40" t="s">
        <v>918</v>
      </c>
      <c r="C621" s="40" t="s">
        <v>1266</v>
      </c>
      <c r="D621" s="40" t="s">
        <v>229</v>
      </c>
      <c r="E621" s="40" t="s">
        <v>231</v>
      </c>
      <c r="F621" s="40"/>
      <c r="G621" s="41" t="s">
        <v>278</v>
      </c>
      <c r="H621" s="42">
        <v>42</v>
      </c>
      <c r="I621" s="43">
        <v>41</v>
      </c>
      <c r="J621" s="44">
        <v>31.595</v>
      </c>
      <c r="K621" s="45">
        <v>79</v>
      </c>
      <c r="L621" s="43">
        <v>58</v>
      </c>
      <c r="M621" s="46">
        <v>27.189</v>
      </c>
      <c r="N621" s="41" t="s">
        <v>282</v>
      </c>
      <c r="O621" s="42">
        <v>42</v>
      </c>
      <c r="P621" s="43">
        <v>41</v>
      </c>
      <c r="Q621" s="44">
        <v>40.207000000000001</v>
      </c>
      <c r="R621" s="45">
        <v>79</v>
      </c>
      <c r="S621" s="43">
        <v>56</v>
      </c>
      <c r="T621" s="46">
        <v>18.803999999999998</v>
      </c>
      <c r="U621" s="40">
        <v>3</v>
      </c>
      <c r="V621" s="47">
        <v>9624</v>
      </c>
      <c r="W621" s="48">
        <v>1978</v>
      </c>
      <c r="X621" s="40"/>
      <c r="Y621" s="52" t="s">
        <v>1081</v>
      </c>
      <c r="Z621" s="40" t="s">
        <v>910</v>
      </c>
      <c r="AA621" s="49">
        <f t="shared" si="88"/>
        <v>227030.16</v>
      </c>
      <c r="AB621" s="71">
        <f t="shared" si="89"/>
        <v>0.80</v>
      </c>
      <c r="AC621" s="49">
        <f t="shared" si="90"/>
        <v>45406.03</v>
      </c>
      <c r="AD621" s="50">
        <f t="shared" si="91"/>
        <v>0</v>
      </c>
      <c r="AE621" s="50">
        <f t="shared" si="92"/>
        <v>0</v>
      </c>
      <c r="AF621" s="50">
        <f t="shared" si="93"/>
        <v>45406.03</v>
      </c>
      <c r="AG621" s="199">
        <f t="shared" si="94"/>
        <v>45406</v>
      </c>
      <c r="AH621" s="187"/>
      <c r="AI621" s="185" t="s">
        <v>1457</v>
      </c>
      <c r="AJ621" s="185"/>
      <c r="AK621" s="277">
        <f t="shared" si="87"/>
        <v>9624</v>
      </c>
      <c r="AL621" s="25">
        <f>(SUMIFS('T1 2019 Pipeline Data Lagasco'!$O:$O,'T1 2019 Pipeline Data Lagasco'!$A:$A,'Dec 31 2018 OFFS'!$AI621,'T1 2019 Pipeline Data Lagasco'!$Q:$Q,'Dec 31 2018 OFFS'!$AK621,'T1 2019 Pipeline Data Lagasco'!$E:$E,'Dec 31 2018 OFFS'!$U621,'T1 2019 Pipeline Data Lagasco'!$G:$G,'Dec 31 2018 OFFS'!$W621))/(MAX(COUNTIFS('T1 2019 Pipeline Data Lagasco'!$A:$A,'Dec 31 2018 OFFS'!$AI621,'T1 2019 Pipeline Data Lagasco'!$Q:$Q,'Dec 31 2018 OFFS'!$AK621,'T1 2019 Pipeline Data Lagasco'!$E:$E,'Dec 31 2018 OFFS'!$U621,'T1 2019 Pipeline Data Lagasco'!$G:$G,'Dec 31 2018 OFFS'!$W621),1))</f>
        <v>45406</v>
      </c>
      <c r="AM621" s="274">
        <f t="shared" si="95"/>
        <v>0</v>
      </c>
    </row>
    <row r="622" spans="1:39" ht="12.7">
      <c r="A622" s="193" t="s">
        <v>909</v>
      </c>
      <c r="B622" s="40" t="s">
        <v>918</v>
      </c>
      <c r="C622" s="40" t="s">
        <v>1266</v>
      </c>
      <c r="D622" s="40" t="s">
        <v>229</v>
      </c>
      <c r="E622" s="40" t="s">
        <v>231</v>
      </c>
      <c r="F622" s="40"/>
      <c r="G622" s="41" t="s">
        <v>279</v>
      </c>
      <c r="H622" s="42" t="s">
        <v>78</v>
      </c>
      <c r="I622" s="43" t="s">
        <v>280</v>
      </c>
      <c r="J622" s="44" t="s">
        <v>281</v>
      </c>
      <c r="K622" s="45">
        <v>79</v>
      </c>
      <c r="L622" s="43">
        <v>59</v>
      </c>
      <c r="M622" s="46">
        <v>34.79</v>
      </c>
      <c r="N622" s="41" t="s">
        <v>283</v>
      </c>
      <c r="O622" s="42">
        <v>42</v>
      </c>
      <c r="P622" s="43">
        <v>40</v>
      </c>
      <c r="Q622" s="44">
        <f>0.62</f>
        <v>0.62</v>
      </c>
      <c r="R622" s="45">
        <v>80</v>
      </c>
      <c r="S622" s="43">
        <v>1</v>
      </c>
      <c r="T622" s="46">
        <f>0.708*60</f>
        <v>42.48</v>
      </c>
      <c r="U622" s="40">
        <v>3</v>
      </c>
      <c r="V622" s="47">
        <v>9567.7818751480008</v>
      </c>
      <c r="W622" s="48">
        <v>1964</v>
      </c>
      <c r="X622" s="40"/>
      <c r="Y622" s="52" t="s">
        <v>1081</v>
      </c>
      <c r="Z622" s="40" t="s">
        <v>910</v>
      </c>
      <c r="AA622" s="49">
        <f t="shared" si="88"/>
        <v>225703.97443474134</v>
      </c>
      <c r="AB622" s="71">
        <f t="shared" si="89"/>
        <v>0.80</v>
      </c>
      <c r="AC622" s="49">
        <f t="shared" si="90"/>
        <v>45140.79</v>
      </c>
      <c r="AD622" s="50">
        <f t="shared" si="91"/>
        <v>0</v>
      </c>
      <c r="AE622" s="50">
        <f t="shared" si="92"/>
        <v>0</v>
      </c>
      <c r="AF622" s="50">
        <f t="shared" si="93"/>
        <v>45140.79</v>
      </c>
      <c r="AG622" s="199">
        <f t="shared" si="94"/>
        <v>45140</v>
      </c>
      <c r="AH622" s="187"/>
      <c r="AI622" s="185" t="s">
        <v>1457</v>
      </c>
      <c r="AJ622" s="185"/>
      <c r="AK622" s="277">
        <f t="shared" si="87"/>
        <v>9567.7800000000007</v>
      </c>
      <c r="AL622" s="25">
        <f>(SUMIFS('T1 2019 Pipeline Data Lagasco'!$O:$O,'T1 2019 Pipeline Data Lagasco'!$A:$A,'Dec 31 2018 OFFS'!$AI622,'T1 2019 Pipeline Data Lagasco'!$Q:$Q,'Dec 31 2018 OFFS'!$AK622,'T1 2019 Pipeline Data Lagasco'!$E:$E,'Dec 31 2018 OFFS'!$U622,'T1 2019 Pipeline Data Lagasco'!$G:$G,'Dec 31 2018 OFFS'!$W622))/(MAX(COUNTIFS('T1 2019 Pipeline Data Lagasco'!$A:$A,'Dec 31 2018 OFFS'!$AI622,'T1 2019 Pipeline Data Lagasco'!$Q:$Q,'Dec 31 2018 OFFS'!$AK622,'T1 2019 Pipeline Data Lagasco'!$E:$E,'Dec 31 2018 OFFS'!$U622,'T1 2019 Pipeline Data Lagasco'!$G:$G,'Dec 31 2018 OFFS'!$W622),1))</f>
        <v>45140</v>
      </c>
      <c r="AM622" s="274">
        <f t="shared" si="95"/>
        <v>0</v>
      </c>
    </row>
    <row r="623" spans="1:39" ht="12.7">
      <c r="A623" s="193" t="s">
        <v>909</v>
      </c>
      <c r="B623" s="40" t="s">
        <v>918</v>
      </c>
      <c r="C623" s="40" t="s">
        <v>1266</v>
      </c>
      <c r="D623" s="40" t="s">
        <v>229</v>
      </c>
      <c r="E623" s="40" t="s">
        <v>1053</v>
      </c>
      <c r="F623" s="40"/>
      <c r="G623" s="41" t="s">
        <v>234</v>
      </c>
      <c r="H623" s="42">
        <v>42</v>
      </c>
      <c r="I623" s="43">
        <v>44</v>
      </c>
      <c r="J623" s="44">
        <v>45.60</v>
      </c>
      <c r="K623" s="45">
        <v>80</v>
      </c>
      <c r="L623" s="43" t="s">
        <v>1099</v>
      </c>
      <c r="M623" s="46">
        <v>51.48</v>
      </c>
      <c r="N623" s="41" t="s">
        <v>232</v>
      </c>
      <c r="O623" s="42">
        <v>42</v>
      </c>
      <c r="P623" s="43">
        <v>44</v>
      </c>
      <c r="Q623" s="44">
        <v>3.095</v>
      </c>
      <c r="R623" s="45">
        <v>79</v>
      </c>
      <c r="S623" s="43">
        <v>59</v>
      </c>
      <c r="T623" s="46">
        <v>53.997</v>
      </c>
      <c r="U623" s="40">
        <v>2</v>
      </c>
      <c r="V623" s="47">
        <v>6076.246543192</v>
      </c>
      <c r="W623" s="48">
        <v>1964</v>
      </c>
      <c r="X623" s="40"/>
      <c r="Y623" s="52" t="s">
        <v>1081</v>
      </c>
      <c r="Z623" s="40" t="s">
        <v>910</v>
      </c>
      <c r="AA623" s="49">
        <f t="shared" si="88"/>
        <v>98678.243861438066</v>
      </c>
      <c r="AB623" s="71">
        <f t="shared" si="89"/>
        <v>0.80</v>
      </c>
      <c r="AC623" s="49">
        <f t="shared" si="90"/>
        <v>19735.650000000001</v>
      </c>
      <c r="AD623" s="50">
        <f t="shared" si="91"/>
        <v>0</v>
      </c>
      <c r="AE623" s="50">
        <f t="shared" si="92"/>
        <v>0</v>
      </c>
      <c r="AF623" s="50">
        <f t="shared" si="93"/>
        <v>19735.650000000001</v>
      </c>
      <c r="AG623" s="199">
        <f t="shared" si="94"/>
        <v>19735</v>
      </c>
      <c r="AH623" s="187"/>
      <c r="AI623" s="185" t="s">
        <v>1457</v>
      </c>
      <c r="AJ623" s="185"/>
      <c r="AK623" s="277">
        <f t="shared" si="87"/>
        <v>6076.25</v>
      </c>
      <c r="AL623" s="25">
        <f>(SUMIFS('T1 2019 Pipeline Data Lagasco'!$O:$O,'T1 2019 Pipeline Data Lagasco'!$A:$A,'Dec 31 2018 OFFS'!$AI623,'T1 2019 Pipeline Data Lagasco'!$Q:$Q,'Dec 31 2018 OFFS'!$AK623,'T1 2019 Pipeline Data Lagasco'!$E:$E,'Dec 31 2018 OFFS'!$U623,'T1 2019 Pipeline Data Lagasco'!$G:$G,'Dec 31 2018 OFFS'!$W623))/(MAX(COUNTIFS('T1 2019 Pipeline Data Lagasco'!$A:$A,'Dec 31 2018 OFFS'!$AI623,'T1 2019 Pipeline Data Lagasco'!$Q:$Q,'Dec 31 2018 OFFS'!$AK623,'T1 2019 Pipeline Data Lagasco'!$E:$E,'Dec 31 2018 OFFS'!$U623,'T1 2019 Pipeline Data Lagasco'!$G:$G,'Dec 31 2018 OFFS'!$W623),1))</f>
        <v>19735</v>
      </c>
      <c r="AM623" s="274">
        <f t="shared" si="95"/>
        <v>0</v>
      </c>
    </row>
    <row r="624" spans="1:39" ht="12.7">
      <c r="A624" s="193" t="s">
        <v>909</v>
      </c>
      <c r="B624" s="40" t="s">
        <v>918</v>
      </c>
      <c r="C624" s="40" t="s">
        <v>1266</v>
      </c>
      <c r="D624" s="40" t="s">
        <v>229</v>
      </c>
      <c r="E624" s="40" t="s">
        <v>1053</v>
      </c>
      <c r="F624" s="40" t="s">
        <v>1051</v>
      </c>
      <c r="G624" s="41" t="s">
        <v>234</v>
      </c>
      <c r="H624" s="42">
        <v>42</v>
      </c>
      <c r="I624" s="43">
        <v>44</v>
      </c>
      <c r="J624" s="44">
        <v>45.60</v>
      </c>
      <c r="K624" s="45">
        <v>80</v>
      </c>
      <c r="L624" s="43" t="s">
        <v>1099</v>
      </c>
      <c r="M624" s="46">
        <v>51.48</v>
      </c>
      <c r="N624" s="40" t="s">
        <v>227</v>
      </c>
      <c r="O624" s="42">
        <v>42</v>
      </c>
      <c r="P624" s="43">
        <v>45</v>
      </c>
      <c r="Q624" s="44">
        <v>37.08</v>
      </c>
      <c r="R624" s="45">
        <v>80</v>
      </c>
      <c r="S624" s="43">
        <v>1</v>
      </c>
      <c r="T624" s="46">
        <v>8.52</v>
      </c>
      <c r="U624" s="40">
        <v>3</v>
      </c>
      <c r="V624" s="47">
        <v>5364.7636241640002</v>
      </c>
      <c r="W624" s="48">
        <v>1964</v>
      </c>
      <c r="X624" s="40"/>
      <c r="Y624" s="52" t="s">
        <v>1081</v>
      </c>
      <c r="Z624" s="40" t="s">
        <v>910</v>
      </c>
      <c r="AA624" s="49">
        <f t="shared" si="88"/>
        <v>0</v>
      </c>
      <c r="AB624" s="71">
        <f t="shared" si="89"/>
        <v>0.80</v>
      </c>
      <c r="AC624" s="49">
        <f t="shared" si="90"/>
        <v>0</v>
      </c>
      <c r="AD624" s="50">
        <f t="shared" si="91"/>
        <v>0</v>
      </c>
      <c r="AE624" s="50">
        <f t="shared" si="92"/>
        <v>0</v>
      </c>
      <c r="AF624" s="50">
        <f t="shared" si="93"/>
        <v>0</v>
      </c>
      <c r="AG624" s="199">
        <f t="shared" si="94"/>
        <v>0</v>
      </c>
      <c r="AH624" s="187"/>
      <c r="AI624" s="185" t="s">
        <v>1457</v>
      </c>
      <c r="AJ624" s="185"/>
      <c r="AK624" s="277">
        <f t="shared" si="87"/>
        <v>5364.76</v>
      </c>
      <c r="AL624" s="25">
        <f>(SUMIFS('T1 2019 Pipeline Data Lagasco'!$O:$O,'T1 2019 Pipeline Data Lagasco'!$A:$A,'Dec 31 2018 OFFS'!$AI624,'T1 2019 Pipeline Data Lagasco'!$Q:$Q,'Dec 31 2018 OFFS'!$AK624,'T1 2019 Pipeline Data Lagasco'!$E:$E,'Dec 31 2018 OFFS'!$U624,'T1 2019 Pipeline Data Lagasco'!$G:$G,'Dec 31 2018 OFFS'!$W624))/(MAX(COUNTIFS('T1 2019 Pipeline Data Lagasco'!$A:$A,'Dec 31 2018 OFFS'!$AI624,'T1 2019 Pipeline Data Lagasco'!$Q:$Q,'Dec 31 2018 OFFS'!$AK624,'T1 2019 Pipeline Data Lagasco'!$E:$E,'Dec 31 2018 OFFS'!$U624,'T1 2019 Pipeline Data Lagasco'!$G:$G,'Dec 31 2018 OFFS'!$W624),1))</f>
        <v>0</v>
      </c>
      <c r="AM624" s="274">
        <f t="shared" si="95"/>
        <v>0</v>
      </c>
    </row>
    <row r="625" spans="1:39" ht="12.7">
      <c r="A625" s="193" t="s">
        <v>909</v>
      </c>
      <c r="B625" s="40" t="s">
        <v>918</v>
      </c>
      <c r="C625" s="40" t="s">
        <v>1266</v>
      </c>
      <c r="D625" s="40" t="s">
        <v>229</v>
      </c>
      <c r="E625" s="40" t="s">
        <v>1053</v>
      </c>
      <c r="F625" s="139" t="s">
        <v>1051</v>
      </c>
      <c r="G625" s="41" t="s">
        <v>234</v>
      </c>
      <c r="H625" s="42">
        <v>42</v>
      </c>
      <c r="I625" s="43">
        <v>44</v>
      </c>
      <c r="J625" s="44">
        <v>45.60</v>
      </c>
      <c r="K625" s="45">
        <v>80</v>
      </c>
      <c r="L625" s="43" t="s">
        <v>1099</v>
      </c>
      <c r="M625" s="46">
        <v>51.48</v>
      </c>
      <c r="N625" s="41" t="s">
        <v>329</v>
      </c>
      <c r="O625" s="42">
        <v>42</v>
      </c>
      <c r="P625" s="43">
        <v>45</v>
      </c>
      <c r="Q625" s="44">
        <v>20.40</v>
      </c>
      <c r="R625" s="45">
        <v>79</v>
      </c>
      <c r="S625" s="43">
        <v>59</v>
      </c>
      <c r="T625" s="46">
        <v>54.78</v>
      </c>
      <c r="U625" s="40">
        <v>4</v>
      </c>
      <c r="V625" s="47">
        <v>5505.5772683799996</v>
      </c>
      <c r="W625" s="48">
        <v>1964</v>
      </c>
      <c r="X625" s="40"/>
      <c r="Y625" s="52" t="s">
        <v>1081</v>
      </c>
      <c r="Z625" s="40" t="s">
        <v>910</v>
      </c>
      <c r="AA625" s="49">
        <f t="shared" si="88"/>
        <v>0</v>
      </c>
      <c r="AB625" s="71">
        <f t="shared" si="89"/>
        <v>0.80</v>
      </c>
      <c r="AC625" s="49">
        <f t="shared" si="90"/>
        <v>0</v>
      </c>
      <c r="AD625" s="50">
        <f t="shared" si="91"/>
        <v>0</v>
      </c>
      <c r="AE625" s="50">
        <f t="shared" si="92"/>
        <v>0</v>
      </c>
      <c r="AF625" s="50">
        <f t="shared" si="93"/>
        <v>0</v>
      </c>
      <c r="AG625" s="199">
        <f t="shared" si="94"/>
        <v>0</v>
      </c>
      <c r="AH625" s="187"/>
      <c r="AI625" s="185" t="s">
        <v>1457</v>
      </c>
      <c r="AJ625" s="185"/>
      <c r="AK625" s="277">
        <f t="shared" si="87"/>
        <v>5505.58</v>
      </c>
      <c r="AL625" s="25">
        <f>(SUMIFS('T1 2019 Pipeline Data Lagasco'!$O:$O,'T1 2019 Pipeline Data Lagasco'!$A:$A,'Dec 31 2018 OFFS'!$AI625,'T1 2019 Pipeline Data Lagasco'!$Q:$Q,'Dec 31 2018 OFFS'!$AK625,'T1 2019 Pipeline Data Lagasco'!$E:$E,'Dec 31 2018 OFFS'!$U625,'T1 2019 Pipeline Data Lagasco'!$G:$G,'Dec 31 2018 OFFS'!$W625))/(MAX(COUNTIFS('T1 2019 Pipeline Data Lagasco'!$A:$A,'Dec 31 2018 OFFS'!$AI625,'T1 2019 Pipeline Data Lagasco'!$Q:$Q,'Dec 31 2018 OFFS'!$AK625,'T1 2019 Pipeline Data Lagasco'!$E:$E,'Dec 31 2018 OFFS'!$U625,'T1 2019 Pipeline Data Lagasco'!$G:$G,'Dec 31 2018 OFFS'!$W625),1))</f>
        <v>0</v>
      </c>
      <c r="AM625" s="274">
        <f t="shared" si="95"/>
        <v>0</v>
      </c>
    </row>
    <row r="626" spans="1:39" ht="12.7">
      <c r="A626" s="193" t="s">
        <v>909</v>
      </c>
      <c r="B626" s="40" t="s">
        <v>918</v>
      </c>
      <c r="C626" s="40" t="s">
        <v>1266</v>
      </c>
      <c r="D626" s="40" t="s">
        <v>229</v>
      </c>
      <c r="E626" s="40" t="s">
        <v>1053</v>
      </c>
      <c r="F626" s="40"/>
      <c r="G626" s="41" t="s">
        <v>237</v>
      </c>
      <c r="H626" s="42">
        <v>42</v>
      </c>
      <c r="I626" s="43">
        <v>44</v>
      </c>
      <c r="J626" s="44">
        <f>0.468*60</f>
        <v>28.08</v>
      </c>
      <c r="K626" s="45">
        <v>80</v>
      </c>
      <c r="L626" s="43">
        <v>1</v>
      </c>
      <c r="M626" s="46">
        <f>0.985*60</f>
        <v>59.10</v>
      </c>
      <c r="N626" s="40" t="s">
        <v>234</v>
      </c>
      <c r="O626" s="42">
        <v>42</v>
      </c>
      <c r="P626" s="43">
        <v>44</v>
      </c>
      <c r="Q626" s="44">
        <v>45.60</v>
      </c>
      <c r="R626" s="45">
        <v>80</v>
      </c>
      <c r="S626" s="43">
        <v>0</v>
      </c>
      <c r="T626" s="46">
        <v>51.48</v>
      </c>
      <c r="U626" s="40">
        <v>3</v>
      </c>
      <c r="V626" s="47">
        <v>5348.6547007459994</v>
      </c>
      <c r="W626" s="48">
        <v>1978</v>
      </c>
      <c r="X626" s="40"/>
      <c r="Y626" s="52" t="s">
        <v>1081</v>
      </c>
      <c r="Z626" s="40" t="s">
        <v>910</v>
      </c>
      <c r="AA626" s="49">
        <f t="shared" si="88"/>
        <v>126174.76439059812</v>
      </c>
      <c r="AB626" s="71">
        <f t="shared" si="89"/>
        <v>0.80</v>
      </c>
      <c r="AC626" s="49">
        <f t="shared" si="90"/>
        <v>25234.95</v>
      </c>
      <c r="AD626" s="50">
        <f t="shared" si="91"/>
        <v>0</v>
      </c>
      <c r="AE626" s="50">
        <f t="shared" si="92"/>
        <v>0</v>
      </c>
      <c r="AF626" s="50">
        <f t="shared" si="93"/>
        <v>25234.95</v>
      </c>
      <c r="AG626" s="199">
        <f t="shared" si="94"/>
        <v>25234</v>
      </c>
      <c r="AH626" s="187"/>
      <c r="AI626" s="185" t="s">
        <v>1457</v>
      </c>
      <c r="AJ626" s="185"/>
      <c r="AK626" s="277">
        <f t="shared" si="87"/>
        <v>5348.65</v>
      </c>
      <c r="AL626" s="25">
        <f>(SUMIFS('T1 2019 Pipeline Data Lagasco'!$O:$O,'T1 2019 Pipeline Data Lagasco'!$A:$A,'Dec 31 2018 OFFS'!$AI626,'T1 2019 Pipeline Data Lagasco'!$Q:$Q,'Dec 31 2018 OFFS'!$AK626,'T1 2019 Pipeline Data Lagasco'!$E:$E,'Dec 31 2018 OFFS'!$U626,'T1 2019 Pipeline Data Lagasco'!$G:$G,'Dec 31 2018 OFFS'!$W626))/(MAX(COUNTIFS('T1 2019 Pipeline Data Lagasco'!$A:$A,'Dec 31 2018 OFFS'!$AI626,'T1 2019 Pipeline Data Lagasco'!$Q:$Q,'Dec 31 2018 OFFS'!$AK626,'T1 2019 Pipeline Data Lagasco'!$E:$E,'Dec 31 2018 OFFS'!$U626,'T1 2019 Pipeline Data Lagasco'!$G:$G,'Dec 31 2018 OFFS'!$W626),1))</f>
        <v>25234</v>
      </c>
      <c r="AM626" s="274">
        <f t="shared" si="95"/>
        <v>0</v>
      </c>
    </row>
    <row r="627" spans="1:39" ht="12.7">
      <c r="A627" s="193" t="s">
        <v>909</v>
      </c>
      <c r="B627" s="40" t="s">
        <v>918</v>
      </c>
      <c r="C627" s="40" t="s">
        <v>1266</v>
      </c>
      <c r="D627" s="40" t="s">
        <v>229</v>
      </c>
      <c r="E627" s="40" t="s">
        <v>1053</v>
      </c>
      <c r="F627" s="40" t="s">
        <v>1051</v>
      </c>
      <c r="G627" s="41" t="s">
        <v>236</v>
      </c>
      <c r="H627" s="42">
        <v>42</v>
      </c>
      <c r="I627" s="43">
        <v>44</v>
      </c>
      <c r="J627" s="44">
        <f>0.732*60</f>
        <v>43.92</v>
      </c>
      <c r="K627" s="45">
        <v>80</v>
      </c>
      <c r="L627" s="43">
        <v>3</v>
      </c>
      <c r="M627" s="46">
        <f>0.25*60</f>
        <v>15</v>
      </c>
      <c r="N627" s="40" t="s">
        <v>235</v>
      </c>
      <c r="O627" s="42">
        <v>42</v>
      </c>
      <c r="P627" s="43">
        <v>45</v>
      </c>
      <c r="Q627" s="44">
        <f>0.167*60</f>
        <v>10.020000000000001</v>
      </c>
      <c r="R627" s="45">
        <v>80</v>
      </c>
      <c r="S627" s="43">
        <v>3</v>
      </c>
      <c r="T627" s="46">
        <f>0.787*60</f>
        <v>47.22</v>
      </c>
      <c r="U627" s="40">
        <v>2</v>
      </c>
      <c r="V627" s="47">
        <v>3572.41</v>
      </c>
      <c r="W627" s="48">
        <v>1964</v>
      </c>
      <c r="X627" s="40"/>
      <c r="Y627" s="52"/>
      <c r="Z627" s="40" t="s">
        <v>910</v>
      </c>
      <c r="AA627" s="49">
        <f t="shared" si="88"/>
        <v>0</v>
      </c>
      <c r="AB627" s="71">
        <f t="shared" si="89"/>
        <v>0.80</v>
      </c>
      <c r="AC627" s="49">
        <f t="shared" si="90"/>
        <v>0</v>
      </c>
      <c r="AD627" s="50">
        <f t="shared" si="91"/>
        <v>0</v>
      </c>
      <c r="AE627" s="50">
        <f t="shared" si="92"/>
        <v>0</v>
      </c>
      <c r="AF627" s="50">
        <f t="shared" si="93"/>
        <v>0</v>
      </c>
      <c r="AG627" s="199">
        <f t="shared" si="94"/>
        <v>0</v>
      </c>
      <c r="AH627" s="187"/>
      <c r="AI627" s="185" t="s">
        <v>1457</v>
      </c>
      <c r="AJ627" s="185"/>
      <c r="AK627" s="277">
        <f t="shared" si="87"/>
        <v>3572.41</v>
      </c>
      <c r="AL627" s="25">
        <f>(SUMIFS('T1 2019 Pipeline Data Lagasco'!$O:$O,'T1 2019 Pipeline Data Lagasco'!$A:$A,'Dec 31 2018 OFFS'!$AI627,'T1 2019 Pipeline Data Lagasco'!$Q:$Q,'Dec 31 2018 OFFS'!$AK627,'T1 2019 Pipeline Data Lagasco'!$E:$E,'Dec 31 2018 OFFS'!$U627,'T1 2019 Pipeline Data Lagasco'!$G:$G,'Dec 31 2018 OFFS'!$W627))/(MAX(COUNTIFS('T1 2019 Pipeline Data Lagasco'!$A:$A,'Dec 31 2018 OFFS'!$AI627,'T1 2019 Pipeline Data Lagasco'!$Q:$Q,'Dec 31 2018 OFFS'!$AK627,'T1 2019 Pipeline Data Lagasco'!$E:$E,'Dec 31 2018 OFFS'!$U627,'T1 2019 Pipeline Data Lagasco'!$G:$G,'Dec 31 2018 OFFS'!$W627),1))</f>
        <v>0</v>
      </c>
      <c r="AM627" s="274">
        <f t="shared" si="95"/>
        <v>0</v>
      </c>
    </row>
    <row r="628" spans="1:39" ht="12.7">
      <c r="A628" s="193" t="s">
        <v>909</v>
      </c>
      <c r="B628" s="40" t="s">
        <v>918</v>
      </c>
      <c r="C628" s="40" t="s">
        <v>1266</v>
      </c>
      <c r="D628" s="40" t="s">
        <v>229</v>
      </c>
      <c r="E628" s="40" t="s">
        <v>1053</v>
      </c>
      <c r="F628" s="40"/>
      <c r="G628" s="41" t="s">
        <v>236</v>
      </c>
      <c r="H628" s="42">
        <v>42</v>
      </c>
      <c r="I628" s="43">
        <v>44</v>
      </c>
      <c r="J628" s="44">
        <f>0.732*60</f>
        <v>43.92</v>
      </c>
      <c r="K628" s="45">
        <v>80</v>
      </c>
      <c r="L628" s="43">
        <v>3</v>
      </c>
      <c r="M628" s="46">
        <f>0.25*60</f>
        <v>15</v>
      </c>
      <c r="N628" s="40" t="s">
        <v>237</v>
      </c>
      <c r="O628" s="42">
        <v>42</v>
      </c>
      <c r="P628" s="43">
        <v>44</v>
      </c>
      <c r="Q628" s="44">
        <f>0.468*60</f>
        <v>28.08</v>
      </c>
      <c r="R628" s="45">
        <v>80</v>
      </c>
      <c r="S628" s="43">
        <v>1</v>
      </c>
      <c r="T628" s="46">
        <f>0.985*60</f>
        <v>59.10</v>
      </c>
      <c r="U628" s="40">
        <v>2</v>
      </c>
      <c r="V628" s="47">
        <v>5886.4827691600003</v>
      </c>
      <c r="W628" s="48">
        <v>1964</v>
      </c>
      <c r="X628" s="40"/>
      <c r="Y628" s="52" t="s">
        <v>1081</v>
      </c>
      <c r="Z628" s="40" t="s">
        <v>910</v>
      </c>
      <c r="AA628" s="49">
        <f t="shared" si="88"/>
        <v>95596.4801711584</v>
      </c>
      <c r="AB628" s="71">
        <f t="shared" si="89"/>
        <v>0.80</v>
      </c>
      <c r="AC628" s="49">
        <f t="shared" si="90"/>
        <v>19119.30</v>
      </c>
      <c r="AD628" s="50">
        <f t="shared" si="91"/>
        <v>0</v>
      </c>
      <c r="AE628" s="50">
        <f t="shared" si="92"/>
        <v>0</v>
      </c>
      <c r="AF628" s="50">
        <f t="shared" si="93"/>
        <v>19119.30</v>
      </c>
      <c r="AG628" s="199">
        <f t="shared" si="94"/>
        <v>19119</v>
      </c>
      <c r="AH628" s="187"/>
      <c r="AI628" s="185" t="s">
        <v>1457</v>
      </c>
      <c r="AJ628" s="185"/>
      <c r="AK628" s="277">
        <f t="shared" si="87"/>
        <v>5886.48</v>
      </c>
      <c r="AL628" s="25">
        <f>(SUMIFS('T1 2019 Pipeline Data Lagasco'!$O:$O,'T1 2019 Pipeline Data Lagasco'!$A:$A,'Dec 31 2018 OFFS'!$AI628,'T1 2019 Pipeline Data Lagasco'!$Q:$Q,'Dec 31 2018 OFFS'!$AK628,'T1 2019 Pipeline Data Lagasco'!$E:$E,'Dec 31 2018 OFFS'!$U628,'T1 2019 Pipeline Data Lagasco'!$G:$G,'Dec 31 2018 OFFS'!$W628))/(MAX(COUNTIFS('T1 2019 Pipeline Data Lagasco'!$A:$A,'Dec 31 2018 OFFS'!$AI628,'T1 2019 Pipeline Data Lagasco'!$Q:$Q,'Dec 31 2018 OFFS'!$AK628,'T1 2019 Pipeline Data Lagasco'!$E:$E,'Dec 31 2018 OFFS'!$U628,'T1 2019 Pipeline Data Lagasco'!$G:$G,'Dec 31 2018 OFFS'!$W628),1))</f>
        <v>19119</v>
      </c>
      <c r="AM628" s="274">
        <f t="shared" si="95"/>
        <v>0</v>
      </c>
    </row>
    <row r="629" spans="1:39" ht="12.7">
      <c r="A629" s="193" t="s">
        <v>909</v>
      </c>
      <c r="B629" s="40" t="s">
        <v>918</v>
      </c>
      <c r="C629" s="40" t="s">
        <v>1266</v>
      </c>
      <c r="D629" s="40" t="s">
        <v>229</v>
      </c>
      <c r="E629" s="40" t="s">
        <v>1053</v>
      </c>
      <c r="F629" s="40"/>
      <c r="G629" s="41" t="s">
        <v>262</v>
      </c>
      <c r="H629" s="42">
        <v>42</v>
      </c>
      <c r="I629" s="43">
        <v>44</v>
      </c>
      <c r="J629" s="44">
        <f>0.538*60</f>
        <v>32.28</v>
      </c>
      <c r="K629" s="45">
        <v>80</v>
      </c>
      <c r="L629" s="43">
        <v>3</v>
      </c>
      <c r="M629" s="46">
        <f>0.768*60</f>
        <v>46.08</v>
      </c>
      <c r="N629" s="40" t="s">
        <v>238</v>
      </c>
      <c r="O629" s="42">
        <v>42</v>
      </c>
      <c r="P629" s="43">
        <v>44</v>
      </c>
      <c r="Q629" s="44">
        <f>0.048*60</f>
        <v>2.88</v>
      </c>
      <c r="R629" s="45">
        <v>80</v>
      </c>
      <c r="S629" s="43">
        <v>3</v>
      </c>
      <c r="T629" s="46">
        <f>0.063*60</f>
        <v>3.78</v>
      </c>
      <c r="U629" s="40">
        <v>3</v>
      </c>
      <c r="V629" s="47">
        <v>4338.7465935099999</v>
      </c>
      <c r="W629" s="48">
        <v>1985</v>
      </c>
      <c r="X629" s="40"/>
      <c r="Y629" s="52" t="s">
        <v>1081</v>
      </c>
      <c r="Z629" s="40" t="s">
        <v>910</v>
      </c>
      <c r="AA629" s="49">
        <f t="shared" si="88"/>
        <v>102351.03214090089</v>
      </c>
      <c r="AB629" s="71">
        <f t="shared" si="89"/>
        <v>0.80</v>
      </c>
      <c r="AC629" s="49">
        <f t="shared" si="90"/>
        <v>20470.21</v>
      </c>
      <c r="AD629" s="50">
        <f t="shared" si="91"/>
        <v>0</v>
      </c>
      <c r="AE629" s="50">
        <f t="shared" si="92"/>
        <v>0</v>
      </c>
      <c r="AF629" s="50">
        <f t="shared" si="93"/>
        <v>20470.21</v>
      </c>
      <c r="AG629" s="199">
        <f t="shared" si="94"/>
        <v>20470</v>
      </c>
      <c r="AH629" s="187"/>
      <c r="AI629" s="185" t="s">
        <v>1457</v>
      </c>
      <c r="AJ629" s="185"/>
      <c r="AK629" s="277">
        <f t="shared" si="87"/>
        <v>4338.75</v>
      </c>
      <c r="AL629" s="25">
        <f>(SUMIFS('T1 2019 Pipeline Data Lagasco'!$O:$O,'T1 2019 Pipeline Data Lagasco'!$A:$A,'Dec 31 2018 OFFS'!$AI629,'T1 2019 Pipeline Data Lagasco'!$Q:$Q,'Dec 31 2018 OFFS'!$AK629,'T1 2019 Pipeline Data Lagasco'!$E:$E,'Dec 31 2018 OFFS'!$U629,'T1 2019 Pipeline Data Lagasco'!$G:$G,'Dec 31 2018 OFFS'!$W629))/(MAX(COUNTIFS('T1 2019 Pipeline Data Lagasco'!$A:$A,'Dec 31 2018 OFFS'!$AI629,'T1 2019 Pipeline Data Lagasco'!$Q:$Q,'Dec 31 2018 OFFS'!$AK629,'T1 2019 Pipeline Data Lagasco'!$E:$E,'Dec 31 2018 OFFS'!$U629,'T1 2019 Pipeline Data Lagasco'!$G:$G,'Dec 31 2018 OFFS'!$W629),1))</f>
        <v>20470</v>
      </c>
      <c r="AM629" s="274">
        <f t="shared" si="95"/>
        <v>0</v>
      </c>
    </row>
    <row r="630" spans="1:39" ht="12.7">
      <c r="A630" s="193" t="s">
        <v>909</v>
      </c>
      <c r="B630" s="40" t="s">
        <v>918</v>
      </c>
      <c r="C630" s="40" t="s">
        <v>1266</v>
      </c>
      <c r="D630" s="40" t="s">
        <v>229</v>
      </c>
      <c r="E630" s="40" t="s">
        <v>1053</v>
      </c>
      <c r="F630" s="40"/>
      <c r="G630" s="41" t="s">
        <v>262</v>
      </c>
      <c r="H630" s="42">
        <v>42</v>
      </c>
      <c r="I630" s="43">
        <v>44</v>
      </c>
      <c r="J630" s="44">
        <f>0.538*60</f>
        <v>32.28</v>
      </c>
      <c r="K630" s="45">
        <v>80</v>
      </c>
      <c r="L630" s="43">
        <v>3</v>
      </c>
      <c r="M630" s="46">
        <f>0.768*60</f>
        <v>46.08</v>
      </c>
      <c r="N630" s="40" t="s">
        <v>236</v>
      </c>
      <c r="O630" s="42">
        <v>42</v>
      </c>
      <c r="P630" s="43">
        <v>44</v>
      </c>
      <c r="Q630" s="44">
        <f>0.732*60</f>
        <v>43.92</v>
      </c>
      <c r="R630" s="45">
        <v>80</v>
      </c>
      <c r="S630" s="43">
        <v>3</v>
      </c>
      <c r="T630" s="46">
        <f>0.25*60</f>
        <v>15</v>
      </c>
      <c r="U630" s="40">
        <v>3</v>
      </c>
      <c r="V630" s="47">
        <v>2601.4763026139999</v>
      </c>
      <c r="W630" s="48">
        <v>1985</v>
      </c>
      <c r="X630" s="40"/>
      <c r="Y630" s="52" t="s">
        <v>1081</v>
      </c>
      <c r="Z630" s="40" t="s">
        <v>910</v>
      </c>
      <c r="AA630" s="49">
        <f t="shared" si="88"/>
        <v>61368.825978664259</v>
      </c>
      <c r="AB630" s="71">
        <f t="shared" si="89"/>
        <v>0.80</v>
      </c>
      <c r="AC630" s="49">
        <f t="shared" si="90"/>
        <v>12273.77</v>
      </c>
      <c r="AD630" s="50">
        <f t="shared" si="91"/>
        <v>0</v>
      </c>
      <c r="AE630" s="50">
        <f t="shared" si="92"/>
        <v>0</v>
      </c>
      <c r="AF630" s="50">
        <f t="shared" si="93"/>
        <v>12273.77</v>
      </c>
      <c r="AG630" s="199">
        <f t="shared" si="94"/>
        <v>12273</v>
      </c>
      <c r="AH630" s="187"/>
      <c r="AI630" s="185" t="s">
        <v>1457</v>
      </c>
      <c r="AJ630" s="185"/>
      <c r="AK630" s="277">
        <f t="shared" si="87"/>
        <v>2601.48</v>
      </c>
      <c r="AL630" s="25">
        <f>(SUMIFS('T1 2019 Pipeline Data Lagasco'!$O:$O,'T1 2019 Pipeline Data Lagasco'!$A:$A,'Dec 31 2018 OFFS'!$AI630,'T1 2019 Pipeline Data Lagasco'!$Q:$Q,'Dec 31 2018 OFFS'!$AK630,'T1 2019 Pipeline Data Lagasco'!$E:$E,'Dec 31 2018 OFFS'!$U630,'T1 2019 Pipeline Data Lagasco'!$G:$G,'Dec 31 2018 OFFS'!$W630))/(MAX(COUNTIFS('T1 2019 Pipeline Data Lagasco'!$A:$A,'Dec 31 2018 OFFS'!$AI630,'T1 2019 Pipeline Data Lagasco'!$Q:$Q,'Dec 31 2018 OFFS'!$AK630,'T1 2019 Pipeline Data Lagasco'!$E:$E,'Dec 31 2018 OFFS'!$U630,'T1 2019 Pipeline Data Lagasco'!$G:$G,'Dec 31 2018 OFFS'!$W630),1))</f>
        <v>12273</v>
      </c>
      <c r="AM630" s="274">
        <f t="shared" si="95"/>
        <v>0</v>
      </c>
    </row>
    <row r="631" spans="1:39" ht="12.7">
      <c r="A631" s="193" t="s">
        <v>909</v>
      </c>
      <c r="B631" s="40" t="s">
        <v>918</v>
      </c>
      <c r="C631" s="40" t="s">
        <v>1266</v>
      </c>
      <c r="D631" s="40" t="s">
        <v>229</v>
      </c>
      <c r="E631" s="40" t="s">
        <v>1053</v>
      </c>
      <c r="F631" s="40"/>
      <c r="G631" s="41" t="s">
        <v>262</v>
      </c>
      <c r="H631" s="42">
        <v>42</v>
      </c>
      <c r="I631" s="43">
        <v>44</v>
      </c>
      <c r="J631" s="44">
        <f>0.538*60</f>
        <v>32.28</v>
      </c>
      <c r="K631" s="45">
        <v>80</v>
      </c>
      <c r="L631" s="43">
        <v>3</v>
      </c>
      <c r="M631" s="46">
        <f>0.768*60</f>
        <v>46.08</v>
      </c>
      <c r="N631" s="41" t="s">
        <v>284</v>
      </c>
      <c r="O631" s="42">
        <v>42</v>
      </c>
      <c r="P631" s="43">
        <v>44</v>
      </c>
      <c r="Q631" s="44">
        <f>0.418*60</f>
        <v>25.08</v>
      </c>
      <c r="R631" s="45">
        <v>80</v>
      </c>
      <c r="S631" s="43">
        <v>4</v>
      </c>
      <c r="T631" s="46">
        <f>0.405*60</f>
        <v>24.30</v>
      </c>
      <c r="U631" s="40">
        <v>3</v>
      </c>
      <c r="V631" s="47">
        <v>2943.7991273459998</v>
      </c>
      <c r="W631" s="48">
        <v>1964</v>
      </c>
      <c r="X631" s="40"/>
      <c r="Y631" s="52" t="s">
        <v>1081</v>
      </c>
      <c r="Z631" s="40" t="s">
        <v>910</v>
      </c>
      <c r="AA631" s="49">
        <f t="shared" si="88"/>
        <v>69444.221414092128</v>
      </c>
      <c r="AB631" s="71">
        <f t="shared" si="89"/>
        <v>0.80</v>
      </c>
      <c r="AC631" s="49">
        <f t="shared" si="90"/>
        <v>13888.84</v>
      </c>
      <c r="AD631" s="50">
        <f t="shared" si="91"/>
        <v>0</v>
      </c>
      <c r="AE631" s="50">
        <f t="shared" si="92"/>
        <v>0</v>
      </c>
      <c r="AF631" s="50">
        <f t="shared" si="93"/>
        <v>13888.84</v>
      </c>
      <c r="AG631" s="199">
        <f t="shared" si="94"/>
        <v>13888</v>
      </c>
      <c r="AH631" s="187"/>
      <c r="AI631" s="185" t="s">
        <v>1457</v>
      </c>
      <c r="AJ631" s="185"/>
      <c r="AK631" s="277">
        <f t="shared" si="87"/>
        <v>2943.80</v>
      </c>
      <c r="AL631" s="25">
        <f>(SUMIFS('T1 2019 Pipeline Data Lagasco'!$O:$O,'T1 2019 Pipeline Data Lagasco'!$A:$A,'Dec 31 2018 OFFS'!$AI631,'T1 2019 Pipeline Data Lagasco'!$Q:$Q,'Dec 31 2018 OFFS'!$AK631,'T1 2019 Pipeline Data Lagasco'!$E:$E,'Dec 31 2018 OFFS'!$U631,'T1 2019 Pipeline Data Lagasco'!$G:$G,'Dec 31 2018 OFFS'!$W631))/(MAX(COUNTIFS('T1 2019 Pipeline Data Lagasco'!$A:$A,'Dec 31 2018 OFFS'!$AI631,'T1 2019 Pipeline Data Lagasco'!$Q:$Q,'Dec 31 2018 OFFS'!$AK631,'T1 2019 Pipeline Data Lagasco'!$E:$E,'Dec 31 2018 OFFS'!$U631,'T1 2019 Pipeline Data Lagasco'!$G:$G,'Dec 31 2018 OFFS'!$W631),1))</f>
        <v>13888</v>
      </c>
      <c r="AM631" s="274">
        <f t="shared" si="95"/>
        <v>0</v>
      </c>
    </row>
    <row r="632" spans="1:39" ht="12.7">
      <c r="A632" s="193" t="s">
        <v>909</v>
      </c>
      <c r="B632" s="40" t="s">
        <v>918</v>
      </c>
      <c r="C632" s="40" t="s">
        <v>1266</v>
      </c>
      <c r="D632" s="40" t="s">
        <v>229</v>
      </c>
      <c r="E632" s="40" t="s">
        <v>1053</v>
      </c>
      <c r="F632" s="40"/>
      <c r="G632" s="41" t="s">
        <v>238</v>
      </c>
      <c r="H632" s="42">
        <v>42</v>
      </c>
      <c r="I632" s="43">
        <v>44</v>
      </c>
      <c r="J632" s="44">
        <f>0.048*60</f>
        <v>2.88</v>
      </c>
      <c r="K632" s="45">
        <v>80</v>
      </c>
      <c r="L632" s="43">
        <v>3</v>
      </c>
      <c r="M632" s="46">
        <f>0.063*60</f>
        <v>3.78</v>
      </c>
      <c r="N632" s="40" t="s">
        <v>239</v>
      </c>
      <c r="O632" s="42">
        <v>42</v>
      </c>
      <c r="P632" s="43">
        <v>43</v>
      </c>
      <c r="Q632" s="44">
        <f>0.512*60</f>
        <v>30.72</v>
      </c>
      <c r="R632" s="45">
        <v>80</v>
      </c>
      <c r="S632" s="43">
        <v>2</v>
      </c>
      <c r="T632" s="46">
        <f>0.758*60</f>
        <v>45.48</v>
      </c>
      <c r="U632" s="40">
        <v>2</v>
      </c>
      <c r="V632" s="47">
        <v>3530.8397927599999</v>
      </c>
      <c r="W632" s="48">
        <v>1964</v>
      </c>
      <c r="X632" s="40"/>
      <c r="Y632" s="52" t="s">
        <v>1081</v>
      </c>
      <c r="Z632" s="40" t="s">
        <v>910</v>
      </c>
      <c r="AA632" s="49">
        <f t="shared" si="88"/>
        <v>57340.838234422394</v>
      </c>
      <c r="AB632" s="71">
        <f t="shared" si="89"/>
        <v>0.80</v>
      </c>
      <c r="AC632" s="49">
        <f t="shared" si="90"/>
        <v>11468.17</v>
      </c>
      <c r="AD632" s="50">
        <f t="shared" si="91"/>
        <v>0</v>
      </c>
      <c r="AE632" s="50">
        <f t="shared" si="92"/>
        <v>0</v>
      </c>
      <c r="AF632" s="50">
        <f t="shared" si="93"/>
        <v>11468.17</v>
      </c>
      <c r="AG632" s="199">
        <f t="shared" si="94"/>
        <v>11468</v>
      </c>
      <c r="AH632" s="187"/>
      <c r="AI632" s="185" t="s">
        <v>1457</v>
      </c>
      <c r="AJ632" s="185"/>
      <c r="AK632" s="277">
        <f t="shared" si="87"/>
        <v>3530.84</v>
      </c>
      <c r="AL632" s="25">
        <f>(SUMIFS('T1 2019 Pipeline Data Lagasco'!$O:$O,'T1 2019 Pipeline Data Lagasco'!$A:$A,'Dec 31 2018 OFFS'!$AI632,'T1 2019 Pipeline Data Lagasco'!$Q:$Q,'Dec 31 2018 OFFS'!$AK632,'T1 2019 Pipeline Data Lagasco'!$E:$E,'Dec 31 2018 OFFS'!$U632,'T1 2019 Pipeline Data Lagasco'!$G:$G,'Dec 31 2018 OFFS'!$W632))/(MAX(COUNTIFS('T1 2019 Pipeline Data Lagasco'!$A:$A,'Dec 31 2018 OFFS'!$AI632,'T1 2019 Pipeline Data Lagasco'!$Q:$Q,'Dec 31 2018 OFFS'!$AK632,'T1 2019 Pipeline Data Lagasco'!$E:$E,'Dec 31 2018 OFFS'!$U632,'T1 2019 Pipeline Data Lagasco'!$G:$G,'Dec 31 2018 OFFS'!$W632),1))</f>
        <v>11468</v>
      </c>
      <c r="AM632" s="274">
        <f t="shared" si="95"/>
        <v>0</v>
      </c>
    </row>
    <row r="633" spans="1:39" ht="12.7">
      <c r="A633" s="193" t="s">
        <v>909</v>
      </c>
      <c r="B633" s="40" t="s">
        <v>918</v>
      </c>
      <c r="C633" s="40" t="s">
        <v>1266</v>
      </c>
      <c r="D633" s="40" t="s">
        <v>229</v>
      </c>
      <c r="E633" s="40" t="s">
        <v>1053</v>
      </c>
      <c r="F633" s="40" t="s">
        <v>1051</v>
      </c>
      <c r="G633" s="41" t="s">
        <v>239</v>
      </c>
      <c r="H633" s="42">
        <v>42</v>
      </c>
      <c r="I633" s="43">
        <v>43</v>
      </c>
      <c r="J633" s="44">
        <f>0.512*60</f>
        <v>30.72</v>
      </c>
      <c r="K633" s="45">
        <v>80</v>
      </c>
      <c r="L633" s="43">
        <v>2</v>
      </c>
      <c r="M633" s="46">
        <f>0.758*60</f>
        <v>45.48</v>
      </c>
      <c r="N633" s="40" t="s">
        <v>240</v>
      </c>
      <c r="O633" s="42">
        <v>42</v>
      </c>
      <c r="P633" s="43">
        <v>43</v>
      </c>
      <c r="Q633" s="44">
        <v>38.520000000000003</v>
      </c>
      <c r="R633" s="45">
        <v>80</v>
      </c>
      <c r="S633" s="43">
        <v>1</v>
      </c>
      <c r="T633" s="46">
        <v>45.48</v>
      </c>
      <c r="U633" s="40">
        <v>2</v>
      </c>
      <c r="V633" s="47">
        <v>4547.67</v>
      </c>
      <c r="W633" s="48">
        <v>1995</v>
      </c>
      <c r="X633" s="40"/>
      <c r="Y633" s="52"/>
      <c r="Z633" s="40" t="s">
        <v>910</v>
      </c>
      <c r="AA633" s="49">
        <f t="shared" si="88"/>
        <v>0</v>
      </c>
      <c r="AB633" s="71">
        <f t="shared" si="89"/>
        <v>0.67</v>
      </c>
      <c r="AC633" s="49">
        <f t="shared" si="90"/>
        <v>0</v>
      </c>
      <c r="AD633" s="50">
        <f t="shared" si="91"/>
        <v>0</v>
      </c>
      <c r="AE633" s="50">
        <f t="shared" si="92"/>
        <v>0</v>
      </c>
      <c r="AF633" s="50">
        <f t="shared" si="93"/>
        <v>0</v>
      </c>
      <c r="AG633" s="199">
        <f t="shared" si="94"/>
        <v>0</v>
      </c>
      <c r="AH633" s="187"/>
      <c r="AI633" s="185" t="s">
        <v>1457</v>
      </c>
      <c r="AJ633" s="185"/>
      <c r="AK633" s="277">
        <f t="shared" si="87"/>
        <v>4547.67</v>
      </c>
      <c r="AL633" s="25">
        <f>(SUMIFS('T1 2019 Pipeline Data Lagasco'!$O:$O,'T1 2019 Pipeline Data Lagasco'!$A:$A,'Dec 31 2018 OFFS'!$AI633,'T1 2019 Pipeline Data Lagasco'!$Q:$Q,'Dec 31 2018 OFFS'!$AK633,'T1 2019 Pipeline Data Lagasco'!$E:$E,'Dec 31 2018 OFFS'!$U633,'T1 2019 Pipeline Data Lagasco'!$G:$G,'Dec 31 2018 OFFS'!$W633))/(MAX(COUNTIFS('T1 2019 Pipeline Data Lagasco'!$A:$A,'Dec 31 2018 OFFS'!$AI633,'T1 2019 Pipeline Data Lagasco'!$Q:$Q,'Dec 31 2018 OFFS'!$AK633,'T1 2019 Pipeline Data Lagasco'!$E:$E,'Dec 31 2018 OFFS'!$U633,'T1 2019 Pipeline Data Lagasco'!$G:$G,'Dec 31 2018 OFFS'!$W633),1))</f>
        <v>0</v>
      </c>
      <c r="AM633" s="274">
        <f t="shared" si="95"/>
        <v>0</v>
      </c>
    </row>
    <row r="634" spans="1:39" ht="12.7">
      <c r="A634" s="193" t="s">
        <v>909</v>
      </c>
      <c r="B634" s="40" t="s">
        <v>918</v>
      </c>
      <c r="C634" s="40" t="s">
        <v>1266</v>
      </c>
      <c r="D634" s="40" t="s">
        <v>229</v>
      </c>
      <c r="E634" s="40" t="s">
        <v>1053</v>
      </c>
      <c r="F634" s="40"/>
      <c r="G634" s="41" t="s">
        <v>239</v>
      </c>
      <c r="H634" s="42">
        <v>42</v>
      </c>
      <c r="I634" s="43">
        <v>43</v>
      </c>
      <c r="J634" s="44">
        <f>0.512*60</f>
        <v>30.72</v>
      </c>
      <c r="K634" s="45">
        <v>80</v>
      </c>
      <c r="L634" s="43">
        <v>2</v>
      </c>
      <c r="M634" s="46">
        <f>0.758*60</f>
        <v>45.48</v>
      </c>
      <c r="N634" s="40" t="s">
        <v>241</v>
      </c>
      <c r="O634" s="42">
        <v>42</v>
      </c>
      <c r="P634" s="43">
        <v>42</v>
      </c>
      <c r="Q634" s="44">
        <f>0.658*60</f>
        <v>39.480000000000004</v>
      </c>
      <c r="R634" s="45">
        <v>80</v>
      </c>
      <c r="S634" s="43">
        <v>2</v>
      </c>
      <c r="T634" s="46">
        <f>0.593*60</f>
        <v>35.58</v>
      </c>
      <c r="U634" s="40">
        <v>2</v>
      </c>
      <c r="V634" s="47">
        <v>5239.9932865700002</v>
      </c>
      <c r="W634" s="48">
        <v>1995</v>
      </c>
      <c r="X634" s="40"/>
      <c r="Y634" s="52" t="s">
        <v>1081</v>
      </c>
      <c r="Z634" s="40" t="s">
        <v>910</v>
      </c>
      <c r="AA634" s="49">
        <f t="shared" si="88"/>
        <v>85097.490973896798</v>
      </c>
      <c r="AB634" s="71">
        <f t="shared" si="89"/>
        <v>0.67</v>
      </c>
      <c r="AC634" s="49">
        <f t="shared" si="90"/>
        <v>28082.17</v>
      </c>
      <c r="AD634" s="50">
        <f t="shared" si="91"/>
        <v>0</v>
      </c>
      <c r="AE634" s="50">
        <f t="shared" si="92"/>
        <v>0</v>
      </c>
      <c r="AF634" s="50">
        <f t="shared" si="93"/>
        <v>28082.17</v>
      </c>
      <c r="AG634" s="199">
        <f t="shared" si="94"/>
        <v>28082</v>
      </c>
      <c r="AH634" s="187"/>
      <c r="AI634" s="185" t="s">
        <v>1457</v>
      </c>
      <c r="AJ634" s="185"/>
      <c r="AK634" s="277">
        <f t="shared" si="87"/>
        <v>5239.99</v>
      </c>
      <c r="AL634" s="25">
        <f>(SUMIFS('T1 2019 Pipeline Data Lagasco'!$O:$O,'T1 2019 Pipeline Data Lagasco'!$A:$A,'Dec 31 2018 OFFS'!$AI634,'T1 2019 Pipeline Data Lagasco'!$Q:$Q,'Dec 31 2018 OFFS'!$AK634,'T1 2019 Pipeline Data Lagasco'!$E:$E,'Dec 31 2018 OFFS'!$U634,'T1 2019 Pipeline Data Lagasco'!$G:$G,'Dec 31 2018 OFFS'!$W634))/(MAX(COUNTIFS('T1 2019 Pipeline Data Lagasco'!$A:$A,'Dec 31 2018 OFFS'!$AI634,'T1 2019 Pipeline Data Lagasco'!$Q:$Q,'Dec 31 2018 OFFS'!$AK634,'T1 2019 Pipeline Data Lagasco'!$E:$E,'Dec 31 2018 OFFS'!$U634,'T1 2019 Pipeline Data Lagasco'!$G:$G,'Dec 31 2018 OFFS'!$W634),1))</f>
        <v>28082</v>
      </c>
      <c r="AM634" s="274">
        <f t="shared" si="95"/>
        <v>0</v>
      </c>
    </row>
    <row r="635" spans="1:39" ht="12.7">
      <c r="A635" s="193" t="s">
        <v>909</v>
      </c>
      <c r="B635" s="40" t="s">
        <v>918</v>
      </c>
      <c r="C635" s="40" t="s">
        <v>1266</v>
      </c>
      <c r="D635" s="40" t="s">
        <v>229</v>
      </c>
      <c r="E635" s="40" t="s">
        <v>1053</v>
      </c>
      <c r="F635" s="40" t="s">
        <v>1051</v>
      </c>
      <c r="G635" s="41" t="s">
        <v>243</v>
      </c>
      <c r="H635" s="42">
        <v>42</v>
      </c>
      <c r="I635" s="43">
        <v>42</v>
      </c>
      <c r="J635" s="44">
        <v>42.42</v>
      </c>
      <c r="K635" s="45">
        <v>80</v>
      </c>
      <c r="L635" s="43">
        <v>1</v>
      </c>
      <c r="M635" s="46">
        <v>16.68</v>
      </c>
      <c r="N635" s="40" t="s">
        <v>242</v>
      </c>
      <c r="O635" s="42">
        <v>42</v>
      </c>
      <c r="P635" s="43">
        <v>43</v>
      </c>
      <c r="Q635" s="44">
        <v>4.62</v>
      </c>
      <c r="R635" s="45">
        <v>80</v>
      </c>
      <c r="S635" s="43">
        <v>0</v>
      </c>
      <c r="T635" s="46">
        <v>16.68</v>
      </c>
      <c r="U635" s="40">
        <v>2</v>
      </c>
      <c r="V635" s="47">
        <v>5011.6499999999996</v>
      </c>
      <c r="W635" s="48">
        <v>1964</v>
      </c>
      <c r="X635" s="40"/>
      <c r="Y635" s="52"/>
      <c r="Z635" s="40" t="s">
        <v>910</v>
      </c>
      <c r="AA635" s="49">
        <f t="shared" si="88"/>
        <v>0</v>
      </c>
      <c r="AB635" s="71">
        <f t="shared" si="89"/>
        <v>0.80</v>
      </c>
      <c r="AC635" s="49">
        <f t="shared" si="90"/>
        <v>0</v>
      </c>
      <c r="AD635" s="50">
        <f t="shared" si="91"/>
        <v>0</v>
      </c>
      <c r="AE635" s="50">
        <f t="shared" si="92"/>
        <v>0</v>
      </c>
      <c r="AF635" s="50">
        <f t="shared" si="93"/>
        <v>0</v>
      </c>
      <c r="AG635" s="199">
        <f t="shared" si="94"/>
        <v>0</v>
      </c>
      <c r="AH635" s="187"/>
      <c r="AI635" s="185" t="s">
        <v>1457</v>
      </c>
      <c r="AJ635" s="185"/>
      <c r="AK635" s="277">
        <f t="shared" si="87"/>
        <v>5011.6499999999996</v>
      </c>
      <c r="AL635" s="25">
        <f>(SUMIFS('T1 2019 Pipeline Data Lagasco'!$O:$O,'T1 2019 Pipeline Data Lagasco'!$A:$A,'Dec 31 2018 OFFS'!$AI635,'T1 2019 Pipeline Data Lagasco'!$Q:$Q,'Dec 31 2018 OFFS'!$AK635,'T1 2019 Pipeline Data Lagasco'!$E:$E,'Dec 31 2018 OFFS'!$U635,'T1 2019 Pipeline Data Lagasco'!$G:$G,'Dec 31 2018 OFFS'!$W635))/(MAX(COUNTIFS('T1 2019 Pipeline Data Lagasco'!$A:$A,'Dec 31 2018 OFFS'!$AI635,'T1 2019 Pipeline Data Lagasco'!$Q:$Q,'Dec 31 2018 OFFS'!$AK635,'T1 2019 Pipeline Data Lagasco'!$E:$E,'Dec 31 2018 OFFS'!$U635,'T1 2019 Pipeline Data Lagasco'!$G:$G,'Dec 31 2018 OFFS'!$W635),1))</f>
        <v>0</v>
      </c>
      <c r="AM635" s="274">
        <f t="shared" si="95"/>
        <v>0</v>
      </c>
    </row>
    <row r="636" spans="1:39" ht="12.7">
      <c r="A636" s="193" t="s">
        <v>909</v>
      </c>
      <c r="B636" s="40" t="s">
        <v>918</v>
      </c>
      <c r="C636" s="40" t="s">
        <v>1266</v>
      </c>
      <c r="D636" s="40" t="s">
        <v>229</v>
      </c>
      <c r="E636" s="40" t="s">
        <v>1053</v>
      </c>
      <c r="F636" s="40" t="s">
        <v>1051</v>
      </c>
      <c r="G636" s="41" t="s">
        <v>241</v>
      </c>
      <c r="H636" s="42">
        <v>42</v>
      </c>
      <c r="I636" s="43">
        <v>42</v>
      </c>
      <c r="J636" s="44">
        <f>0.658*60</f>
        <v>39.480000000000004</v>
      </c>
      <c r="K636" s="45">
        <v>80</v>
      </c>
      <c r="L636" s="43">
        <v>2</v>
      </c>
      <c r="M636" s="46">
        <f>0.593*60</f>
        <v>35.58</v>
      </c>
      <c r="N636" s="40" t="s">
        <v>243</v>
      </c>
      <c r="O636" s="42">
        <v>42</v>
      </c>
      <c r="P636" s="43">
        <v>42</v>
      </c>
      <c r="Q636" s="44">
        <v>42.42</v>
      </c>
      <c r="R636" s="45">
        <v>80</v>
      </c>
      <c r="S636" s="43">
        <v>1</v>
      </c>
      <c r="T636" s="46">
        <v>16.68</v>
      </c>
      <c r="U636" s="40">
        <v>2</v>
      </c>
      <c r="V636" s="47">
        <v>5898.26</v>
      </c>
      <c r="W636" s="48">
        <v>1964</v>
      </c>
      <c r="X636" s="40"/>
      <c r="Y636" s="52"/>
      <c r="Z636" s="40" t="s">
        <v>910</v>
      </c>
      <c r="AA636" s="49">
        <f t="shared" si="88"/>
        <v>0</v>
      </c>
      <c r="AB636" s="71">
        <f t="shared" si="89"/>
        <v>0.80</v>
      </c>
      <c r="AC636" s="49">
        <f t="shared" si="90"/>
        <v>0</v>
      </c>
      <c r="AD636" s="50">
        <f t="shared" si="91"/>
        <v>0</v>
      </c>
      <c r="AE636" s="50">
        <f t="shared" si="92"/>
        <v>0</v>
      </c>
      <c r="AF636" s="50">
        <f t="shared" si="93"/>
        <v>0</v>
      </c>
      <c r="AG636" s="199">
        <f t="shared" si="94"/>
        <v>0</v>
      </c>
      <c r="AH636" s="187"/>
      <c r="AI636" s="185" t="s">
        <v>1457</v>
      </c>
      <c r="AJ636" s="185"/>
      <c r="AK636" s="277">
        <f t="shared" si="87"/>
        <v>5898.26</v>
      </c>
      <c r="AL636" s="25">
        <f>(SUMIFS('T1 2019 Pipeline Data Lagasco'!$O:$O,'T1 2019 Pipeline Data Lagasco'!$A:$A,'Dec 31 2018 OFFS'!$AI636,'T1 2019 Pipeline Data Lagasco'!$Q:$Q,'Dec 31 2018 OFFS'!$AK636,'T1 2019 Pipeline Data Lagasco'!$E:$E,'Dec 31 2018 OFFS'!$U636,'T1 2019 Pipeline Data Lagasco'!$G:$G,'Dec 31 2018 OFFS'!$W636))/(MAX(COUNTIFS('T1 2019 Pipeline Data Lagasco'!$A:$A,'Dec 31 2018 OFFS'!$AI636,'T1 2019 Pipeline Data Lagasco'!$Q:$Q,'Dec 31 2018 OFFS'!$AK636,'T1 2019 Pipeline Data Lagasco'!$E:$E,'Dec 31 2018 OFFS'!$U636,'T1 2019 Pipeline Data Lagasco'!$G:$G,'Dec 31 2018 OFFS'!$W636),1))</f>
        <v>0</v>
      </c>
      <c r="AM636" s="274">
        <f t="shared" si="95"/>
        <v>0</v>
      </c>
    </row>
    <row r="637" spans="1:39" ht="12.7">
      <c r="A637" s="193" t="s">
        <v>909</v>
      </c>
      <c r="B637" s="40" t="s">
        <v>918</v>
      </c>
      <c r="C637" s="40" t="s">
        <v>1266</v>
      </c>
      <c r="D637" s="40" t="s">
        <v>229</v>
      </c>
      <c r="E637" s="40" t="s">
        <v>1053</v>
      </c>
      <c r="F637" s="40" t="s">
        <v>1051</v>
      </c>
      <c r="G637" s="41" t="s">
        <v>241</v>
      </c>
      <c r="H637" s="42">
        <v>42</v>
      </c>
      <c r="I637" s="43">
        <v>42</v>
      </c>
      <c r="J637" s="44">
        <f>0.658*60</f>
        <v>39.480000000000004</v>
      </c>
      <c r="K637" s="45">
        <v>80</v>
      </c>
      <c r="L637" s="43">
        <v>2</v>
      </c>
      <c r="M637" s="46">
        <f>0.593*60</f>
        <v>35.58</v>
      </c>
      <c r="N637" s="40" t="s">
        <v>244</v>
      </c>
      <c r="O637" s="42">
        <v>42</v>
      </c>
      <c r="P637" s="43">
        <v>42</v>
      </c>
      <c r="Q637" s="44">
        <f>0.043*60</f>
        <v>2.5799999999999996</v>
      </c>
      <c r="R637" s="45">
        <v>80</v>
      </c>
      <c r="S637" s="43">
        <v>2</v>
      </c>
      <c r="T637" s="46">
        <f>0.498*60</f>
        <v>29.88</v>
      </c>
      <c r="U637" s="40">
        <v>2</v>
      </c>
      <c r="V637" s="47">
        <v>3759.9736443919996</v>
      </c>
      <c r="W637" s="48">
        <v>1964</v>
      </c>
      <c r="X637" s="40"/>
      <c r="Y637" s="52" t="s">
        <v>1081</v>
      </c>
      <c r="Z637" s="40" t="s">
        <v>910</v>
      </c>
      <c r="AA637" s="49">
        <f t="shared" si="88"/>
        <v>0</v>
      </c>
      <c r="AB637" s="71">
        <f t="shared" si="89"/>
        <v>0.80</v>
      </c>
      <c r="AC637" s="49">
        <f t="shared" si="90"/>
        <v>0</v>
      </c>
      <c r="AD637" s="50">
        <f t="shared" si="91"/>
        <v>0</v>
      </c>
      <c r="AE637" s="50">
        <f t="shared" si="92"/>
        <v>0</v>
      </c>
      <c r="AF637" s="50">
        <f t="shared" si="93"/>
        <v>0</v>
      </c>
      <c r="AG637" s="199">
        <f t="shared" si="94"/>
        <v>0</v>
      </c>
      <c r="AH637" s="187"/>
      <c r="AI637" s="185" t="s">
        <v>1457</v>
      </c>
      <c r="AJ637" s="185"/>
      <c r="AK637" s="277">
        <f t="shared" si="87"/>
        <v>3759.97</v>
      </c>
      <c r="AL637" s="25">
        <f>(SUMIFS('T1 2019 Pipeline Data Lagasco'!$O:$O,'T1 2019 Pipeline Data Lagasco'!$A:$A,'Dec 31 2018 OFFS'!$AI637,'T1 2019 Pipeline Data Lagasco'!$Q:$Q,'Dec 31 2018 OFFS'!$AK637,'T1 2019 Pipeline Data Lagasco'!$E:$E,'Dec 31 2018 OFFS'!$U637,'T1 2019 Pipeline Data Lagasco'!$G:$G,'Dec 31 2018 OFFS'!$W637))/(MAX(COUNTIFS('T1 2019 Pipeline Data Lagasco'!$A:$A,'Dec 31 2018 OFFS'!$AI637,'T1 2019 Pipeline Data Lagasco'!$Q:$Q,'Dec 31 2018 OFFS'!$AK637,'T1 2019 Pipeline Data Lagasco'!$E:$E,'Dec 31 2018 OFFS'!$U637,'T1 2019 Pipeline Data Lagasco'!$G:$G,'Dec 31 2018 OFFS'!$W637),1))</f>
        <v>0</v>
      </c>
      <c r="AM637" s="274">
        <f t="shared" si="95"/>
        <v>0</v>
      </c>
    </row>
    <row r="638" spans="1:39" ht="12.7">
      <c r="A638" s="193" t="s">
        <v>909</v>
      </c>
      <c r="B638" s="40" t="s">
        <v>918</v>
      </c>
      <c r="C638" s="40" t="s">
        <v>1266</v>
      </c>
      <c r="D638" s="40" t="s">
        <v>229</v>
      </c>
      <c r="E638" s="40" t="s">
        <v>1053</v>
      </c>
      <c r="F638" s="40"/>
      <c r="G638" s="41" t="s">
        <v>241</v>
      </c>
      <c r="H638" s="42">
        <v>42</v>
      </c>
      <c r="I638" s="43">
        <v>42</v>
      </c>
      <c r="J638" s="44">
        <f>0.658*60</f>
        <v>39.480000000000004</v>
      </c>
      <c r="K638" s="45">
        <v>80</v>
      </c>
      <c r="L638" s="43">
        <v>2</v>
      </c>
      <c r="M638" s="46">
        <f>0.593*60</f>
        <v>35.58</v>
      </c>
      <c r="N638" s="40" t="s">
        <v>1323</v>
      </c>
      <c r="O638" s="42" t="s">
        <v>78</v>
      </c>
      <c r="P638" s="43">
        <v>42</v>
      </c>
      <c r="Q638" s="44">
        <v>2.6960000000000002</v>
      </c>
      <c r="R638" s="45" t="s">
        <v>1010</v>
      </c>
      <c r="S638" s="43">
        <v>2</v>
      </c>
      <c r="T638" s="46">
        <v>29.984000000000002</v>
      </c>
      <c r="U638" s="40">
        <v>3</v>
      </c>
      <c r="V638" s="47">
        <v>3761</v>
      </c>
      <c r="W638" s="48">
        <v>1982</v>
      </c>
      <c r="X638" s="40"/>
      <c r="Y638" s="52"/>
      <c r="Z638" s="40" t="s">
        <v>910</v>
      </c>
      <c r="AA638" s="49">
        <f t="shared" si="88"/>
        <v>88721.99</v>
      </c>
      <c r="AB638" s="71">
        <f t="shared" si="89"/>
        <v>0.80</v>
      </c>
      <c r="AC638" s="49">
        <f t="shared" si="90"/>
        <v>17744.40</v>
      </c>
      <c r="AD638" s="50">
        <f t="shared" si="91"/>
        <v>0</v>
      </c>
      <c r="AE638" s="50">
        <f t="shared" si="92"/>
        <v>0</v>
      </c>
      <c r="AF638" s="50">
        <f t="shared" si="93"/>
        <v>17744.40</v>
      </c>
      <c r="AG638" s="199">
        <f t="shared" si="94"/>
        <v>17744</v>
      </c>
      <c r="AH638" s="187"/>
      <c r="AI638" s="185" t="s">
        <v>1457</v>
      </c>
      <c r="AJ638" s="185"/>
      <c r="AK638" s="277">
        <f t="shared" si="87"/>
        <v>3761</v>
      </c>
      <c r="AL638" s="25">
        <f>(SUMIFS('T1 2019 Pipeline Data Lagasco'!$O:$O,'T1 2019 Pipeline Data Lagasco'!$A:$A,'Dec 31 2018 OFFS'!$AI638,'T1 2019 Pipeline Data Lagasco'!$Q:$Q,'Dec 31 2018 OFFS'!$AK638,'T1 2019 Pipeline Data Lagasco'!$E:$E,'Dec 31 2018 OFFS'!$U638,'T1 2019 Pipeline Data Lagasco'!$G:$G,'Dec 31 2018 OFFS'!$W638))/(MAX(COUNTIFS('T1 2019 Pipeline Data Lagasco'!$A:$A,'Dec 31 2018 OFFS'!$AI638,'T1 2019 Pipeline Data Lagasco'!$Q:$Q,'Dec 31 2018 OFFS'!$AK638,'T1 2019 Pipeline Data Lagasco'!$E:$E,'Dec 31 2018 OFFS'!$U638,'T1 2019 Pipeline Data Lagasco'!$G:$G,'Dec 31 2018 OFFS'!$W638),1))</f>
        <v>17744</v>
      </c>
      <c r="AM638" s="274">
        <f t="shared" si="95"/>
        <v>0</v>
      </c>
    </row>
    <row r="639" spans="1:39" ht="12.7">
      <c r="A639" s="193" t="s">
        <v>909</v>
      </c>
      <c r="B639" s="40" t="s">
        <v>918</v>
      </c>
      <c r="C639" s="40" t="s">
        <v>1266</v>
      </c>
      <c r="D639" s="40" t="s">
        <v>229</v>
      </c>
      <c r="E639" s="40" t="s">
        <v>1053</v>
      </c>
      <c r="F639" s="40" t="s">
        <v>1051</v>
      </c>
      <c r="G639" s="41" t="s">
        <v>241</v>
      </c>
      <c r="H639" s="42">
        <v>42</v>
      </c>
      <c r="I639" s="43">
        <v>42</v>
      </c>
      <c r="J639" s="44">
        <f>0.658*60</f>
        <v>39.480000000000004</v>
      </c>
      <c r="K639" s="45">
        <v>80</v>
      </c>
      <c r="L639" s="43">
        <v>2</v>
      </c>
      <c r="M639" s="46">
        <f>0.593*60</f>
        <v>35.58</v>
      </c>
      <c r="N639" s="40" t="s">
        <v>245</v>
      </c>
      <c r="O639" s="42">
        <v>42</v>
      </c>
      <c r="P639" s="43">
        <v>42</v>
      </c>
      <c r="Q639" s="44">
        <f>0.683*60</f>
        <v>40.98</v>
      </c>
      <c r="R639" s="45">
        <v>80</v>
      </c>
      <c r="S639" s="43">
        <v>3</v>
      </c>
      <c r="T639" s="46">
        <f>0.82*60</f>
        <v>49.20</v>
      </c>
      <c r="U639" s="40">
        <v>2</v>
      </c>
      <c r="V639" s="47">
        <v>5498.6218880039996</v>
      </c>
      <c r="W639" s="48">
        <v>1964</v>
      </c>
      <c r="X639" s="40"/>
      <c r="Y639" s="52" t="s">
        <v>1081</v>
      </c>
      <c r="Z639" s="40" t="s">
        <v>910</v>
      </c>
      <c r="AA639" s="49">
        <f t="shared" si="88"/>
        <v>0</v>
      </c>
      <c r="AB639" s="71">
        <f t="shared" si="89"/>
        <v>0.80</v>
      </c>
      <c r="AC639" s="49">
        <f t="shared" si="90"/>
        <v>0</v>
      </c>
      <c r="AD639" s="50">
        <f t="shared" si="91"/>
        <v>0</v>
      </c>
      <c r="AE639" s="50">
        <f t="shared" si="92"/>
        <v>0</v>
      </c>
      <c r="AF639" s="50">
        <f t="shared" si="93"/>
        <v>0</v>
      </c>
      <c r="AG639" s="199">
        <f t="shared" si="94"/>
        <v>0</v>
      </c>
      <c r="AH639" s="187"/>
      <c r="AI639" s="185" t="s">
        <v>1457</v>
      </c>
      <c r="AJ639" s="185"/>
      <c r="AK639" s="277">
        <f t="shared" si="87"/>
        <v>5498.62</v>
      </c>
      <c r="AL639" s="25">
        <f>(SUMIFS('T1 2019 Pipeline Data Lagasco'!$O:$O,'T1 2019 Pipeline Data Lagasco'!$A:$A,'Dec 31 2018 OFFS'!$AI639,'T1 2019 Pipeline Data Lagasco'!$Q:$Q,'Dec 31 2018 OFFS'!$AK639,'T1 2019 Pipeline Data Lagasco'!$E:$E,'Dec 31 2018 OFFS'!$U639,'T1 2019 Pipeline Data Lagasco'!$G:$G,'Dec 31 2018 OFFS'!$W639))/(MAX(COUNTIFS('T1 2019 Pipeline Data Lagasco'!$A:$A,'Dec 31 2018 OFFS'!$AI639,'T1 2019 Pipeline Data Lagasco'!$Q:$Q,'Dec 31 2018 OFFS'!$AK639,'T1 2019 Pipeline Data Lagasco'!$E:$E,'Dec 31 2018 OFFS'!$U639,'T1 2019 Pipeline Data Lagasco'!$G:$G,'Dec 31 2018 OFFS'!$W639),1))</f>
        <v>0</v>
      </c>
      <c r="AM639" s="274">
        <f t="shared" si="95"/>
        <v>0</v>
      </c>
    </row>
    <row r="640" spans="1:39" ht="12.7">
      <c r="A640" s="193" t="s">
        <v>909</v>
      </c>
      <c r="B640" s="40" t="s">
        <v>918</v>
      </c>
      <c r="C640" s="40" t="s">
        <v>1266</v>
      </c>
      <c r="D640" s="40" t="s">
        <v>229</v>
      </c>
      <c r="E640" s="40" t="s">
        <v>1053</v>
      </c>
      <c r="F640" s="40"/>
      <c r="G640" s="41" t="s">
        <v>244</v>
      </c>
      <c r="H640" s="42">
        <v>42</v>
      </c>
      <c r="I640" s="43">
        <v>42</v>
      </c>
      <c r="J640" s="44">
        <f>0.043*60</f>
        <v>2.5799999999999996</v>
      </c>
      <c r="K640" s="45">
        <v>80</v>
      </c>
      <c r="L640" s="43">
        <v>2</v>
      </c>
      <c r="M640" s="46">
        <f>0.498*60</f>
        <v>29.88</v>
      </c>
      <c r="N640" s="40" t="s">
        <v>246</v>
      </c>
      <c r="O640" s="42">
        <v>42</v>
      </c>
      <c r="P640" s="43">
        <v>41</v>
      </c>
      <c r="Q640" s="44">
        <f>0.652*60</f>
        <v>39.120000000000005</v>
      </c>
      <c r="R640" s="45">
        <v>80</v>
      </c>
      <c r="S640" s="43">
        <v>3</v>
      </c>
      <c r="T640" s="46">
        <f>0.6*60</f>
        <v>36</v>
      </c>
      <c r="U640" s="40">
        <v>2</v>
      </c>
      <c r="V640" s="47">
        <v>5479.1993163879997</v>
      </c>
      <c r="W640" s="48">
        <v>1964</v>
      </c>
      <c r="X640" s="40"/>
      <c r="Y640" s="52" t="s">
        <v>1081</v>
      </c>
      <c r="Z640" s="40" t="s">
        <v>910</v>
      </c>
      <c r="AA640" s="49">
        <f t="shared" si="88"/>
        <v>88982.196898141105</v>
      </c>
      <c r="AB640" s="71">
        <f t="shared" si="89"/>
        <v>0.80</v>
      </c>
      <c r="AC640" s="49">
        <f t="shared" si="90"/>
        <v>17796.44</v>
      </c>
      <c r="AD640" s="50">
        <f t="shared" si="91"/>
        <v>0</v>
      </c>
      <c r="AE640" s="50">
        <f t="shared" si="92"/>
        <v>0</v>
      </c>
      <c r="AF640" s="50">
        <f t="shared" si="93"/>
        <v>17796.44</v>
      </c>
      <c r="AG640" s="199">
        <f t="shared" si="94"/>
        <v>17796</v>
      </c>
      <c r="AH640" s="187"/>
      <c r="AI640" s="185" t="s">
        <v>1457</v>
      </c>
      <c r="AJ640" s="185"/>
      <c r="AK640" s="277">
        <f t="shared" si="87"/>
        <v>5479.20</v>
      </c>
      <c r="AL640" s="25">
        <f>(SUMIFS('T1 2019 Pipeline Data Lagasco'!$O:$O,'T1 2019 Pipeline Data Lagasco'!$A:$A,'Dec 31 2018 OFFS'!$AI640,'T1 2019 Pipeline Data Lagasco'!$Q:$Q,'Dec 31 2018 OFFS'!$AK640,'T1 2019 Pipeline Data Lagasco'!$E:$E,'Dec 31 2018 OFFS'!$U640,'T1 2019 Pipeline Data Lagasco'!$G:$G,'Dec 31 2018 OFFS'!$W640))/(MAX(COUNTIFS('T1 2019 Pipeline Data Lagasco'!$A:$A,'Dec 31 2018 OFFS'!$AI640,'T1 2019 Pipeline Data Lagasco'!$Q:$Q,'Dec 31 2018 OFFS'!$AK640,'T1 2019 Pipeline Data Lagasco'!$E:$E,'Dec 31 2018 OFFS'!$U640,'T1 2019 Pipeline Data Lagasco'!$G:$G,'Dec 31 2018 OFFS'!$W640),1))</f>
        <v>17796</v>
      </c>
      <c r="AM640" s="274">
        <f t="shared" si="95"/>
        <v>0</v>
      </c>
    </row>
    <row r="641" spans="1:39" ht="12.7">
      <c r="A641" s="193" t="s">
        <v>909</v>
      </c>
      <c r="B641" s="40" t="s">
        <v>918</v>
      </c>
      <c r="C641" s="40" t="s">
        <v>1266</v>
      </c>
      <c r="D641" s="40" t="s">
        <v>229</v>
      </c>
      <c r="E641" s="40" t="s">
        <v>1053</v>
      </c>
      <c r="F641" s="40" t="s">
        <v>1051</v>
      </c>
      <c r="G641" s="41" t="s">
        <v>245</v>
      </c>
      <c r="H641" s="42">
        <v>42</v>
      </c>
      <c r="I641" s="43">
        <v>42</v>
      </c>
      <c r="J641" s="44">
        <f>0.683*60</f>
        <v>40.98</v>
      </c>
      <c r="K641" s="45">
        <v>80</v>
      </c>
      <c r="L641" s="43">
        <v>3</v>
      </c>
      <c r="M641" s="46">
        <f>0.82*60</f>
        <v>49.20</v>
      </c>
      <c r="N641" s="41" t="s">
        <v>247</v>
      </c>
      <c r="O641" s="42">
        <v>42</v>
      </c>
      <c r="P641" s="43">
        <v>42</v>
      </c>
      <c r="Q641" s="44">
        <f>0.407*60</f>
        <v>24.42</v>
      </c>
      <c r="R641" s="45">
        <v>80</v>
      </c>
      <c r="S641" s="43">
        <v>5</v>
      </c>
      <c r="T641" s="44">
        <f>0.603*60</f>
        <v>36.18</v>
      </c>
      <c r="U641" s="40">
        <v>2</v>
      </c>
      <c r="V641" s="47">
        <v>8161.5155116739998</v>
      </c>
      <c r="W641" s="48">
        <v>1964</v>
      </c>
      <c r="X641" s="40"/>
      <c r="Y641" s="52" t="s">
        <v>1081</v>
      </c>
      <c r="Z641" s="40" t="s">
        <v>910</v>
      </c>
      <c r="AA641" s="49">
        <f t="shared" si="88"/>
        <v>0</v>
      </c>
      <c r="AB641" s="71">
        <f t="shared" si="89"/>
        <v>0.80</v>
      </c>
      <c r="AC641" s="49">
        <f t="shared" si="90"/>
        <v>0</v>
      </c>
      <c r="AD641" s="50">
        <f t="shared" si="91"/>
        <v>0</v>
      </c>
      <c r="AE641" s="50">
        <f t="shared" si="92"/>
        <v>0</v>
      </c>
      <c r="AF641" s="50">
        <f t="shared" si="93"/>
        <v>0</v>
      </c>
      <c r="AG641" s="199">
        <f t="shared" si="94"/>
        <v>0</v>
      </c>
      <c r="AH641" s="187"/>
      <c r="AI641" s="185" t="s">
        <v>1457</v>
      </c>
      <c r="AJ641" s="185"/>
      <c r="AK641" s="277">
        <f t="shared" si="87"/>
        <v>8161.52</v>
      </c>
      <c r="AL641" s="25">
        <f>(SUMIFS('T1 2019 Pipeline Data Lagasco'!$O:$O,'T1 2019 Pipeline Data Lagasco'!$A:$A,'Dec 31 2018 OFFS'!$AI641,'T1 2019 Pipeline Data Lagasco'!$Q:$Q,'Dec 31 2018 OFFS'!$AK641,'T1 2019 Pipeline Data Lagasco'!$E:$E,'Dec 31 2018 OFFS'!$U641,'T1 2019 Pipeline Data Lagasco'!$G:$G,'Dec 31 2018 OFFS'!$W641))/(MAX(COUNTIFS('T1 2019 Pipeline Data Lagasco'!$A:$A,'Dec 31 2018 OFFS'!$AI641,'T1 2019 Pipeline Data Lagasco'!$Q:$Q,'Dec 31 2018 OFFS'!$AK641,'T1 2019 Pipeline Data Lagasco'!$E:$E,'Dec 31 2018 OFFS'!$U641,'T1 2019 Pipeline Data Lagasco'!$G:$G,'Dec 31 2018 OFFS'!$W641),1))</f>
        <v>0</v>
      </c>
      <c r="AM641" s="274">
        <f t="shared" si="95"/>
        <v>0</v>
      </c>
    </row>
    <row r="642" spans="1:39" ht="12.7">
      <c r="A642" s="193" t="s">
        <v>909</v>
      </c>
      <c r="B642" s="40" t="s">
        <v>918</v>
      </c>
      <c r="C642" s="40" t="s">
        <v>1266</v>
      </c>
      <c r="D642" s="40" t="s">
        <v>229</v>
      </c>
      <c r="E642" s="40" t="s">
        <v>1053</v>
      </c>
      <c r="F642" s="40" t="s">
        <v>1051</v>
      </c>
      <c r="G642" s="41" t="s">
        <v>246</v>
      </c>
      <c r="H642" s="42">
        <v>42</v>
      </c>
      <c r="I642" s="43">
        <v>41</v>
      </c>
      <c r="J642" s="44">
        <f>0.652*60</f>
        <v>39.120000000000005</v>
      </c>
      <c r="K642" s="45">
        <v>80</v>
      </c>
      <c r="L642" s="43">
        <v>3</v>
      </c>
      <c r="M642" s="46">
        <f>0.6*60</f>
        <v>36</v>
      </c>
      <c r="N642" s="40" t="s">
        <v>248</v>
      </c>
      <c r="O642" s="42">
        <v>42</v>
      </c>
      <c r="P642" s="43">
        <v>41</v>
      </c>
      <c r="Q642" s="44">
        <v>55.68</v>
      </c>
      <c r="R642" s="45">
        <v>80</v>
      </c>
      <c r="S642" s="43">
        <v>4</v>
      </c>
      <c r="T642" s="46">
        <v>18.420000000000002</v>
      </c>
      <c r="U642" s="40">
        <v>2</v>
      </c>
      <c r="V642" s="47">
        <v>3584.12</v>
      </c>
      <c r="W642" s="48">
        <v>1964</v>
      </c>
      <c r="X642" s="40"/>
      <c r="Y642" s="52"/>
      <c r="Z642" s="40" t="s">
        <v>910</v>
      </c>
      <c r="AA642" s="49">
        <f t="shared" si="88"/>
        <v>0</v>
      </c>
      <c r="AB642" s="71">
        <f t="shared" si="89"/>
        <v>0.80</v>
      </c>
      <c r="AC642" s="49">
        <f t="shared" si="90"/>
        <v>0</v>
      </c>
      <c r="AD642" s="50">
        <f t="shared" si="91"/>
        <v>0</v>
      </c>
      <c r="AE642" s="50">
        <f t="shared" si="92"/>
        <v>0</v>
      </c>
      <c r="AF642" s="50">
        <f t="shared" si="93"/>
        <v>0</v>
      </c>
      <c r="AG642" s="199">
        <f t="shared" si="94"/>
        <v>0</v>
      </c>
      <c r="AH642" s="187"/>
      <c r="AI642" s="185" t="s">
        <v>1457</v>
      </c>
      <c r="AJ642" s="185"/>
      <c r="AK642" s="277">
        <f t="shared" si="87"/>
        <v>3584.12</v>
      </c>
      <c r="AL642" s="25">
        <f>(SUMIFS('T1 2019 Pipeline Data Lagasco'!$O:$O,'T1 2019 Pipeline Data Lagasco'!$A:$A,'Dec 31 2018 OFFS'!$AI642,'T1 2019 Pipeline Data Lagasco'!$Q:$Q,'Dec 31 2018 OFFS'!$AK642,'T1 2019 Pipeline Data Lagasco'!$E:$E,'Dec 31 2018 OFFS'!$U642,'T1 2019 Pipeline Data Lagasco'!$G:$G,'Dec 31 2018 OFFS'!$W642))/(MAX(COUNTIFS('T1 2019 Pipeline Data Lagasco'!$A:$A,'Dec 31 2018 OFFS'!$AI642,'T1 2019 Pipeline Data Lagasco'!$Q:$Q,'Dec 31 2018 OFFS'!$AK642,'T1 2019 Pipeline Data Lagasco'!$E:$E,'Dec 31 2018 OFFS'!$U642,'T1 2019 Pipeline Data Lagasco'!$G:$G,'Dec 31 2018 OFFS'!$W642),1))</f>
        <v>0</v>
      </c>
      <c r="AM642" s="274">
        <f t="shared" si="95"/>
        <v>0</v>
      </c>
    </row>
    <row r="643" spans="1:39" ht="12.7">
      <c r="A643" s="193" t="s">
        <v>909</v>
      </c>
      <c r="B643" s="40" t="s">
        <v>918</v>
      </c>
      <c r="C643" s="40" t="s">
        <v>1266</v>
      </c>
      <c r="D643" s="40" t="s">
        <v>229</v>
      </c>
      <c r="E643" s="40" t="s">
        <v>1053</v>
      </c>
      <c r="F643" s="40"/>
      <c r="G643" s="41" t="s">
        <v>246</v>
      </c>
      <c r="H643" s="42">
        <v>42</v>
      </c>
      <c r="I643" s="43">
        <v>41</v>
      </c>
      <c r="J643" s="44">
        <f>0.652*60</f>
        <v>39.120000000000005</v>
      </c>
      <c r="K643" s="45">
        <v>80</v>
      </c>
      <c r="L643" s="43">
        <v>3</v>
      </c>
      <c r="M643" s="46">
        <f>0.6*60</f>
        <v>36</v>
      </c>
      <c r="N643" s="40" t="s">
        <v>249</v>
      </c>
      <c r="O643" s="42">
        <v>42</v>
      </c>
      <c r="P643" s="43">
        <v>40</v>
      </c>
      <c r="Q643" s="44">
        <f>0.432*60</f>
        <v>25.92</v>
      </c>
      <c r="R643" s="45">
        <v>80</v>
      </c>
      <c r="S643" s="43">
        <v>4</v>
      </c>
      <c r="T643" s="46">
        <f>0.42*60</f>
        <v>25.20</v>
      </c>
      <c r="U643" s="40">
        <v>2</v>
      </c>
      <c r="V643" s="47">
        <v>8271.9157709440005</v>
      </c>
      <c r="W643" s="48">
        <v>1964</v>
      </c>
      <c r="X643" s="40"/>
      <c r="Y643" s="52" t="s">
        <v>1081</v>
      </c>
      <c r="Z643" s="40" t="s">
        <v>910</v>
      </c>
      <c r="AA643" s="49">
        <f t="shared" si="88"/>
        <v>134335.91212013055</v>
      </c>
      <c r="AB643" s="71">
        <f t="shared" si="89"/>
        <v>0.80</v>
      </c>
      <c r="AC643" s="49">
        <f t="shared" si="90"/>
        <v>26867.18</v>
      </c>
      <c r="AD643" s="50">
        <f t="shared" si="91"/>
        <v>0</v>
      </c>
      <c r="AE643" s="50">
        <f t="shared" si="92"/>
        <v>0</v>
      </c>
      <c r="AF643" s="50">
        <f t="shared" si="93"/>
        <v>26867.18</v>
      </c>
      <c r="AG643" s="199">
        <f t="shared" si="94"/>
        <v>26867</v>
      </c>
      <c r="AH643" s="187"/>
      <c r="AI643" s="185" t="s">
        <v>1457</v>
      </c>
      <c r="AJ643" s="185"/>
      <c r="AK643" s="277">
        <f t="shared" si="96" ref="AK643:AK706">ROUND(V643,2)</f>
        <v>8271.92</v>
      </c>
      <c r="AL643" s="25">
        <f>(SUMIFS('T1 2019 Pipeline Data Lagasco'!$O:$O,'T1 2019 Pipeline Data Lagasco'!$A:$A,'Dec 31 2018 OFFS'!$AI643,'T1 2019 Pipeline Data Lagasco'!$Q:$Q,'Dec 31 2018 OFFS'!$AK643,'T1 2019 Pipeline Data Lagasco'!$E:$E,'Dec 31 2018 OFFS'!$U643,'T1 2019 Pipeline Data Lagasco'!$G:$G,'Dec 31 2018 OFFS'!$W643))/(MAX(COUNTIFS('T1 2019 Pipeline Data Lagasco'!$A:$A,'Dec 31 2018 OFFS'!$AI643,'T1 2019 Pipeline Data Lagasco'!$Q:$Q,'Dec 31 2018 OFFS'!$AK643,'T1 2019 Pipeline Data Lagasco'!$E:$E,'Dec 31 2018 OFFS'!$U643,'T1 2019 Pipeline Data Lagasco'!$G:$G,'Dec 31 2018 OFFS'!$W643),1))</f>
        <v>26867</v>
      </c>
      <c r="AM643" s="274">
        <f t="shared" si="95"/>
        <v>0</v>
      </c>
    </row>
    <row r="644" spans="1:39" ht="12.7">
      <c r="A644" s="193" t="s">
        <v>909</v>
      </c>
      <c r="B644" s="40" t="s">
        <v>918</v>
      </c>
      <c r="C644" s="40" t="s">
        <v>1266</v>
      </c>
      <c r="D644" s="40" t="s">
        <v>229</v>
      </c>
      <c r="E644" s="40" t="s">
        <v>293</v>
      </c>
      <c r="F644" s="40" t="s">
        <v>1051</v>
      </c>
      <c r="G644" s="41" t="s">
        <v>285</v>
      </c>
      <c r="H644" s="42">
        <v>42</v>
      </c>
      <c r="I644" s="43">
        <v>44</v>
      </c>
      <c r="J644" s="44">
        <f>0.755*60</f>
        <v>45.30</v>
      </c>
      <c r="K644" s="45">
        <v>80</v>
      </c>
      <c r="L644" s="43">
        <v>7</v>
      </c>
      <c r="M644" s="46">
        <f>0.403*60</f>
        <v>24.18</v>
      </c>
      <c r="N644" s="41" t="s">
        <v>1173</v>
      </c>
      <c r="O644" s="42">
        <v>42</v>
      </c>
      <c r="P644" s="43">
        <v>44</v>
      </c>
      <c r="Q644" s="44">
        <v>38.354999999999997</v>
      </c>
      <c r="R644" s="45">
        <v>80</v>
      </c>
      <c r="S644" s="43">
        <v>8</v>
      </c>
      <c r="T644" s="46">
        <v>15.962</v>
      </c>
      <c r="U644" s="40">
        <v>3</v>
      </c>
      <c r="V644" s="47">
        <v>3831.40</v>
      </c>
      <c r="W644" s="48">
        <v>1982</v>
      </c>
      <c r="X644" s="40"/>
      <c r="Y644" s="52" t="s">
        <v>1081</v>
      </c>
      <c r="Z644" s="40" t="s">
        <v>910</v>
      </c>
      <c r="AA644" s="49">
        <f t="shared" si="97" ref="AA644:AA707">IF(F644="ABAND",0,(IF(Z644="steel",VLOOKUP(U644,steelrates,2,FALSE)*V644,VLOOKUP(U644,plasticrates,2,FALSE)*V644)))</f>
        <v>0</v>
      </c>
      <c r="AB644" s="71">
        <f t="shared" si="98" ref="AB644:AB707">IF(W644=0,0,(VLOOKUP(W644,depreciation,2)))</f>
        <v>0.80</v>
      </c>
      <c r="AC644" s="49">
        <f t="shared" si="99" ref="AC644:AC707">ROUND(+AA644-(+AA644*AB644),2)</f>
        <v>0</v>
      </c>
      <c r="AD644" s="50">
        <f t="shared" si="100" ref="AD644:AD707">(IF(X644="LOOP",AC644*0.25,0))</f>
        <v>0</v>
      </c>
      <c r="AE644" s="50">
        <f t="shared" si="101" ref="AE644:AE707">(IF(F644="SUSP",AC644*0.2,0))</f>
        <v>0</v>
      </c>
      <c r="AF644" s="50">
        <f t="shared" si="102" ref="AF644:AF707">+AC644-AD644-AE644</f>
        <v>0</v>
      </c>
      <c r="AG644" s="199">
        <f t="shared" si="103" ref="AG644:AG707">ROUNDDOWN(AF644,0)</f>
        <v>0</v>
      </c>
      <c r="AH644" s="187"/>
      <c r="AI644" s="185" t="s">
        <v>1457</v>
      </c>
      <c r="AJ644" s="185"/>
      <c r="AK644" s="277">
        <f t="shared" si="96"/>
        <v>3831.40</v>
      </c>
      <c r="AL644" s="25">
        <f>(SUMIFS('T1 2019 Pipeline Data Lagasco'!$O:$O,'T1 2019 Pipeline Data Lagasco'!$A:$A,'Dec 31 2018 OFFS'!$AI644,'T1 2019 Pipeline Data Lagasco'!$Q:$Q,'Dec 31 2018 OFFS'!$AK644,'T1 2019 Pipeline Data Lagasco'!$E:$E,'Dec 31 2018 OFFS'!$U644,'T1 2019 Pipeline Data Lagasco'!$G:$G,'Dec 31 2018 OFFS'!$W644))/(MAX(COUNTIFS('T1 2019 Pipeline Data Lagasco'!$A:$A,'Dec 31 2018 OFFS'!$AI644,'T1 2019 Pipeline Data Lagasco'!$Q:$Q,'Dec 31 2018 OFFS'!$AK644,'T1 2019 Pipeline Data Lagasco'!$E:$E,'Dec 31 2018 OFFS'!$U644,'T1 2019 Pipeline Data Lagasco'!$G:$G,'Dec 31 2018 OFFS'!$W644),1))</f>
        <v>0</v>
      </c>
      <c r="AM644" s="274">
        <f t="shared" si="104" ref="AM644:AM707">AG644-AL644</f>
        <v>0</v>
      </c>
    </row>
    <row r="645" spans="1:39" ht="12.7">
      <c r="A645" s="193" t="s">
        <v>909</v>
      </c>
      <c r="B645" s="40" t="s">
        <v>918</v>
      </c>
      <c r="C645" s="40" t="s">
        <v>1266</v>
      </c>
      <c r="D645" s="40" t="s">
        <v>229</v>
      </c>
      <c r="E645" s="40" t="s">
        <v>293</v>
      </c>
      <c r="F645" s="40"/>
      <c r="G645" s="41" t="s">
        <v>1324</v>
      </c>
      <c r="H645" s="42" t="s">
        <v>78</v>
      </c>
      <c r="I645" s="43">
        <v>44</v>
      </c>
      <c r="J645" s="44">
        <v>45.345</v>
      </c>
      <c r="K645" s="45" t="s">
        <v>1010</v>
      </c>
      <c r="L645" s="43">
        <v>7</v>
      </c>
      <c r="M645" s="46">
        <v>24.259</v>
      </c>
      <c r="N645" s="41" t="s">
        <v>257</v>
      </c>
      <c r="O645" s="42" t="s">
        <v>78</v>
      </c>
      <c r="P645" s="43">
        <v>45</v>
      </c>
      <c r="Q645" s="44">
        <v>13</v>
      </c>
      <c r="R645" s="45" t="s">
        <v>1010</v>
      </c>
      <c r="S645" s="43">
        <v>6</v>
      </c>
      <c r="T645" s="46">
        <v>28</v>
      </c>
      <c r="U645" s="40">
        <v>3</v>
      </c>
      <c r="V645" s="47">
        <v>5227</v>
      </c>
      <c r="W645" s="48">
        <v>2003</v>
      </c>
      <c r="X645" s="40"/>
      <c r="Y645" s="52"/>
      <c r="Z645" s="40" t="s">
        <v>910</v>
      </c>
      <c r="AA645" s="49">
        <f t="shared" si="97"/>
        <v>123304.93</v>
      </c>
      <c r="AB645" s="71">
        <f t="shared" si="98"/>
        <v>0.56999999999999995</v>
      </c>
      <c r="AC645" s="49">
        <f t="shared" si="99"/>
        <v>53021.12</v>
      </c>
      <c r="AD645" s="50">
        <f t="shared" si="100"/>
        <v>0</v>
      </c>
      <c r="AE645" s="50">
        <f t="shared" si="101"/>
        <v>0</v>
      </c>
      <c r="AF645" s="50">
        <f t="shared" si="102"/>
        <v>53021.12</v>
      </c>
      <c r="AG645" s="199">
        <f t="shared" si="103"/>
        <v>53021</v>
      </c>
      <c r="AH645" s="187"/>
      <c r="AI645" s="185" t="s">
        <v>1457</v>
      </c>
      <c r="AJ645" s="185"/>
      <c r="AK645" s="277">
        <f t="shared" si="96"/>
        <v>5227</v>
      </c>
      <c r="AL645" s="25">
        <f>(SUMIFS('T1 2019 Pipeline Data Lagasco'!$O:$O,'T1 2019 Pipeline Data Lagasco'!$A:$A,'Dec 31 2018 OFFS'!$AI645,'T1 2019 Pipeline Data Lagasco'!$Q:$Q,'Dec 31 2018 OFFS'!$AK645,'T1 2019 Pipeline Data Lagasco'!$E:$E,'Dec 31 2018 OFFS'!$U645,'T1 2019 Pipeline Data Lagasco'!$G:$G,'Dec 31 2018 OFFS'!$W645))/(MAX(COUNTIFS('T1 2019 Pipeline Data Lagasco'!$A:$A,'Dec 31 2018 OFFS'!$AI645,'T1 2019 Pipeline Data Lagasco'!$Q:$Q,'Dec 31 2018 OFFS'!$AK645,'T1 2019 Pipeline Data Lagasco'!$E:$E,'Dec 31 2018 OFFS'!$U645,'T1 2019 Pipeline Data Lagasco'!$G:$G,'Dec 31 2018 OFFS'!$W645),1))</f>
        <v>53021</v>
      </c>
      <c r="AM645" s="274">
        <f t="shared" si="104"/>
        <v>0</v>
      </c>
    </row>
    <row r="646" spans="1:39" ht="12.7">
      <c r="A646" s="193" t="s">
        <v>909</v>
      </c>
      <c r="B646" s="40" t="s">
        <v>918</v>
      </c>
      <c r="C646" s="40" t="s">
        <v>1266</v>
      </c>
      <c r="D646" s="40" t="s">
        <v>229</v>
      </c>
      <c r="E646" s="40" t="s">
        <v>293</v>
      </c>
      <c r="F646" s="40" t="s">
        <v>1051</v>
      </c>
      <c r="G646" s="41" t="s">
        <v>1173</v>
      </c>
      <c r="H646" s="42">
        <v>42</v>
      </c>
      <c r="I646" s="43">
        <v>44</v>
      </c>
      <c r="J646" s="44">
        <v>38.354999999999997</v>
      </c>
      <c r="K646" s="45">
        <v>80</v>
      </c>
      <c r="L646" s="43">
        <v>8</v>
      </c>
      <c r="M646" s="46">
        <v>15.962</v>
      </c>
      <c r="N646" s="41" t="s">
        <v>253</v>
      </c>
      <c r="O646" s="42">
        <v>42</v>
      </c>
      <c r="P646" s="43">
        <v>44</v>
      </c>
      <c r="Q646" s="44">
        <f>0.498*60</f>
        <v>29.88</v>
      </c>
      <c r="R646" s="45">
        <v>80</v>
      </c>
      <c r="S646" s="43">
        <v>9</v>
      </c>
      <c r="T646" s="46">
        <f>0.195*60</f>
        <v>11.70</v>
      </c>
      <c r="U646" s="40">
        <v>3</v>
      </c>
      <c r="V646" s="47">
        <v>4246</v>
      </c>
      <c r="W646" s="48">
        <v>1982</v>
      </c>
      <c r="X646" s="40"/>
      <c r="Y646" s="52" t="s">
        <v>1081</v>
      </c>
      <c r="Z646" s="40" t="s">
        <v>910</v>
      </c>
      <c r="AA646" s="49">
        <f t="shared" si="97"/>
        <v>0</v>
      </c>
      <c r="AB646" s="71">
        <f t="shared" si="98"/>
        <v>0.80</v>
      </c>
      <c r="AC646" s="49">
        <f t="shared" si="99"/>
        <v>0</v>
      </c>
      <c r="AD646" s="50">
        <f t="shared" si="100"/>
        <v>0</v>
      </c>
      <c r="AE646" s="50">
        <f t="shared" si="101"/>
        <v>0</v>
      </c>
      <c r="AF646" s="50">
        <f t="shared" si="102"/>
        <v>0</v>
      </c>
      <c r="AG646" s="199">
        <f t="shared" si="103"/>
        <v>0</v>
      </c>
      <c r="AH646" s="187"/>
      <c r="AI646" s="185" t="s">
        <v>1457</v>
      </c>
      <c r="AJ646" s="185"/>
      <c r="AK646" s="277">
        <f t="shared" si="96"/>
        <v>4246</v>
      </c>
      <c r="AL646" s="25">
        <f>(SUMIFS('T1 2019 Pipeline Data Lagasco'!$O:$O,'T1 2019 Pipeline Data Lagasco'!$A:$A,'Dec 31 2018 OFFS'!$AI646,'T1 2019 Pipeline Data Lagasco'!$Q:$Q,'Dec 31 2018 OFFS'!$AK646,'T1 2019 Pipeline Data Lagasco'!$E:$E,'Dec 31 2018 OFFS'!$U646,'T1 2019 Pipeline Data Lagasco'!$G:$G,'Dec 31 2018 OFFS'!$W646))/(MAX(COUNTIFS('T1 2019 Pipeline Data Lagasco'!$A:$A,'Dec 31 2018 OFFS'!$AI646,'T1 2019 Pipeline Data Lagasco'!$Q:$Q,'Dec 31 2018 OFFS'!$AK646,'T1 2019 Pipeline Data Lagasco'!$E:$E,'Dec 31 2018 OFFS'!$U646,'T1 2019 Pipeline Data Lagasco'!$G:$G,'Dec 31 2018 OFFS'!$W646),1))</f>
        <v>0</v>
      </c>
      <c r="AM646" s="274">
        <f t="shared" si="104"/>
        <v>0</v>
      </c>
    </row>
    <row r="647" spans="1:39" ht="12.7">
      <c r="A647" s="193" t="s">
        <v>909</v>
      </c>
      <c r="B647" s="40" t="s">
        <v>918</v>
      </c>
      <c r="C647" s="40" t="s">
        <v>1266</v>
      </c>
      <c r="D647" s="40" t="s">
        <v>229</v>
      </c>
      <c r="E647" s="40" t="s">
        <v>293</v>
      </c>
      <c r="F647" s="40"/>
      <c r="G647" s="41" t="s">
        <v>1352</v>
      </c>
      <c r="H647" s="42">
        <v>42</v>
      </c>
      <c r="I647" s="43">
        <v>44</v>
      </c>
      <c r="J647" s="44">
        <f>60*0.61</f>
        <v>36.60</v>
      </c>
      <c r="K647" s="45">
        <v>80</v>
      </c>
      <c r="L647" s="43">
        <v>8</v>
      </c>
      <c r="M647" s="46">
        <f>60*0.243</f>
        <v>14.58</v>
      </c>
      <c r="N647" s="41" t="s">
        <v>1353</v>
      </c>
      <c r="O647" s="42">
        <v>42</v>
      </c>
      <c r="P647" s="43">
        <v>44</v>
      </c>
      <c r="Q647" s="44">
        <f>60*0.483</f>
        <v>28.98</v>
      </c>
      <c r="R647" s="45">
        <v>80</v>
      </c>
      <c r="S647" s="43">
        <v>9</v>
      </c>
      <c r="T647" s="46">
        <f>60*0.183</f>
        <v>10.98</v>
      </c>
      <c r="U647" s="40">
        <v>3</v>
      </c>
      <c r="V647" s="47">
        <v>4188</v>
      </c>
      <c r="W647" s="48">
        <v>2010</v>
      </c>
      <c r="X647" s="40"/>
      <c r="Y647" s="52" t="s">
        <v>1081</v>
      </c>
      <c r="Z647" s="40" t="s">
        <v>910</v>
      </c>
      <c r="AA647" s="49">
        <f t="shared" si="97"/>
        <v>98794.92</v>
      </c>
      <c r="AB647" s="71">
        <f t="shared" si="98"/>
        <v>0.39</v>
      </c>
      <c r="AC647" s="49">
        <f t="shared" si="99"/>
        <v>60264.90</v>
      </c>
      <c r="AD647" s="50">
        <f t="shared" si="100"/>
        <v>0</v>
      </c>
      <c r="AE647" s="50">
        <f t="shared" si="101"/>
        <v>0</v>
      </c>
      <c r="AF647" s="50">
        <f t="shared" si="102"/>
        <v>60264.90</v>
      </c>
      <c r="AG647" s="199">
        <f t="shared" si="103"/>
        <v>60264</v>
      </c>
      <c r="AH647" s="187"/>
      <c r="AI647" s="185" t="s">
        <v>1457</v>
      </c>
      <c r="AJ647" s="185"/>
      <c r="AK647" s="277">
        <f t="shared" si="96"/>
        <v>4188</v>
      </c>
      <c r="AL647" s="25">
        <f>(SUMIFS('T1 2019 Pipeline Data Lagasco'!$O:$O,'T1 2019 Pipeline Data Lagasco'!$A:$A,'Dec 31 2018 OFFS'!$AI647,'T1 2019 Pipeline Data Lagasco'!$Q:$Q,'Dec 31 2018 OFFS'!$AK647,'T1 2019 Pipeline Data Lagasco'!$E:$E,'Dec 31 2018 OFFS'!$U647,'T1 2019 Pipeline Data Lagasco'!$G:$G,'Dec 31 2018 OFFS'!$W647))/(MAX(COUNTIFS('T1 2019 Pipeline Data Lagasco'!$A:$A,'Dec 31 2018 OFFS'!$AI647,'T1 2019 Pipeline Data Lagasco'!$Q:$Q,'Dec 31 2018 OFFS'!$AK647,'T1 2019 Pipeline Data Lagasco'!$E:$E,'Dec 31 2018 OFFS'!$U647,'T1 2019 Pipeline Data Lagasco'!$G:$G,'Dec 31 2018 OFFS'!$W647),1))</f>
        <v>60264</v>
      </c>
      <c r="AM647" s="274">
        <f t="shared" si="104"/>
        <v>0</v>
      </c>
    </row>
    <row r="648" spans="1:39" ht="12.7">
      <c r="A648" s="193" t="s">
        <v>909</v>
      </c>
      <c r="B648" s="40" t="s">
        <v>918</v>
      </c>
      <c r="C648" s="40" t="s">
        <v>1266</v>
      </c>
      <c r="D648" s="40" t="s">
        <v>229</v>
      </c>
      <c r="E648" s="40" t="s">
        <v>293</v>
      </c>
      <c r="F648" s="40"/>
      <c r="G648" s="41" t="s">
        <v>286</v>
      </c>
      <c r="H648" s="42">
        <v>42</v>
      </c>
      <c r="I648" s="43">
        <v>43</v>
      </c>
      <c r="J648" s="44">
        <v>42.521873999999997</v>
      </c>
      <c r="K648" s="45">
        <v>80</v>
      </c>
      <c r="L648" s="43">
        <v>9</v>
      </c>
      <c r="M648" s="46">
        <v>46.260874000000001</v>
      </c>
      <c r="N648" s="41" t="s">
        <v>287</v>
      </c>
      <c r="O648" s="42">
        <v>42</v>
      </c>
      <c r="P648" s="43">
        <v>43</v>
      </c>
      <c r="Q648" s="44">
        <f>0.708*60</f>
        <v>42.48</v>
      </c>
      <c r="R648" s="45">
        <v>80</v>
      </c>
      <c r="S648" s="43">
        <v>9</v>
      </c>
      <c r="T648" s="46">
        <f>0.77*60</f>
        <v>46.20</v>
      </c>
      <c r="U648" s="40">
        <v>3</v>
      </c>
      <c r="V648" s="47">
        <v>6.2335956199999991</v>
      </c>
      <c r="W648" s="48">
        <v>1983</v>
      </c>
      <c r="X648" s="40"/>
      <c r="Y648" s="52" t="s">
        <v>1081</v>
      </c>
      <c r="Z648" s="40" t="s">
        <v>910</v>
      </c>
      <c r="AA648" s="49">
        <f t="shared" si="97"/>
        <v>147.05052067579999</v>
      </c>
      <c r="AB648" s="71">
        <f t="shared" si="98"/>
        <v>0.80</v>
      </c>
      <c r="AC648" s="49">
        <f t="shared" si="99"/>
        <v>29.41</v>
      </c>
      <c r="AD648" s="50">
        <f t="shared" si="100"/>
        <v>0</v>
      </c>
      <c r="AE648" s="50">
        <f t="shared" si="101"/>
        <v>0</v>
      </c>
      <c r="AF648" s="50">
        <f t="shared" si="102"/>
        <v>29.41</v>
      </c>
      <c r="AG648" s="199">
        <f t="shared" si="103"/>
        <v>29</v>
      </c>
      <c r="AH648" s="187"/>
      <c r="AI648" s="185" t="s">
        <v>1457</v>
      </c>
      <c r="AJ648" s="185"/>
      <c r="AK648" s="277">
        <f t="shared" si="96"/>
        <v>6.23</v>
      </c>
      <c r="AL648" s="25">
        <f>(SUMIFS('T1 2019 Pipeline Data Lagasco'!$O:$O,'T1 2019 Pipeline Data Lagasco'!$A:$A,'Dec 31 2018 OFFS'!$AI648,'T1 2019 Pipeline Data Lagasco'!$Q:$Q,'Dec 31 2018 OFFS'!$AK648,'T1 2019 Pipeline Data Lagasco'!$E:$E,'Dec 31 2018 OFFS'!$U648,'T1 2019 Pipeline Data Lagasco'!$G:$G,'Dec 31 2018 OFFS'!$W648))/(MAX(COUNTIFS('T1 2019 Pipeline Data Lagasco'!$A:$A,'Dec 31 2018 OFFS'!$AI648,'T1 2019 Pipeline Data Lagasco'!$Q:$Q,'Dec 31 2018 OFFS'!$AK648,'T1 2019 Pipeline Data Lagasco'!$E:$E,'Dec 31 2018 OFFS'!$U648,'T1 2019 Pipeline Data Lagasco'!$G:$G,'Dec 31 2018 OFFS'!$W648),1))</f>
        <v>29</v>
      </c>
      <c r="AM648" s="274">
        <f t="shared" si="104"/>
        <v>0</v>
      </c>
    </row>
    <row r="649" spans="1:39" ht="12.7">
      <c r="A649" s="193" t="s">
        <v>909</v>
      </c>
      <c r="B649" s="40" t="s">
        <v>918</v>
      </c>
      <c r="C649" s="40" t="s">
        <v>1266</v>
      </c>
      <c r="D649" s="40" t="s">
        <v>229</v>
      </c>
      <c r="E649" s="40" t="s">
        <v>293</v>
      </c>
      <c r="F649" s="40" t="s">
        <v>1051</v>
      </c>
      <c r="G649" s="41" t="s">
        <v>288</v>
      </c>
      <c r="H649" s="42">
        <v>42</v>
      </c>
      <c r="I649" s="43">
        <v>42</v>
      </c>
      <c r="J649" s="44">
        <f>0.252*60</f>
        <v>15.12</v>
      </c>
      <c r="K649" s="45">
        <v>80</v>
      </c>
      <c r="L649" s="43">
        <v>7</v>
      </c>
      <c r="M649" s="46">
        <f>0.493*60</f>
        <v>29.58</v>
      </c>
      <c r="N649" s="40" t="s">
        <v>289</v>
      </c>
      <c r="O649" s="42">
        <v>42</v>
      </c>
      <c r="P649" s="43">
        <v>42</v>
      </c>
      <c r="Q649" s="44">
        <v>20.88</v>
      </c>
      <c r="R649" s="45">
        <v>80</v>
      </c>
      <c r="S649" s="43">
        <v>6</v>
      </c>
      <c r="T649" s="46">
        <v>26.22</v>
      </c>
      <c r="U649" s="40">
        <v>3</v>
      </c>
      <c r="V649" s="47">
        <v>4766.7299999999996</v>
      </c>
      <c r="W649" s="48">
        <v>1982</v>
      </c>
      <c r="X649" s="40"/>
      <c r="Y649" s="52" t="s">
        <v>1081</v>
      </c>
      <c r="Z649" s="40" t="s">
        <v>910</v>
      </c>
      <c r="AA649" s="49">
        <f t="shared" si="97"/>
        <v>0</v>
      </c>
      <c r="AB649" s="71">
        <f t="shared" si="98"/>
        <v>0.80</v>
      </c>
      <c r="AC649" s="49">
        <f t="shared" si="99"/>
        <v>0</v>
      </c>
      <c r="AD649" s="50">
        <f t="shared" si="100"/>
        <v>0</v>
      </c>
      <c r="AE649" s="50">
        <f t="shared" si="101"/>
        <v>0</v>
      </c>
      <c r="AF649" s="50">
        <f t="shared" si="102"/>
        <v>0</v>
      </c>
      <c r="AG649" s="199">
        <f t="shared" si="103"/>
        <v>0</v>
      </c>
      <c r="AH649" s="187"/>
      <c r="AI649" s="185" t="s">
        <v>1457</v>
      </c>
      <c r="AJ649" s="185"/>
      <c r="AK649" s="277">
        <f t="shared" si="96"/>
        <v>4766.7299999999996</v>
      </c>
      <c r="AL649" s="25">
        <f>(SUMIFS('T1 2019 Pipeline Data Lagasco'!$O:$O,'T1 2019 Pipeline Data Lagasco'!$A:$A,'Dec 31 2018 OFFS'!$AI649,'T1 2019 Pipeline Data Lagasco'!$Q:$Q,'Dec 31 2018 OFFS'!$AK649,'T1 2019 Pipeline Data Lagasco'!$E:$E,'Dec 31 2018 OFFS'!$U649,'T1 2019 Pipeline Data Lagasco'!$G:$G,'Dec 31 2018 OFFS'!$W649))/(MAX(COUNTIFS('T1 2019 Pipeline Data Lagasco'!$A:$A,'Dec 31 2018 OFFS'!$AI649,'T1 2019 Pipeline Data Lagasco'!$Q:$Q,'Dec 31 2018 OFFS'!$AK649,'T1 2019 Pipeline Data Lagasco'!$E:$E,'Dec 31 2018 OFFS'!$U649,'T1 2019 Pipeline Data Lagasco'!$G:$G,'Dec 31 2018 OFFS'!$W649),1))</f>
        <v>0</v>
      </c>
      <c r="AM649" s="274">
        <f t="shared" si="104"/>
        <v>0</v>
      </c>
    </row>
    <row r="650" spans="1:39" ht="12.7">
      <c r="A650" s="193" t="s">
        <v>909</v>
      </c>
      <c r="B650" s="40" t="s">
        <v>918</v>
      </c>
      <c r="C650" s="40" t="s">
        <v>1266</v>
      </c>
      <c r="D650" s="40" t="s">
        <v>229</v>
      </c>
      <c r="E650" s="40" t="s">
        <v>293</v>
      </c>
      <c r="F650" s="40" t="s">
        <v>1051</v>
      </c>
      <c r="G650" s="41" t="s">
        <v>288</v>
      </c>
      <c r="H650" s="42">
        <v>42</v>
      </c>
      <c r="I650" s="43">
        <v>42</v>
      </c>
      <c r="J650" s="44">
        <f>0.252*60</f>
        <v>15.12</v>
      </c>
      <c r="K650" s="45">
        <v>80</v>
      </c>
      <c r="L650" s="43">
        <v>7</v>
      </c>
      <c r="M650" s="46">
        <f>0.493*60</f>
        <v>29.58</v>
      </c>
      <c r="N650" s="40" t="s">
        <v>290</v>
      </c>
      <c r="O650" s="42">
        <v>42</v>
      </c>
      <c r="P650" s="43">
        <v>41</v>
      </c>
      <c r="Q650" s="44">
        <v>45.18</v>
      </c>
      <c r="R650" s="45">
        <v>80</v>
      </c>
      <c r="S650" s="43">
        <v>6</v>
      </c>
      <c r="T650" s="46">
        <v>44.46</v>
      </c>
      <c r="U650" s="40">
        <v>3</v>
      </c>
      <c r="V650" s="47">
        <v>4532.0536745259997</v>
      </c>
      <c r="W650" s="48">
        <v>1983</v>
      </c>
      <c r="X650" s="40"/>
      <c r="Y650" s="52" t="s">
        <v>1081</v>
      </c>
      <c r="Z650" s="40" t="s">
        <v>910</v>
      </c>
      <c r="AA650" s="49">
        <f t="shared" si="97"/>
        <v>0</v>
      </c>
      <c r="AB650" s="71">
        <f t="shared" si="98"/>
        <v>0.80</v>
      </c>
      <c r="AC650" s="49">
        <f t="shared" si="99"/>
        <v>0</v>
      </c>
      <c r="AD650" s="50">
        <f t="shared" si="100"/>
        <v>0</v>
      </c>
      <c r="AE650" s="50">
        <f t="shared" si="101"/>
        <v>0</v>
      </c>
      <c r="AF650" s="50">
        <f t="shared" si="102"/>
        <v>0</v>
      </c>
      <c r="AG650" s="199">
        <f t="shared" si="103"/>
        <v>0</v>
      </c>
      <c r="AH650" s="187"/>
      <c r="AI650" s="185" t="s">
        <v>1457</v>
      </c>
      <c r="AJ650" s="185"/>
      <c r="AK650" s="277">
        <f t="shared" si="96"/>
        <v>4532.05</v>
      </c>
      <c r="AL650" s="25">
        <f>(SUMIFS('T1 2019 Pipeline Data Lagasco'!$O:$O,'T1 2019 Pipeline Data Lagasco'!$A:$A,'Dec 31 2018 OFFS'!$AI650,'T1 2019 Pipeline Data Lagasco'!$Q:$Q,'Dec 31 2018 OFFS'!$AK650,'T1 2019 Pipeline Data Lagasco'!$E:$E,'Dec 31 2018 OFFS'!$U650,'T1 2019 Pipeline Data Lagasco'!$G:$G,'Dec 31 2018 OFFS'!$W650))/(MAX(COUNTIFS('T1 2019 Pipeline Data Lagasco'!$A:$A,'Dec 31 2018 OFFS'!$AI650,'T1 2019 Pipeline Data Lagasco'!$Q:$Q,'Dec 31 2018 OFFS'!$AK650,'T1 2019 Pipeline Data Lagasco'!$E:$E,'Dec 31 2018 OFFS'!$U650,'T1 2019 Pipeline Data Lagasco'!$G:$G,'Dec 31 2018 OFFS'!$W650),1))</f>
        <v>0</v>
      </c>
      <c r="AM650" s="274">
        <f t="shared" si="104"/>
        <v>0</v>
      </c>
    </row>
    <row r="651" spans="1:39" ht="12.7">
      <c r="A651" s="193" t="s">
        <v>909</v>
      </c>
      <c r="B651" s="40" t="s">
        <v>918</v>
      </c>
      <c r="C651" s="40" t="s">
        <v>1266</v>
      </c>
      <c r="D651" s="40" t="s">
        <v>229</v>
      </c>
      <c r="E651" s="40" t="s">
        <v>293</v>
      </c>
      <c r="F651" s="40"/>
      <c r="G651" s="41" t="s">
        <v>291</v>
      </c>
      <c r="H651" s="42">
        <v>42</v>
      </c>
      <c r="I651" s="43">
        <v>42</v>
      </c>
      <c r="J651" s="44">
        <v>22.68</v>
      </c>
      <c r="K651" s="45">
        <v>80</v>
      </c>
      <c r="L651" s="43">
        <v>9</v>
      </c>
      <c r="M651" s="46">
        <v>56.28</v>
      </c>
      <c r="N651" s="40" t="s">
        <v>288</v>
      </c>
      <c r="O651" s="42">
        <v>42</v>
      </c>
      <c r="P651" s="43">
        <v>42</v>
      </c>
      <c r="Q651" s="44">
        <f>0.252*60</f>
        <v>15.12</v>
      </c>
      <c r="R651" s="45">
        <v>80</v>
      </c>
      <c r="S651" s="43">
        <v>7</v>
      </c>
      <c r="T651" s="46">
        <f>0.493*60</f>
        <v>29.58</v>
      </c>
      <c r="U651" s="40">
        <v>3</v>
      </c>
      <c r="V651" s="47">
        <v>10980.347451038</v>
      </c>
      <c r="W651" s="48">
        <v>1982</v>
      </c>
      <c r="X651" s="40"/>
      <c r="Y651" s="52" t="s">
        <v>1081</v>
      </c>
      <c r="Z651" s="40" t="s">
        <v>910</v>
      </c>
      <c r="AA651" s="49">
        <f t="shared" si="97"/>
        <v>259026.39636998641</v>
      </c>
      <c r="AB651" s="71">
        <f t="shared" si="98"/>
        <v>0.80</v>
      </c>
      <c r="AC651" s="49">
        <f t="shared" si="99"/>
        <v>51805.28</v>
      </c>
      <c r="AD651" s="50">
        <f t="shared" si="100"/>
        <v>0</v>
      </c>
      <c r="AE651" s="50">
        <f t="shared" si="101"/>
        <v>0</v>
      </c>
      <c r="AF651" s="50">
        <f t="shared" si="102"/>
        <v>51805.28</v>
      </c>
      <c r="AG651" s="199">
        <f t="shared" si="103"/>
        <v>51805</v>
      </c>
      <c r="AH651" s="187"/>
      <c r="AI651" s="185" t="s">
        <v>1457</v>
      </c>
      <c r="AJ651" s="185"/>
      <c r="AK651" s="277">
        <f t="shared" si="96"/>
        <v>10980.35</v>
      </c>
      <c r="AL651" s="25">
        <f>(SUMIFS('T1 2019 Pipeline Data Lagasco'!$O:$O,'T1 2019 Pipeline Data Lagasco'!$A:$A,'Dec 31 2018 OFFS'!$AI651,'T1 2019 Pipeline Data Lagasco'!$Q:$Q,'Dec 31 2018 OFFS'!$AK651,'T1 2019 Pipeline Data Lagasco'!$E:$E,'Dec 31 2018 OFFS'!$U651,'T1 2019 Pipeline Data Lagasco'!$G:$G,'Dec 31 2018 OFFS'!$W651))/(MAX(COUNTIFS('T1 2019 Pipeline Data Lagasco'!$A:$A,'Dec 31 2018 OFFS'!$AI651,'T1 2019 Pipeline Data Lagasco'!$Q:$Q,'Dec 31 2018 OFFS'!$AK651,'T1 2019 Pipeline Data Lagasco'!$E:$E,'Dec 31 2018 OFFS'!$U651,'T1 2019 Pipeline Data Lagasco'!$G:$G,'Dec 31 2018 OFFS'!$W651),1))</f>
        <v>51805</v>
      </c>
      <c r="AM651" s="274">
        <f t="shared" si="104"/>
        <v>0</v>
      </c>
    </row>
    <row r="652" spans="1:39" ht="12.7">
      <c r="A652" s="193" t="s">
        <v>909</v>
      </c>
      <c r="B652" s="40" t="s">
        <v>918</v>
      </c>
      <c r="C652" s="40" t="s">
        <v>1266</v>
      </c>
      <c r="D652" s="40" t="s">
        <v>229</v>
      </c>
      <c r="E652" s="40" t="s">
        <v>293</v>
      </c>
      <c r="F652" s="40" t="s">
        <v>1051</v>
      </c>
      <c r="G652" s="41" t="s">
        <v>290</v>
      </c>
      <c r="H652" s="42">
        <v>42</v>
      </c>
      <c r="I652" s="43">
        <v>41</v>
      </c>
      <c r="J652" s="44">
        <v>45.18</v>
      </c>
      <c r="K652" s="45">
        <v>80</v>
      </c>
      <c r="L652" s="43">
        <v>6</v>
      </c>
      <c r="M652" s="46">
        <v>44.46</v>
      </c>
      <c r="N652" s="40" t="s">
        <v>292</v>
      </c>
      <c r="O652" s="42">
        <v>42</v>
      </c>
      <c r="P652" s="43">
        <v>40</v>
      </c>
      <c r="Q652" s="44">
        <f>0.437*60</f>
        <v>26.22</v>
      </c>
      <c r="R652" s="45">
        <v>80</v>
      </c>
      <c r="S652" s="43">
        <v>5</v>
      </c>
      <c r="T652" s="46">
        <f>0.302*60</f>
        <v>18.12</v>
      </c>
      <c r="U652" s="40">
        <v>3</v>
      </c>
      <c r="V652" s="47">
        <v>10270.865844287999</v>
      </c>
      <c r="W652" s="48">
        <v>1982</v>
      </c>
      <c r="X652" s="40"/>
      <c r="Y652" s="52" t="s">
        <v>1081</v>
      </c>
      <c r="Z652" s="40" t="s">
        <v>910</v>
      </c>
      <c r="AA652" s="49">
        <f t="shared" si="97"/>
        <v>0</v>
      </c>
      <c r="AB652" s="71">
        <f t="shared" si="98"/>
        <v>0.80</v>
      </c>
      <c r="AC652" s="49">
        <f t="shared" si="99"/>
        <v>0</v>
      </c>
      <c r="AD652" s="50">
        <f t="shared" si="100"/>
        <v>0</v>
      </c>
      <c r="AE652" s="50">
        <f t="shared" si="101"/>
        <v>0</v>
      </c>
      <c r="AF652" s="50">
        <f t="shared" si="102"/>
        <v>0</v>
      </c>
      <c r="AG652" s="199">
        <f t="shared" si="103"/>
        <v>0</v>
      </c>
      <c r="AH652" s="187"/>
      <c r="AI652" s="185" t="s">
        <v>1457</v>
      </c>
      <c r="AJ652" s="185"/>
      <c r="AK652" s="277">
        <f t="shared" si="96"/>
        <v>10270.870000000001</v>
      </c>
      <c r="AL652" s="25">
        <f>(SUMIFS('T1 2019 Pipeline Data Lagasco'!$O:$O,'T1 2019 Pipeline Data Lagasco'!$A:$A,'Dec 31 2018 OFFS'!$AI652,'T1 2019 Pipeline Data Lagasco'!$Q:$Q,'Dec 31 2018 OFFS'!$AK652,'T1 2019 Pipeline Data Lagasco'!$E:$E,'Dec 31 2018 OFFS'!$U652,'T1 2019 Pipeline Data Lagasco'!$G:$G,'Dec 31 2018 OFFS'!$W652))/(MAX(COUNTIFS('T1 2019 Pipeline Data Lagasco'!$A:$A,'Dec 31 2018 OFFS'!$AI652,'T1 2019 Pipeline Data Lagasco'!$Q:$Q,'Dec 31 2018 OFFS'!$AK652,'T1 2019 Pipeline Data Lagasco'!$E:$E,'Dec 31 2018 OFFS'!$U652,'T1 2019 Pipeline Data Lagasco'!$G:$G,'Dec 31 2018 OFFS'!$W652),1))</f>
        <v>0</v>
      </c>
      <c r="AM652" s="274">
        <f t="shared" si="104"/>
        <v>0</v>
      </c>
    </row>
    <row r="653" spans="1:39" ht="12.7">
      <c r="A653" s="193" t="s">
        <v>909</v>
      </c>
      <c r="B653" s="40" t="s">
        <v>918</v>
      </c>
      <c r="C653" s="40" t="s">
        <v>1266</v>
      </c>
      <c r="D653" s="40" t="s">
        <v>229</v>
      </c>
      <c r="E653" s="40" t="s">
        <v>293</v>
      </c>
      <c r="F653" s="40" t="s">
        <v>1051</v>
      </c>
      <c r="G653" s="41" t="s">
        <v>290</v>
      </c>
      <c r="H653" s="42">
        <v>42</v>
      </c>
      <c r="I653" s="43">
        <v>41</v>
      </c>
      <c r="J653" s="44">
        <v>45.18</v>
      </c>
      <c r="K653" s="45">
        <v>80</v>
      </c>
      <c r="L653" s="43">
        <v>6</v>
      </c>
      <c r="M653" s="46">
        <v>44.46</v>
      </c>
      <c r="N653" s="40" t="s">
        <v>294</v>
      </c>
      <c r="O653" s="42">
        <v>42</v>
      </c>
      <c r="P653" s="43">
        <v>40</v>
      </c>
      <c r="Q653" s="44">
        <f>0.95*60</f>
        <v>57</v>
      </c>
      <c r="R653" s="45">
        <v>80</v>
      </c>
      <c r="S653" s="43">
        <v>7</v>
      </c>
      <c r="T653" s="46">
        <f>0.983*60</f>
        <v>58.98</v>
      </c>
      <c r="U653" s="40">
        <v>3</v>
      </c>
      <c r="V653" s="47">
        <v>7400.56</v>
      </c>
      <c r="W653" s="48">
        <v>1982</v>
      </c>
      <c r="X653" s="40"/>
      <c r="Y653" s="52"/>
      <c r="Z653" s="40" t="s">
        <v>910</v>
      </c>
      <c r="AA653" s="49">
        <f t="shared" si="97"/>
        <v>0</v>
      </c>
      <c r="AB653" s="71">
        <f t="shared" si="98"/>
        <v>0.80</v>
      </c>
      <c r="AC653" s="49">
        <f t="shared" si="99"/>
        <v>0</v>
      </c>
      <c r="AD653" s="50">
        <f t="shared" si="100"/>
        <v>0</v>
      </c>
      <c r="AE653" s="50">
        <f t="shared" si="101"/>
        <v>0</v>
      </c>
      <c r="AF653" s="50">
        <f t="shared" si="102"/>
        <v>0</v>
      </c>
      <c r="AG653" s="199">
        <f t="shared" si="103"/>
        <v>0</v>
      </c>
      <c r="AH653" s="187"/>
      <c r="AI653" s="185" t="s">
        <v>1457</v>
      </c>
      <c r="AJ653" s="185"/>
      <c r="AK653" s="277">
        <f t="shared" si="96"/>
        <v>7400.56</v>
      </c>
      <c r="AL653" s="25">
        <f>(SUMIFS('T1 2019 Pipeline Data Lagasco'!$O:$O,'T1 2019 Pipeline Data Lagasco'!$A:$A,'Dec 31 2018 OFFS'!$AI653,'T1 2019 Pipeline Data Lagasco'!$Q:$Q,'Dec 31 2018 OFFS'!$AK653,'T1 2019 Pipeline Data Lagasco'!$E:$E,'Dec 31 2018 OFFS'!$U653,'T1 2019 Pipeline Data Lagasco'!$G:$G,'Dec 31 2018 OFFS'!$W653))/(MAX(COUNTIFS('T1 2019 Pipeline Data Lagasco'!$A:$A,'Dec 31 2018 OFFS'!$AI653,'T1 2019 Pipeline Data Lagasco'!$Q:$Q,'Dec 31 2018 OFFS'!$AK653,'T1 2019 Pipeline Data Lagasco'!$E:$E,'Dec 31 2018 OFFS'!$U653,'T1 2019 Pipeline Data Lagasco'!$G:$G,'Dec 31 2018 OFFS'!$W653),1))</f>
        <v>0</v>
      </c>
      <c r="AM653" s="274">
        <f t="shared" si="104"/>
        <v>0</v>
      </c>
    </row>
    <row r="654" spans="1:39" ht="12.7">
      <c r="A654" s="193" t="s">
        <v>909</v>
      </c>
      <c r="B654" s="40" t="s">
        <v>918</v>
      </c>
      <c r="C654" s="40" t="s">
        <v>1266</v>
      </c>
      <c r="D654" s="40" t="s">
        <v>229</v>
      </c>
      <c r="E654" s="40" t="s">
        <v>293</v>
      </c>
      <c r="F654" s="40"/>
      <c r="G654" s="41" t="s">
        <v>292</v>
      </c>
      <c r="H654" s="42">
        <v>42</v>
      </c>
      <c r="I654" s="43">
        <v>40</v>
      </c>
      <c r="J654" s="44">
        <f>0.437*60</f>
        <v>26.22</v>
      </c>
      <c r="K654" s="45">
        <v>80</v>
      </c>
      <c r="L654" s="43">
        <v>5</v>
      </c>
      <c r="M654" s="46">
        <f>0.302*60</f>
        <v>18.12</v>
      </c>
      <c r="N654" s="40" t="s">
        <v>249</v>
      </c>
      <c r="O654" s="42" t="s">
        <v>78</v>
      </c>
      <c r="P654" s="43">
        <v>40</v>
      </c>
      <c r="Q654" s="44">
        <v>25.991</v>
      </c>
      <c r="R654" s="45" t="s">
        <v>1010</v>
      </c>
      <c r="S654" s="43">
        <v>4</v>
      </c>
      <c r="T654" s="46">
        <v>25.23</v>
      </c>
      <c r="U654" s="40">
        <v>3</v>
      </c>
      <c r="V654" s="47">
        <v>3936</v>
      </c>
      <c r="W654" s="48">
        <v>1982</v>
      </c>
      <c r="X654" s="40"/>
      <c r="Y654" s="52"/>
      <c r="Z654" s="40" t="s">
        <v>910</v>
      </c>
      <c r="AA654" s="49">
        <f t="shared" si="97"/>
        <v>92850.24</v>
      </c>
      <c r="AB654" s="71">
        <f t="shared" si="98"/>
        <v>0.80</v>
      </c>
      <c r="AC654" s="49">
        <f t="shared" si="99"/>
        <v>18570.05</v>
      </c>
      <c r="AD654" s="50">
        <f t="shared" si="100"/>
        <v>0</v>
      </c>
      <c r="AE654" s="50">
        <f t="shared" si="101"/>
        <v>0</v>
      </c>
      <c r="AF654" s="50">
        <f t="shared" si="102"/>
        <v>18570.05</v>
      </c>
      <c r="AG654" s="199">
        <f t="shared" si="103"/>
        <v>18570</v>
      </c>
      <c r="AH654" s="187"/>
      <c r="AI654" s="185" t="s">
        <v>1457</v>
      </c>
      <c r="AJ654" s="185"/>
      <c r="AK654" s="277">
        <f t="shared" si="96"/>
        <v>3936</v>
      </c>
      <c r="AL654" s="25">
        <f>(SUMIFS('T1 2019 Pipeline Data Lagasco'!$O:$O,'T1 2019 Pipeline Data Lagasco'!$A:$A,'Dec 31 2018 OFFS'!$AI654,'T1 2019 Pipeline Data Lagasco'!$Q:$Q,'Dec 31 2018 OFFS'!$AK654,'T1 2019 Pipeline Data Lagasco'!$E:$E,'Dec 31 2018 OFFS'!$U654,'T1 2019 Pipeline Data Lagasco'!$G:$G,'Dec 31 2018 OFFS'!$W654))/(MAX(COUNTIFS('T1 2019 Pipeline Data Lagasco'!$A:$A,'Dec 31 2018 OFFS'!$AI654,'T1 2019 Pipeline Data Lagasco'!$Q:$Q,'Dec 31 2018 OFFS'!$AK654,'T1 2019 Pipeline Data Lagasco'!$E:$E,'Dec 31 2018 OFFS'!$U654,'T1 2019 Pipeline Data Lagasco'!$G:$G,'Dec 31 2018 OFFS'!$W654),1))</f>
        <v>18570</v>
      </c>
      <c r="AM654" s="274">
        <f t="shared" si="104"/>
        <v>0</v>
      </c>
    </row>
    <row r="655" spans="1:39" ht="12.7">
      <c r="A655" s="193" t="s">
        <v>909</v>
      </c>
      <c r="B655" s="40" t="s">
        <v>918</v>
      </c>
      <c r="C655" s="40" t="s">
        <v>1266</v>
      </c>
      <c r="D655" s="40" t="s">
        <v>229</v>
      </c>
      <c r="E655" s="40" t="s">
        <v>293</v>
      </c>
      <c r="F655" s="40" t="s">
        <v>1051</v>
      </c>
      <c r="G655" s="41" t="s">
        <v>294</v>
      </c>
      <c r="H655" s="42">
        <v>42</v>
      </c>
      <c r="I655" s="43">
        <v>40</v>
      </c>
      <c r="J655" s="44">
        <f>0.95*60</f>
        <v>57</v>
      </c>
      <c r="K655" s="45">
        <v>80</v>
      </c>
      <c r="L655" s="43">
        <v>7</v>
      </c>
      <c r="M655" s="46">
        <f>0.983*60</f>
        <v>58.98</v>
      </c>
      <c r="N655" s="40" t="s">
        <v>295</v>
      </c>
      <c r="O655" s="42">
        <v>42</v>
      </c>
      <c r="P655" s="43">
        <v>40</v>
      </c>
      <c r="Q655" s="44">
        <f>0.917*60</f>
        <v>55.02</v>
      </c>
      <c r="R655" s="45">
        <v>80</v>
      </c>
      <c r="S655" s="43">
        <v>9</v>
      </c>
      <c r="T655" s="46">
        <f>0.867*60</f>
        <v>52.02</v>
      </c>
      <c r="U655" s="40">
        <v>3</v>
      </c>
      <c r="V655" s="47">
        <v>8445.83</v>
      </c>
      <c r="W655" s="48">
        <v>1982</v>
      </c>
      <c r="X655" s="40"/>
      <c r="Y655" s="52"/>
      <c r="Z655" s="40" t="s">
        <v>910</v>
      </c>
      <c r="AA655" s="49">
        <f t="shared" si="97"/>
        <v>0</v>
      </c>
      <c r="AB655" s="71">
        <f t="shared" si="98"/>
        <v>0.80</v>
      </c>
      <c r="AC655" s="49">
        <f t="shared" si="99"/>
        <v>0</v>
      </c>
      <c r="AD655" s="50">
        <f t="shared" si="100"/>
        <v>0</v>
      </c>
      <c r="AE655" s="50">
        <f t="shared" si="101"/>
        <v>0</v>
      </c>
      <c r="AF655" s="50">
        <f t="shared" si="102"/>
        <v>0</v>
      </c>
      <c r="AG655" s="199">
        <f t="shared" si="103"/>
        <v>0</v>
      </c>
      <c r="AH655" s="187"/>
      <c r="AI655" s="185" t="s">
        <v>1457</v>
      </c>
      <c r="AJ655" s="185"/>
      <c r="AK655" s="277">
        <f t="shared" si="96"/>
        <v>8445.83</v>
      </c>
      <c r="AL655" s="25">
        <f>(SUMIFS('T1 2019 Pipeline Data Lagasco'!$O:$O,'T1 2019 Pipeline Data Lagasco'!$A:$A,'Dec 31 2018 OFFS'!$AI655,'T1 2019 Pipeline Data Lagasco'!$Q:$Q,'Dec 31 2018 OFFS'!$AK655,'T1 2019 Pipeline Data Lagasco'!$E:$E,'Dec 31 2018 OFFS'!$U655,'T1 2019 Pipeline Data Lagasco'!$G:$G,'Dec 31 2018 OFFS'!$W655))/(MAX(COUNTIFS('T1 2019 Pipeline Data Lagasco'!$A:$A,'Dec 31 2018 OFFS'!$AI655,'T1 2019 Pipeline Data Lagasco'!$Q:$Q,'Dec 31 2018 OFFS'!$AK655,'T1 2019 Pipeline Data Lagasco'!$E:$E,'Dec 31 2018 OFFS'!$U655,'T1 2019 Pipeline Data Lagasco'!$G:$G,'Dec 31 2018 OFFS'!$W655),1))</f>
        <v>0</v>
      </c>
      <c r="AM655" s="274">
        <f t="shared" si="104"/>
        <v>0</v>
      </c>
    </row>
    <row r="656" spans="1:39" ht="12.7">
      <c r="A656" s="193" t="s">
        <v>909</v>
      </c>
      <c r="B656" s="40" t="s">
        <v>918</v>
      </c>
      <c r="C656" s="40" t="s">
        <v>1266</v>
      </c>
      <c r="D656" s="40" t="s">
        <v>229</v>
      </c>
      <c r="E656" s="40" t="s">
        <v>293</v>
      </c>
      <c r="F656" s="40"/>
      <c r="G656" s="40" t="s">
        <v>331</v>
      </c>
      <c r="H656" s="42">
        <v>42</v>
      </c>
      <c r="I656" s="43">
        <v>43</v>
      </c>
      <c r="J656" s="44">
        <v>44.587000000000003</v>
      </c>
      <c r="K656" s="45">
        <v>80</v>
      </c>
      <c r="L656" s="43">
        <v>10</v>
      </c>
      <c r="M656" s="46">
        <v>11.067</v>
      </c>
      <c r="N656" s="40" t="s">
        <v>332</v>
      </c>
      <c r="O656" s="42">
        <v>42</v>
      </c>
      <c r="P656" s="43">
        <v>39</v>
      </c>
      <c r="Q656" s="44">
        <v>37.47</v>
      </c>
      <c r="R656" s="45">
        <v>80</v>
      </c>
      <c r="S656" s="43">
        <v>9</v>
      </c>
      <c r="T656" s="46">
        <v>23.59</v>
      </c>
      <c r="U656" s="40">
        <v>6</v>
      </c>
      <c r="V656" s="47">
        <v>25267.912654067997</v>
      </c>
      <c r="W656" s="48">
        <v>1982</v>
      </c>
      <c r="X656" s="40"/>
      <c r="Y656" s="52" t="s">
        <v>1081</v>
      </c>
      <c r="Z656" s="40" t="s">
        <v>910</v>
      </c>
      <c r="AA656" s="49">
        <f t="shared" si="97"/>
        <v>875027.81521037477</v>
      </c>
      <c r="AB656" s="71">
        <f t="shared" si="98"/>
        <v>0.80</v>
      </c>
      <c r="AC656" s="49">
        <f t="shared" si="99"/>
        <v>175005.56</v>
      </c>
      <c r="AD656" s="50">
        <f t="shared" si="100"/>
        <v>0</v>
      </c>
      <c r="AE656" s="50">
        <f t="shared" si="101"/>
        <v>0</v>
      </c>
      <c r="AF656" s="50">
        <f t="shared" si="102"/>
        <v>175005.56</v>
      </c>
      <c r="AG656" s="199">
        <f t="shared" si="103"/>
        <v>175005</v>
      </c>
      <c r="AH656" s="187"/>
      <c r="AI656" s="185" t="s">
        <v>1457</v>
      </c>
      <c r="AJ656" s="185"/>
      <c r="AK656" s="277">
        <f t="shared" si="96"/>
        <v>25267.91</v>
      </c>
      <c r="AL656" s="25">
        <f>(SUMIFS('T1 2019 Pipeline Data Lagasco'!$O:$O,'T1 2019 Pipeline Data Lagasco'!$A:$A,'Dec 31 2018 OFFS'!$AI656,'T1 2019 Pipeline Data Lagasco'!$Q:$Q,'Dec 31 2018 OFFS'!$AK656,'T1 2019 Pipeline Data Lagasco'!$E:$E,'Dec 31 2018 OFFS'!$U656,'T1 2019 Pipeline Data Lagasco'!$G:$G,'Dec 31 2018 OFFS'!$W656))/(MAX(COUNTIFS('T1 2019 Pipeline Data Lagasco'!$A:$A,'Dec 31 2018 OFFS'!$AI656,'T1 2019 Pipeline Data Lagasco'!$Q:$Q,'Dec 31 2018 OFFS'!$AK656,'T1 2019 Pipeline Data Lagasco'!$E:$E,'Dec 31 2018 OFFS'!$U656,'T1 2019 Pipeline Data Lagasco'!$G:$G,'Dec 31 2018 OFFS'!$W656),1))</f>
        <v>175005</v>
      </c>
      <c r="AM656" s="274">
        <f t="shared" si="104"/>
        <v>0</v>
      </c>
    </row>
    <row r="657" spans="1:39" ht="12.7">
      <c r="A657" s="193" t="s">
        <v>909</v>
      </c>
      <c r="B657" s="40" t="s">
        <v>918</v>
      </c>
      <c r="C657" s="40" t="s">
        <v>1266</v>
      </c>
      <c r="D657" s="40" t="s">
        <v>229</v>
      </c>
      <c r="E657" s="40" t="s">
        <v>1055</v>
      </c>
      <c r="F657" s="40" t="s">
        <v>1051</v>
      </c>
      <c r="G657" s="40" t="s">
        <v>296</v>
      </c>
      <c r="H657" s="42">
        <v>42</v>
      </c>
      <c r="I657" s="43">
        <v>44</v>
      </c>
      <c r="J657" s="44">
        <v>4.5199999999999996</v>
      </c>
      <c r="K657" s="45">
        <v>80</v>
      </c>
      <c r="L657" s="43">
        <v>15</v>
      </c>
      <c r="M657" s="46">
        <v>33.950000000000003</v>
      </c>
      <c r="N657" s="41" t="s">
        <v>297</v>
      </c>
      <c r="O657" s="42">
        <v>42</v>
      </c>
      <c r="P657" s="43">
        <v>44</v>
      </c>
      <c r="Q657" s="44">
        <v>30.60</v>
      </c>
      <c r="R657" s="45">
        <v>80</v>
      </c>
      <c r="S657" s="43">
        <v>15</v>
      </c>
      <c r="T657" s="46">
        <v>3.60</v>
      </c>
      <c r="U657" s="40">
        <v>3</v>
      </c>
      <c r="V657" s="47">
        <v>3476</v>
      </c>
      <c r="W657" s="48">
        <v>1965</v>
      </c>
      <c r="X657" s="40"/>
      <c r="Y657" s="52" t="s">
        <v>1081</v>
      </c>
      <c r="Z657" s="40" t="s">
        <v>910</v>
      </c>
      <c r="AA657" s="49">
        <f t="shared" si="97"/>
        <v>0</v>
      </c>
      <c r="AB657" s="71">
        <f t="shared" si="98"/>
        <v>0.80</v>
      </c>
      <c r="AC657" s="49">
        <f t="shared" si="99"/>
        <v>0</v>
      </c>
      <c r="AD657" s="50">
        <f t="shared" si="100"/>
        <v>0</v>
      </c>
      <c r="AE657" s="50">
        <f t="shared" si="101"/>
        <v>0</v>
      </c>
      <c r="AF657" s="50">
        <f t="shared" si="102"/>
        <v>0</v>
      </c>
      <c r="AG657" s="199">
        <f t="shared" si="103"/>
        <v>0</v>
      </c>
      <c r="AH657" s="187"/>
      <c r="AI657" s="185" t="s">
        <v>1457</v>
      </c>
      <c r="AJ657" s="185"/>
      <c r="AK657" s="277">
        <f t="shared" si="96"/>
        <v>3476</v>
      </c>
      <c r="AL657" s="25">
        <f>(SUMIFS('T1 2019 Pipeline Data Lagasco'!$O:$O,'T1 2019 Pipeline Data Lagasco'!$A:$A,'Dec 31 2018 OFFS'!$AI657,'T1 2019 Pipeline Data Lagasco'!$Q:$Q,'Dec 31 2018 OFFS'!$AK657,'T1 2019 Pipeline Data Lagasco'!$E:$E,'Dec 31 2018 OFFS'!$U657,'T1 2019 Pipeline Data Lagasco'!$G:$G,'Dec 31 2018 OFFS'!$W657))/(MAX(COUNTIFS('T1 2019 Pipeline Data Lagasco'!$A:$A,'Dec 31 2018 OFFS'!$AI657,'T1 2019 Pipeline Data Lagasco'!$Q:$Q,'Dec 31 2018 OFFS'!$AK657,'T1 2019 Pipeline Data Lagasco'!$E:$E,'Dec 31 2018 OFFS'!$U657,'T1 2019 Pipeline Data Lagasco'!$G:$G,'Dec 31 2018 OFFS'!$W657),1))</f>
        <v>0</v>
      </c>
      <c r="AM657" s="274">
        <f t="shared" si="104"/>
        <v>0</v>
      </c>
    </row>
    <row r="658" spans="1:39" ht="12.7">
      <c r="A658" s="193" t="s">
        <v>909</v>
      </c>
      <c r="B658" s="40" t="s">
        <v>918</v>
      </c>
      <c r="C658" s="40" t="s">
        <v>1266</v>
      </c>
      <c r="D658" s="40" t="s">
        <v>229</v>
      </c>
      <c r="E658" s="40" t="s">
        <v>1055</v>
      </c>
      <c r="F658" s="40" t="s">
        <v>1051</v>
      </c>
      <c r="G658" s="41" t="s">
        <v>297</v>
      </c>
      <c r="H658" s="42">
        <v>42</v>
      </c>
      <c r="I658" s="43">
        <v>44</v>
      </c>
      <c r="J658" s="44">
        <v>30.60</v>
      </c>
      <c r="K658" s="45">
        <v>80</v>
      </c>
      <c r="L658" s="43">
        <v>15</v>
      </c>
      <c r="M658" s="46">
        <v>3.60</v>
      </c>
      <c r="N658" s="41" t="s">
        <v>298</v>
      </c>
      <c r="O658" s="42">
        <v>42</v>
      </c>
      <c r="P658" s="43">
        <v>44</v>
      </c>
      <c r="Q658" s="44">
        <v>10.38</v>
      </c>
      <c r="R658" s="45">
        <v>80</v>
      </c>
      <c r="S658" s="43">
        <v>14</v>
      </c>
      <c r="T658" s="46">
        <v>49.80</v>
      </c>
      <c r="U658" s="40">
        <v>3</v>
      </c>
      <c r="V658" s="47">
        <v>2289</v>
      </c>
      <c r="W658" s="48">
        <v>1965</v>
      </c>
      <c r="X658" s="40"/>
      <c r="Y658" s="52" t="s">
        <v>1081</v>
      </c>
      <c r="Z658" s="40" t="s">
        <v>910</v>
      </c>
      <c r="AA658" s="49">
        <f t="shared" si="97"/>
        <v>0</v>
      </c>
      <c r="AB658" s="71">
        <f t="shared" si="98"/>
        <v>0.80</v>
      </c>
      <c r="AC658" s="49">
        <f t="shared" si="99"/>
        <v>0</v>
      </c>
      <c r="AD658" s="50">
        <f t="shared" si="100"/>
        <v>0</v>
      </c>
      <c r="AE658" s="50">
        <f t="shared" si="101"/>
        <v>0</v>
      </c>
      <c r="AF658" s="50">
        <f t="shared" si="102"/>
        <v>0</v>
      </c>
      <c r="AG658" s="199">
        <f t="shared" si="103"/>
        <v>0</v>
      </c>
      <c r="AH658" s="187"/>
      <c r="AI658" s="185" t="s">
        <v>1457</v>
      </c>
      <c r="AJ658" s="185"/>
      <c r="AK658" s="277">
        <f t="shared" si="96"/>
        <v>2289</v>
      </c>
      <c r="AL658" s="25">
        <f>(SUMIFS('T1 2019 Pipeline Data Lagasco'!$O:$O,'T1 2019 Pipeline Data Lagasco'!$A:$A,'Dec 31 2018 OFFS'!$AI658,'T1 2019 Pipeline Data Lagasco'!$Q:$Q,'Dec 31 2018 OFFS'!$AK658,'T1 2019 Pipeline Data Lagasco'!$E:$E,'Dec 31 2018 OFFS'!$U658,'T1 2019 Pipeline Data Lagasco'!$G:$G,'Dec 31 2018 OFFS'!$W658))/(MAX(COUNTIFS('T1 2019 Pipeline Data Lagasco'!$A:$A,'Dec 31 2018 OFFS'!$AI658,'T1 2019 Pipeline Data Lagasco'!$Q:$Q,'Dec 31 2018 OFFS'!$AK658,'T1 2019 Pipeline Data Lagasco'!$E:$E,'Dec 31 2018 OFFS'!$U658,'T1 2019 Pipeline Data Lagasco'!$G:$G,'Dec 31 2018 OFFS'!$W658),1))</f>
        <v>0</v>
      </c>
      <c r="AM658" s="274">
        <f t="shared" si="104"/>
        <v>0</v>
      </c>
    </row>
    <row r="659" spans="1:39" ht="12.7">
      <c r="A659" s="193" t="s">
        <v>909</v>
      </c>
      <c r="B659" s="40" t="s">
        <v>918</v>
      </c>
      <c r="C659" s="40" t="s">
        <v>1266</v>
      </c>
      <c r="D659" s="40" t="s">
        <v>229</v>
      </c>
      <c r="E659" s="40" t="s">
        <v>1055</v>
      </c>
      <c r="F659" s="40" t="s">
        <v>1051</v>
      </c>
      <c r="G659" s="41" t="s">
        <v>297</v>
      </c>
      <c r="H659" s="42">
        <v>42</v>
      </c>
      <c r="I659" s="43">
        <v>44</v>
      </c>
      <c r="J659" s="44">
        <v>30.60</v>
      </c>
      <c r="K659" s="45">
        <v>80</v>
      </c>
      <c r="L659" s="43">
        <v>15</v>
      </c>
      <c r="M659" s="46">
        <v>3.60</v>
      </c>
      <c r="N659" s="54" t="s">
        <v>299</v>
      </c>
      <c r="O659" s="42">
        <v>42</v>
      </c>
      <c r="P659" s="43">
        <v>46</v>
      </c>
      <c r="Q659" s="44">
        <f>0.115*60</f>
        <v>6.90</v>
      </c>
      <c r="R659" s="45">
        <v>80</v>
      </c>
      <c r="S659" s="43">
        <v>13</v>
      </c>
      <c r="T659" s="46">
        <v>45</v>
      </c>
      <c r="U659" s="40">
        <v>3</v>
      </c>
      <c r="V659" s="47">
        <v>11367</v>
      </c>
      <c r="W659" s="48">
        <v>1965</v>
      </c>
      <c r="X659" s="40"/>
      <c r="Y659" s="52" t="s">
        <v>1081</v>
      </c>
      <c r="Z659" s="40" t="s">
        <v>910</v>
      </c>
      <c r="AA659" s="49">
        <f t="shared" si="97"/>
        <v>0</v>
      </c>
      <c r="AB659" s="71">
        <f t="shared" si="98"/>
        <v>0.80</v>
      </c>
      <c r="AC659" s="49">
        <f t="shared" si="99"/>
        <v>0</v>
      </c>
      <c r="AD659" s="50">
        <f t="shared" si="100"/>
        <v>0</v>
      </c>
      <c r="AE659" s="50">
        <f t="shared" si="101"/>
        <v>0</v>
      </c>
      <c r="AF659" s="50">
        <f t="shared" si="102"/>
        <v>0</v>
      </c>
      <c r="AG659" s="199">
        <f t="shared" si="103"/>
        <v>0</v>
      </c>
      <c r="AH659" s="187"/>
      <c r="AI659" s="185" t="s">
        <v>1457</v>
      </c>
      <c r="AJ659" s="185"/>
      <c r="AK659" s="277">
        <f t="shared" si="96"/>
        <v>11367</v>
      </c>
      <c r="AL659" s="25">
        <f>(SUMIFS('T1 2019 Pipeline Data Lagasco'!$O:$O,'T1 2019 Pipeline Data Lagasco'!$A:$A,'Dec 31 2018 OFFS'!$AI659,'T1 2019 Pipeline Data Lagasco'!$Q:$Q,'Dec 31 2018 OFFS'!$AK659,'T1 2019 Pipeline Data Lagasco'!$E:$E,'Dec 31 2018 OFFS'!$U659,'T1 2019 Pipeline Data Lagasco'!$G:$G,'Dec 31 2018 OFFS'!$W659))/(MAX(COUNTIFS('T1 2019 Pipeline Data Lagasco'!$A:$A,'Dec 31 2018 OFFS'!$AI659,'T1 2019 Pipeline Data Lagasco'!$Q:$Q,'Dec 31 2018 OFFS'!$AK659,'T1 2019 Pipeline Data Lagasco'!$E:$E,'Dec 31 2018 OFFS'!$U659,'T1 2019 Pipeline Data Lagasco'!$G:$G,'Dec 31 2018 OFFS'!$W659),1))</f>
        <v>0</v>
      </c>
      <c r="AM659" s="274">
        <f t="shared" si="104"/>
        <v>0</v>
      </c>
    </row>
    <row r="660" spans="1:39" ht="12.7">
      <c r="A660" s="193" t="s">
        <v>909</v>
      </c>
      <c r="B660" s="40" t="s">
        <v>918</v>
      </c>
      <c r="C660" s="40" t="s">
        <v>1266</v>
      </c>
      <c r="D660" s="40" t="s">
        <v>229</v>
      </c>
      <c r="E660" s="40" t="s">
        <v>324</v>
      </c>
      <c r="F660" s="40" t="s">
        <v>1051</v>
      </c>
      <c r="G660" s="41" t="s">
        <v>939</v>
      </c>
      <c r="H660" s="42">
        <v>42</v>
      </c>
      <c r="I660" s="43">
        <v>36</v>
      </c>
      <c r="J660" s="44">
        <f>0.747*60</f>
        <v>44.82</v>
      </c>
      <c r="K660" s="45">
        <v>80</v>
      </c>
      <c r="L660" s="43">
        <v>1</v>
      </c>
      <c r="M660" s="46">
        <f>0.74*60</f>
        <v>44.40</v>
      </c>
      <c r="N660" s="40" t="s">
        <v>300</v>
      </c>
      <c r="O660" s="42">
        <v>42</v>
      </c>
      <c r="P660" s="43">
        <v>36</v>
      </c>
      <c r="Q660" s="44">
        <v>25.94</v>
      </c>
      <c r="R660" s="45">
        <v>80</v>
      </c>
      <c r="S660" s="43">
        <v>2</v>
      </c>
      <c r="T660" s="46">
        <v>9.1300000000000008</v>
      </c>
      <c r="U660" s="40">
        <v>3</v>
      </c>
      <c r="V660" s="47">
        <v>2659.61</v>
      </c>
      <c r="W660" s="48">
        <v>1991</v>
      </c>
      <c r="X660" s="40"/>
      <c r="Y660" s="52"/>
      <c r="Z660" s="40" t="s">
        <v>910</v>
      </c>
      <c r="AA660" s="49">
        <f t="shared" si="97"/>
        <v>0</v>
      </c>
      <c r="AB660" s="71">
        <f t="shared" si="98"/>
        <v>0.72</v>
      </c>
      <c r="AC660" s="49">
        <f t="shared" si="99"/>
        <v>0</v>
      </c>
      <c r="AD660" s="50">
        <f t="shared" si="100"/>
        <v>0</v>
      </c>
      <c r="AE660" s="50">
        <f t="shared" si="101"/>
        <v>0</v>
      </c>
      <c r="AF660" s="50">
        <f t="shared" si="102"/>
        <v>0</v>
      </c>
      <c r="AG660" s="199">
        <f t="shared" si="103"/>
        <v>0</v>
      </c>
      <c r="AH660" s="187"/>
      <c r="AI660" s="185" t="s">
        <v>1457</v>
      </c>
      <c r="AJ660" s="185"/>
      <c r="AK660" s="277">
        <f t="shared" si="96"/>
        <v>2659.61</v>
      </c>
      <c r="AL660" s="25">
        <f>(SUMIFS('T1 2019 Pipeline Data Lagasco'!$O:$O,'T1 2019 Pipeline Data Lagasco'!$A:$A,'Dec 31 2018 OFFS'!$AI660,'T1 2019 Pipeline Data Lagasco'!$Q:$Q,'Dec 31 2018 OFFS'!$AK660,'T1 2019 Pipeline Data Lagasco'!$E:$E,'Dec 31 2018 OFFS'!$U660,'T1 2019 Pipeline Data Lagasco'!$G:$G,'Dec 31 2018 OFFS'!$W660))/(MAX(COUNTIFS('T1 2019 Pipeline Data Lagasco'!$A:$A,'Dec 31 2018 OFFS'!$AI660,'T1 2019 Pipeline Data Lagasco'!$Q:$Q,'Dec 31 2018 OFFS'!$AK660,'T1 2019 Pipeline Data Lagasco'!$E:$E,'Dec 31 2018 OFFS'!$U660,'T1 2019 Pipeline Data Lagasco'!$G:$G,'Dec 31 2018 OFFS'!$W660),1))</f>
        <v>0</v>
      </c>
      <c r="AM660" s="274">
        <f t="shared" si="104"/>
        <v>0</v>
      </c>
    </row>
    <row r="661" spans="1:39" ht="12.7">
      <c r="A661" s="193" t="s">
        <v>909</v>
      </c>
      <c r="B661" s="40" t="s">
        <v>918</v>
      </c>
      <c r="C661" s="40" t="s">
        <v>1266</v>
      </c>
      <c r="D661" s="40" t="s">
        <v>229</v>
      </c>
      <c r="E661" s="40" t="s">
        <v>64</v>
      </c>
      <c r="F661" s="40"/>
      <c r="G661" s="41" t="s">
        <v>301</v>
      </c>
      <c r="H661" s="42">
        <v>42</v>
      </c>
      <c r="I661" s="43">
        <v>38</v>
      </c>
      <c r="J661" s="44">
        <v>11.82</v>
      </c>
      <c r="K661" s="45">
        <v>79</v>
      </c>
      <c r="L661" s="43">
        <v>56</v>
      </c>
      <c r="M661" s="46">
        <v>46.50</v>
      </c>
      <c r="N661" s="40" t="s">
        <v>302</v>
      </c>
      <c r="O661" s="42">
        <v>42</v>
      </c>
      <c r="P661" s="43">
        <v>37</v>
      </c>
      <c r="Q661" s="44">
        <v>45.19</v>
      </c>
      <c r="R661" s="45">
        <v>79</v>
      </c>
      <c r="S661" s="43">
        <v>57</v>
      </c>
      <c r="T661" s="46">
        <v>10.882999999999999</v>
      </c>
      <c r="U661" s="40">
        <v>3</v>
      </c>
      <c r="V661" s="47">
        <v>3254.42903961</v>
      </c>
      <c r="W661" s="48">
        <v>1979</v>
      </c>
      <c r="X661" s="40"/>
      <c r="Y661" s="52" t="s">
        <v>1081</v>
      </c>
      <c r="Z661" s="40" t="s">
        <v>910</v>
      </c>
      <c r="AA661" s="49">
        <f t="shared" si="97"/>
        <v>76771.981044399901</v>
      </c>
      <c r="AB661" s="71">
        <f t="shared" si="98"/>
        <v>0.80</v>
      </c>
      <c r="AC661" s="49">
        <f t="shared" si="99"/>
        <v>15354.40</v>
      </c>
      <c r="AD661" s="50">
        <f t="shared" si="100"/>
        <v>0</v>
      </c>
      <c r="AE661" s="50">
        <f t="shared" si="101"/>
        <v>0</v>
      </c>
      <c r="AF661" s="50">
        <f t="shared" si="102"/>
        <v>15354.40</v>
      </c>
      <c r="AG661" s="199">
        <f t="shared" si="103"/>
        <v>15354</v>
      </c>
      <c r="AH661" s="187"/>
      <c r="AI661" s="185" t="s">
        <v>1457</v>
      </c>
      <c r="AJ661" s="185"/>
      <c r="AK661" s="277">
        <f t="shared" si="96"/>
        <v>3254.43</v>
      </c>
      <c r="AL661" s="25">
        <f>(SUMIFS('T1 2019 Pipeline Data Lagasco'!$O:$O,'T1 2019 Pipeline Data Lagasco'!$A:$A,'Dec 31 2018 OFFS'!$AI661,'T1 2019 Pipeline Data Lagasco'!$Q:$Q,'Dec 31 2018 OFFS'!$AK661,'T1 2019 Pipeline Data Lagasco'!$E:$E,'Dec 31 2018 OFFS'!$U661,'T1 2019 Pipeline Data Lagasco'!$G:$G,'Dec 31 2018 OFFS'!$W661))/(MAX(COUNTIFS('T1 2019 Pipeline Data Lagasco'!$A:$A,'Dec 31 2018 OFFS'!$AI661,'T1 2019 Pipeline Data Lagasco'!$Q:$Q,'Dec 31 2018 OFFS'!$AK661,'T1 2019 Pipeline Data Lagasco'!$E:$E,'Dec 31 2018 OFFS'!$U661,'T1 2019 Pipeline Data Lagasco'!$G:$G,'Dec 31 2018 OFFS'!$W661),1))</f>
        <v>15354</v>
      </c>
      <c r="AM661" s="274">
        <f t="shared" si="104"/>
        <v>0</v>
      </c>
    </row>
    <row r="662" spans="1:39" ht="12.7">
      <c r="A662" s="193" t="s">
        <v>909</v>
      </c>
      <c r="B662" s="40" t="s">
        <v>918</v>
      </c>
      <c r="C662" s="40" t="s">
        <v>1266</v>
      </c>
      <c r="D662" s="40" t="s">
        <v>229</v>
      </c>
      <c r="E662" s="40" t="s">
        <v>64</v>
      </c>
      <c r="F662" s="40"/>
      <c r="G662" s="41" t="s">
        <v>301</v>
      </c>
      <c r="H662" s="42">
        <v>42</v>
      </c>
      <c r="I662" s="43">
        <v>38</v>
      </c>
      <c r="J662" s="44">
        <v>11.82</v>
      </c>
      <c r="K662" s="45">
        <v>79</v>
      </c>
      <c r="L662" s="43">
        <v>56</v>
      </c>
      <c r="M662" s="46">
        <v>46.50</v>
      </c>
      <c r="N662" s="40" t="s">
        <v>303</v>
      </c>
      <c r="O662" s="42">
        <v>42</v>
      </c>
      <c r="P662" s="43">
        <v>37</v>
      </c>
      <c r="Q662" s="44">
        <v>49.08</v>
      </c>
      <c r="R662" s="45">
        <v>79</v>
      </c>
      <c r="S662" s="43">
        <v>58</v>
      </c>
      <c r="T662" s="46">
        <v>12.78</v>
      </c>
      <c r="U662" s="40">
        <v>3</v>
      </c>
      <c r="V662" s="47">
        <v>6848.4249985200004</v>
      </c>
      <c r="W662" s="48">
        <v>1980</v>
      </c>
      <c r="X662" s="40"/>
      <c r="Y662" s="52" t="s">
        <v>1081</v>
      </c>
      <c r="Z662" s="40" t="s">
        <v>910</v>
      </c>
      <c r="AA662" s="49">
        <f t="shared" si="97"/>
        <v>161554.34571508682</v>
      </c>
      <c r="AB662" s="71">
        <f t="shared" si="98"/>
        <v>0.80</v>
      </c>
      <c r="AC662" s="49">
        <f t="shared" si="99"/>
        <v>32310.87</v>
      </c>
      <c r="AD662" s="50">
        <f t="shared" si="100"/>
        <v>0</v>
      </c>
      <c r="AE662" s="50">
        <f t="shared" si="101"/>
        <v>0</v>
      </c>
      <c r="AF662" s="50">
        <f t="shared" si="102"/>
        <v>32310.87</v>
      </c>
      <c r="AG662" s="199">
        <f t="shared" si="103"/>
        <v>32310</v>
      </c>
      <c r="AH662" s="187"/>
      <c r="AI662" s="185" t="s">
        <v>1457</v>
      </c>
      <c r="AJ662" s="185"/>
      <c r="AK662" s="277">
        <f t="shared" si="96"/>
        <v>6848.42</v>
      </c>
      <c r="AL662" s="25">
        <f>(SUMIFS('T1 2019 Pipeline Data Lagasco'!$O:$O,'T1 2019 Pipeline Data Lagasco'!$A:$A,'Dec 31 2018 OFFS'!$AI662,'T1 2019 Pipeline Data Lagasco'!$Q:$Q,'Dec 31 2018 OFFS'!$AK662,'T1 2019 Pipeline Data Lagasco'!$E:$E,'Dec 31 2018 OFFS'!$U662,'T1 2019 Pipeline Data Lagasco'!$G:$G,'Dec 31 2018 OFFS'!$W662))/(MAX(COUNTIFS('T1 2019 Pipeline Data Lagasco'!$A:$A,'Dec 31 2018 OFFS'!$AI662,'T1 2019 Pipeline Data Lagasco'!$Q:$Q,'Dec 31 2018 OFFS'!$AK662,'T1 2019 Pipeline Data Lagasco'!$E:$E,'Dec 31 2018 OFFS'!$U662,'T1 2019 Pipeline Data Lagasco'!$G:$G,'Dec 31 2018 OFFS'!$W662),1))</f>
        <v>32310</v>
      </c>
      <c r="AM662" s="274">
        <f t="shared" si="104"/>
        <v>0</v>
      </c>
    </row>
    <row r="663" spans="1:39" ht="12.7">
      <c r="A663" s="193" t="s">
        <v>909</v>
      </c>
      <c r="B663" s="40" t="s">
        <v>918</v>
      </c>
      <c r="C663" s="40" t="s">
        <v>1266</v>
      </c>
      <c r="D663" s="40" t="s">
        <v>229</v>
      </c>
      <c r="E663" s="40" t="s">
        <v>64</v>
      </c>
      <c r="F663" s="40"/>
      <c r="G663" s="41" t="s">
        <v>304</v>
      </c>
      <c r="H663" s="42">
        <v>42</v>
      </c>
      <c r="I663" s="43">
        <v>37</v>
      </c>
      <c r="J663" s="44">
        <v>9.90</v>
      </c>
      <c r="K663" s="45">
        <v>79</v>
      </c>
      <c r="L663" s="43">
        <v>55</v>
      </c>
      <c r="M663" s="46">
        <v>17.10</v>
      </c>
      <c r="N663" s="40" t="s">
        <v>305</v>
      </c>
      <c r="O663" s="42">
        <v>42</v>
      </c>
      <c r="P663" s="43">
        <v>36</v>
      </c>
      <c r="Q663" s="44">
        <v>49.02</v>
      </c>
      <c r="R663" s="45">
        <v>79</v>
      </c>
      <c r="S663" s="43">
        <v>53</v>
      </c>
      <c r="T663" s="46">
        <v>19.02</v>
      </c>
      <c r="U663" s="40">
        <v>3</v>
      </c>
      <c r="V663" s="47">
        <v>9079.1007869379991</v>
      </c>
      <c r="W663" s="48">
        <v>1979</v>
      </c>
      <c r="X663" s="40"/>
      <c r="Y663" s="52" t="s">
        <v>1081</v>
      </c>
      <c r="Z663" s="40" t="s">
        <v>910</v>
      </c>
      <c r="AA663" s="49">
        <f t="shared" si="97"/>
        <v>214175.98756386741</v>
      </c>
      <c r="AB663" s="71">
        <f t="shared" si="98"/>
        <v>0.80</v>
      </c>
      <c r="AC663" s="49">
        <f t="shared" si="99"/>
        <v>42835.20</v>
      </c>
      <c r="AD663" s="50">
        <f t="shared" si="100"/>
        <v>0</v>
      </c>
      <c r="AE663" s="50">
        <f t="shared" si="101"/>
        <v>0</v>
      </c>
      <c r="AF663" s="50">
        <f t="shared" si="102"/>
        <v>42835.20</v>
      </c>
      <c r="AG663" s="199">
        <f t="shared" si="103"/>
        <v>42835</v>
      </c>
      <c r="AH663" s="187"/>
      <c r="AI663" s="185" t="s">
        <v>1457</v>
      </c>
      <c r="AJ663" s="185"/>
      <c r="AK663" s="277">
        <f t="shared" si="96"/>
        <v>9079.10</v>
      </c>
      <c r="AL663" s="25">
        <f>(SUMIFS('T1 2019 Pipeline Data Lagasco'!$O:$O,'T1 2019 Pipeline Data Lagasco'!$A:$A,'Dec 31 2018 OFFS'!$AI663,'T1 2019 Pipeline Data Lagasco'!$Q:$Q,'Dec 31 2018 OFFS'!$AK663,'T1 2019 Pipeline Data Lagasco'!$E:$E,'Dec 31 2018 OFFS'!$U663,'T1 2019 Pipeline Data Lagasco'!$G:$G,'Dec 31 2018 OFFS'!$W663))/(MAX(COUNTIFS('T1 2019 Pipeline Data Lagasco'!$A:$A,'Dec 31 2018 OFFS'!$AI663,'T1 2019 Pipeline Data Lagasco'!$Q:$Q,'Dec 31 2018 OFFS'!$AK663,'T1 2019 Pipeline Data Lagasco'!$E:$E,'Dec 31 2018 OFFS'!$U663,'T1 2019 Pipeline Data Lagasco'!$G:$G,'Dec 31 2018 OFFS'!$W663),1))</f>
        <v>42835</v>
      </c>
      <c r="AM663" s="274">
        <f t="shared" si="104"/>
        <v>0</v>
      </c>
    </row>
    <row r="664" spans="1:39" ht="12.7">
      <c r="A664" s="193" t="s">
        <v>909</v>
      </c>
      <c r="B664" s="40" t="s">
        <v>918</v>
      </c>
      <c r="C664" s="40" t="s">
        <v>1266</v>
      </c>
      <c r="D664" s="40" t="s">
        <v>229</v>
      </c>
      <c r="E664" s="40" t="s">
        <v>64</v>
      </c>
      <c r="F664" s="40"/>
      <c r="G664" s="41" t="s">
        <v>306</v>
      </c>
      <c r="H664" s="42">
        <v>42</v>
      </c>
      <c r="I664" s="43">
        <v>37</v>
      </c>
      <c r="J664" s="44">
        <v>15</v>
      </c>
      <c r="K664" s="45">
        <v>79</v>
      </c>
      <c r="L664" s="43">
        <v>56</v>
      </c>
      <c r="M664" s="46">
        <v>10.02</v>
      </c>
      <c r="N664" s="40" t="s">
        <v>307</v>
      </c>
      <c r="O664" s="42">
        <v>42</v>
      </c>
      <c r="P664" s="43">
        <v>37</v>
      </c>
      <c r="Q664" s="44">
        <v>17.82</v>
      </c>
      <c r="R664" s="45">
        <v>79</v>
      </c>
      <c r="S664" s="43">
        <v>56</v>
      </c>
      <c r="T664" s="46">
        <v>14.52</v>
      </c>
      <c r="U664" s="40">
        <v>3</v>
      </c>
      <c r="V664" s="47">
        <v>441.2729531</v>
      </c>
      <c r="W664" s="48">
        <v>1979</v>
      </c>
      <c r="X664" s="40"/>
      <c r="Y664" s="52" t="s">
        <v>1081</v>
      </c>
      <c r="Z664" s="40" t="s">
        <v>910</v>
      </c>
      <c r="AA664" s="49">
        <f t="shared" si="97"/>
        <v>10409.628963629</v>
      </c>
      <c r="AB664" s="71">
        <f t="shared" si="98"/>
        <v>0.80</v>
      </c>
      <c r="AC664" s="49">
        <f t="shared" si="99"/>
        <v>2081.9299999999998</v>
      </c>
      <c r="AD664" s="50">
        <f t="shared" si="100"/>
        <v>0</v>
      </c>
      <c r="AE664" s="50">
        <f t="shared" si="101"/>
        <v>0</v>
      </c>
      <c r="AF664" s="50">
        <f t="shared" si="102"/>
        <v>2081.9299999999998</v>
      </c>
      <c r="AG664" s="199">
        <f t="shared" si="103"/>
        <v>2081</v>
      </c>
      <c r="AH664" s="187"/>
      <c r="AI664" s="185" t="s">
        <v>1457</v>
      </c>
      <c r="AJ664" s="185"/>
      <c r="AK664" s="277">
        <f t="shared" si="96"/>
        <v>441.27</v>
      </c>
      <c r="AL664" s="25">
        <f>(SUMIFS('T1 2019 Pipeline Data Lagasco'!$O:$O,'T1 2019 Pipeline Data Lagasco'!$A:$A,'Dec 31 2018 OFFS'!$AI664,'T1 2019 Pipeline Data Lagasco'!$Q:$Q,'Dec 31 2018 OFFS'!$AK664,'T1 2019 Pipeline Data Lagasco'!$E:$E,'Dec 31 2018 OFFS'!$U664,'T1 2019 Pipeline Data Lagasco'!$G:$G,'Dec 31 2018 OFFS'!$W664))/(MAX(COUNTIFS('T1 2019 Pipeline Data Lagasco'!$A:$A,'Dec 31 2018 OFFS'!$AI664,'T1 2019 Pipeline Data Lagasco'!$Q:$Q,'Dec 31 2018 OFFS'!$AK664,'T1 2019 Pipeline Data Lagasco'!$E:$E,'Dec 31 2018 OFFS'!$U664,'T1 2019 Pipeline Data Lagasco'!$G:$G,'Dec 31 2018 OFFS'!$W664),1))</f>
        <v>2081</v>
      </c>
      <c r="AM664" s="274">
        <f t="shared" si="104"/>
        <v>0</v>
      </c>
    </row>
    <row r="665" spans="1:39" ht="12.7">
      <c r="A665" s="193" t="s">
        <v>909</v>
      </c>
      <c r="B665" s="40" t="s">
        <v>918</v>
      </c>
      <c r="C665" s="40" t="s">
        <v>1266</v>
      </c>
      <c r="D665" s="40" t="s">
        <v>229</v>
      </c>
      <c r="E665" s="40" t="s">
        <v>64</v>
      </c>
      <c r="F665" s="40"/>
      <c r="G665" s="41" t="s">
        <v>308</v>
      </c>
      <c r="H665" s="42">
        <v>42</v>
      </c>
      <c r="I665" s="43">
        <v>36</v>
      </c>
      <c r="J665" s="44">
        <v>49.62</v>
      </c>
      <c r="K665" s="45">
        <v>79</v>
      </c>
      <c r="L665" s="43">
        <v>59</v>
      </c>
      <c r="M665" s="46">
        <v>48</v>
      </c>
      <c r="N665" s="40" t="s">
        <v>304</v>
      </c>
      <c r="O665" s="42">
        <v>42</v>
      </c>
      <c r="P665" s="43">
        <v>37</v>
      </c>
      <c r="Q665" s="44">
        <v>9.90</v>
      </c>
      <c r="R665" s="45">
        <v>79</v>
      </c>
      <c r="S665" s="43">
        <v>55</v>
      </c>
      <c r="T665" s="46">
        <v>17.10</v>
      </c>
      <c r="U665" s="40">
        <v>3</v>
      </c>
      <c r="V665" s="47">
        <v>20360.399672830001</v>
      </c>
      <c r="W665" s="48">
        <v>1979</v>
      </c>
      <c r="X665" s="40"/>
      <c r="Y665" s="52" t="s">
        <v>1081</v>
      </c>
      <c r="Z665" s="40" t="s">
        <v>910</v>
      </c>
      <c r="AA665" s="49">
        <f t="shared" si="97"/>
        <v>480301.82828205969</v>
      </c>
      <c r="AB665" s="71">
        <f t="shared" si="98"/>
        <v>0.80</v>
      </c>
      <c r="AC665" s="49">
        <f t="shared" si="99"/>
        <v>96060.37</v>
      </c>
      <c r="AD665" s="50">
        <f t="shared" si="100"/>
        <v>0</v>
      </c>
      <c r="AE665" s="50">
        <f t="shared" si="101"/>
        <v>0</v>
      </c>
      <c r="AF665" s="50">
        <f t="shared" si="102"/>
        <v>96060.37</v>
      </c>
      <c r="AG665" s="199">
        <f t="shared" si="103"/>
        <v>96060</v>
      </c>
      <c r="AH665" s="187"/>
      <c r="AI665" s="185" t="s">
        <v>1457</v>
      </c>
      <c r="AJ665" s="185"/>
      <c r="AK665" s="277">
        <f t="shared" si="96"/>
        <v>20360.40</v>
      </c>
      <c r="AL665" s="25">
        <f>(SUMIFS('T1 2019 Pipeline Data Lagasco'!$O:$O,'T1 2019 Pipeline Data Lagasco'!$A:$A,'Dec 31 2018 OFFS'!$AI665,'T1 2019 Pipeline Data Lagasco'!$Q:$Q,'Dec 31 2018 OFFS'!$AK665,'T1 2019 Pipeline Data Lagasco'!$E:$E,'Dec 31 2018 OFFS'!$U665,'T1 2019 Pipeline Data Lagasco'!$G:$G,'Dec 31 2018 OFFS'!$W665))/(MAX(COUNTIFS('T1 2019 Pipeline Data Lagasco'!$A:$A,'Dec 31 2018 OFFS'!$AI665,'T1 2019 Pipeline Data Lagasco'!$Q:$Q,'Dec 31 2018 OFFS'!$AK665,'T1 2019 Pipeline Data Lagasco'!$E:$E,'Dec 31 2018 OFFS'!$U665,'T1 2019 Pipeline Data Lagasco'!$G:$G,'Dec 31 2018 OFFS'!$W665),1))</f>
        <v>96060</v>
      </c>
      <c r="AM665" s="274">
        <f t="shared" si="104"/>
        <v>0</v>
      </c>
    </row>
    <row r="666" spans="1:39" ht="12.7">
      <c r="A666" s="193" t="s">
        <v>909</v>
      </c>
      <c r="B666" s="40" t="s">
        <v>918</v>
      </c>
      <c r="C666" s="40" t="s">
        <v>1266</v>
      </c>
      <c r="D666" s="40" t="s">
        <v>229</v>
      </c>
      <c r="E666" s="40" t="s">
        <v>64</v>
      </c>
      <c r="F666" s="40"/>
      <c r="G666" s="41" t="s">
        <v>309</v>
      </c>
      <c r="H666" s="42">
        <v>42</v>
      </c>
      <c r="I666" s="43">
        <v>36</v>
      </c>
      <c r="J666" s="44">
        <v>27.48</v>
      </c>
      <c r="K666" s="45">
        <v>79</v>
      </c>
      <c r="L666" s="43">
        <v>56</v>
      </c>
      <c r="M666" s="46">
        <v>50.82</v>
      </c>
      <c r="N666" s="40" t="s">
        <v>310</v>
      </c>
      <c r="O666" s="42">
        <v>42</v>
      </c>
      <c r="P666" s="43">
        <v>36</v>
      </c>
      <c r="Q666" s="44">
        <v>13.38</v>
      </c>
      <c r="R666" s="45">
        <v>79</v>
      </c>
      <c r="S666" s="43">
        <v>55</v>
      </c>
      <c r="T666" s="46">
        <v>45.72</v>
      </c>
      <c r="U666" s="40">
        <v>3</v>
      </c>
      <c r="V666" s="47">
        <v>5073.6875171080001</v>
      </c>
      <c r="W666" s="48">
        <v>1980</v>
      </c>
      <c r="X666" s="40"/>
      <c r="Y666" s="52" t="s">
        <v>1081</v>
      </c>
      <c r="Z666" s="40" t="s">
        <v>910</v>
      </c>
      <c r="AA666" s="49">
        <f t="shared" si="97"/>
        <v>119688.28852857772</v>
      </c>
      <c r="AB666" s="71">
        <f t="shared" si="98"/>
        <v>0.80</v>
      </c>
      <c r="AC666" s="49">
        <f t="shared" si="99"/>
        <v>23937.66</v>
      </c>
      <c r="AD666" s="50">
        <f t="shared" si="100"/>
        <v>0</v>
      </c>
      <c r="AE666" s="50">
        <f t="shared" si="101"/>
        <v>0</v>
      </c>
      <c r="AF666" s="50">
        <f t="shared" si="102"/>
        <v>23937.66</v>
      </c>
      <c r="AG666" s="199">
        <f t="shared" si="103"/>
        <v>23937</v>
      </c>
      <c r="AH666" s="187"/>
      <c r="AI666" s="185" t="s">
        <v>1457</v>
      </c>
      <c r="AJ666" s="185"/>
      <c r="AK666" s="277">
        <f t="shared" si="96"/>
        <v>5073.6899999999996</v>
      </c>
      <c r="AL666" s="25">
        <f>(SUMIFS('T1 2019 Pipeline Data Lagasco'!$O:$O,'T1 2019 Pipeline Data Lagasco'!$A:$A,'Dec 31 2018 OFFS'!$AI666,'T1 2019 Pipeline Data Lagasco'!$Q:$Q,'Dec 31 2018 OFFS'!$AK666,'T1 2019 Pipeline Data Lagasco'!$E:$E,'Dec 31 2018 OFFS'!$U666,'T1 2019 Pipeline Data Lagasco'!$G:$G,'Dec 31 2018 OFFS'!$W666))/(MAX(COUNTIFS('T1 2019 Pipeline Data Lagasco'!$A:$A,'Dec 31 2018 OFFS'!$AI666,'T1 2019 Pipeline Data Lagasco'!$Q:$Q,'Dec 31 2018 OFFS'!$AK666,'T1 2019 Pipeline Data Lagasco'!$E:$E,'Dec 31 2018 OFFS'!$U666,'T1 2019 Pipeline Data Lagasco'!$G:$G,'Dec 31 2018 OFFS'!$W666),1))</f>
        <v>23937</v>
      </c>
      <c r="AM666" s="274">
        <f t="shared" si="104"/>
        <v>0</v>
      </c>
    </row>
    <row r="667" spans="1:39" ht="12.7">
      <c r="A667" s="193" t="s">
        <v>909</v>
      </c>
      <c r="B667" s="40" t="s">
        <v>918</v>
      </c>
      <c r="C667" s="40" t="s">
        <v>1266</v>
      </c>
      <c r="D667" s="40" t="s">
        <v>229</v>
      </c>
      <c r="E667" s="40" t="s">
        <v>64</v>
      </c>
      <c r="F667" s="40"/>
      <c r="G667" s="41" t="s">
        <v>309</v>
      </c>
      <c r="H667" s="42">
        <v>42</v>
      </c>
      <c r="I667" s="43">
        <v>36</v>
      </c>
      <c r="J667" s="44">
        <v>27.48</v>
      </c>
      <c r="K667" s="45">
        <v>79</v>
      </c>
      <c r="L667" s="43">
        <v>56</v>
      </c>
      <c r="M667" s="46">
        <v>50.82</v>
      </c>
      <c r="N667" s="40" t="s">
        <v>314</v>
      </c>
      <c r="O667" s="42">
        <v>42</v>
      </c>
      <c r="P667" s="43">
        <v>38</v>
      </c>
      <c r="Q667" s="44">
        <v>29.945</v>
      </c>
      <c r="R667" s="45">
        <v>79</v>
      </c>
      <c r="S667" s="43">
        <v>54</v>
      </c>
      <c r="T667" s="46">
        <v>56.356000000000002</v>
      </c>
      <c r="U667" s="40">
        <v>8</v>
      </c>
      <c r="V667" s="47">
        <v>15065.321086017999</v>
      </c>
      <c r="W667" s="48">
        <v>1979</v>
      </c>
      <c r="X667" s="40"/>
      <c r="Y667" s="52" t="s">
        <v>1081</v>
      </c>
      <c r="Z667" s="40" t="s">
        <v>910</v>
      </c>
      <c r="AA667" s="49">
        <f t="shared" si="97"/>
        <v>742720.32954068726</v>
      </c>
      <c r="AB667" s="71">
        <f t="shared" si="98"/>
        <v>0.80</v>
      </c>
      <c r="AC667" s="49">
        <f t="shared" si="99"/>
        <v>148544.07</v>
      </c>
      <c r="AD667" s="50">
        <f t="shared" si="100"/>
        <v>0</v>
      </c>
      <c r="AE667" s="50">
        <f t="shared" si="101"/>
        <v>0</v>
      </c>
      <c r="AF667" s="50">
        <f t="shared" si="102"/>
        <v>148544.07</v>
      </c>
      <c r="AG667" s="199">
        <f t="shared" si="103"/>
        <v>148544</v>
      </c>
      <c r="AH667" s="187"/>
      <c r="AI667" s="185" t="s">
        <v>1457</v>
      </c>
      <c r="AJ667" s="185"/>
      <c r="AK667" s="277">
        <f t="shared" si="96"/>
        <v>15065.32</v>
      </c>
      <c r="AL667" s="25">
        <f>(SUMIFS('T1 2019 Pipeline Data Lagasco'!$O:$O,'T1 2019 Pipeline Data Lagasco'!$A:$A,'Dec 31 2018 OFFS'!$AI667,'T1 2019 Pipeline Data Lagasco'!$Q:$Q,'Dec 31 2018 OFFS'!$AK667,'T1 2019 Pipeline Data Lagasco'!$E:$E,'Dec 31 2018 OFFS'!$U667,'T1 2019 Pipeline Data Lagasco'!$G:$G,'Dec 31 2018 OFFS'!$W667))/(MAX(COUNTIFS('T1 2019 Pipeline Data Lagasco'!$A:$A,'Dec 31 2018 OFFS'!$AI667,'T1 2019 Pipeline Data Lagasco'!$Q:$Q,'Dec 31 2018 OFFS'!$AK667,'T1 2019 Pipeline Data Lagasco'!$E:$E,'Dec 31 2018 OFFS'!$U667,'T1 2019 Pipeline Data Lagasco'!$G:$G,'Dec 31 2018 OFFS'!$W667),1))</f>
        <v>148544</v>
      </c>
      <c r="AM667" s="274">
        <f t="shared" si="104"/>
        <v>0</v>
      </c>
    </row>
    <row r="668" spans="1:39" ht="12.7">
      <c r="A668" s="193" t="s">
        <v>909</v>
      </c>
      <c r="B668" s="40" t="s">
        <v>918</v>
      </c>
      <c r="C668" s="40" t="s">
        <v>1266</v>
      </c>
      <c r="D668" s="40" t="s">
        <v>229</v>
      </c>
      <c r="E668" s="40" t="s">
        <v>324</v>
      </c>
      <c r="F668" s="40"/>
      <c r="G668" s="41" t="s">
        <v>311</v>
      </c>
      <c r="H668" s="42">
        <v>42</v>
      </c>
      <c r="I668" s="43">
        <v>35</v>
      </c>
      <c r="J668" s="44">
        <v>23.70</v>
      </c>
      <c r="K668" s="45">
        <v>79</v>
      </c>
      <c r="L668" s="43">
        <v>58</v>
      </c>
      <c r="M668" s="46">
        <v>21</v>
      </c>
      <c r="N668" s="40" t="s">
        <v>1270</v>
      </c>
      <c r="O668" s="42" t="s">
        <v>78</v>
      </c>
      <c r="P668" s="43">
        <v>33</v>
      </c>
      <c r="Q668" s="44">
        <v>47.34</v>
      </c>
      <c r="R668" s="45" t="s">
        <v>1337</v>
      </c>
      <c r="S668" s="43">
        <v>59</v>
      </c>
      <c r="T668" s="46">
        <v>0.36</v>
      </c>
      <c r="U668" s="40">
        <v>3</v>
      </c>
      <c r="V668" s="47">
        <v>10254</v>
      </c>
      <c r="W668" s="48">
        <v>2008</v>
      </c>
      <c r="X668" s="40" t="s">
        <v>2</v>
      </c>
      <c r="Y668" s="52" t="s">
        <v>1081</v>
      </c>
      <c r="Z668" s="40" t="s">
        <v>910</v>
      </c>
      <c r="AA668" s="49">
        <f t="shared" si="97"/>
        <v>241891.86</v>
      </c>
      <c r="AB668" s="71">
        <f t="shared" si="98"/>
        <v>0.49</v>
      </c>
      <c r="AC668" s="49">
        <f t="shared" si="99"/>
        <v>123364.85</v>
      </c>
      <c r="AD668" s="50">
        <f t="shared" si="100"/>
        <v>30841.212500000001</v>
      </c>
      <c r="AE668" s="50">
        <f t="shared" si="101"/>
        <v>0</v>
      </c>
      <c r="AF668" s="50">
        <f t="shared" si="102"/>
        <v>92523.637500000012</v>
      </c>
      <c r="AG668" s="199">
        <f t="shared" si="103"/>
        <v>92523</v>
      </c>
      <c r="AH668" s="187"/>
      <c r="AI668" s="185" t="s">
        <v>1457</v>
      </c>
      <c r="AJ668" s="185"/>
      <c r="AK668" s="277">
        <f t="shared" si="96"/>
        <v>10254</v>
      </c>
      <c r="AL668" s="25">
        <f>(SUMIFS('T1 2019 Pipeline Data Lagasco'!$O:$O,'T1 2019 Pipeline Data Lagasco'!$A:$A,'Dec 31 2018 OFFS'!$AI668,'T1 2019 Pipeline Data Lagasco'!$Q:$Q,'Dec 31 2018 OFFS'!$AK668,'T1 2019 Pipeline Data Lagasco'!$E:$E,'Dec 31 2018 OFFS'!$U668,'T1 2019 Pipeline Data Lagasco'!$G:$G,'Dec 31 2018 OFFS'!$W668))/(MAX(COUNTIFS('T1 2019 Pipeline Data Lagasco'!$A:$A,'Dec 31 2018 OFFS'!$AI668,'T1 2019 Pipeline Data Lagasco'!$Q:$Q,'Dec 31 2018 OFFS'!$AK668,'T1 2019 Pipeline Data Lagasco'!$E:$E,'Dec 31 2018 OFFS'!$U668,'T1 2019 Pipeline Data Lagasco'!$G:$G,'Dec 31 2018 OFFS'!$W668),1))</f>
        <v>92523</v>
      </c>
      <c r="AM668" s="274">
        <f t="shared" si="104"/>
        <v>0</v>
      </c>
    </row>
    <row r="669" spans="1:39" ht="12.7">
      <c r="A669" s="193" t="s">
        <v>909</v>
      </c>
      <c r="B669" s="40" t="s">
        <v>918</v>
      </c>
      <c r="C669" s="40" t="s">
        <v>1266</v>
      </c>
      <c r="D669" s="40" t="s">
        <v>229</v>
      </c>
      <c r="E669" s="40" t="s">
        <v>64</v>
      </c>
      <c r="F669" s="40"/>
      <c r="G669" s="41" t="s">
        <v>311</v>
      </c>
      <c r="H669" s="42">
        <v>42</v>
      </c>
      <c r="I669" s="43">
        <v>35</v>
      </c>
      <c r="J669" s="44">
        <v>23.70</v>
      </c>
      <c r="K669" s="45">
        <v>79</v>
      </c>
      <c r="L669" s="43">
        <v>58</v>
      </c>
      <c r="M669" s="46">
        <v>21</v>
      </c>
      <c r="N669" s="41" t="s">
        <v>312</v>
      </c>
      <c r="O669" s="42">
        <v>42</v>
      </c>
      <c r="P669" s="43">
        <v>34</v>
      </c>
      <c r="Q669" s="44">
        <f>0.81*60</f>
        <v>48.60</v>
      </c>
      <c r="R669" s="45">
        <v>80</v>
      </c>
      <c r="S669" s="43">
        <v>0</v>
      </c>
      <c r="T669" s="46">
        <f>0.208*60</f>
        <v>12.48</v>
      </c>
      <c r="U669" s="40">
        <v>3</v>
      </c>
      <c r="V669" s="47">
        <v>9065.616535359999</v>
      </c>
      <c r="W669" s="48">
        <v>1980</v>
      </c>
      <c r="X669" s="40"/>
      <c r="Y669" s="52" t="s">
        <v>1081</v>
      </c>
      <c r="Z669" s="40" t="s">
        <v>910</v>
      </c>
      <c r="AA669" s="49">
        <f t="shared" si="97"/>
        <v>213857.89406914238</v>
      </c>
      <c r="AB669" s="71">
        <f t="shared" si="98"/>
        <v>0.80</v>
      </c>
      <c r="AC669" s="49">
        <f t="shared" si="99"/>
        <v>42771.58</v>
      </c>
      <c r="AD669" s="50">
        <f t="shared" si="100"/>
        <v>0</v>
      </c>
      <c r="AE669" s="50">
        <f t="shared" si="101"/>
        <v>0</v>
      </c>
      <c r="AF669" s="50">
        <f t="shared" si="102"/>
        <v>42771.58</v>
      </c>
      <c r="AG669" s="199">
        <f t="shared" si="103"/>
        <v>42771</v>
      </c>
      <c r="AH669" s="187"/>
      <c r="AI669" s="185" t="s">
        <v>1457</v>
      </c>
      <c r="AJ669" s="185"/>
      <c r="AK669" s="277">
        <f t="shared" si="96"/>
        <v>9065.6200000000008</v>
      </c>
      <c r="AL669" s="25">
        <f>(SUMIFS('T1 2019 Pipeline Data Lagasco'!$O:$O,'T1 2019 Pipeline Data Lagasco'!$A:$A,'Dec 31 2018 OFFS'!$AI669,'T1 2019 Pipeline Data Lagasco'!$Q:$Q,'Dec 31 2018 OFFS'!$AK669,'T1 2019 Pipeline Data Lagasco'!$E:$E,'Dec 31 2018 OFFS'!$U669,'T1 2019 Pipeline Data Lagasco'!$G:$G,'Dec 31 2018 OFFS'!$W669))/(MAX(COUNTIFS('T1 2019 Pipeline Data Lagasco'!$A:$A,'Dec 31 2018 OFFS'!$AI669,'T1 2019 Pipeline Data Lagasco'!$Q:$Q,'Dec 31 2018 OFFS'!$AK669,'T1 2019 Pipeline Data Lagasco'!$E:$E,'Dec 31 2018 OFFS'!$U669,'T1 2019 Pipeline Data Lagasco'!$G:$G,'Dec 31 2018 OFFS'!$W669),1))</f>
        <v>42771</v>
      </c>
      <c r="AM669" s="274">
        <f t="shared" si="104"/>
        <v>0</v>
      </c>
    </row>
    <row r="670" spans="1:39" ht="12.7">
      <c r="A670" s="193" t="s">
        <v>909</v>
      </c>
      <c r="B670" s="40" t="s">
        <v>918</v>
      </c>
      <c r="C670" s="40" t="s">
        <v>1266</v>
      </c>
      <c r="D670" s="40" t="s">
        <v>229</v>
      </c>
      <c r="E670" s="40" t="s">
        <v>324</v>
      </c>
      <c r="F670" s="40"/>
      <c r="G670" s="40" t="s">
        <v>311</v>
      </c>
      <c r="H670" s="42">
        <v>42</v>
      </c>
      <c r="I670" s="43">
        <v>35</v>
      </c>
      <c r="J670" s="44">
        <v>23.70</v>
      </c>
      <c r="K670" s="45">
        <v>79</v>
      </c>
      <c r="L670" s="43">
        <v>58</v>
      </c>
      <c r="M670" s="46">
        <v>21</v>
      </c>
      <c r="N670" s="40" t="s">
        <v>309</v>
      </c>
      <c r="O670" s="42">
        <v>42</v>
      </c>
      <c r="P670" s="43">
        <v>36</v>
      </c>
      <c r="Q670" s="44">
        <v>27.48</v>
      </c>
      <c r="R670" s="45">
        <v>79</v>
      </c>
      <c r="S670" s="43">
        <v>56</v>
      </c>
      <c r="T670" s="46">
        <v>50.82</v>
      </c>
      <c r="U670" s="40">
        <v>6</v>
      </c>
      <c r="V670" s="47">
        <v>9337.66</v>
      </c>
      <c r="W670" s="48">
        <v>1982</v>
      </c>
      <c r="X670" s="40"/>
      <c r="Y670" s="52" t="s">
        <v>1081</v>
      </c>
      <c r="Z670" s="40" t="s">
        <v>910</v>
      </c>
      <c r="AA670" s="49">
        <f t="shared" si="97"/>
        <v>323363.16580000002</v>
      </c>
      <c r="AB670" s="71">
        <f t="shared" si="98"/>
        <v>0.80</v>
      </c>
      <c r="AC670" s="49">
        <f t="shared" si="99"/>
        <v>64672.63</v>
      </c>
      <c r="AD670" s="50">
        <f t="shared" si="100"/>
        <v>0</v>
      </c>
      <c r="AE670" s="50">
        <f t="shared" si="101"/>
        <v>0</v>
      </c>
      <c r="AF670" s="50">
        <f t="shared" si="102"/>
        <v>64672.63</v>
      </c>
      <c r="AG670" s="199">
        <f t="shared" si="103"/>
        <v>64672</v>
      </c>
      <c r="AH670" s="187"/>
      <c r="AI670" s="185" t="s">
        <v>1457</v>
      </c>
      <c r="AJ670" s="185"/>
      <c r="AK670" s="277">
        <f t="shared" si="96"/>
        <v>9337.66</v>
      </c>
      <c r="AL670" s="25">
        <f>(SUMIFS('T1 2019 Pipeline Data Lagasco'!$O:$O,'T1 2019 Pipeline Data Lagasco'!$A:$A,'Dec 31 2018 OFFS'!$AI670,'T1 2019 Pipeline Data Lagasco'!$Q:$Q,'Dec 31 2018 OFFS'!$AK670,'T1 2019 Pipeline Data Lagasco'!$E:$E,'Dec 31 2018 OFFS'!$U670,'T1 2019 Pipeline Data Lagasco'!$G:$G,'Dec 31 2018 OFFS'!$W670))/(MAX(COUNTIFS('T1 2019 Pipeline Data Lagasco'!$A:$A,'Dec 31 2018 OFFS'!$AI670,'T1 2019 Pipeline Data Lagasco'!$Q:$Q,'Dec 31 2018 OFFS'!$AK670,'T1 2019 Pipeline Data Lagasco'!$E:$E,'Dec 31 2018 OFFS'!$U670,'T1 2019 Pipeline Data Lagasco'!$G:$G,'Dec 31 2018 OFFS'!$W670),1))</f>
        <v>64672</v>
      </c>
      <c r="AM670" s="274">
        <f t="shared" si="104"/>
        <v>0</v>
      </c>
    </row>
    <row r="671" spans="1:39" ht="12.7">
      <c r="A671" s="193" t="s">
        <v>909</v>
      </c>
      <c r="B671" s="40" t="s">
        <v>918</v>
      </c>
      <c r="C671" s="40" t="s">
        <v>1266</v>
      </c>
      <c r="D671" s="40" t="s">
        <v>229</v>
      </c>
      <c r="E671" s="40" t="s">
        <v>324</v>
      </c>
      <c r="F671" s="40"/>
      <c r="G671" s="40" t="s">
        <v>311</v>
      </c>
      <c r="H671" s="42">
        <v>42</v>
      </c>
      <c r="I671" s="43">
        <v>35</v>
      </c>
      <c r="J671" s="44">
        <v>23.70</v>
      </c>
      <c r="K671" s="45">
        <v>79</v>
      </c>
      <c r="L671" s="43">
        <v>58</v>
      </c>
      <c r="M671" s="46">
        <v>21</v>
      </c>
      <c r="N671" s="40" t="s">
        <v>1363</v>
      </c>
      <c r="O671" s="42">
        <v>42</v>
      </c>
      <c r="P671" s="43">
        <v>34</v>
      </c>
      <c r="Q671" s="44">
        <f>0.262*60</f>
        <v>15.72</v>
      </c>
      <c r="R671" s="45">
        <v>80</v>
      </c>
      <c r="S671" s="43">
        <v>1</v>
      </c>
      <c r="T671" s="46">
        <f>0.592*60</f>
        <v>35.519999999999996</v>
      </c>
      <c r="U671" s="40">
        <v>6</v>
      </c>
      <c r="V671" s="47">
        <v>16078</v>
      </c>
      <c r="W671" s="48">
        <v>2010</v>
      </c>
      <c r="X671" s="40"/>
      <c r="Y671" s="52" t="s">
        <v>1081</v>
      </c>
      <c r="Z671" s="40" t="s">
        <v>910</v>
      </c>
      <c r="AA671" s="49">
        <f t="shared" si="97"/>
        <v>556781.14</v>
      </c>
      <c r="AB671" s="71">
        <f t="shared" si="98"/>
        <v>0.39</v>
      </c>
      <c r="AC671" s="49">
        <f t="shared" si="99"/>
        <v>339636.50</v>
      </c>
      <c r="AD671" s="50">
        <f t="shared" si="100"/>
        <v>0</v>
      </c>
      <c r="AE671" s="50">
        <f t="shared" si="101"/>
        <v>0</v>
      </c>
      <c r="AF671" s="50">
        <f t="shared" si="102"/>
        <v>339636.50</v>
      </c>
      <c r="AG671" s="199">
        <f t="shared" si="103"/>
        <v>339636</v>
      </c>
      <c r="AH671" s="187"/>
      <c r="AI671" s="185" t="s">
        <v>1457</v>
      </c>
      <c r="AJ671" s="185"/>
      <c r="AK671" s="277">
        <f t="shared" si="96"/>
        <v>16078</v>
      </c>
      <c r="AL671" s="25">
        <f>(SUMIFS('T1 2019 Pipeline Data Lagasco'!$O:$O,'T1 2019 Pipeline Data Lagasco'!$A:$A,'Dec 31 2018 OFFS'!$AI671,'T1 2019 Pipeline Data Lagasco'!$Q:$Q,'Dec 31 2018 OFFS'!$AK671,'T1 2019 Pipeline Data Lagasco'!$E:$E,'Dec 31 2018 OFFS'!$U671,'T1 2019 Pipeline Data Lagasco'!$G:$G,'Dec 31 2018 OFFS'!$W671))/(MAX(COUNTIFS('T1 2019 Pipeline Data Lagasco'!$A:$A,'Dec 31 2018 OFFS'!$AI671,'T1 2019 Pipeline Data Lagasco'!$Q:$Q,'Dec 31 2018 OFFS'!$AK671,'T1 2019 Pipeline Data Lagasco'!$E:$E,'Dec 31 2018 OFFS'!$U671,'T1 2019 Pipeline Data Lagasco'!$G:$G,'Dec 31 2018 OFFS'!$W671),1))</f>
        <v>339636</v>
      </c>
      <c r="AM671" s="274">
        <f t="shared" si="104"/>
        <v>0</v>
      </c>
    </row>
    <row r="672" spans="1:39" ht="12.7">
      <c r="A672" s="193" t="s">
        <v>909</v>
      </c>
      <c r="B672" s="40" t="s">
        <v>918</v>
      </c>
      <c r="C672" s="40" t="s">
        <v>1266</v>
      </c>
      <c r="D672" s="40" t="s">
        <v>229</v>
      </c>
      <c r="E672" s="40" t="s">
        <v>324</v>
      </c>
      <c r="F672" s="40" t="s">
        <v>1051</v>
      </c>
      <c r="G672" s="40" t="s">
        <v>311</v>
      </c>
      <c r="H672" s="42">
        <v>42</v>
      </c>
      <c r="I672" s="43">
        <v>35</v>
      </c>
      <c r="J672" s="44">
        <v>23.70</v>
      </c>
      <c r="K672" s="45">
        <v>79</v>
      </c>
      <c r="L672" s="43">
        <v>58</v>
      </c>
      <c r="M672" s="46">
        <v>21</v>
      </c>
      <c r="N672" s="40" t="s">
        <v>1354</v>
      </c>
      <c r="O672" s="42">
        <v>42</v>
      </c>
      <c r="P672" s="43">
        <v>34</v>
      </c>
      <c r="Q672" s="44">
        <f>60*0.5</f>
        <v>30</v>
      </c>
      <c r="R672" s="45">
        <v>80</v>
      </c>
      <c r="S672" s="43">
        <v>1</v>
      </c>
      <c r="T672" s="46">
        <f>60*0.3</f>
        <v>18</v>
      </c>
      <c r="U672" s="40">
        <v>6</v>
      </c>
      <c r="V672" s="47">
        <v>14799</v>
      </c>
      <c r="W672" s="48">
        <v>2010</v>
      </c>
      <c r="X672" s="40"/>
      <c r="Y672" s="52" t="s">
        <v>1081</v>
      </c>
      <c r="Z672" s="40" t="s">
        <v>910</v>
      </c>
      <c r="AA672" s="49">
        <f t="shared" si="97"/>
        <v>0</v>
      </c>
      <c r="AB672" s="71">
        <f t="shared" si="98"/>
        <v>0.39</v>
      </c>
      <c r="AC672" s="49">
        <f t="shared" si="99"/>
        <v>0</v>
      </c>
      <c r="AD672" s="50">
        <f t="shared" si="100"/>
        <v>0</v>
      </c>
      <c r="AE672" s="50">
        <f t="shared" si="101"/>
        <v>0</v>
      </c>
      <c r="AF672" s="50">
        <f t="shared" si="102"/>
        <v>0</v>
      </c>
      <c r="AG672" s="199">
        <f t="shared" si="103"/>
        <v>0</v>
      </c>
      <c r="AH672" s="187"/>
      <c r="AI672" s="185" t="s">
        <v>1457</v>
      </c>
      <c r="AJ672" s="185"/>
      <c r="AK672" s="277">
        <f t="shared" si="96"/>
        <v>14799</v>
      </c>
      <c r="AL672" s="25">
        <f>(SUMIFS('T1 2019 Pipeline Data Lagasco'!$O:$O,'T1 2019 Pipeline Data Lagasco'!$A:$A,'Dec 31 2018 OFFS'!$AI672,'T1 2019 Pipeline Data Lagasco'!$Q:$Q,'Dec 31 2018 OFFS'!$AK672,'T1 2019 Pipeline Data Lagasco'!$E:$E,'Dec 31 2018 OFFS'!$U672,'T1 2019 Pipeline Data Lagasco'!$G:$G,'Dec 31 2018 OFFS'!$W672))/(MAX(COUNTIFS('T1 2019 Pipeline Data Lagasco'!$A:$A,'Dec 31 2018 OFFS'!$AI672,'T1 2019 Pipeline Data Lagasco'!$Q:$Q,'Dec 31 2018 OFFS'!$AK672,'T1 2019 Pipeline Data Lagasco'!$E:$E,'Dec 31 2018 OFFS'!$U672,'T1 2019 Pipeline Data Lagasco'!$G:$G,'Dec 31 2018 OFFS'!$W672),1))</f>
        <v>0</v>
      </c>
      <c r="AM672" s="274">
        <f t="shared" si="104"/>
        <v>0</v>
      </c>
    </row>
    <row r="673" spans="1:39" ht="12.7">
      <c r="A673" s="193" t="s">
        <v>909</v>
      </c>
      <c r="B673" s="40" t="s">
        <v>918</v>
      </c>
      <c r="C673" s="40" t="s">
        <v>1266</v>
      </c>
      <c r="D673" s="40" t="s">
        <v>336</v>
      </c>
      <c r="E673" s="40" t="s">
        <v>324</v>
      </c>
      <c r="F673" s="40" t="s">
        <v>1051</v>
      </c>
      <c r="G673" s="40" t="s">
        <v>1354</v>
      </c>
      <c r="H673" s="42">
        <v>42</v>
      </c>
      <c r="I673" s="43">
        <v>34</v>
      </c>
      <c r="J673" s="44">
        <f>60*0.5</f>
        <v>30</v>
      </c>
      <c r="K673" s="45">
        <v>80</v>
      </c>
      <c r="L673" s="43">
        <v>1</v>
      </c>
      <c r="M673" s="46">
        <f>60*0.3</f>
        <v>18</v>
      </c>
      <c r="N673" s="40" t="s">
        <v>1355</v>
      </c>
      <c r="O673" s="42">
        <v>42</v>
      </c>
      <c r="P673" s="43">
        <v>33</v>
      </c>
      <c r="Q673" s="44">
        <f>60*0.542</f>
        <v>32.520000000000003</v>
      </c>
      <c r="R673" s="45">
        <v>80</v>
      </c>
      <c r="S673" s="43">
        <v>3</v>
      </c>
      <c r="T673" s="46">
        <f>60*0.722</f>
        <v>43.32</v>
      </c>
      <c r="U673" s="40">
        <v>6</v>
      </c>
      <c r="V673" s="47">
        <v>11795</v>
      </c>
      <c r="W673" s="48">
        <v>2010</v>
      </c>
      <c r="X673" s="40"/>
      <c r="Y673" s="52" t="s">
        <v>1081</v>
      </c>
      <c r="Z673" s="40" t="s">
        <v>910</v>
      </c>
      <c r="AA673" s="49">
        <f t="shared" si="97"/>
        <v>0</v>
      </c>
      <c r="AB673" s="71">
        <f t="shared" si="98"/>
        <v>0.39</v>
      </c>
      <c r="AC673" s="49">
        <f t="shared" si="99"/>
        <v>0</v>
      </c>
      <c r="AD673" s="50">
        <f t="shared" si="100"/>
        <v>0</v>
      </c>
      <c r="AE673" s="50">
        <f t="shared" si="101"/>
        <v>0</v>
      </c>
      <c r="AF673" s="50">
        <f t="shared" si="102"/>
        <v>0</v>
      </c>
      <c r="AG673" s="199">
        <f t="shared" si="103"/>
        <v>0</v>
      </c>
      <c r="AH673" s="187"/>
      <c r="AI673" s="185" t="s">
        <v>1458</v>
      </c>
      <c r="AJ673" s="185"/>
      <c r="AK673" s="277">
        <f t="shared" si="96"/>
        <v>11795</v>
      </c>
      <c r="AL673" s="25">
        <f>(SUMIFS('T1 2019 Pipeline Data Lagasco'!$O:$O,'T1 2019 Pipeline Data Lagasco'!$A:$A,'Dec 31 2018 OFFS'!$AI673,'T1 2019 Pipeline Data Lagasco'!$Q:$Q,'Dec 31 2018 OFFS'!$AK673,'T1 2019 Pipeline Data Lagasco'!$E:$E,'Dec 31 2018 OFFS'!$U673,'T1 2019 Pipeline Data Lagasco'!$G:$G,'Dec 31 2018 OFFS'!$W673))/(MAX(COUNTIFS('T1 2019 Pipeline Data Lagasco'!$A:$A,'Dec 31 2018 OFFS'!$AI673,'T1 2019 Pipeline Data Lagasco'!$Q:$Q,'Dec 31 2018 OFFS'!$AK673,'T1 2019 Pipeline Data Lagasco'!$E:$E,'Dec 31 2018 OFFS'!$U673,'T1 2019 Pipeline Data Lagasco'!$G:$G,'Dec 31 2018 OFFS'!$W673),1))</f>
        <v>0</v>
      </c>
      <c r="AM673" s="274">
        <f t="shared" si="104"/>
        <v>0</v>
      </c>
    </row>
    <row r="674" spans="1:39" ht="12.7">
      <c r="A674" s="193" t="s">
        <v>909</v>
      </c>
      <c r="B674" s="40" t="s">
        <v>918</v>
      </c>
      <c r="C674" s="40" t="s">
        <v>1266</v>
      </c>
      <c r="D674" s="40" t="s">
        <v>229</v>
      </c>
      <c r="E674" s="40" t="s">
        <v>64</v>
      </c>
      <c r="F674" s="40"/>
      <c r="G674" s="41" t="s">
        <v>313</v>
      </c>
      <c r="H674" s="42">
        <v>42</v>
      </c>
      <c r="I674" s="43">
        <v>39</v>
      </c>
      <c r="J674" s="44">
        <v>49.98</v>
      </c>
      <c r="K674" s="45">
        <v>79</v>
      </c>
      <c r="L674" s="43">
        <v>53</v>
      </c>
      <c r="M674" s="46">
        <v>39</v>
      </c>
      <c r="N674" s="155" t="s">
        <v>129</v>
      </c>
      <c r="O674" s="42">
        <v>42</v>
      </c>
      <c r="P674" s="43">
        <v>39</v>
      </c>
      <c r="Q674" s="44">
        <v>23.11</v>
      </c>
      <c r="R674" s="45">
        <v>79</v>
      </c>
      <c r="S674" s="43">
        <v>51</v>
      </c>
      <c r="T674" s="46">
        <v>57.05</v>
      </c>
      <c r="U674" s="40">
        <v>3</v>
      </c>
      <c r="V674" s="47">
        <v>8089.27</v>
      </c>
      <c r="W674" s="48">
        <v>1979</v>
      </c>
      <c r="X674" s="40"/>
      <c r="Y674" s="52" t="s">
        <v>1081</v>
      </c>
      <c r="Z674" s="40" t="s">
        <v>910</v>
      </c>
      <c r="AA674" s="49">
        <f t="shared" si="97"/>
        <v>190825.8793</v>
      </c>
      <c r="AB674" s="71">
        <f t="shared" si="98"/>
        <v>0.80</v>
      </c>
      <c r="AC674" s="49">
        <f t="shared" si="99"/>
        <v>38165.18</v>
      </c>
      <c r="AD674" s="50">
        <f t="shared" si="100"/>
        <v>0</v>
      </c>
      <c r="AE674" s="50">
        <f t="shared" si="101"/>
        <v>0</v>
      </c>
      <c r="AF674" s="50">
        <f t="shared" si="102"/>
        <v>38165.18</v>
      </c>
      <c r="AG674" s="199">
        <f t="shared" si="103"/>
        <v>38165</v>
      </c>
      <c r="AH674" s="187"/>
      <c r="AI674" s="185" t="s">
        <v>1457</v>
      </c>
      <c r="AJ674" s="185"/>
      <c r="AK674" s="277">
        <f t="shared" si="96"/>
        <v>8089.27</v>
      </c>
      <c r="AL674" s="25">
        <f>(SUMIFS('T1 2019 Pipeline Data Lagasco'!$O:$O,'T1 2019 Pipeline Data Lagasco'!$A:$A,'Dec 31 2018 OFFS'!$AI674,'T1 2019 Pipeline Data Lagasco'!$Q:$Q,'Dec 31 2018 OFFS'!$AK674,'T1 2019 Pipeline Data Lagasco'!$E:$E,'Dec 31 2018 OFFS'!$U674,'T1 2019 Pipeline Data Lagasco'!$G:$G,'Dec 31 2018 OFFS'!$W674))/(MAX(COUNTIFS('T1 2019 Pipeline Data Lagasco'!$A:$A,'Dec 31 2018 OFFS'!$AI674,'T1 2019 Pipeline Data Lagasco'!$Q:$Q,'Dec 31 2018 OFFS'!$AK674,'T1 2019 Pipeline Data Lagasco'!$E:$E,'Dec 31 2018 OFFS'!$U674,'T1 2019 Pipeline Data Lagasco'!$G:$G,'Dec 31 2018 OFFS'!$W674),1))</f>
        <v>38165</v>
      </c>
      <c r="AM674" s="274">
        <f t="shared" si="104"/>
        <v>0</v>
      </c>
    </row>
    <row r="675" spans="1:39" ht="12.7">
      <c r="A675" s="193" t="s">
        <v>909</v>
      </c>
      <c r="B675" s="40" t="s">
        <v>918</v>
      </c>
      <c r="C675" s="40" t="s">
        <v>1266</v>
      </c>
      <c r="D675" s="40" t="s">
        <v>229</v>
      </c>
      <c r="E675" s="40" t="s">
        <v>64</v>
      </c>
      <c r="F675" s="40"/>
      <c r="G675" s="41" t="s">
        <v>313</v>
      </c>
      <c r="H675" s="42">
        <v>42</v>
      </c>
      <c r="I675" s="43">
        <v>39</v>
      </c>
      <c r="J675" s="44">
        <v>49.98</v>
      </c>
      <c r="K675" s="45">
        <v>79</v>
      </c>
      <c r="L675" s="43">
        <v>53</v>
      </c>
      <c r="M675" s="46">
        <v>39</v>
      </c>
      <c r="N675" s="40" t="s">
        <v>170</v>
      </c>
      <c r="O675" s="42">
        <v>42</v>
      </c>
      <c r="P675" s="43">
        <v>40</v>
      </c>
      <c r="Q675" s="44">
        <v>57.43</v>
      </c>
      <c r="R675" s="45">
        <v>79</v>
      </c>
      <c r="S675" s="43">
        <v>52</v>
      </c>
      <c r="T675" s="46">
        <v>29.80</v>
      </c>
      <c r="U675" s="40">
        <v>8</v>
      </c>
      <c r="V675" s="47">
        <v>8565.06</v>
      </c>
      <c r="W675" s="48">
        <v>1979</v>
      </c>
      <c r="X675" s="40"/>
      <c r="Y675" s="52" t="s">
        <v>1081</v>
      </c>
      <c r="Z675" s="40" t="s">
        <v>910</v>
      </c>
      <c r="AA675" s="49">
        <f t="shared" si="97"/>
        <v>422257.45799999993</v>
      </c>
      <c r="AB675" s="71">
        <f t="shared" si="98"/>
        <v>0.80</v>
      </c>
      <c r="AC675" s="49">
        <f t="shared" si="99"/>
        <v>84451.49</v>
      </c>
      <c r="AD675" s="50">
        <f t="shared" si="100"/>
        <v>0</v>
      </c>
      <c r="AE675" s="50">
        <f t="shared" si="101"/>
        <v>0</v>
      </c>
      <c r="AF675" s="50">
        <f t="shared" si="102"/>
        <v>84451.49</v>
      </c>
      <c r="AG675" s="199">
        <f t="shared" si="103"/>
        <v>84451</v>
      </c>
      <c r="AH675" s="187"/>
      <c r="AI675" s="185" t="s">
        <v>1457</v>
      </c>
      <c r="AJ675" s="185"/>
      <c r="AK675" s="277">
        <f t="shared" si="96"/>
        <v>8565.06</v>
      </c>
      <c r="AL675" s="25">
        <f>(SUMIFS('T1 2019 Pipeline Data Lagasco'!$O:$O,'T1 2019 Pipeline Data Lagasco'!$A:$A,'Dec 31 2018 OFFS'!$AI675,'T1 2019 Pipeline Data Lagasco'!$Q:$Q,'Dec 31 2018 OFFS'!$AK675,'T1 2019 Pipeline Data Lagasco'!$E:$E,'Dec 31 2018 OFFS'!$U675,'T1 2019 Pipeline Data Lagasco'!$G:$G,'Dec 31 2018 OFFS'!$W675))/(MAX(COUNTIFS('T1 2019 Pipeline Data Lagasco'!$A:$A,'Dec 31 2018 OFFS'!$AI675,'T1 2019 Pipeline Data Lagasco'!$Q:$Q,'Dec 31 2018 OFFS'!$AK675,'T1 2019 Pipeline Data Lagasco'!$E:$E,'Dec 31 2018 OFFS'!$U675,'T1 2019 Pipeline Data Lagasco'!$G:$G,'Dec 31 2018 OFFS'!$W675),1))</f>
        <v>84451</v>
      </c>
      <c r="AM675" s="274">
        <f t="shared" si="104"/>
        <v>0</v>
      </c>
    </row>
    <row r="676" spans="1:39" ht="12.7">
      <c r="A676" s="193" t="s">
        <v>909</v>
      </c>
      <c r="B676" s="40" t="s">
        <v>918</v>
      </c>
      <c r="C676" s="40" t="s">
        <v>1266</v>
      </c>
      <c r="D676" s="40" t="s">
        <v>229</v>
      </c>
      <c r="E676" s="40" t="s">
        <v>64</v>
      </c>
      <c r="F676" s="40"/>
      <c r="G676" s="41" t="s">
        <v>314</v>
      </c>
      <c r="H676" s="42">
        <v>42</v>
      </c>
      <c r="I676" s="43">
        <v>38</v>
      </c>
      <c r="J676" s="44">
        <v>29.945</v>
      </c>
      <c r="K676" s="45">
        <v>79</v>
      </c>
      <c r="L676" s="43">
        <v>54</v>
      </c>
      <c r="M676" s="46">
        <v>56.356000000000002</v>
      </c>
      <c r="N676" s="40" t="s">
        <v>301</v>
      </c>
      <c r="O676" s="42">
        <v>42</v>
      </c>
      <c r="P676" s="43">
        <v>38</v>
      </c>
      <c r="Q676" s="44">
        <v>11.82</v>
      </c>
      <c r="R676" s="45">
        <v>79</v>
      </c>
      <c r="S676" s="43">
        <v>56</v>
      </c>
      <c r="T676" s="46">
        <v>46.50</v>
      </c>
      <c r="U676" s="40">
        <v>3</v>
      </c>
      <c r="V676" s="47">
        <v>8435.1375509940008</v>
      </c>
      <c r="W676" s="48">
        <v>1979</v>
      </c>
      <c r="X676" s="40"/>
      <c r="Y676" s="52" t="s">
        <v>1081</v>
      </c>
      <c r="Z676" s="40" t="s">
        <v>910</v>
      </c>
      <c r="AA676" s="49">
        <f t="shared" si="97"/>
        <v>198984.89482794848</v>
      </c>
      <c r="AB676" s="71">
        <f t="shared" si="98"/>
        <v>0.80</v>
      </c>
      <c r="AC676" s="49">
        <f t="shared" si="99"/>
        <v>39796.980000000003</v>
      </c>
      <c r="AD676" s="50">
        <f t="shared" si="100"/>
        <v>0</v>
      </c>
      <c r="AE676" s="50">
        <f t="shared" si="101"/>
        <v>0</v>
      </c>
      <c r="AF676" s="50">
        <f t="shared" si="102"/>
        <v>39796.980000000003</v>
      </c>
      <c r="AG676" s="199">
        <f t="shared" si="103"/>
        <v>39796</v>
      </c>
      <c r="AH676" s="187"/>
      <c r="AI676" s="185" t="s">
        <v>1457</v>
      </c>
      <c r="AJ676" s="185"/>
      <c r="AK676" s="277">
        <f t="shared" si="96"/>
        <v>8435.14</v>
      </c>
      <c r="AL676" s="25">
        <f>(SUMIFS('T1 2019 Pipeline Data Lagasco'!$O:$O,'T1 2019 Pipeline Data Lagasco'!$A:$A,'Dec 31 2018 OFFS'!$AI676,'T1 2019 Pipeline Data Lagasco'!$Q:$Q,'Dec 31 2018 OFFS'!$AK676,'T1 2019 Pipeline Data Lagasco'!$E:$E,'Dec 31 2018 OFFS'!$U676,'T1 2019 Pipeline Data Lagasco'!$G:$G,'Dec 31 2018 OFFS'!$W676))/(MAX(COUNTIFS('T1 2019 Pipeline Data Lagasco'!$A:$A,'Dec 31 2018 OFFS'!$AI676,'T1 2019 Pipeline Data Lagasco'!$Q:$Q,'Dec 31 2018 OFFS'!$AK676,'T1 2019 Pipeline Data Lagasco'!$E:$E,'Dec 31 2018 OFFS'!$U676,'T1 2019 Pipeline Data Lagasco'!$G:$G,'Dec 31 2018 OFFS'!$W676),1))</f>
        <v>39796</v>
      </c>
      <c r="AM676" s="274">
        <f t="shared" si="104"/>
        <v>0</v>
      </c>
    </row>
    <row r="677" spans="1:39" ht="12.7">
      <c r="A677" s="193" t="s">
        <v>909</v>
      </c>
      <c r="B677" s="40" t="s">
        <v>918</v>
      </c>
      <c r="C677" s="40" t="s">
        <v>1266</v>
      </c>
      <c r="D677" s="40" t="s">
        <v>229</v>
      </c>
      <c r="E677" s="40" t="s">
        <v>64</v>
      </c>
      <c r="F677" s="40"/>
      <c r="G677" s="41" t="s">
        <v>314</v>
      </c>
      <c r="H677" s="42">
        <v>42</v>
      </c>
      <c r="I677" s="43">
        <v>38</v>
      </c>
      <c r="J677" s="44">
        <v>29.945</v>
      </c>
      <c r="K677" s="45">
        <v>79</v>
      </c>
      <c r="L677" s="43">
        <v>54</v>
      </c>
      <c r="M677" s="46">
        <v>56.356000000000002</v>
      </c>
      <c r="N677" s="41" t="s">
        <v>315</v>
      </c>
      <c r="O677" s="42">
        <v>42</v>
      </c>
      <c r="P677" s="43">
        <v>39</v>
      </c>
      <c r="Q677" s="44">
        <v>11.788</v>
      </c>
      <c r="R677" s="45">
        <v>79</v>
      </c>
      <c r="S677" s="43">
        <v>55</v>
      </c>
      <c r="T677" s="46">
        <v>18.609000000000002</v>
      </c>
      <c r="U677" s="40">
        <v>3</v>
      </c>
      <c r="V677" s="47">
        <v>4551.082545366</v>
      </c>
      <c r="W677" s="48">
        <v>1983</v>
      </c>
      <c r="X677" s="40"/>
      <c r="Y677" s="52" t="s">
        <v>1081</v>
      </c>
      <c r="Z677" s="40" t="s">
        <v>910</v>
      </c>
      <c r="AA677" s="49">
        <f t="shared" si="97"/>
        <v>107360.03724518394</v>
      </c>
      <c r="AB677" s="71">
        <f t="shared" si="98"/>
        <v>0.80</v>
      </c>
      <c r="AC677" s="49">
        <f t="shared" si="99"/>
        <v>21472.01</v>
      </c>
      <c r="AD677" s="50">
        <f t="shared" si="100"/>
        <v>0</v>
      </c>
      <c r="AE677" s="50">
        <f t="shared" si="101"/>
        <v>0</v>
      </c>
      <c r="AF677" s="50">
        <f t="shared" si="102"/>
        <v>21472.01</v>
      </c>
      <c r="AG677" s="199">
        <f t="shared" si="103"/>
        <v>21472</v>
      </c>
      <c r="AH677" s="187"/>
      <c r="AI677" s="185" t="s">
        <v>1457</v>
      </c>
      <c r="AJ677" s="185"/>
      <c r="AK677" s="277">
        <f t="shared" si="96"/>
        <v>4551.08</v>
      </c>
      <c r="AL677" s="25">
        <f>(SUMIFS('T1 2019 Pipeline Data Lagasco'!$O:$O,'T1 2019 Pipeline Data Lagasco'!$A:$A,'Dec 31 2018 OFFS'!$AI677,'T1 2019 Pipeline Data Lagasco'!$Q:$Q,'Dec 31 2018 OFFS'!$AK677,'T1 2019 Pipeline Data Lagasco'!$E:$E,'Dec 31 2018 OFFS'!$U677,'T1 2019 Pipeline Data Lagasco'!$G:$G,'Dec 31 2018 OFFS'!$W677))/(MAX(COUNTIFS('T1 2019 Pipeline Data Lagasco'!$A:$A,'Dec 31 2018 OFFS'!$AI677,'T1 2019 Pipeline Data Lagasco'!$Q:$Q,'Dec 31 2018 OFFS'!$AK677,'T1 2019 Pipeline Data Lagasco'!$E:$E,'Dec 31 2018 OFFS'!$U677,'T1 2019 Pipeline Data Lagasco'!$G:$G,'Dec 31 2018 OFFS'!$W677),1))</f>
        <v>21472</v>
      </c>
      <c r="AM677" s="274">
        <f t="shared" si="104"/>
        <v>0</v>
      </c>
    </row>
    <row r="678" spans="1:39" ht="12.7">
      <c r="A678" s="193" t="s">
        <v>909</v>
      </c>
      <c r="B678" s="40" t="s">
        <v>918</v>
      </c>
      <c r="C678" s="40" t="s">
        <v>1266</v>
      </c>
      <c r="D678" s="40" t="s">
        <v>229</v>
      </c>
      <c r="E678" s="40" t="s">
        <v>64</v>
      </c>
      <c r="F678" s="40"/>
      <c r="G678" s="41" t="s">
        <v>314</v>
      </c>
      <c r="H678" s="42">
        <v>42</v>
      </c>
      <c r="I678" s="43">
        <v>38</v>
      </c>
      <c r="J678" s="44">
        <v>29.945</v>
      </c>
      <c r="K678" s="45">
        <v>79</v>
      </c>
      <c r="L678" s="43">
        <v>54</v>
      </c>
      <c r="M678" s="46">
        <v>56.356000000000002</v>
      </c>
      <c r="N678" s="41" t="s">
        <v>316</v>
      </c>
      <c r="O678" s="42">
        <v>42</v>
      </c>
      <c r="P678" s="43">
        <v>38</v>
      </c>
      <c r="Q678" s="44">
        <v>12.295</v>
      </c>
      <c r="R678" s="45">
        <v>79</v>
      </c>
      <c r="S678" s="43">
        <v>54</v>
      </c>
      <c r="T678" s="46">
        <v>15.805999999999999</v>
      </c>
      <c r="U678" s="40">
        <v>3</v>
      </c>
      <c r="V678" s="47">
        <v>3518.6022603060001</v>
      </c>
      <c r="W678" s="48">
        <v>1982</v>
      </c>
      <c r="X678" s="40"/>
      <c r="Y678" s="52" t="s">
        <v>1081</v>
      </c>
      <c r="Z678" s="40" t="s">
        <v>910</v>
      </c>
      <c r="AA678" s="49">
        <f t="shared" si="97"/>
        <v>83003.82732061854</v>
      </c>
      <c r="AB678" s="71">
        <f t="shared" si="98"/>
        <v>0.80</v>
      </c>
      <c r="AC678" s="49">
        <f t="shared" si="99"/>
        <v>16600.77</v>
      </c>
      <c r="AD678" s="50">
        <f t="shared" si="100"/>
        <v>0</v>
      </c>
      <c r="AE678" s="50">
        <f t="shared" si="101"/>
        <v>0</v>
      </c>
      <c r="AF678" s="50">
        <f t="shared" si="102"/>
        <v>16600.77</v>
      </c>
      <c r="AG678" s="199">
        <f t="shared" si="103"/>
        <v>16600</v>
      </c>
      <c r="AH678" s="187"/>
      <c r="AI678" s="185" t="s">
        <v>1457</v>
      </c>
      <c r="AJ678" s="185"/>
      <c r="AK678" s="277">
        <f t="shared" si="96"/>
        <v>3518.60</v>
      </c>
      <c r="AL678" s="25">
        <f>(SUMIFS('T1 2019 Pipeline Data Lagasco'!$O:$O,'T1 2019 Pipeline Data Lagasco'!$A:$A,'Dec 31 2018 OFFS'!$AI678,'T1 2019 Pipeline Data Lagasco'!$Q:$Q,'Dec 31 2018 OFFS'!$AK678,'T1 2019 Pipeline Data Lagasco'!$E:$E,'Dec 31 2018 OFFS'!$U678,'T1 2019 Pipeline Data Lagasco'!$G:$G,'Dec 31 2018 OFFS'!$W678))/(MAX(COUNTIFS('T1 2019 Pipeline Data Lagasco'!$A:$A,'Dec 31 2018 OFFS'!$AI678,'T1 2019 Pipeline Data Lagasco'!$Q:$Q,'Dec 31 2018 OFFS'!$AK678,'T1 2019 Pipeline Data Lagasco'!$E:$E,'Dec 31 2018 OFFS'!$U678,'T1 2019 Pipeline Data Lagasco'!$G:$G,'Dec 31 2018 OFFS'!$W678),1))</f>
        <v>16600</v>
      </c>
      <c r="AM678" s="274">
        <f t="shared" si="104"/>
        <v>0</v>
      </c>
    </row>
    <row r="679" spans="1:39" ht="12.7">
      <c r="A679" s="193" t="s">
        <v>909</v>
      </c>
      <c r="B679" s="40" t="s">
        <v>918</v>
      </c>
      <c r="C679" s="40" t="s">
        <v>1266</v>
      </c>
      <c r="D679" s="40" t="s">
        <v>229</v>
      </c>
      <c r="E679" s="40" t="s">
        <v>64</v>
      </c>
      <c r="F679" s="40"/>
      <c r="G679" s="41" t="s">
        <v>314</v>
      </c>
      <c r="H679" s="42">
        <v>42</v>
      </c>
      <c r="I679" s="43">
        <v>38</v>
      </c>
      <c r="J679" s="44">
        <v>29.945</v>
      </c>
      <c r="K679" s="45">
        <v>79</v>
      </c>
      <c r="L679" s="43">
        <v>54</v>
      </c>
      <c r="M679" s="46">
        <v>56.356000000000002</v>
      </c>
      <c r="N679" s="41" t="s">
        <v>317</v>
      </c>
      <c r="O679" s="42">
        <v>42</v>
      </c>
      <c r="P679" s="43">
        <v>37</v>
      </c>
      <c r="Q679" s="44">
        <v>45</v>
      </c>
      <c r="R679" s="45">
        <v>79</v>
      </c>
      <c r="S679" s="43">
        <v>53</v>
      </c>
      <c r="T679" s="46">
        <v>43.98</v>
      </c>
      <c r="U679" s="40">
        <v>3</v>
      </c>
      <c r="V679" s="47">
        <v>7069.4551758459993</v>
      </c>
      <c r="W679" s="48">
        <v>1980</v>
      </c>
      <c r="X679" s="40"/>
      <c r="Y679" s="52" t="s">
        <v>1081</v>
      </c>
      <c r="Z679" s="40" t="s">
        <v>910</v>
      </c>
      <c r="AA679" s="49">
        <f t="shared" si="97"/>
        <v>166768.44759820713</v>
      </c>
      <c r="AB679" s="71">
        <f t="shared" si="98"/>
        <v>0.80</v>
      </c>
      <c r="AC679" s="49">
        <f t="shared" si="99"/>
        <v>33353.69</v>
      </c>
      <c r="AD679" s="50">
        <f t="shared" si="100"/>
        <v>0</v>
      </c>
      <c r="AE679" s="50">
        <f t="shared" si="101"/>
        <v>0</v>
      </c>
      <c r="AF679" s="50">
        <f t="shared" si="102"/>
        <v>33353.69</v>
      </c>
      <c r="AG679" s="199">
        <f t="shared" si="103"/>
        <v>33353</v>
      </c>
      <c r="AH679" s="187"/>
      <c r="AI679" s="185" t="s">
        <v>1457</v>
      </c>
      <c r="AJ679" s="185"/>
      <c r="AK679" s="277">
        <f t="shared" si="96"/>
        <v>7069.46</v>
      </c>
      <c r="AL679" s="25">
        <f>(SUMIFS('T1 2019 Pipeline Data Lagasco'!$O:$O,'T1 2019 Pipeline Data Lagasco'!$A:$A,'Dec 31 2018 OFFS'!$AI679,'T1 2019 Pipeline Data Lagasco'!$Q:$Q,'Dec 31 2018 OFFS'!$AK679,'T1 2019 Pipeline Data Lagasco'!$E:$E,'Dec 31 2018 OFFS'!$U679,'T1 2019 Pipeline Data Lagasco'!$G:$G,'Dec 31 2018 OFFS'!$W679))/(MAX(COUNTIFS('T1 2019 Pipeline Data Lagasco'!$A:$A,'Dec 31 2018 OFFS'!$AI679,'T1 2019 Pipeline Data Lagasco'!$Q:$Q,'Dec 31 2018 OFFS'!$AK679,'T1 2019 Pipeline Data Lagasco'!$E:$E,'Dec 31 2018 OFFS'!$U679,'T1 2019 Pipeline Data Lagasco'!$G:$G,'Dec 31 2018 OFFS'!$W679),1))</f>
        <v>33353</v>
      </c>
      <c r="AM679" s="274">
        <f t="shared" si="104"/>
        <v>0</v>
      </c>
    </row>
    <row r="680" spans="1:39" ht="12.7">
      <c r="A680" s="193" t="s">
        <v>909</v>
      </c>
      <c r="B680" s="40" t="s">
        <v>918</v>
      </c>
      <c r="C680" s="40" t="s">
        <v>1266</v>
      </c>
      <c r="D680" s="40" t="s">
        <v>229</v>
      </c>
      <c r="E680" s="40" t="s">
        <v>64</v>
      </c>
      <c r="F680" s="40"/>
      <c r="G680" s="41" t="s">
        <v>314</v>
      </c>
      <c r="H680" s="42">
        <v>42</v>
      </c>
      <c r="I680" s="43">
        <v>38</v>
      </c>
      <c r="J680" s="44">
        <v>29.945</v>
      </c>
      <c r="K680" s="45">
        <v>79</v>
      </c>
      <c r="L680" s="43">
        <v>54</v>
      </c>
      <c r="M680" s="46">
        <v>56.356000000000002</v>
      </c>
      <c r="N680" s="40" t="s">
        <v>313</v>
      </c>
      <c r="O680" s="42">
        <v>42</v>
      </c>
      <c r="P680" s="43">
        <v>39</v>
      </c>
      <c r="Q680" s="44">
        <v>49.98</v>
      </c>
      <c r="R680" s="45">
        <v>79</v>
      </c>
      <c r="S680" s="43">
        <v>53</v>
      </c>
      <c r="T680" s="46">
        <v>39</v>
      </c>
      <c r="U680" s="40">
        <v>8</v>
      </c>
      <c r="V680" s="47">
        <v>9953.7726776179989</v>
      </c>
      <c r="W680" s="48">
        <v>1979</v>
      </c>
      <c r="X680" s="40"/>
      <c r="Y680" s="52" t="s">
        <v>1081</v>
      </c>
      <c r="Z680" s="40" t="s">
        <v>910</v>
      </c>
      <c r="AA680" s="49">
        <f t="shared" si="97"/>
        <v>490720.9930065673</v>
      </c>
      <c r="AB680" s="71">
        <f t="shared" si="98"/>
        <v>0.80</v>
      </c>
      <c r="AC680" s="49">
        <f t="shared" si="99"/>
        <v>98144.20</v>
      </c>
      <c r="AD680" s="50">
        <f t="shared" si="100"/>
        <v>0</v>
      </c>
      <c r="AE680" s="50">
        <f t="shared" si="101"/>
        <v>0</v>
      </c>
      <c r="AF680" s="50">
        <f t="shared" si="102"/>
        <v>98144.20</v>
      </c>
      <c r="AG680" s="199">
        <f t="shared" si="103"/>
        <v>98144</v>
      </c>
      <c r="AH680" s="187"/>
      <c r="AI680" s="185" t="s">
        <v>1457</v>
      </c>
      <c r="AJ680" s="185"/>
      <c r="AK680" s="277">
        <f t="shared" si="96"/>
        <v>9953.77</v>
      </c>
      <c r="AL680" s="25">
        <f>(SUMIFS('T1 2019 Pipeline Data Lagasco'!$O:$O,'T1 2019 Pipeline Data Lagasco'!$A:$A,'Dec 31 2018 OFFS'!$AI680,'T1 2019 Pipeline Data Lagasco'!$Q:$Q,'Dec 31 2018 OFFS'!$AK680,'T1 2019 Pipeline Data Lagasco'!$E:$E,'Dec 31 2018 OFFS'!$U680,'T1 2019 Pipeline Data Lagasco'!$G:$G,'Dec 31 2018 OFFS'!$W680))/(MAX(COUNTIFS('T1 2019 Pipeline Data Lagasco'!$A:$A,'Dec 31 2018 OFFS'!$AI680,'T1 2019 Pipeline Data Lagasco'!$Q:$Q,'Dec 31 2018 OFFS'!$AK680,'T1 2019 Pipeline Data Lagasco'!$E:$E,'Dec 31 2018 OFFS'!$U680,'T1 2019 Pipeline Data Lagasco'!$G:$G,'Dec 31 2018 OFFS'!$W680),1))</f>
        <v>98144</v>
      </c>
      <c r="AM680" s="274">
        <f t="shared" si="104"/>
        <v>0</v>
      </c>
    </row>
    <row r="681" spans="1:39" ht="12.7">
      <c r="A681" s="193" t="s">
        <v>909</v>
      </c>
      <c r="B681" s="40" t="s">
        <v>918</v>
      </c>
      <c r="C681" s="40" t="s">
        <v>1266</v>
      </c>
      <c r="D681" s="40" t="s">
        <v>229</v>
      </c>
      <c r="E681" s="40" t="s">
        <v>64</v>
      </c>
      <c r="F681" s="40"/>
      <c r="G681" s="41" t="s">
        <v>317</v>
      </c>
      <c r="H681" s="42">
        <v>42</v>
      </c>
      <c r="I681" s="43">
        <v>37</v>
      </c>
      <c r="J681" s="44">
        <v>45</v>
      </c>
      <c r="K681" s="45">
        <v>79</v>
      </c>
      <c r="L681" s="43">
        <v>53</v>
      </c>
      <c r="M681" s="46">
        <v>43.98</v>
      </c>
      <c r="N681" s="40" t="s">
        <v>318</v>
      </c>
      <c r="O681" s="42">
        <v>42</v>
      </c>
      <c r="P681" s="43">
        <v>37</v>
      </c>
      <c r="Q681" s="44">
        <v>15</v>
      </c>
      <c r="R681" s="45">
        <v>79</v>
      </c>
      <c r="S681" s="43">
        <v>54</v>
      </c>
      <c r="T681" s="46">
        <v>19.02</v>
      </c>
      <c r="U681" s="40">
        <v>3</v>
      </c>
      <c r="V681" s="47">
        <v>4011.0235058879998</v>
      </c>
      <c r="W681" s="48">
        <v>1980</v>
      </c>
      <c r="X681" s="40"/>
      <c r="Y681" s="52" t="s">
        <v>1081</v>
      </c>
      <c r="Z681" s="40" t="s">
        <v>910</v>
      </c>
      <c r="AA681" s="49">
        <f t="shared" si="97"/>
        <v>94620.044503897909</v>
      </c>
      <c r="AB681" s="71">
        <f t="shared" si="98"/>
        <v>0.80</v>
      </c>
      <c r="AC681" s="49">
        <f t="shared" si="99"/>
        <v>18924.009999999998</v>
      </c>
      <c r="AD681" s="50">
        <f t="shared" si="100"/>
        <v>0</v>
      </c>
      <c r="AE681" s="50">
        <f t="shared" si="101"/>
        <v>0</v>
      </c>
      <c r="AF681" s="50">
        <f t="shared" si="102"/>
        <v>18924.009999999998</v>
      </c>
      <c r="AG681" s="199">
        <f t="shared" si="103"/>
        <v>18924</v>
      </c>
      <c r="AH681" s="187"/>
      <c r="AI681" s="185" t="s">
        <v>1457</v>
      </c>
      <c r="AJ681" s="185"/>
      <c r="AK681" s="277">
        <f t="shared" si="96"/>
        <v>4011.02</v>
      </c>
      <c r="AL681" s="25">
        <f>(SUMIFS('T1 2019 Pipeline Data Lagasco'!$O:$O,'T1 2019 Pipeline Data Lagasco'!$A:$A,'Dec 31 2018 OFFS'!$AI681,'T1 2019 Pipeline Data Lagasco'!$Q:$Q,'Dec 31 2018 OFFS'!$AK681,'T1 2019 Pipeline Data Lagasco'!$E:$E,'Dec 31 2018 OFFS'!$U681,'T1 2019 Pipeline Data Lagasco'!$G:$G,'Dec 31 2018 OFFS'!$W681))/(MAX(COUNTIFS('T1 2019 Pipeline Data Lagasco'!$A:$A,'Dec 31 2018 OFFS'!$AI681,'T1 2019 Pipeline Data Lagasco'!$Q:$Q,'Dec 31 2018 OFFS'!$AK681,'T1 2019 Pipeline Data Lagasco'!$E:$E,'Dec 31 2018 OFFS'!$U681,'T1 2019 Pipeline Data Lagasco'!$G:$G,'Dec 31 2018 OFFS'!$W681),1))</f>
        <v>18924</v>
      </c>
      <c r="AM681" s="274">
        <f t="shared" si="104"/>
        <v>0</v>
      </c>
    </row>
    <row r="682" spans="1:39" ht="12.7">
      <c r="A682" s="193" t="s">
        <v>909</v>
      </c>
      <c r="B682" s="40" t="s">
        <v>918</v>
      </c>
      <c r="C682" s="40" t="s">
        <v>1266</v>
      </c>
      <c r="D682" s="40" t="s">
        <v>229</v>
      </c>
      <c r="E682" s="40" t="s">
        <v>64</v>
      </c>
      <c r="F682" s="40"/>
      <c r="G682" s="41" t="s">
        <v>317</v>
      </c>
      <c r="H682" s="42">
        <v>42</v>
      </c>
      <c r="I682" s="43">
        <v>37</v>
      </c>
      <c r="J682" s="44">
        <v>45</v>
      </c>
      <c r="K682" s="45">
        <v>79</v>
      </c>
      <c r="L682" s="43">
        <v>53</v>
      </c>
      <c r="M682" s="46">
        <v>43.98</v>
      </c>
      <c r="N682" s="40" t="s">
        <v>319</v>
      </c>
      <c r="O682" s="42">
        <v>42</v>
      </c>
      <c r="P682" s="43">
        <v>37</v>
      </c>
      <c r="Q682" s="44">
        <v>51</v>
      </c>
      <c r="R682" s="45">
        <v>79</v>
      </c>
      <c r="S682" s="43">
        <v>52</v>
      </c>
      <c r="T682" s="46">
        <v>19.02</v>
      </c>
      <c r="U682" s="40">
        <v>3</v>
      </c>
      <c r="V682" s="47">
        <v>6380.6100514379996</v>
      </c>
      <c r="W682" s="48">
        <v>1985</v>
      </c>
      <c r="X682" s="40"/>
      <c r="Y682" s="52" t="s">
        <v>1081</v>
      </c>
      <c r="Z682" s="40" t="s">
        <v>910</v>
      </c>
      <c r="AA682" s="49">
        <f t="shared" si="97"/>
        <v>150518.59111342242</v>
      </c>
      <c r="AB682" s="71">
        <f t="shared" si="98"/>
        <v>0.80</v>
      </c>
      <c r="AC682" s="49">
        <f t="shared" si="99"/>
        <v>30103.72</v>
      </c>
      <c r="AD682" s="50">
        <f t="shared" si="100"/>
        <v>0</v>
      </c>
      <c r="AE682" s="50">
        <f t="shared" si="101"/>
        <v>0</v>
      </c>
      <c r="AF682" s="50">
        <f t="shared" si="102"/>
        <v>30103.72</v>
      </c>
      <c r="AG682" s="199">
        <f t="shared" si="103"/>
        <v>30103</v>
      </c>
      <c r="AH682" s="187"/>
      <c r="AI682" s="185" t="s">
        <v>1457</v>
      </c>
      <c r="AJ682" s="185"/>
      <c r="AK682" s="277">
        <f t="shared" si="96"/>
        <v>6380.61</v>
      </c>
      <c r="AL682" s="25">
        <f>(SUMIFS('T1 2019 Pipeline Data Lagasco'!$O:$O,'T1 2019 Pipeline Data Lagasco'!$A:$A,'Dec 31 2018 OFFS'!$AI682,'T1 2019 Pipeline Data Lagasco'!$Q:$Q,'Dec 31 2018 OFFS'!$AK682,'T1 2019 Pipeline Data Lagasco'!$E:$E,'Dec 31 2018 OFFS'!$U682,'T1 2019 Pipeline Data Lagasco'!$G:$G,'Dec 31 2018 OFFS'!$W682))/(MAX(COUNTIFS('T1 2019 Pipeline Data Lagasco'!$A:$A,'Dec 31 2018 OFFS'!$AI682,'T1 2019 Pipeline Data Lagasco'!$Q:$Q,'Dec 31 2018 OFFS'!$AK682,'T1 2019 Pipeline Data Lagasco'!$E:$E,'Dec 31 2018 OFFS'!$U682,'T1 2019 Pipeline Data Lagasco'!$G:$G,'Dec 31 2018 OFFS'!$W682),1))</f>
        <v>30103</v>
      </c>
      <c r="AM682" s="274">
        <f t="shared" si="104"/>
        <v>0</v>
      </c>
    </row>
    <row r="683" spans="1:39" ht="12.7">
      <c r="A683" s="193" t="s">
        <v>909</v>
      </c>
      <c r="B683" s="40" t="s">
        <v>918</v>
      </c>
      <c r="C683" s="40" t="s">
        <v>1266</v>
      </c>
      <c r="D683" s="40" t="s">
        <v>229</v>
      </c>
      <c r="E683" s="40" t="s">
        <v>64</v>
      </c>
      <c r="F683" s="40"/>
      <c r="G683" s="41" t="s">
        <v>305</v>
      </c>
      <c r="H683" s="42">
        <v>42</v>
      </c>
      <c r="I683" s="43">
        <v>36</v>
      </c>
      <c r="J683" s="44">
        <v>49.02</v>
      </c>
      <c r="K683" s="45">
        <v>79</v>
      </c>
      <c r="L683" s="43">
        <v>53</v>
      </c>
      <c r="M683" s="46">
        <v>19.02</v>
      </c>
      <c r="N683" s="40" t="s">
        <v>320</v>
      </c>
      <c r="O683" s="42">
        <v>42</v>
      </c>
      <c r="P683" s="43">
        <v>36</v>
      </c>
      <c r="Q683" s="44">
        <v>10.02</v>
      </c>
      <c r="R683" s="45">
        <v>79</v>
      </c>
      <c r="S683" s="43">
        <v>52</v>
      </c>
      <c r="T683" s="46">
        <v>54</v>
      </c>
      <c r="U683" s="40">
        <v>3</v>
      </c>
      <c r="V683" s="47">
        <v>4369.3896372419995</v>
      </c>
      <c r="W683" s="48">
        <v>1981</v>
      </c>
      <c r="X683" s="40"/>
      <c r="Y683" s="52" t="s">
        <v>1081</v>
      </c>
      <c r="Z683" s="40" t="s">
        <v>910</v>
      </c>
      <c r="AA683" s="49">
        <f t="shared" si="97"/>
        <v>103073.90154253876</v>
      </c>
      <c r="AB683" s="71">
        <f t="shared" si="98"/>
        <v>0.80</v>
      </c>
      <c r="AC683" s="49">
        <f t="shared" si="99"/>
        <v>20614.78</v>
      </c>
      <c r="AD683" s="50">
        <f t="shared" si="100"/>
        <v>0</v>
      </c>
      <c r="AE683" s="50">
        <f t="shared" si="101"/>
        <v>0</v>
      </c>
      <c r="AF683" s="50">
        <f t="shared" si="102"/>
        <v>20614.78</v>
      </c>
      <c r="AG683" s="199">
        <f t="shared" si="103"/>
        <v>20614</v>
      </c>
      <c r="AH683" s="187"/>
      <c r="AI683" s="185" t="s">
        <v>1457</v>
      </c>
      <c r="AJ683" s="185"/>
      <c r="AK683" s="277">
        <f t="shared" si="96"/>
        <v>4369.3900000000003</v>
      </c>
      <c r="AL683" s="25">
        <f>(SUMIFS('T1 2019 Pipeline Data Lagasco'!$O:$O,'T1 2019 Pipeline Data Lagasco'!$A:$A,'Dec 31 2018 OFFS'!$AI683,'T1 2019 Pipeline Data Lagasco'!$Q:$Q,'Dec 31 2018 OFFS'!$AK683,'T1 2019 Pipeline Data Lagasco'!$E:$E,'Dec 31 2018 OFFS'!$U683,'T1 2019 Pipeline Data Lagasco'!$G:$G,'Dec 31 2018 OFFS'!$W683))/(MAX(COUNTIFS('T1 2019 Pipeline Data Lagasco'!$A:$A,'Dec 31 2018 OFFS'!$AI683,'T1 2019 Pipeline Data Lagasco'!$Q:$Q,'Dec 31 2018 OFFS'!$AK683,'T1 2019 Pipeline Data Lagasco'!$E:$E,'Dec 31 2018 OFFS'!$U683,'T1 2019 Pipeline Data Lagasco'!$G:$G,'Dec 31 2018 OFFS'!$W683),1))</f>
        <v>20614</v>
      </c>
      <c r="AM683" s="274">
        <f t="shared" si="104"/>
        <v>0</v>
      </c>
    </row>
    <row r="684" spans="1:39" ht="12.7">
      <c r="A684" s="193" t="s">
        <v>909</v>
      </c>
      <c r="B684" s="40" t="s">
        <v>918</v>
      </c>
      <c r="C684" s="40" t="s">
        <v>1266</v>
      </c>
      <c r="D684" s="40" t="s">
        <v>229</v>
      </c>
      <c r="E684" s="40" t="s">
        <v>64</v>
      </c>
      <c r="F684" s="40"/>
      <c r="G684" s="41" t="s">
        <v>305</v>
      </c>
      <c r="H684" s="42">
        <v>42</v>
      </c>
      <c r="I684" s="43">
        <v>36</v>
      </c>
      <c r="J684" s="44">
        <v>49.02</v>
      </c>
      <c r="K684" s="45">
        <v>79</v>
      </c>
      <c r="L684" s="43">
        <v>53</v>
      </c>
      <c r="M684" s="46">
        <v>19.02</v>
      </c>
      <c r="N684" s="40" t="s">
        <v>321</v>
      </c>
      <c r="O684" s="42">
        <v>42</v>
      </c>
      <c r="P684" s="43">
        <v>35</v>
      </c>
      <c r="Q684" s="44">
        <v>45</v>
      </c>
      <c r="R684" s="45">
        <v>79</v>
      </c>
      <c r="S684" s="43">
        <v>51</v>
      </c>
      <c r="T684" s="46">
        <v>16.02</v>
      </c>
      <c r="U684" s="40">
        <v>3</v>
      </c>
      <c r="V684" s="47">
        <v>11253.280514</v>
      </c>
      <c r="W684" s="48">
        <v>1981</v>
      </c>
      <c r="X684" s="40"/>
      <c r="Y684" s="52" t="s">
        <v>1081</v>
      </c>
      <c r="Z684" s="40" t="s">
        <v>910</v>
      </c>
      <c r="AA684" s="49">
        <f t="shared" si="97"/>
        <v>265464.88732525997</v>
      </c>
      <c r="AB684" s="71">
        <f t="shared" si="98"/>
        <v>0.80</v>
      </c>
      <c r="AC684" s="49">
        <f t="shared" si="99"/>
        <v>53092.98</v>
      </c>
      <c r="AD684" s="50">
        <f t="shared" si="100"/>
        <v>0</v>
      </c>
      <c r="AE684" s="50">
        <f t="shared" si="101"/>
        <v>0</v>
      </c>
      <c r="AF684" s="50">
        <f t="shared" si="102"/>
        <v>53092.98</v>
      </c>
      <c r="AG684" s="199">
        <f t="shared" si="103"/>
        <v>53092</v>
      </c>
      <c r="AH684" s="187"/>
      <c r="AI684" s="185" t="s">
        <v>1457</v>
      </c>
      <c r="AJ684" s="185"/>
      <c r="AK684" s="277">
        <f t="shared" si="96"/>
        <v>11253.28</v>
      </c>
      <c r="AL684" s="25">
        <f>(SUMIFS('T1 2019 Pipeline Data Lagasco'!$O:$O,'T1 2019 Pipeline Data Lagasco'!$A:$A,'Dec 31 2018 OFFS'!$AI684,'T1 2019 Pipeline Data Lagasco'!$Q:$Q,'Dec 31 2018 OFFS'!$AK684,'T1 2019 Pipeline Data Lagasco'!$E:$E,'Dec 31 2018 OFFS'!$U684,'T1 2019 Pipeline Data Lagasco'!$G:$G,'Dec 31 2018 OFFS'!$W684))/(MAX(COUNTIFS('T1 2019 Pipeline Data Lagasco'!$A:$A,'Dec 31 2018 OFFS'!$AI684,'T1 2019 Pipeline Data Lagasco'!$Q:$Q,'Dec 31 2018 OFFS'!$AK684,'T1 2019 Pipeline Data Lagasco'!$E:$E,'Dec 31 2018 OFFS'!$U684,'T1 2019 Pipeline Data Lagasco'!$G:$G,'Dec 31 2018 OFFS'!$W684),1))</f>
        <v>53092</v>
      </c>
      <c r="AM684" s="274">
        <f t="shared" si="104"/>
        <v>0</v>
      </c>
    </row>
    <row r="685" spans="1:39" ht="12.7">
      <c r="A685" s="193" t="s">
        <v>909</v>
      </c>
      <c r="B685" s="40" t="s">
        <v>918</v>
      </c>
      <c r="C685" s="40" t="s">
        <v>1266</v>
      </c>
      <c r="D685" s="40" t="s">
        <v>229</v>
      </c>
      <c r="E685" s="40" t="s">
        <v>64</v>
      </c>
      <c r="F685" s="40"/>
      <c r="G685" s="41" t="s">
        <v>320</v>
      </c>
      <c r="H685" s="42">
        <v>42</v>
      </c>
      <c r="I685" s="43">
        <v>36</v>
      </c>
      <c r="J685" s="44">
        <v>10.02</v>
      </c>
      <c r="K685" s="45">
        <v>79</v>
      </c>
      <c r="L685" s="43">
        <v>52</v>
      </c>
      <c r="M685" s="46">
        <v>54</v>
      </c>
      <c r="N685" s="41" t="s">
        <v>322</v>
      </c>
      <c r="O685" s="42">
        <v>42</v>
      </c>
      <c r="P685" s="43">
        <v>36</v>
      </c>
      <c r="Q685" s="44">
        <v>24</v>
      </c>
      <c r="R685" s="45">
        <v>79</v>
      </c>
      <c r="S685" s="43">
        <v>51</v>
      </c>
      <c r="T685" s="46">
        <v>36</v>
      </c>
      <c r="U685" s="40">
        <v>3</v>
      </c>
      <c r="V685" s="47">
        <v>6002.9197736619999</v>
      </c>
      <c r="W685" s="48">
        <v>1982</v>
      </c>
      <c r="X685" s="40"/>
      <c r="Y685" s="52" t="s">
        <v>1081</v>
      </c>
      <c r="Z685" s="40" t="s">
        <v>910</v>
      </c>
      <c r="AA685" s="49">
        <f t="shared" si="97"/>
        <v>141608.87746068658</v>
      </c>
      <c r="AB685" s="71">
        <f t="shared" si="98"/>
        <v>0.80</v>
      </c>
      <c r="AC685" s="49">
        <f t="shared" si="99"/>
        <v>28321.78</v>
      </c>
      <c r="AD685" s="50">
        <f t="shared" si="100"/>
        <v>0</v>
      </c>
      <c r="AE685" s="50">
        <f t="shared" si="101"/>
        <v>0</v>
      </c>
      <c r="AF685" s="50">
        <f t="shared" si="102"/>
        <v>28321.78</v>
      </c>
      <c r="AG685" s="199">
        <f t="shared" si="103"/>
        <v>28321</v>
      </c>
      <c r="AH685" s="187"/>
      <c r="AI685" s="185" t="s">
        <v>1457</v>
      </c>
      <c r="AJ685" s="185"/>
      <c r="AK685" s="277">
        <f t="shared" si="96"/>
        <v>6002.92</v>
      </c>
      <c r="AL685" s="25">
        <f>(SUMIFS('T1 2019 Pipeline Data Lagasco'!$O:$O,'T1 2019 Pipeline Data Lagasco'!$A:$A,'Dec 31 2018 OFFS'!$AI685,'T1 2019 Pipeline Data Lagasco'!$Q:$Q,'Dec 31 2018 OFFS'!$AK685,'T1 2019 Pipeline Data Lagasco'!$E:$E,'Dec 31 2018 OFFS'!$U685,'T1 2019 Pipeline Data Lagasco'!$G:$G,'Dec 31 2018 OFFS'!$W685))/(MAX(COUNTIFS('T1 2019 Pipeline Data Lagasco'!$A:$A,'Dec 31 2018 OFFS'!$AI685,'T1 2019 Pipeline Data Lagasco'!$Q:$Q,'Dec 31 2018 OFFS'!$AK685,'T1 2019 Pipeline Data Lagasco'!$E:$E,'Dec 31 2018 OFFS'!$U685,'T1 2019 Pipeline Data Lagasco'!$G:$G,'Dec 31 2018 OFFS'!$W685),1))</f>
        <v>28321</v>
      </c>
      <c r="AM685" s="274">
        <f t="shared" si="104"/>
        <v>0</v>
      </c>
    </row>
    <row r="686" spans="1:39" ht="12.7">
      <c r="A686" s="193" t="s">
        <v>909</v>
      </c>
      <c r="B686" s="40" t="s">
        <v>918</v>
      </c>
      <c r="C686" s="40" t="s">
        <v>1266</v>
      </c>
      <c r="D686" s="40" t="s">
        <v>229</v>
      </c>
      <c r="E686" s="40" t="s">
        <v>64</v>
      </c>
      <c r="F686" s="40"/>
      <c r="G686" s="41" t="s">
        <v>321</v>
      </c>
      <c r="H686" s="42">
        <v>42</v>
      </c>
      <c r="I686" s="43">
        <v>35</v>
      </c>
      <c r="J686" s="44">
        <v>45</v>
      </c>
      <c r="K686" s="45">
        <v>79</v>
      </c>
      <c r="L686" s="43">
        <v>51</v>
      </c>
      <c r="M686" s="46">
        <v>16.02</v>
      </c>
      <c r="N686" s="40" t="s">
        <v>139</v>
      </c>
      <c r="O686" s="42">
        <v>42</v>
      </c>
      <c r="P686" s="43">
        <v>35</v>
      </c>
      <c r="Q686" s="44">
        <v>29.72</v>
      </c>
      <c r="R686" s="45">
        <v>79</v>
      </c>
      <c r="S686" s="43">
        <v>50</v>
      </c>
      <c r="T686" s="46">
        <v>25.22</v>
      </c>
      <c r="U686" s="40">
        <v>3</v>
      </c>
      <c r="V686" s="47">
        <v>4102.8870202879998</v>
      </c>
      <c r="W686" s="48">
        <v>1982</v>
      </c>
      <c r="X686" s="40"/>
      <c r="Y686" s="52" t="s">
        <v>1081</v>
      </c>
      <c r="Z686" s="40" t="s">
        <v>910</v>
      </c>
      <c r="AA686" s="49">
        <f t="shared" si="97"/>
        <v>96787.104808593911</v>
      </c>
      <c r="AB686" s="71">
        <f t="shared" si="98"/>
        <v>0.80</v>
      </c>
      <c r="AC686" s="49">
        <f t="shared" si="99"/>
        <v>19357.419999999998</v>
      </c>
      <c r="AD686" s="50">
        <f t="shared" si="100"/>
        <v>0</v>
      </c>
      <c r="AE686" s="50">
        <f t="shared" si="101"/>
        <v>0</v>
      </c>
      <c r="AF686" s="50">
        <f t="shared" si="102"/>
        <v>19357.419999999998</v>
      </c>
      <c r="AG686" s="199">
        <f t="shared" si="103"/>
        <v>19357</v>
      </c>
      <c r="AH686" s="187"/>
      <c r="AI686" s="185" t="s">
        <v>1457</v>
      </c>
      <c r="AJ686" s="185"/>
      <c r="AK686" s="277">
        <f t="shared" si="96"/>
        <v>4102.8900000000003</v>
      </c>
      <c r="AL686" s="25">
        <f>(SUMIFS('T1 2019 Pipeline Data Lagasco'!$O:$O,'T1 2019 Pipeline Data Lagasco'!$A:$A,'Dec 31 2018 OFFS'!$AI686,'T1 2019 Pipeline Data Lagasco'!$Q:$Q,'Dec 31 2018 OFFS'!$AK686,'T1 2019 Pipeline Data Lagasco'!$E:$E,'Dec 31 2018 OFFS'!$U686,'T1 2019 Pipeline Data Lagasco'!$G:$G,'Dec 31 2018 OFFS'!$W686))/(MAX(COUNTIFS('T1 2019 Pipeline Data Lagasco'!$A:$A,'Dec 31 2018 OFFS'!$AI686,'T1 2019 Pipeline Data Lagasco'!$Q:$Q,'Dec 31 2018 OFFS'!$AK686,'T1 2019 Pipeline Data Lagasco'!$E:$E,'Dec 31 2018 OFFS'!$U686,'T1 2019 Pipeline Data Lagasco'!$G:$G,'Dec 31 2018 OFFS'!$W686),1))</f>
        <v>19357</v>
      </c>
      <c r="AM686" s="274">
        <f t="shared" si="104"/>
        <v>0</v>
      </c>
    </row>
    <row r="687" spans="1:39" ht="12.7">
      <c r="A687" s="193" t="s">
        <v>909</v>
      </c>
      <c r="B687" s="40" t="s">
        <v>918</v>
      </c>
      <c r="C687" s="40" t="s">
        <v>1266</v>
      </c>
      <c r="D687" s="40" t="s">
        <v>229</v>
      </c>
      <c r="E687" s="40" t="s">
        <v>138</v>
      </c>
      <c r="F687" s="40"/>
      <c r="G687" s="41" t="s">
        <v>1272</v>
      </c>
      <c r="H687" s="42">
        <v>42</v>
      </c>
      <c r="I687" s="43">
        <v>33</v>
      </c>
      <c r="J687" s="44">
        <v>55.20</v>
      </c>
      <c r="K687" s="45">
        <v>79</v>
      </c>
      <c r="L687" s="43">
        <v>47</v>
      </c>
      <c r="M687" s="46">
        <v>46.32</v>
      </c>
      <c r="N687" s="40" t="s">
        <v>1273</v>
      </c>
      <c r="O687" s="42">
        <v>42</v>
      </c>
      <c r="P687" s="43">
        <v>34</v>
      </c>
      <c r="Q687" s="44">
        <v>43.32</v>
      </c>
      <c r="R687" s="45">
        <v>79</v>
      </c>
      <c r="S687" s="43">
        <v>49</v>
      </c>
      <c r="T687" s="46">
        <v>35.10</v>
      </c>
      <c r="U687" s="40">
        <v>3</v>
      </c>
      <c r="V687" s="47">
        <v>9475</v>
      </c>
      <c r="W687" s="48">
        <v>2005</v>
      </c>
      <c r="X687" s="40"/>
      <c r="Y687" s="52"/>
      <c r="Z687" s="40" t="s">
        <v>910</v>
      </c>
      <c r="AA687" s="49">
        <f t="shared" si="97"/>
        <v>223515.25</v>
      </c>
      <c r="AB687" s="71">
        <f t="shared" si="98"/>
        <v>0.54</v>
      </c>
      <c r="AC687" s="49">
        <f t="shared" si="99"/>
        <v>102817.02</v>
      </c>
      <c r="AD687" s="50">
        <f t="shared" si="100"/>
        <v>0</v>
      </c>
      <c r="AE687" s="50">
        <f t="shared" si="101"/>
        <v>0</v>
      </c>
      <c r="AF687" s="50">
        <f t="shared" si="102"/>
        <v>102817.02</v>
      </c>
      <c r="AG687" s="199">
        <f t="shared" si="103"/>
        <v>102817</v>
      </c>
      <c r="AH687" s="187"/>
      <c r="AI687" s="185" t="s">
        <v>1457</v>
      </c>
      <c r="AJ687" s="185"/>
      <c r="AK687" s="277">
        <f t="shared" si="96"/>
        <v>9475</v>
      </c>
      <c r="AL687" s="25">
        <f>(SUMIFS('T1 2019 Pipeline Data Lagasco'!$O:$O,'T1 2019 Pipeline Data Lagasco'!$A:$A,'Dec 31 2018 OFFS'!$AI687,'T1 2019 Pipeline Data Lagasco'!$Q:$Q,'Dec 31 2018 OFFS'!$AK687,'T1 2019 Pipeline Data Lagasco'!$E:$E,'Dec 31 2018 OFFS'!$U687,'T1 2019 Pipeline Data Lagasco'!$G:$G,'Dec 31 2018 OFFS'!$W687))/(MAX(COUNTIFS('T1 2019 Pipeline Data Lagasco'!$A:$A,'Dec 31 2018 OFFS'!$AI687,'T1 2019 Pipeline Data Lagasco'!$Q:$Q,'Dec 31 2018 OFFS'!$AK687,'T1 2019 Pipeline Data Lagasco'!$E:$E,'Dec 31 2018 OFFS'!$U687,'T1 2019 Pipeline Data Lagasco'!$G:$G,'Dec 31 2018 OFFS'!$W687),1))</f>
        <v>102817</v>
      </c>
      <c r="AM687" s="274">
        <f t="shared" si="104"/>
        <v>0</v>
      </c>
    </row>
    <row r="688" spans="1:39" ht="12.7">
      <c r="A688" s="193" t="s">
        <v>909</v>
      </c>
      <c r="B688" s="40" t="s">
        <v>918</v>
      </c>
      <c r="C688" s="40" t="s">
        <v>1266</v>
      </c>
      <c r="D688" s="40" t="s">
        <v>229</v>
      </c>
      <c r="E688" s="40" t="s">
        <v>324</v>
      </c>
      <c r="F688" s="40"/>
      <c r="G688" s="41" t="s">
        <v>1270</v>
      </c>
      <c r="H688" s="42">
        <v>42</v>
      </c>
      <c r="I688" s="43">
        <v>33</v>
      </c>
      <c r="J688" s="44">
        <v>47.34</v>
      </c>
      <c r="K688" s="45">
        <v>79</v>
      </c>
      <c r="L688" s="43">
        <v>59</v>
      </c>
      <c r="M688" s="46">
        <v>0.36</v>
      </c>
      <c r="N688" s="40" t="s">
        <v>1271</v>
      </c>
      <c r="O688" s="42">
        <v>42</v>
      </c>
      <c r="P688" s="43">
        <v>33</v>
      </c>
      <c r="Q688" s="44">
        <v>16.38</v>
      </c>
      <c r="R688" s="45">
        <v>80</v>
      </c>
      <c r="S688" s="43">
        <v>0</v>
      </c>
      <c r="T688" s="46">
        <v>12.48</v>
      </c>
      <c r="U688" s="40">
        <v>3</v>
      </c>
      <c r="V688" s="47">
        <v>6260</v>
      </c>
      <c r="W688" s="48">
        <v>2005</v>
      </c>
      <c r="X688" s="40"/>
      <c r="Y688" s="52"/>
      <c r="Z688" s="40" t="s">
        <v>910</v>
      </c>
      <c r="AA688" s="49">
        <f t="shared" si="97"/>
        <v>147673.40</v>
      </c>
      <c r="AB688" s="71">
        <f t="shared" si="98"/>
        <v>0.54</v>
      </c>
      <c r="AC688" s="49">
        <f t="shared" si="99"/>
        <v>67929.759999999995</v>
      </c>
      <c r="AD688" s="50">
        <f t="shared" si="100"/>
        <v>0</v>
      </c>
      <c r="AE688" s="50">
        <f t="shared" si="101"/>
        <v>0</v>
      </c>
      <c r="AF688" s="50">
        <f t="shared" si="102"/>
        <v>67929.759999999995</v>
      </c>
      <c r="AG688" s="199">
        <f t="shared" si="103"/>
        <v>67929</v>
      </c>
      <c r="AH688" s="187"/>
      <c r="AI688" s="185" t="s">
        <v>1457</v>
      </c>
      <c r="AJ688" s="185"/>
      <c r="AK688" s="277">
        <f t="shared" si="96"/>
        <v>6260</v>
      </c>
      <c r="AL688" s="25">
        <f>(SUMIFS('T1 2019 Pipeline Data Lagasco'!$O:$O,'T1 2019 Pipeline Data Lagasco'!$A:$A,'Dec 31 2018 OFFS'!$AI688,'T1 2019 Pipeline Data Lagasco'!$Q:$Q,'Dec 31 2018 OFFS'!$AK688,'T1 2019 Pipeline Data Lagasco'!$E:$E,'Dec 31 2018 OFFS'!$U688,'T1 2019 Pipeline Data Lagasco'!$G:$G,'Dec 31 2018 OFFS'!$W688))/(MAX(COUNTIFS('T1 2019 Pipeline Data Lagasco'!$A:$A,'Dec 31 2018 OFFS'!$AI688,'T1 2019 Pipeline Data Lagasco'!$Q:$Q,'Dec 31 2018 OFFS'!$AK688,'T1 2019 Pipeline Data Lagasco'!$E:$E,'Dec 31 2018 OFFS'!$U688,'T1 2019 Pipeline Data Lagasco'!$G:$G,'Dec 31 2018 OFFS'!$W688),1))</f>
        <v>67929</v>
      </c>
      <c r="AM688" s="274">
        <f t="shared" si="104"/>
        <v>0</v>
      </c>
    </row>
    <row r="689" spans="1:39" ht="12.7">
      <c r="A689" s="193" t="s">
        <v>909</v>
      </c>
      <c r="B689" s="40" t="s">
        <v>918</v>
      </c>
      <c r="C689" s="40" t="s">
        <v>1266</v>
      </c>
      <c r="D689" s="40" t="s">
        <v>229</v>
      </c>
      <c r="E689" s="40" t="s">
        <v>324</v>
      </c>
      <c r="F689" s="40"/>
      <c r="G689" s="41" t="s">
        <v>1284</v>
      </c>
      <c r="H689" s="42">
        <v>42</v>
      </c>
      <c r="I689" s="43">
        <v>32</v>
      </c>
      <c r="J689" s="44">
        <v>8.82</v>
      </c>
      <c r="K689" s="45">
        <v>79</v>
      </c>
      <c r="L689" s="43">
        <v>58</v>
      </c>
      <c r="M689" s="46">
        <v>11.10</v>
      </c>
      <c r="N689" s="40" t="s">
        <v>323</v>
      </c>
      <c r="O689" s="42">
        <v>42</v>
      </c>
      <c r="P689" s="43">
        <v>33</v>
      </c>
      <c r="Q689" s="44">
        <v>11.70</v>
      </c>
      <c r="R689" s="45">
        <v>79</v>
      </c>
      <c r="S689" s="43">
        <v>58</v>
      </c>
      <c r="T689" s="46">
        <v>12.12</v>
      </c>
      <c r="U689" s="40">
        <v>3</v>
      </c>
      <c r="V689" s="47">
        <v>6368</v>
      </c>
      <c r="W689" s="48">
        <v>2006</v>
      </c>
      <c r="X689" s="40"/>
      <c r="Y689" s="52"/>
      <c r="Z689" s="40" t="s">
        <v>910</v>
      </c>
      <c r="AA689" s="49">
        <f t="shared" si="97"/>
        <v>150221.12</v>
      </c>
      <c r="AB689" s="71">
        <f t="shared" si="98"/>
        <v>0.52</v>
      </c>
      <c r="AC689" s="49">
        <f t="shared" si="99"/>
        <v>72106.14</v>
      </c>
      <c r="AD689" s="50">
        <f t="shared" si="100"/>
        <v>0</v>
      </c>
      <c r="AE689" s="50">
        <f t="shared" si="101"/>
        <v>0</v>
      </c>
      <c r="AF689" s="50">
        <f t="shared" si="102"/>
        <v>72106.14</v>
      </c>
      <c r="AG689" s="199">
        <f t="shared" si="103"/>
        <v>72106</v>
      </c>
      <c r="AH689" s="187"/>
      <c r="AI689" s="185" t="s">
        <v>1457</v>
      </c>
      <c r="AJ689" s="185"/>
      <c r="AK689" s="277">
        <f t="shared" si="96"/>
        <v>6368</v>
      </c>
      <c r="AL689" s="25">
        <f>(SUMIFS('T1 2019 Pipeline Data Lagasco'!$O:$O,'T1 2019 Pipeline Data Lagasco'!$A:$A,'Dec 31 2018 OFFS'!$AI689,'T1 2019 Pipeline Data Lagasco'!$Q:$Q,'Dec 31 2018 OFFS'!$AK689,'T1 2019 Pipeline Data Lagasco'!$E:$E,'Dec 31 2018 OFFS'!$U689,'T1 2019 Pipeline Data Lagasco'!$G:$G,'Dec 31 2018 OFFS'!$W689))/(MAX(COUNTIFS('T1 2019 Pipeline Data Lagasco'!$A:$A,'Dec 31 2018 OFFS'!$AI689,'T1 2019 Pipeline Data Lagasco'!$Q:$Q,'Dec 31 2018 OFFS'!$AK689,'T1 2019 Pipeline Data Lagasco'!$E:$E,'Dec 31 2018 OFFS'!$U689,'T1 2019 Pipeline Data Lagasco'!$G:$G,'Dec 31 2018 OFFS'!$W689),1))</f>
        <v>72106</v>
      </c>
      <c r="AM689" s="274">
        <f t="shared" si="104"/>
        <v>0</v>
      </c>
    </row>
    <row r="690" spans="1:39" ht="12.7">
      <c r="A690" s="193" t="s">
        <v>909</v>
      </c>
      <c r="B690" s="40" t="s">
        <v>918</v>
      </c>
      <c r="C690" s="40" t="s">
        <v>1266</v>
      </c>
      <c r="D690" s="40" t="s">
        <v>229</v>
      </c>
      <c r="E690" s="40" t="s">
        <v>324</v>
      </c>
      <c r="F690" s="40"/>
      <c r="G690" s="40" t="s">
        <v>1363</v>
      </c>
      <c r="H690" s="42">
        <v>42</v>
      </c>
      <c r="I690" s="43">
        <v>34</v>
      </c>
      <c r="J690" s="44">
        <f>0.262*60</f>
        <v>15.72</v>
      </c>
      <c r="K690" s="45">
        <v>80</v>
      </c>
      <c r="L690" s="43">
        <v>1</v>
      </c>
      <c r="M690" s="46">
        <f>0.592*60</f>
        <v>35.519999999999996</v>
      </c>
      <c r="N690" s="40" t="s">
        <v>1365</v>
      </c>
      <c r="O690" s="42">
        <v>42</v>
      </c>
      <c r="P690" s="43">
        <v>34</v>
      </c>
      <c r="Q690" s="44">
        <f>0.971*60</f>
        <v>58.26</v>
      </c>
      <c r="R690" s="45">
        <v>80</v>
      </c>
      <c r="S690" s="43">
        <v>4</v>
      </c>
      <c r="T690" s="46">
        <f>0.322*60</f>
        <v>19.32</v>
      </c>
      <c r="U690" s="40">
        <v>6</v>
      </c>
      <c r="V690" s="47">
        <v>12952</v>
      </c>
      <c r="W690" s="48">
        <v>1980</v>
      </c>
      <c r="X690" s="40"/>
      <c r="Y690" s="52" t="s">
        <v>1081</v>
      </c>
      <c r="Z690" s="40" t="s">
        <v>910</v>
      </c>
      <c r="AA690" s="49">
        <f t="shared" si="97"/>
        <v>448527.76</v>
      </c>
      <c r="AB690" s="71">
        <f t="shared" si="98"/>
        <v>0.80</v>
      </c>
      <c r="AC690" s="49">
        <f t="shared" si="99"/>
        <v>89705.55</v>
      </c>
      <c r="AD690" s="50">
        <f t="shared" si="100"/>
        <v>0</v>
      </c>
      <c r="AE690" s="50">
        <f t="shared" si="101"/>
        <v>0</v>
      </c>
      <c r="AF690" s="50">
        <f t="shared" si="102"/>
        <v>89705.55</v>
      </c>
      <c r="AG690" s="199">
        <f t="shared" si="103"/>
        <v>89705</v>
      </c>
      <c r="AH690" s="187"/>
      <c r="AI690" s="185" t="s">
        <v>1457</v>
      </c>
      <c r="AJ690" s="185"/>
      <c r="AK690" s="277">
        <f t="shared" si="96"/>
        <v>12952</v>
      </c>
      <c r="AL690" s="25">
        <f>(SUMIFS('T1 2019 Pipeline Data Lagasco'!$O:$O,'T1 2019 Pipeline Data Lagasco'!$A:$A,'Dec 31 2018 OFFS'!$AI690,'T1 2019 Pipeline Data Lagasco'!$Q:$Q,'Dec 31 2018 OFFS'!$AK690,'T1 2019 Pipeline Data Lagasco'!$E:$E,'Dec 31 2018 OFFS'!$U690,'T1 2019 Pipeline Data Lagasco'!$G:$G,'Dec 31 2018 OFFS'!$W690))/(MAX(COUNTIFS('T1 2019 Pipeline Data Lagasco'!$A:$A,'Dec 31 2018 OFFS'!$AI690,'T1 2019 Pipeline Data Lagasco'!$Q:$Q,'Dec 31 2018 OFFS'!$AK690,'T1 2019 Pipeline Data Lagasco'!$E:$E,'Dec 31 2018 OFFS'!$U690,'T1 2019 Pipeline Data Lagasco'!$G:$G,'Dec 31 2018 OFFS'!$W690),1))</f>
        <v>89705</v>
      </c>
      <c r="AM690" s="274">
        <f t="shared" si="104"/>
        <v>0</v>
      </c>
    </row>
    <row r="691" spans="1:39" ht="12.7">
      <c r="A691" s="193" t="s">
        <v>909</v>
      </c>
      <c r="B691" s="40" t="s">
        <v>918</v>
      </c>
      <c r="C691" s="40" t="s">
        <v>1266</v>
      </c>
      <c r="D691" s="40" t="s">
        <v>229</v>
      </c>
      <c r="E691" s="40" t="s">
        <v>324</v>
      </c>
      <c r="F691" s="40"/>
      <c r="G691" s="40" t="s">
        <v>1363</v>
      </c>
      <c r="H691" s="42">
        <v>42</v>
      </c>
      <c r="I691" s="43">
        <v>34</v>
      </c>
      <c r="J691" s="44">
        <f>0.262*60</f>
        <v>15.72</v>
      </c>
      <c r="K691" s="45">
        <v>80</v>
      </c>
      <c r="L691" s="43">
        <v>1</v>
      </c>
      <c r="M691" s="46">
        <f>0.592*60</f>
        <v>35.519999999999996</v>
      </c>
      <c r="N691" s="40" t="s">
        <v>477</v>
      </c>
      <c r="O691" s="42">
        <v>42</v>
      </c>
      <c r="P691" s="43">
        <v>33</v>
      </c>
      <c r="Q691" s="44">
        <f>0.772*60</f>
        <v>46.32</v>
      </c>
      <c r="R691" s="45">
        <v>80</v>
      </c>
      <c r="S691" s="43">
        <v>2</v>
      </c>
      <c r="T691" s="46">
        <f>0.735*60</f>
        <v>44.10</v>
      </c>
      <c r="U691" s="40">
        <v>3</v>
      </c>
      <c r="V691" s="47">
        <v>5918</v>
      </c>
      <c r="W691" s="48">
        <v>1984</v>
      </c>
      <c r="X691" s="40"/>
      <c r="Y691" s="52" t="s">
        <v>1081</v>
      </c>
      <c r="Z691" s="40" t="s">
        <v>910</v>
      </c>
      <c r="AA691" s="49">
        <f t="shared" si="97"/>
        <v>139605.62</v>
      </c>
      <c r="AB691" s="71">
        <f t="shared" si="98"/>
        <v>0.80</v>
      </c>
      <c r="AC691" s="49">
        <f t="shared" si="99"/>
        <v>27921.12</v>
      </c>
      <c r="AD691" s="50">
        <f t="shared" si="100"/>
        <v>0</v>
      </c>
      <c r="AE691" s="50">
        <f t="shared" si="101"/>
        <v>0</v>
      </c>
      <c r="AF691" s="50">
        <f t="shared" si="102"/>
        <v>27921.12</v>
      </c>
      <c r="AG691" s="199">
        <f t="shared" si="103"/>
        <v>27921</v>
      </c>
      <c r="AH691" s="187"/>
      <c r="AI691" s="185" t="s">
        <v>1457</v>
      </c>
      <c r="AJ691" s="185"/>
      <c r="AK691" s="277">
        <f t="shared" si="96"/>
        <v>5918</v>
      </c>
      <c r="AL691" s="25">
        <f>(SUMIFS('T1 2019 Pipeline Data Lagasco'!$O:$O,'T1 2019 Pipeline Data Lagasco'!$A:$A,'Dec 31 2018 OFFS'!$AI691,'T1 2019 Pipeline Data Lagasco'!$Q:$Q,'Dec 31 2018 OFFS'!$AK691,'T1 2019 Pipeline Data Lagasco'!$E:$E,'Dec 31 2018 OFFS'!$U691,'T1 2019 Pipeline Data Lagasco'!$G:$G,'Dec 31 2018 OFFS'!$W691))/(MAX(COUNTIFS('T1 2019 Pipeline Data Lagasco'!$A:$A,'Dec 31 2018 OFFS'!$AI691,'T1 2019 Pipeline Data Lagasco'!$Q:$Q,'Dec 31 2018 OFFS'!$AK691,'T1 2019 Pipeline Data Lagasco'!$E:$E,'Dec 31 2018 OFFS'!$U691,'T1 2019 Pipeline Data Lagasco'!$G:$G,'Dec 31 2018 OFFS'!$W691),1))</f>
        <v>27921</v>
      </c>
      <c r="AM691" s="274">
        <f t="shared" si="104"/>
        <v>0</v>
      </c>
    </row>
    <row r="692" spans="1:39" ht="12.7">
      <c r="A692" s="193" t="s">
        <v>909</v>
      </c>
      <c r="B692" s="40" t="s">
        <v>918</v>
      </c>
      <c r="C692" s="40" t="s">
        <v>1266</v>
      </c>
      <c r="D692" s="40" t="s">
        <v>229</v>
      </c>
      <c r="E692" s="40" t="s">
        <v>324</v>
      </c>
      <c r="F692" s="40" t="s">
        <v>1051</v>
      </c>
      <c r="G692" s="40" t="s">
        <v>333</v>
      </c>
      <c r="H692" s="42">
        <v>42</v>
      </c>
      <c r="I692" s="43">
        <v>33</v>
      </c>
      <c r="J692" s="44">
        <v>25.73</v>
      </c>
      <c r="K692" s="45">
        <v>80</v>
      </c>
      <c r="L692" s="43" t="s">
        <v>1099</v>
      </c>
      <c r="M692" s="46">
        <v>54.25</v>
      </c>
      <c r="N692" s="41" t="s">
        <v>311</v>
      </c>
      <c r="O692" s="42">
        <v>42</v>
      </c>
      <c r="P692" s="43">
        <v>35</v>
      </c>
      <c r="Q692" s="44">
        <v>23.70</v>
      </c>
      <c r="R692" s="45">
        <v>79</v>
      </c>
      <c r="S692" s="43">
        <v>58</v>
      </c>
      <c r="T692" s="46">
        <v>21</v>
      </c>
      <c r="U692" s="40">
        <v>6</v>
      </c>
      <c r="V692" s="47">
        <v>16557.053326281999</v>
      </c>
      <c r="W692" s="48">
        <v>1982</v>
      </c>
      <c r="X692" s="40"/>
      <c r="Y692" s="52" t="s">
        <v>1081</v>
      </c>
      <c r="Z692" s="40" t="s">
        <v>910</v>
      </c>
      <c r="AA692" s="49">
        <f t="shared" si="97"/>
        <v>0</v>
      </c>
      <c r="AB692" s="71">
        <f t="shared" si="98"/>
        <v>0.80</v>
      </c>
      <c r="AC692" s="49">
        <f t="shared" si="99"/>
        <v>0</v>
      </c>
      <c r="AD692" s="50">
        <f t="shared" si="100"/>
        <v>0</v>
      </c>
      <c r="AE692" s="50">
        <f t="shared" si="101"/>
        <v>0</v>
      </c>
      <c r="AF692" s="50">
        <f t="shared" si="102"/>
        <v>0</v>
      </c>
      <c r="AG692" s="199">
        <f t="shared" si="103"/>
        <v>0</v>
      </c>
      <c r="AH692" s="187"/>
      <c r="AI692" s="185" t="s">
        <v>1457</v>
      </c>
      <c r="AJ692" s="185"/>
      <c r="AK692" s="277">
        <f t="shared" si="96"/>
        <v>16557.05</v>
      </c>
      <c r="AL692" s="25">
        <f>(SUMIFS('T1 2019 Pipeline Data Lagasco'!$O:$O,'T1 2019 Pipeline Data Lagasco'!$A:$A,'Dec 31 2018 OFFS'!$AI692,'T1 2019 Pipeline Data Lagasco'!$Q:$Q,'Dec 31 2018 OFFS'!$AK692,'T1 2019 Pipeline Data Lagasco'!$E:$E,'Dec 31 2018 OFFS'!$U692,'T1 2019 Pipeline Data Lagasco'!$G:$G,'Dec 31 2018 OFFS'!$W692))/(MAX(COUNTIFS('T1 2019 Pipeline Data Lagasco'!$A:$A,'Dec 31 2018 OFFS'!$AI692,'T1 2019 Pipeline Data Lagasco'!$Q:$Q,'Dec 31 2018 OFFS'!$AK692,'T1 2019 Pipeline Data Lagasco'!$E:$E,'Dec 31 2018 OFFS'!$U692,'T1 2019 Pipeline Data Lagasco'!$G:$G,'Dec 31 2018 OFFS'!$W692),1))</f>
        <v>0</v>
      </c>
      <c r="AM692" s="274">
        <f t="shared" si="104"/>
        <v>0</v>
      </c>
    </row>
    <row r="693" spans="1:39" ht="12.7">
      <c r="A693" s="193" t="s">
        <v>909</v>
      </c>
      <c r="B693" s="40" t="s">
        <v>918</v>
      </c>
      <c r="C693" s="40" t="s">
        <v>1266</v>
      </c>
      <c r="D693" s="40" t="s">
        <v>229</v>
      </c>
      <c r="E693" s="40" t="s">
        <v>324</v>
      </c>
      <c r="F693" s="40"/>
      <c r="G693" s="41" t="s">
        <v>325</v>
      </c>
      <c r="H693" s="42">
        <v>42</v>
      </c>
      <c r="I693" s="43">
        <v>33</v>
      </c>
      <c r="J693" s="44">
        <v>16.38</v>
      </c>
      <c r="K693" s="45">
        <v>80</v>
      </c>
      <c r="L693" s="43" t="s">
        <v>1099</v>
      </c>
      <c r="M693" s="46">
        <v>12.48</v>
      </c>
      <c r="N693" s="40" t="s">
        <v>323</v>
      </c>
      <c r="O693" s="42">
        <v>42</v>
      </c>
      <c r="P693" s="43">
        <v>33</v>
      </c>
      <c r="Q693" s="44">
        <v>11.70</v>
      </c>
      <c r="R693" s="45">
        <v>79</v>
      </c>
      <c r="S693" s="43">
        <v>58</v>
      </c>
      <c r="T693" s="46">
        <v>12.12</v>
      </c>
      <c r="U693" s="40">
        <v>3</v>
      </c>
      <c r="V693" s="47">
        <v>9021.36</v>
      </c>
      <c r="W693" s="48">
        <v>1982</v>
      </c>
      <c r="X693" s="40"/>
      <c r="Y693" s="52"/>
      <c r="Z693" s="40" t="s">
        <v>910</v>
      </c>
      <c r="AA693" s="49">
        <f t="shared" si="97"/>
        <v>212813.8824</v>
      </c>
      <c r="AB693" s="71">
        <f t="shared" si="98"/>
        <v>0.80</v>
      </c>
      <c r="AC693" s="49">
        <f t="shared" si="99"/>
        <v>42562.78</v>
      </c>
      <c r="AD693" s="50">
        <f t="shared" si="100"/>
        <v>0</v>
      </c>
      <c r="AE693" s="50">
        <f t="shared" si="101"/>
        <v>0</v>
      </c>
      <c r="AF693" s="50">
        <f t="shared" si="102"/>
        <v>42562.78</v>
      </c>
      <c r="AG693" s="199">
        <f t="shared" si="103"/>
        <v>42562</v>
      </c>
      <c r="AH693" s="187"/>
      <c r="AI693" s="185" t="s">
        <v>1457</v>
      </c>
      <c r="AJ693" s="185"/>
      <c r="AK693" s="277">
        <f t="shared" si="96"/>
        <v>9021.36</v>
      </c>
      <c r="AL693" s="25">
        <f>(SUMIFS('T1 2019 Pipeline Data Lagasco'!$O:$O,'T1 2019 Pipeline Data Lagasco'!$A:$A,'Dec 31 2018 OFFS'!$AI693,'T1 2019 Pipeline Data Lagasco'!$Q:$Q,'Dec 31 2018 OFFS'!$AK693,'T1 2019 Pipeline Data Lagasco'!$E:$E,'Dec 31 2018 OFFS'!$U693,'T1 2019 Pipeline Data Lagasco'!$G:$G,'Dec 31 2018 OFFS'!$W693))/(MAX(COUNTIFS('T1 2019 Pipeline Data Lagasco'!$A:$A,'Dec 31 2018 OFFS'!$AI693,'T1 2019 Pipeline Data Lagasco'!$Q:$Q,'Dec 31 2018 OFFS'!$AK693,'T1 2019 Pipeline Data Lagasco'!$E:$E,'Dec 31 2018 OFFS'!$U693,'T1 2019 Pipeline Data Lagasco'!$G:$G,'Dec 31 2018 OFFS'!$W693),1))</f>
        <v>42562</v>
      </c>
      <c r="AM693" s="274">
        <f t="shared" si="104"/>
        <v>0</v>
      </c>
    </row>
    <row r="694" spans="1:39" ht="12.7">
      <c r="A694" s="193" t="s">
        <v>909</v>
      </c>
      <c r="B694" s="40" t="s">
        <v>918</v>
      </c>
      <c r="C694" s="40" t="s">
        <v>1266</v>
      </c>
      <c r="D694" s="40" t="s">
        <v>229</v>
      </c>
      <c r="E694" s="40" t="s">
        <v>324</v>
      </c>
      <c r="F694" s="40"/>
      <c r="G694" s="41" t="s">
        <v>325</v>
      </c>
      <c r="H694" s="42">
        <v>42</v>
      </c>
      <c r="I694" s="43">
        <v>33</v>
      </c>
      <c r="J694" s="44">
        <v>16.38</v>
      </c>
      <c r="K694" s="45">
        <v>80</v>
      </c>
      <c r="L694" s="43" t="s">
        <v>1099</v>
      </c>
      <c r="M694" s="46">
        <v>12.48</v>
      </c>
      <c r="N694" s="40">
        <v>8801</v>
      </c>
      <c r="O694" s="42">
        <v>42</v>
      </c>
      <c r="P694" s="43">
        <v>32</v>
      </c>
      <c r="Q694" s="44">
        <v>44.841999999999999</v>
      </c>
      <c r="R694" s="45">
        <v>79</v>
      </c>
      <c r="S694" s="43">
        <v>59</v>
      </c>
      <c r="T694" s="46">
        <v>12.875</v>
      </c>
      <c r="U694" s="40">
        <v>3</v>
      </c>
      <c r="V694" s="47">
        <v>5486.4499723459994</v>
      </c>
      <c r="W694" s="48">
        <v>1985</v>
      </c>
      <c r="X694" s="40"/>
      <c r="Y694" s="52" t="s">
        <v>1081</v>
      </c>
      <c r="Z694" s="40" t="s">
        <v>910</v>
      </c>
      <c r="AA694" s="49">
        <f t="shared" si="97"/>
        <v>129425.35484764213</v>
      </c>
      <c r="AB694" s="71">
        <f t="shared" si="98"/>
        <v>0.80</v>
      </c>
      <c r="AC694" s="49">
        <f t="shared" si="99"/>
        <v>25885.07</v>
      </c>
      <c r="AD694" s="50">
        <f t="shared" si="100"/>
        <v>0</v>
      </c>
      <c r="AE694" s="50">
        <f t="shared" si="101"/>
        <v>0</v>
      </c>
      <c r="AF694" s="50">
        <f t="shared" si="102"/>
        <v>25885.07</v>
      </c>
      <c r="AG694" s="199">
        <f t="shared" si="103"/>
        <v>25885</v>
      </c>
      <c r="AH694" s="187"/>
      <c r="AI694" s="185" t="s">
        <v>1457</v>
      </c>
      <c r="AJ694" s="185"/>
      <c r="AK694" s="277">
        <f t="shared" si="96"/>
        <v>5486.45</v>
      </c>
      <c r="AL694" s="25">
        <f>(SUMIFS('T1 2019 Pipeline Data Lagasco'!$O:$O,'T1 2019 Pipeline Data Lagasco'!$A:$A,'Dec 31 2018 OFFS'!$AI694,'T1 2019 Pipeline Data Lagasco'!$Q:$Q,'Dec 31 2018 OFFS'!$AK694,'T1 2019 Pipeline Data Lagasco'!$E:$E,'Dec 31 2018 OFFS'!$U694,'T1 2019 Pipeline Data Lagasco'!$G:$G,'Dec 31 2018 OFFS'!$W694))/(MAX(COUNTIFS('T1 2019 Pipeline Data Lagasco'!$A:$A,'Dec 31 2018 OFFS'!$AI694,'T1 2019 Pipeline Data Lagasco'!$Q:$Q,'Dec 31 2018 OFFS'!$AK694,'T1 2019 Pipeline Data Lagasco'!$E:$E,'Dec 31 2018 OFFS'!$U694,'T1 2019 Pipeline Data Lagasco'!$G:$G,'Dec 31 2018 OFFS'!$W694),1))</f>
        <v>25885</v>
      </c>
      <c r="AM694" s="274">
        <f t="shared" si="104"/>
        <v>0</v>
      </c>
    </row>
    <row r="695" spans="1:39" ht="12.7">
      <c r="A695" s="193" t="s">
        <v>909</v>
      </c>
      <c r="B695" s="40" t="s">
        <v>918</v>
      </c>
      <c r="C695" s="40" t="s">
        <v>1266</v>
      </c>
      <c r="D695" s="40" t="s">
        <v>229</v>
      </c>
      <c r="E695" s="40" t="s">
        <v>324</v>
      </c>
      <c r="F695" s="40" t="s">
        <v>1051</v>
      </c>
      <c r="G695" s="40" t="s">
        <v>326</v>
      </c>
      <c r="H695" s="42">
        <v>42</v>
      </c>
      <c r="I695" s="43">
        <v>32</v>
      </c>
      <c r="J695" s="44">
        <v>59.16</v>
      </c>
      <c r="K695" s="45">
        <v>80</v>
      </c>
      <c r="L695" s="43" t="s">
        <v>1099</v>
      </c>
      <c r="M695" s="46">
        <v>44.23</v>
      </c>
      <c r="N695" s="41" t="s">
        <v>325</v>
      </c>
      <c r="O695" s="42">
        <v>42</v>
      </c>
      <c r="P695" s="43">
        <v>33</v>
      </c>
      <c r="Q695" s="44">
        <v>16.38</v>
      </c>
      <c r="R695" s="45">
        <v>80</v>
      </c>
      <c r="S695" s="43">
        <v>0</v>
      </c>
      <c r="T695" s="46">
        <v>12.48</v>
      </c>
      <c r="U695" s="40">
        <v>3</v>
      </c>
      <c r="V695" s="47">
        <v>2947.3752427280001</v>
      </c>
      <c r="W695" s="48">
        <v>1982</v>
      </c>
      <c r="X695" s="40"/>
      <c r="Y695" s="52" t="s">
        <v>1081</v>
      </c>
      <c r="Z695" s="40" t="s">
        <v>910</v>
      </c>
      <c r="AA695" s="49">
        <f t="shared" si="97"/>
        <v>0</v>
      </c>
      <c r="AB695" s="71">
        <f t="shared" si="98"/>
        <v>0.80</v>
      </c>
      <c r="AC695" s="49">
        <f t="shared" si="99"/>
        <v>0</v>
      </c>
      <c r="AD695" s="50">
        <f t="shared" si="100"/>
        <v>0</v>
      </c>
      <c r="AE695" s="50">
        <f t="shared" si="101"/>
        <v>0</v>
      </c>
      <c r="AF695" s="50">
        <f t="shared" si="102"/>
        <v>0</v>
      </c>
      <c r="AG695" s="199">
        <f t="shared" si="103"/>
        <v>0</v>
      </c>
      <c r="AH695" s="187"/>
      <c r="AI695" s="185" t="s">
        <v>1457</v>
      </c>
      <c r="AJ695" s="185"/>
      <c r="AK695" s="277">
        <f t="shared" si="96"/>
        <v>2947.38</v>
      </c>
      <c r="AL695" s="25">
        <f>(SUMIFS('T1 2019 Pipeline Data Lagasco'!$O:$O,'T1 2019 Pipeline Data Lagasco'!$A:$A,'Dec 31 2018 OFFS'!$AI695,'T1 2019 Pipeline Data Lagasco'!$Q:$Q,'Dec 31 2018 OFFS'!$AK695,'T1 2019 Pipeline Data Lagasco'!$E:$E,'Dec 31 2018 OFFS'!$U695,'T1 2019 Pipeline Data Lagasco'!$G:$G,'Dec 31 2018 OFFS'!$W695))/(MAX(COUNTIFS('T1 2019 Pipeline Data Lagasco'!$A:$A,'Dec 31 2018 OFFS'!$AI695,'T1 2019 Pipeline Data Lagasco'!$Q:$Q,'Dec 31 2018 OFFS'!$AK695,'T1 2019 Pipeline Data Lagasco'!$E:$E,'Dec 31 2018 OFFS'!$U695,'T1 2019 Pipeline Data Lagasco'!$G:$G,'Dec 31 2018 OFFS'!$W695),1))</f>
        <v>0</v>
      </c>
      <c r="AM695" s="274">
        <f t="shared" si="104"/>
        <v>0</v>
      </c>
    </row>
    <row r="696" spans="1:39" ht="12.7">
      <c r="A696" s="193" t="s">
        <v>909</v>
      </c>
      <c r="B696" s="40" t="s">
        <v>918</v>
      </c>
      <c r="C696" s="40" t="s">
        <v>1266</v>
      </c>
      <c r="D696" s="40" t="s">
        <v>229</v>
      </c>
      <c r="E696" s="40" t="s">
        <v>324</v>
      </c>
      <c r="F696" s="40"/>
      <c r="G696" s="40" t="s">
        <v>326</v>
      </c>
      <c r="H696" s="42">
        <v>42</v>
      </c>
      <c r="I696" s="43">
        <v>32</v>
      </c>
      <c r="J696" s="44">
        <v>59.16</v>
      </c>
      <c r="K696" s="45">
        <v>80</v>
      </c>
      <c r="L696" s="43" t="s">
        <v>1099</v>
      </c>
      <c r="M696" s="46">
        <v>44.23</v>
      </c>
      <c r="N696" s="41" t="s">
        <v>325</v>
      </c>
      <c r="O696" s="42">
        <v>42</v>
      </c>
      <c r="P696" s="43">
        <v>33</v>
      </c>
      <c r="Q696" s="44">
        <v>16.38</v>
      </c>
      <c r="R696" s="45">
        <v>80</v>
      </c>
      <c r="S696" s="43">
        <v>0</v>
      </c>
      <c r="T696" s="46">
        <v>12.48</v>
      </c>
      <c r="U696" s="40">
        <v>3</v>
      </c>
      <c r="V696" s="47">
        <v>2972.32</v>
      </c>
      <c r="W696" s="48">
        <v>2008</v>
      </c>
      <c r="X696" s="40"/>
      <c r="Y696" s="52" t="s">
        <v>1081</v>
      </c>
      <c r="Z696" s="40" t="s">
        <v>910</v>
      </c>
      <c r="AA696" s="49">
        <f t="shared" si="97"/>
        <v>70117.0288</v>
      </c>
      <c r="AB696" s="71">
        <f t="shared" si="98"/>
        <v>0.49</v>
      </c>
      <c r="AC696" s="49">
        <f t="shared" si="99"/>
        <v>35759.68</v>
      </c>
      <c r="AD696" s="50">
        <f t="shared" si="100"/>
        <v>0</v>
      </c>
      <c r="AE696" s="50">
        <f t="shared" si="101"/>
        <v>0</v>
      </c>
      <c r="AF696" s="50">
        <f t="shared" si="102"/>
        <v>35759.68</v>
      </c>
      <c r="AG696" s="199">
        <f t="shared" si="103"/>
        <v>35759</v>
      </c>
      <c r="AH696" s="187"/>
      <c r="AI696" s="185" t="s">
        <v>1457</v>
      </c>
      <c r="AJ696" s="185"/>
      <c r="AK696" s="277">
        <f t="shared" si="96"/>
        <v>2972.32</v>
      </c>
      <c r="AL696" s="25">
        <f>(SUMIFS('T1 2019 Pipeline Data Lagasco'!$O:$O,'T1 2019 Pipeline Data Lagasco'!$A:$A,'Dec 31 2018 OFFS'!$AI696,'T1 2019 Pipeline Data Lagasco'!$Q:$Q,'Dec 31 2018 OFFS'!$AK696,'T1 2019 Pipeline Data Lagasco'!$E:$E,'Dec 31 2018 OFFS'!$U696,'T1 2019 Pipeline Data Lagasco'!$G:$G,'Dec 31 2018 OFFS'!$W696))/(MAX(COUNTIFS('T1 2019 Pipeline Data Lagasco'!$A:$A,'Dec 31 2018 OFFS'!$AI696,'T1 2019 Pipeline Data Lagasco'!$Q:$Q,'Dec 31 2018 OFFS'!$AK696,'T1 2019 Pipeline Data Lagasco'!$E:$E,'Dec 31 2018 OFFS'!$U696,'T1 2019 Pipeline Data Lagasco'!$G:$G,'Dec 31 2018 OFFS'!$W696),1))</f>
        <v>35759</v>
      </c>
      <c r="AM696" s="274">
        <f t="shared" si="104"/>
        <v>0</v>
      </c>
    </row>
    <row r="697" spans="1:39" ht="12.7">
      <c r="A697" s="288" t="s">
        <v>909</v>
      </c>
      <c r="B697" s="289" t="s">
        <v>918</v>
      </c>
      <c r="C697" s="289" t="s">
        <v>1266</v>
      </c>
      <c r="D697" s="289" t="s">
        <v>229</v>
      </c>
      <c r="E697" s="289" t="s">
        <v>324</v>
      </c>
      <c r="F697" s="290" t="s">
        <v>1051</v>
      </c>
      <c r="G697" s="289" t="s">
        <v>327</v>
      </c>
      <c r="H697" s="292">
        <v>42</v>
      </c>
      <c r="I697" s="293">
        <v>32</v>
      </c>
      <c r="J697" s="294">
        <v>20.95</v>
      </c>
      <c r="K697" s="295">
        <v>80</v>
      </c>
      <c r="L697" s="293" t="s">
        <v>1099</v>
      </c>
      <c r="M697" s="296">
        <v>31.40</v>
      </c>
      <c r="N697" s="297" t="s">
        <v>328</v>
      </c>
      <c r="O697" s="292">
        <v>42</v>
      </c>
      <c r="P697" s="293">
        <v>32</v>
      </c>
      <c r="Q697" s="294">
        <v>13.80</v>
      </c>
      <c r="R697" s="295">
        <v>80</v>
      </c>
      <c r="S697" s="293">
        <v>0</v>
      </c>
      <c r="T697" s="296">
        <v>13.20</v>
      </c>
      <c r="U697" s="289">
        <v>3</v>
      </c>
      <c r="V697" s="184">
        <v>1542.9133411439998</v>
      </c>
      <c r="W697" s="298">
        <v>1983</v>
      </c>
      <c r="X697" s="289"/>
      <c r="Y697" s="52" t="s">
        <v>1081</v>
      </c>
      <c r="Z697" s="289" t="s">
        <v>910</v>
      </c>
      <c r="AA697" s="299">
        <f t="shared" si="97"/>
        <v>0</v>
      </c>
      <c r="AB697" s="300">
        <f t="shared" si="98"/>
        <v>0.80</v>
      </c>
      <c r="AC697" s="299">
        <f t="shared" si="99"/>
        <v>0</v>
      </c>
      <c r="AD697" s="301">
        <f t="shared" si="100"/>
        <v>0</v>
      </c>
      <c r="AE697" s="301">
        <f t="shared" si="101"/>
        <v>0</v>
      </c>
      <c r="AF697" s="301">
        <f t="shared" si="102"/>
        <v>0</v>
      </c>
      <c r="AG697" s="302">
        <f t="shared" si="103"/>
        <v>0</v>
      </c>
      <c r="AH697" s="303"/>
      <c r="AI697" s="186" t="s">
        <v>1457</v>
      </c>
      <c r="AJ697" s="186" t="s">
        <v>1558</v>
      </c>
      <c r="AK697" s="277">
        <f t="shared" si="96"/>
        <v>1542.91</v>
      </c>
      <c r="AL697" s="25">
        <f>(SUMIFS('T1 2019 Pipeline Data Lagasco'!$O:$O,'T1 2019 Pipeline Data Lagasco'!$A:$A,'Dec 31 2018 OFFS'!$AI697,'T1 2019 Pipeline Data Lagasco'!$Q:$Q,'Dec 31 2018 OFFS'!$AK697,'T1 2019 Pipeline Data Lagasco'!$E:$E,'Dec 31 2018 OFFS'!$U697,'T1 2019 Pipeline Data Lagasco'!$G:$G,'Dec 31 2018 OFFS'!$W697))/(MAX(COUNTIFS('T1 2019 Pipeline Data Lagasco'!$A:$A,'Dec 31 2018 OFFS'!$AI697,'T1 2019 Pipeline Data Lagasco'!$Q:$Q,'Dec 31 2018 OFFS'!$AK697,'T1 2019 Pipeline Data Lagasco'!$E:$E,'Dec 31 2018 OFFS'!$U697,'T1 2019 Pipeline Data Lagasco'!$G:$G,'Dec 31 2018 OFFS'!$W697),1))</f>
        <v>0</v>
      </c>
      <c r="AM697" s="274">
        <f t="shared" si="104"/>
        <v>0</v>
      </c>
    </row>
    <row r="698" spans="1:39" ht="12.7">
      <c r="A698" s="193" t="s">
        <v>909</v>
      </c>
      <c r="B698" s="40" t="s">
        <v>918</v>
      </c>
      <c r="C698" s="40" t="s">
        <v>1266</v>
      </c>
      <c r="D698" s="40" t="s">
        <v>229</v>
      </c>
      <c r="E698" s="40" t="s">
        <v>293</v>
      </c>
      <c r="F698" s="40" t="s">
        <v>1051</v>
      </c>
      <c r="G698" s="41" t="s">
        <v>330</v>
      </c>
      <c r="H698" s="42">
        <v>42</v>
      </c>
      <c r="I698" s="43">
        <v>47</v>
      </c>
      <c r="J698" s="44">
        <v>13</v>
      </c>
      <c r="K698" s="45">
        <v>80</v>
      </c>
      <c r="L698" s="43">
        <v>8</v>
      </c>
      <c r="M698" s="46">
        <v>47</v>
      </c>
      <c r="N698" s="41" t="s">
        <v>257</v>
      </c>
      <c r="O698" s="42" t="s">
        <v>78</v>
      </c>
      <c r="P698" s="43" t="s">
        <v>258</v>
      </c>
      <c r="Q698" s="44" t="s">
        <v>259</v>
      </c>
      <c r="R698" s="45">
        <v>80</v>
      </c>
      <c r="S698" s="43">
        <v>6</v>
      </c>
      <c r="T698" s="46">
        <v>27.52</v>
      </c>
      <c r="U698" s="40">
        <v>4</v>
      </c>
      <c r="V698" s="47">
        <v>16125.918168164</v>
      </c>
      <c r="W698" s="48">
        <v>1990</v>
      </c>
      <c r="X698" s="40"/>
      <c r="Y698" s="52" t="s">
        <v>1081</v>
      </c>
      <c r="Z698" s="40" t="s">
        <v>910</v>
      </c>
      <c r="AA698" s="49">
        <f t="shared" si="97"/>
        <v>0</v>
      </c>
      <c r="AB698" s="71">
        <f t="shared" si="98"/>
        <v>0.73</v>
      </c>
      <c r="AC698" s="49">
        <f t="shared" si="99"/>
        <v>0</v>
      </c>
      <c r="AD698" s="50">
        <f t="shared" si="100"/>
        <v>0</v>
      </c>
      <c r="AE698" s="50">
        <f t="shared" si="101"/>
        <v>0</v>
      </c>
      <c r="AF698" s="50">
        <f t="shared" si="102"/>
        <v>0</v>
      </c>
      <c r="AG698" s="199">
        <f t="shared" si="103"/>
        <v>0</v>
      </c>
      <c r="AH698" s="187"/>
      <c r="AI698" s="185" t="s">
        <v>1457</v>
      </c>
      <c r="AJ698" s="185"/>
      <c r="AK698" s="277">
        <f t="shared" si="96"/>
        <v>16125.92</v>
      </c>
      <c r="AL698" s="25">
        <f>(SUMIFS('T1 2019 Pipeline Data Lagasco'!$O:$O,'T1 2019 Pipeline Data Lagasco'!$A:$A,'Dec 31 2018 OFFS'!$AI698,'T1 2019 Pipeline Data Lagasco'!$Q:$Q,'Dec 31 2018 OFFS'!$AK698,'T1 2019 Pipeline Data Lagasco'!$E:$E,'Dec 31 2018 OFFS'!$U698,'T1 2019 Pipeline Data Lagasco'!$G:$G,'Dec 31 2018 OFFS'!$W698))/(MAX(COUNTIFS('T1 2019 Pipeline Data Lagasco'!$A:$A,'Dec 31 2018 OFFS'!$AI698,'T1 2019 Pipeline Data Lagasco'!$Q:$Q,'Dec 31 2018 OFFS'!$AK698,'T1 2019 Pipeline Data Lagasco'!$E:$E,'Dec 31 2018 OFFS'!$U698,'T1 2019 Pipeline Data Lagasco'!$G:$G,'Dec 31 2018 OFFS'!$W698),1))</f>
        <v>0</v>
      </c>
      <c r="AM698" s="274">
        <f t="shared" si="104"/>
        <v>0</v>
      </c>
    </row>
    <row r="699" spans="1:39" ht="12.7">
      <c r="A699" s="193" t="s">
        <v>909</v>
      </c>
      <c r="B699" s="40" t="s">
        <v>918</v>
      </c>
      <c r="C699" s="40" t="s">
        <v>1266</v>
      </c>
      <c r="D699" s="40" t="s">
        <v>229</v>
      </c>
      <c r="E699" s="40" t="s">
        <v>293</v>
      </c>
      <c r="F699" s="40"/>
      <c r="G699" s="41" t="s">
        <v>330</v>
      </c>
      <c r="H699" s="42">
        <v>42</v>
      </c>
      <c r="I699" s="43">
        <v>47</v>
      </c>
      <c r="J699" s="44">
        <v>13</v>
      </c>
      <c r="K699" s="45">
        <v>80</v>
      </c>
      <c r="L699" s="43">
        <v>8</v>
      </c>
      <c r="M699" s="46">
        <v>47</v>
      </c>
      <c r="N699" s="41" t="s">
        <v>252</v>
      </c>
      <c r="O699" s="42">
        <v>42</v>
      </c>
      <c r="P699" s="43">
        <v>45</v>
      </c>
      <c r="Q699" s="44">
        <v>1.62</v>
      </c>
      <c r="R699" s="45">
        <v>80</v>
      </c>
      <c r="S699" s="43">
        <v>10</v>
      </c>
      <c r="T699" s="46">
        <v>6.12</v>
      </c>
      <c r="U699" s="40">
        <v>6</v>
      </c>
      <c r="V699" s="47">
        <v>14551.443148143999</v>
      </c>
      <c r="W699" s="48">
        <v>1982</v>
      </c>
      <c r="X699" s="40"/>
      <c r="Y699" s="52" t="s">
        <v>1081</v>
      </c>
      <c r="Z699" s="40" t="s">
        <v>910</v>
      </c>
      <c r="AA699" s="49">
        <f t="shared" si="97"/>
        <v>503916.47622022673</v>
      </c>
      <c r="AB699" s="71">
        <f t="shared" si="98"/>
        <v>0.80</v>
      </c>
      <c r="AC699" s="49">
        <f t="shared" si="99"/>
        <v>100783.30</v>
      </c>
      <c r="AD699" s="50">
        <f t="shared" si="100"/>
        <v>0</v>
      </c>
      <c r="AE699" s="50">
        <f t="shared" si="101"/>
        <v>0</v>
      </c>
      <c r="AF699" s="50">
        <f t="shared" si="102"/>
        <v>100783.30</v>
      </c>
      <c r="AG699" s="199">
        <f t="shared" si="103"/>
        <v>100783</v>
      </c>
      <c r="AH699" s="187">
        <f>SUM(AF591:AF699)</f>
        <v>3048830.7574999989</v>
      </c>
      <c r="AI699" s="185" t="s">
        <v>1457</v>
      </c>
      <c r="AJ699" s="185"/>
      <c r="AK699" s="277">
        <f t="shared" si="96"/>
        <v>14551.44</v>
      </c>
      <c r="AL699" s="25">
        <f>(SUMIFS('T1 2019 Pipeline Data Lagasco'!$O:$O,'T1 2019 Pipeline Data Lagasco'!$A:$A,'Dec 31 2018 OFFS'!$AI699,'T1 2019 Pipeline Data Lagasco'!$Q:$Q,'Dec 31 2018 OFFS'!$AK699,'T1 2019 Pipeline Data Lagasco'!$E:$E,'Dec 31 2018 OFFS'!$U699,'T1 2019 Pipeline Data Lagasco'!$G:$G,'Dec 31 2018 OFFS'!$W699))/(MAX(COUNTIFS('T1 2019 Pipeline Data Lagasco'!$A:$A,'Dec 31 2018 OFFS'!$AI699,'T1 2019 Pipeline Data Lagasco'!$Q:$Q,'Dec 31 2018 OFFS'!$AK699,'T1 2019 Pipeline Data Lagasco'!$E:$E,'Dec 31 2018 OFFS'!$U699,'T1 2019 Pipeline Data Lagasco'!$G:$G,'Dec 31 2018 OFFS'!$W699),1))</f>
        <v>100783</v>
      </c>
      <c r="AM699" s="274">
        <f t="shared" si="104"/>
        <v>0</v>
      </c>
    </row>
    <row r="700" spans="1:39" ht="12.7">
      <c r="A700" s="193" t="s">
        <v>909</v>
      </c>
      <c r="B700" s="40" t="s">
        <v>918</v>
      </c>
      <c r="C700" s="40" t="s">
        <v>1266</v>
      </c>
      <c r="D700" s="40" t="s">
        <v>336</v>
      </c>
      <c r="E700" s="40" t="s">
        <v>1054</v>
      </c>
      <c r="F700" s="139" t="s">
        <v>1051</v>
      </c>
      <c r="G700" s="41" t="s">
        <v>1175</v>
      </c>
      <c r="H700" s="42">
        <v>42</v>
      </c>
      <c r="I700" s="43">
        <v>29</v>
      </c>
      <c r="J700" s="44">
        <v>18.96</v>
      </c>
      <c r="K700" s="45">
        <v>80</v>
      </c>
      <c r="L700" s="43">
        <v>34</v>
      </c>
      <c r="M700" s="46">
        <v>45</v>
      </c>
      <c r="N700" s="40" t="s">
        <v>1176</v>
      </c>
      <c r="O700" s="42">
        <v>42</v>
      </c>
      <c r="P700" s="43">
        <v>29</v>
      </c>
      <c r="Q700" s="44">
        <v>26.22</v>
      </c>
      <c r="R700" s="45">
        <v>80</v>
      </c>
      <c r="S700" s="43">
        <v>34</v>
      </c>
      <c r="T700" s="46">
        <v>53.10</v>
      </c>
      <c r="U700" s="40">
        <v>3</v>
      </c>
      <c r="V700" s="47">
        <v>940</v>
      </c>
      <c r="W700" s="48">
        <v>2003</v>
      </c>
      <c r="X700" s="40"/>
      <c r="Y700" s="52"/>
      <c r="Z700" s="40" t="s">
        <v>910</v>
      </c>
      <c r="AA700" s="49">
        <f t="shared" si="97"/>
        <v>0</v>
      </c>
      <c r="AB700" s="71">
        <f t="shared" si="98"/>
        <v>0.56999999999999995</v>
      </c>
      <c r="AC700" s="49">
        <f t="shared" si="99"/>
        <v>0</v>
      </c>
      <c r="AD700" s="50">
        <f t="shared" si="100"/>
        <v>0</v>
      </c>
      <c r="AE700" s="50">
        <f t="shared" si="101"/>
        <v>0</v>
      </c>
      <c r="AF700" s="50">
        <f t="shared" si="102"/>
        <v>0</v>
      </c>
      <c r="AG700" s="199">
        <f t="shared" si="103"/>
        <v>0</v>
      </c>
      <c r="AH700" s="187"/>
      <c r="AI700" s="185" t="s">
        <v>1458</v>
      </c>
      <c r="AJ700" s="185"/>
      <c r="AK700" s="277">
        <f t="shared" si="96"/>
        <v>940</v>
      </c>
      <c r="AL700" s="25">
        <f>(SUMIFS('T1 2019 Pipeline Data Lagasco'!$O:$O,'T1 2019 Pipeline Data Lagasco'!$A:$A,'Dec 31 2018 OFFS'!$AI700,'T1 2019 Pipeline Data Lagasco'!$Q:$Q,'Dec 31 2018 OFFS'!$AK700,'T1 2019 Pipeline Data Lagasco'!$E:$E,'Dec 31 2018 OFFS'!$U700,'T1 2019 Pipeline Data Lagasco'!$G:$G,'Dec 31 2018 OFFS'!$W700))/(MAX(COUNTIFS('T1 2019 Pipeline Data Lagasco'!$A:$A,'Dec 31 2018 OFFS'!$AI700,'T1 2019 Pipeline Data Lagasco'!$Q:$Q,'Dec 31 2018 OFFS'!$AK700,'T1 2019 Pipeline Data Lagasco'!$E:$E,'Dec 31 2018 OFFS'!$U700,'T1 2019 Pipeline Data Lagasco'!$G:$G,'Dec 31 2018 OFFS'!$W700),1))</f>
        <v>0</v>
      </c>
      <c r="AM700" s="274">
        <f t="shared" si="104"/>
        <v>0</v>
      </c>
    </row>
    <row r="701" spans="1:39" ht="12.7">
      <c r="A701" s="193" t="s">
        <v>909</v>
      </c>
      <c r="B701" s="40" t="s">
        <v>918</v>
      </c>
      <c r="C701" s="40" t="s">
        <v>1266</v>
      </c>
      <c r="D701" s="40" t="s">
        <v>336</v>
      </c>
      <c r="E701" s="40" t="s">
        <v>1223</v>
      </c>
      <c r="F701" s="40"/>
      <c r="G701" s="41" t="s">
        <v>419</v>
      </c>
      <c r="H701" s="42">
        <v>42</v>
      </c>
      <c r="I701" s="43">
        <v>29</v>
      </c>
      <c r="J701" s="44">
        <v>15.42</v>
      </c>
      <c r="K701" s="45">
        <v>80</v>
      </c>
      <c r="L701" s="43">
        <v>19</v>
      </c>
      <c r="M701" s="46">
        <v>43.38</v>
      </c>
      <c r="N701" s="41" t="s">
        <v>423</v>
      </c>
      <c r="O701" s="42">
        <v>42</v>
      </c>
      <c r="P701" s="43">
        <v>29</v>
      </c>
      <c r="Q701" s="44">
        <v>9.3000000000000007</v>
      </c>
      <c r="R701" s="45">
        <v>80</v>
      </c>
      <c r="S701" s="43">
        <v>18</v>
      </c>
      <c r="T701" s="46">
        <v>46.68</v>
      </c>
      <c r="U701" s="40">
        <v>3</v>
      </c>
      <c r="V701" s="47">
        <v>4293.2741538819992</v>
      </c>
      <c r="W701" s="48">
        <v>1974</v>
      </c>
      <c r="X701" s="40"/>
      <c r="Y701" s="52"/>
      <c r="Z701" s="40" t="s">
        <v>910</v>
      </c>
      <c r="AA701" s="49">
        <f t="shared" si="97"/>
        <v>101278.33729007636</v>
      </c>
      <c r="AB701" s="71">
        <f t="shared" si="98"/>
        <v>0.80</v>
      </c>
      <c r="AC701" s="49">
        <f t="shared" si="99"/>
        <v>20255.669999999998</v>
      </c>
      <c r="AD701" s="50">
        <f t="shared" si="100"/>
        <v>0</v>
      </c>
      <c r="AE701" s="50">
        <f t="shared" si="101"/>
        <v>0</v>
      </c>
      <c r="AF701" s="50">
        <f t="shared" si="102"/>
        <v>20255.669999999998</v>
      </c>
      <c r="AG701" s="199">
        <f t="shared" si="103"/>
        <v>20255</v>
      </c>
      <c r="AH701" s="187"/>
      <c r="AI701" s="185" t="s">
        <v>1458</v>
      </c>
      <c r="AJ701" s="185"/>
      <c r="AK701" s="277">
        <f t="shared" si="96"/>
        <v>4293.2700000000004</v>
      </c>
      <c r="AL701" s="25">
        <f>(SUMIFS('T1 2019 Pipeline Data Lagasco'!$O:$O,'T1 2019 Pipeline Data Lagasco'!$A:$A,'Dec 31 2018 OFFS'!$AI701,'T1 2019 Pipeline Data Lagasco'!$Q:$Q,'Dec 31 2018 OFFS'!$AK701,'T1 2019 Pipeline Data Lagasco'!$E:$E,'Dec 31 2018 OFFS'!$U701,'T1 2019 Pipeline Data Lagasco'!$G:$G,'Dec 31 2018 OFFS'!$W701))/(MAX(COUNTIFS('T1 2019 Pipeline Data Lagasco'!$A:$A,'Dec 31 2018 OFFS'!$AI701,'T1 2019 Pipeline Data Lagasco'!$Q:$Q,'Dec 31 2018 OFFS'!$AK701,'T1 2019 Pipeline Data Lagasco'!$E:$E,'Dec 31 2018 OFFS'!$U701,'T1 2019 Pipeline Data Lagasco'!$G:$G,'Dec 31 2018 OFFS'!$W701),1))</f>
        <v>20255</v>
      </c>
      <c r="AM701" s="274">
        <f t="shared" si="104"/>
        <v>0</v>
      </c>
    </row>
    <row r="702" spans="1:39" ht="12.7">
      <c r="A702" s="193" t="s">
        <v>909</v>
      </c>
      <c r="B702" s="40" t="s">
        <v>918</v>
      </c>
      <c r="C702" s="40" t="s">
        <v>1266</v>
      </c>
      <c r="D702" s="40" t="s">
        <v>336</v>
      </c>
      <c r="E702" s="40" t="s">
        <v>324</v>
      </c>
      <c r="F702" s="40"/>
      <c r="G702" s="41" t="s">
        <v>462</v>
      </c>
      <c r="H702" s="42">
        <v>42</v>
      </c>
      <c r="I702" s="43">
        <v>39</v>
      </c>
      <c r="J702" s="44">
        <f>0.18*60</f>
        <v>10.80</v>
      </c>
      <c r="K702" s="45">
        <v>80</v>
      </c>
      <c r="L702" s="43">
        <v>9</v>
      </c>
      <c r="M702" s="46">
        <f>0.242*60</f>
        <v>14.52</v>
      </c>
      <c r="N702" s="40" t="s">
        <v>463</v>
      </c>
      <c r="O702" s="42">
        <v>42</v>
      </c>
      <c r="P702" s="43">
        <v>39</v>
      </c>
      <c r="Q702" s="44">
        <v>43.68</v>
      </c>
      <c r="R702" s="45">
        <v>80</v>
      </c>
      <c r="S702" s="43">
        <v>10</v>
      </c>
      <c r="T702" s="46">
        <v>14.10</v>
      </c>
      <c r="U702" s="40">
        <v>3</v>
      </c>
      <c r="V702" s="47">
        <v>5558.8581067319992</v>
      </c>
      <c r="W702" s="48">
        <v>1985</v>
      </c>
      <c r="X702" s="40"/>
      <c r="Y702" s="52" t="s">
        <v>1081</v>
      </c>
      <c r="Z702" s="40" t="s">
        <v>910</v>
      </c>
      <c r="AA702" s="49">
        <f t="shared" si="97"/>
        <v>131133.46273780786</v>
      </c>
      <c r="AB702" s="71">
        <f t="shared" si="98"/>
        <v>0.80</v>
      </c>
      <c r="AC702" s="49">
        <f t="shared" si="99"/>
        <v>26226.69</v>
      </c>
      <c r="AD702" s="50">
        <f t="shared" si="100"/>
        <v>0</v>
      </c>
      <c r="AE702" s="50">
        <f t="shared" si="101"/>
        <v>0</v>
      </c>
      <c r="AF702" s="50">
        <f t="shared" si="102"/>
        <v>26226.69</v>
      </c>
      <c r="AG702" s="199">
        <f t="shared" si="103"/>
        <v>26226</v>
      </c>
      <c r="AH702" s="187"/>
      <c r="AI702" s="185" t="s">
        <v>1458</v>
      </c>
      <c r="AJ702" s="185"/>
      <c r="AK702" s="277">
        <f t="shared" si="96"/>
        <v>5558.86</v>
      </c>
      <c r="AL702" s="25">
        <f>(SUMIFS('T1 2019 Pipeline Data Lagasco'!$O:$O,'T1 2019 Pipeline Data Lagasco'!$A:$A,'Dec 31 2018 OFFS'!$AI702,'T1 2019 Pipeline Data Lagasco'!$Q:$Q,'Dec 31 2018 OFFS'!$AK702,'T1 2019 Pipeline Data Lagasco'!$E:$E,'Dec 31 2018 OFFS'!$U702,'T1 2019 Pipeline Data Lagasco'!$G:$G,'Dec 31 2018 OFFS'!$W702))/(MAX(COUNTIFS('T1 2019 Pipeline Data Lagasco'!$A:$A,'Dec 31 2018 OFFS'!$AI702,'T1 2019 Pipeline Data Lagasco'!$Q:$Q,'Dec 31 2018 OFFS'!$AK702,'T1 2019 Pipeline Data Lagasco'!$E:$E,'Dec 31 2018 OFFS'!$U702,'T1 2019 Pipeline Data Lagasco'!$G:$G,'Dec 31 2018 OFFS'!$W702),1))</f>
        <v>26226</v>
      </c>
      <c r="AM702" s="274">
        <f t="shared" si="104"/>
        <v>0</v>
      </c>
    </row>
    <row r="703" spans="1:39" ht="12.7">
      <c r="A703" s="193" t="s">
        <v>909</v>
      </c>
      <c r="B703" s="40" t="s">
        <v>918</v>
      </c>
      <c r="C703" s="40" t="s">
        <v>1266</v>
      </c>
      <c r="D703" s="40" t="s">
        <v>336</v>
      </c>
      <c r="E703" s="40" t="s">
        <v>1054</v>
      </c>
      <c r="F703" s="40"/>
      <c r="G703" s="40" t="s">
        <v>1251</v>
      </c>
      <c r="H703" s="42">
        <v>42</v>
      </c>
      <c r="I703" s="43">
        <v>29</v>
      </c>
      <c r="J703" s="44">
        <f>60*0.912</f>
        <v>54.72</v>
      </c>
      <c r="K703" s="45">
        <v>80</v>
      </c>
      <c r="L703" s="43">
        <v>40</v>
      </c>
      <c r="M703" s="46">
        <f>60*0.2</f>
        <v>12</v>
      </c>
      <c r="N703" s="40" t="s">
        <v>1252</v>
      </c>
      <c r="O703" s="42">
        <v>42</v>
      </c>
      <c r="P703" s="43">
        <v>30</v>
      </c>
      <c r="Q703" s="44">
        <f>60*0.283</f>
        <v>16.979999999999997</v>
      </c>
      <c r="R703" s="45">
        <v>80</v>
      </c>
      <c r="S703" s="43">
        <v>41</v>
      </c>
      <c r="T703" s="46">
        <f>60*0.796</f>
        <v>47.760000000000005</v>
      </c>
      <c r="U703" s="40">
        <v>4</v>
      </c>
      <c r="V703" s="47">
        <v>7480</v>
      </c>
      <c r="W703" s="48">
        <v>2005</v>
      </c>
      <c r="X703" s="139"/>
      <c r="Y703" s="52"/>
      <c r="Z703" s="40" t="s">
        <v>910</v>
      </c>
      <c r="AA703" s="49">
        <f t="shared" si="97"/>
        <v>197846</v>
      </c>
      <c r="AB703" s="71">
        <f t="shared" si="98"/>
        <v>0.54</v>
      </c>
      <c r="AC703" s="49">
        <f t="shared" si="99"/>
        <v>91009.16</v>
      </c>
      <c r="AD703" s="50">
        <f t="shared" si="100"/>
        <v>0</v>
      </c>
      <c r="AE703" s="50">
        <f t="shared" si="101"/>
        <v>0</v>
      </c>
      <c r="AF703" s="50">
        <f t="shared" si="102"/>
        <v>91009.16</v>
      </c>
      <c r="AG703" s="199">
        <f t="shared" si="103"/>
        <v>91009</v>
      </c>
      <c r="AH703" s="187"/>
      <c r="AI703" s="185" t="s">
        <v>1458</v>
      </c>
      <c r="AJ703" s="185"/>
      <c r="AK703" s="282">
        <f t="shared" si="96"/>
        <v>7480</v>
      </c>
      <c r="AL703" s="25">
        <f>(SUMIFS('T1 2019 Pipeline Data Lagasco'!$O:$O,'T1 2019 Pipeline Data Lagasco'!$A:$A,'Dec 31 2018 OFFS'!$AI703,'T1 2019 Pipeline Data Lagasco'!$Q:$Q,'Dec 31 2018 OFFS'!$AK703,'T1 2019 Pipeline Data Lagasco'!$E:$E,'Dec 31 2018 OFFS'!$U703,'T1 2019 Pipeline Data Lagasco'!$G:$G,'Dec 31 2018 OFFS'!$W703))/(MAX(COUNTIFS('T1 2019 Pipeline Data Lagasco'!$A:$A,'Dec 31 2018 OFFS'!$AI703,'T1 2019 Pipeline Data Lagasco'!$Q:$Q,'Dec 31 2018 OFFS'!$AK703,'T1 2019 Pipeline Data Lagasco'!$E:$E,'Dec 31 2018 OFFS'!$U703,'T1 2019 Pipeline Data Lagasco'!$G:$G,'Dec 31 2018 OFFS'!$W703),1))</f>
        <v>91009</v>
      </c>
      <c r="AM703" s="274">
        <f t="shared" si="104"/>
        <v>0</v>
      </c>
    </row>
    <row r="704" spans="1:39" ht="12.7">
      <c r="A704" s="193" t="s">
        <v>909</v>
      </c>
      <c r="B704" s="40" t="s">
        <v>918</v>
      </c>
      <c r="C704" s="40" t="s">
        <v>1266</v>
      </c>
      <c r="D704" s="40" t="s">
        <v>336</v>
      </c>
      <c r="E704" s="40" t="s">
        <v>1054</v>
      </c>
      <c r="F704" s="40" t="s">
        <v>1051</v>
      </c>
      <c r="G704" s="41" t="s">
        <v>503</v>
      </c>
      <c r="H704" s="42">
        <v>42</v>
      </c>
      <c r="I704" s="43">
        <v>29</v>
      </c>
      <c r="J704" s="44">
        <v>30.213999999999999</v>
      </c>
      <c r="K704" s="45">
        <v>80</v>
      </c>
      <c r="L704" s="43">
        <v>41</v>
      </c>
      <c r="M704" s="46">
        <v>40.124000000000002</v>
      </c>
      <c r="N704" s="40" t="s">
        <v>504</v>
      </c>
      <c r="O704" s="42">
        <v>42</v>
      </c>
      <c r="P704" s="43">
        <v>29</v>
      </c>
      <c r="Q704" s="44">
        <v>3.8130000000000002</v>
      </c>
      <c r="R704" s="45">
        <v>80</v>
      </c>
      <c r="S704" s="43">
        <v>41</v>
      </c>
      <c r="T704" s="46">
        <v>29.824000000000002</v>
      </c>
      <c r="U704" s="40">
        <v>4</v>
      </c>
      <c r="V704" s="47">
        <v>2781.79</v>
      </c>
      <c r="W704" s="48">
        <v>1971</v>
      </c>
      <c r="X704" s="40"/>
      <c r="Y704" s="52"/>
      <c r="Z704" s="40" t="s">
        <v>910</v>
      </c>
      <c r="AA704" s="49">
        <f t="shared" si="97"/>
        <v>0</v>
      </c>
      <c r="AB704" s="71">
        <f t="shared" si="98"/>
        <v>0.80</v>
      </c>
      <c r="AC704" s="49">
        <f t="shared" si="99"/>
        <v>0</v>
      </c>
      <c r="AD704" s="50">
        <f t="shared" si="100"/>
        <v>0</v>
      </c>
      <c r="AE704" s="50">
        <f t="shared" si="101"/>
        <v>0</v>
      </c>
      <c r="AF704" s="50">
        <f t="shared" si="102"/>
        <v>0</v>
      </c>
      <c r="AG704" s="199">
        <f t="shared" si="103"/>
        <v>0</v>
      </c>
      <c r="AH704" s="187"/>
      <c r="AI704" s="185" t="s">
        <v>1458</v>
      </c>
      <c r="AJ704" s="185"/>
      <c r="AK704" s="277">
        <f t="shared" si="96"/>
        <v>2781.79</v>
      </c>
      <c r="AL704" s="25">
        <f>(SUMIFS('T1 2019 Pipeline Data Lagasco'!$O:$O,'T1 2019 Pipeline Data Lagasco'!$A:$A,'Dec 31 2018 OFFS'!$AI704,'T1 2019 Pipeline Data Lagasco'!$Q:$Q,'Dec 31 2018 OFFS'!$AK704,'T1 2019 Pipeline Data Lagasco'!$E:$E,'Dec 31 2018 OFFS'!$U704,'T1 2019 Pipeline Data Lagasco'!$G:$G,'Dec 31 2018 OFFS'!$W704))/(MAX(COUNTIFS('T1 2019 Pipeline Data Lagasco'!$A:$A,'Dec 31 2018 OFFS'!$AI704,'T1 2019 Pipeline Data Lagasco'!$Q:$Q,'Dec 31 2018 OFFS'!$AK704,'T1 2019 Pipeline Data Lagasco'!$E:$E,'Dec 31 2018 OFFS'!$U704,'T1 2019 Pipeline Data Lagasco'!$G:$G,'Dec 31 2018 OFFS'!$W704),1))</f>
        <v>0</v>
      </c>
      <c r="AM704" s="274">
        <f t="shared" si="104"/>
        <v>0</v>
      </c>
    </row>
    <row r="705" spans="1:39" ht="12.7">
      <c r="A705" s="193" t="s">
        <v>909</v>
      </c>
      <c r="B705" s="40" t="s">
        <v>918</v>
      </c>
      <c r="C705" s="40" t="s">
        <v>1266</v>
      </c>
      <c r="D705" s="40" t="s">
        <v>336</v>
      </c>
      <c r="E705" s="40" t="s">
        <v>1054</v>
      </c>
      <c r="F705" s="40" t="s">
        <v>1051</v>
      </c>
      <c r="G705" s="41" t="s">
        <v>503</v>
      </c>
      <c r="H705" s="42">
        <v>42</v>
      </c>
      <c r="I705" s="43">
        <v>29</v>
      </c>
      <c r="J705" s="44">
        <v>30.213999999999999</v>
      </c>
      <c r="K705" s="45">
        <v>80</v>
      </c>
      <c r="L705" s="43">
        <v>41</v>
      </c>
      <c r="M705" s="46">
        <v>40.124000000000002</v>
      </c>
      <c r="N705" s="40" t="s">
        <v>338</v>
      </c>
      <c r="O705" s="42">
        <v>42</v>
      </c>
      <c r="P705" s="43">
        <v>29</v>
      </c>
      <c r="Q705" s="44">
        <v>7.9119999999999999</v>
      </c>
      <c r="R705" s="45">
        <v>80</v>
      </c>
      <c r="S705" s="43">
        <v>39</v>
      </c>
      <c r="T705" s="44">
        <v>48.652999999999999</v>
      </c>
      <c r="U705" s="40">
        <v>4</v>
      </c>
      <c r="V705" s="47">
        <v>8651.41</v>
      </c>
      <c r="W705" s="48">
        <v>1971</v>
      </c>
      <c r="X705" s="40"/>
      <c r="Y705" s="52"/>
      <c r="Z705" s="40" t="s">
        <v>910</v>
      </c>
      <c r="AA705" s="49">
        <f t="shared" si="97"/>
        <v>0</v>
      </c>
      <c r="AB705" s="71">
        <f t="shared" si="98"/>
        <v>0.80</v>
      </c>
      <c r="AC705" s="49">
        <f t="shared" si="99"/>
        <v>0</v>
      </c>
      <c r="AD705" s="50">
        <f t="shared" si="100"/>
        <v>0</v>
      </c>
      <c r="AE705" s="50">
        <f t="shared" si="101"/>
        <v>0</v>
      </c>
      <c r="AF705" s="50">
        <f t="shared" si="102"/>
        <v>0</v>
      </c>
      <c r="AG705" s="199">
        <f t="shared" si="103"/>
        <v>0</v>
      </c>
      <c r="AH705" s="187"/>
      <c r="AI705" s="185" t="s">
        <v>1458</v>
      </c>
      <c r="AJ705" s="185"/>
      <c r="AK705" s="277">
        <f t="shared" si="96"/>
        <v>8651.41</v>
      </c>
      <c r="AL705" s="25">
        <f>(SUMIFS('T1 2019 Pipeline Data Lagasco'!$O:$O,'T1 2019 Pipeline Data Lagasco'!$A:$A,'Dec 31 2018 OFFS'!$AI705,'T1 2019 Pipeline Data Lagasco'!$Q:$Q,'Dec 31 2018 OFFS'!$AK705,'T1 2019 Pipeline Data Lagasco'!$E:$E,'Dec 31 2018 OFFS'!$U705,'T1 2019 Pipeline Data Lagasco'!$G:$G,'Dec 31 2018 OFFS'!$W705))/(MAX(COUNTIFS('T1 2019 Pipeline Data Lagasco'!$A:$A,'Dec 31 2018 OFFS'!$AI705,'T1 2019 Pipeline Data Lagasco'!$Q:$Q,'Dec 31 2018 OFFS'!$AK705,'T1 2019 Pipeline Data Lagasco'!$E:$E,'Dec 31 2018 OFFS'!$U705,'T1 2019 Pipeline Data Lagasco'!$G:$G,'Dec 31 2018 OFFS'!$W705),1))</f>
        <v>0</v>
      </c>
      <c r="AM705" s="274">
        <f t="shared" si="104"/>
        <v>0</v>
      </c>
    </row>
    <row r="706" spans="1:39" ht="12.7">
      <c r="A706" s="193" t="s">
        <v>909</v>
      </c>
      <c r="B706" s="40" t="s">
        <v>918</v>
      </c>
      <c r="C706" s="40" t="s">
        <v>1266</v>
      </c>
      <c r="D706" s="40" t="s">
        <v>336</v>
      </c>
      <c r="E706" s="40" t="s">
        <v>1054</v>
      </c>
      <c r="F706" s="40" t="s">
        <v>1051</v>
      </c>
      <c r="G706" s="41" t="s">
        <v>504</v>
      </c>
      <c r="H706" s="42">
        <v>42</v>
      </c>
      <c r="I706" s="43">
        <v>29</v>
      </c>
      <c r="J706" s="44">
        <v>3.8130000000000002</v>
      </c>
      <c r="K706" s="45">
        <v>80</v>
      </c>
      <c r="L706" s="43">
        <v>41</v>
      </c>
      <c r="M706" s="46">
        <v>29.824000000000002</v>
      </c>
      <c r="N706" s="40" t="s">
        <v>334</v>
      </c>
      <c r="O706" s="42">
        <v>42</v>
      </c>
      <c r="P706" s="43">
        <v>28</v>
      </c>
      <c r="Q706" s="44">
        <v>24.904</v>
      </c>
      <c r="R706" s="45">
        <v>80</v>
      </c>
      <c r="S706" s="43">
        <v>41</v>
      </c>
      <c r="T706" s="46">
        <v>8.4700000000000006</v>
      </c>
      <c r="U706" s="40">
        <v>4</v>
      </c>
      <c r="V706" s="47">
        <v>4251.38</v>
      </c>
      <c r="W706" s="48">
        <v>1971</v>
      </c>
      <c r="X706" s="40"/>
      <c r="Y706" s="52"/>
      <c r="Z706" s="40" t="s">
        <v>910</v>
      </c>
      <c r="AA706" s="49">
        <f t="shared" si="97"/>
        <v>0</v>
      </c>
      <c r="AB706" s="71">
        <f t="shared" si="98"/>
        <v>0.80</v>
      </c>
      <c r="AC706" s="49">
        <f t="shared" si="99"/>
        <v>0</v>
      </c>
      <c r="AD706" s="50">
        <f t="shared" si="100"/>
        <v>0</v>
      </c>
      <c r="AE706" s="50">
        <f t="shared" si="101"/>
        <v>0</v>
      </c>
      <c r="AF706" s="50">
        <f t="shared" si="102"/>
        <v>0</v>
      </c>
      <c r="AG706" s="199">
        <f t="shared" si="103"/>
        <v>0</v>
      </c>
      <c r="AH706" s="187"/>
      <c r="AI706" s="185" t="s">
        <v>1458</v>
      </c>
      <c r="AJ706" s="185"/>
      <c r="AK706" s="277">
        <f t="shared" si="96"/>
        <v>4251.38</v>
      </c>
      <c r="AL706" s="25">
        <f>(SUMIFS('T1 2019 Pipeline Data Lagasco'!$O:$O,'T1 2019 Pipeline Data Lagasco'!$A:$A,'Dec 31 2018 OFFS'!$AI706,'T1 2019 Pipeline Data Lagasco'!$Q:$Q,'Dec 31 2018 OFFS'!$AK706,'T1 2019 Pipeline Data Lagasco'!$E:$E,'Dec 31 2018 OFFS'!$U706,'T1 2019 Pipeline Data Lagasco'!$G:$G,'Dec 31 2018 OFFS'!$W706))/(MAX(COUNTIFS('T1 2019 Pipeline Data Lagasco'!$A:$A,'Dec 31 2018 OFFS'!$AI706,'T1 2019 Pipeline Data Lagasco'!$Q:$Q,'Dec 31 2018 OFFS'!$AK706,'T1 2019 Pipeline Data Lagasco'!$E:$E,'Dec 31 2018 OFFS'!$U706,'T1 2019 Pipeline Data Lagasco'!$G:$G,'Dec 31 2018 OFFS'!$W706),1))</f>
        <v>0</v>
      </c>
      <c r="AM706" s="274">
        <f t="shared" si="104"/>
        <v>0</v>
      </c>
    </row>
    <row r="707" spans="1:39" ht="12.7">
      <c r="A707" s="193" t="s">
        <v>909</v>
      </c>
      <c r="B707" s="40" t="s">
        <v>918</v>
      </c>
      <c r="C707" s="40" t="s">
        <v>1266</v>
      </c>
      <c r="D707" s="40" t="s">
        <v>336</v>
      </c>
      <c r="E707" s="40" t="s">
        <v>1054</v>
      </c>
      <c r="F707" s="40"/>
      <c r="G707" s="41" t="s">
        <v>1083</v>
      </c>
      <c r="H707" s="42" t="s">
        <v>78</v>
      </c>
      <c r="I707" s="43" t="s">
        <v>1084</v>
      </c>
      <c r="J707" s="44" t="s">
        <v>1085</v>
      </c>
      <c r="K707" s="45" t="s">
        <v>1010</v>
      </c>
      <c r="L707" s="43" t="s">
        <v>79</v>
      </c>
      <c r="M707" s="46" t="s">
        <v>1086</v>
      </c>
      <c r="N707" s="40" t="s">
        <v>337</v>
      </c>
      <c r="O707" s="42" t="s">
        <v>78</v>
      </c>
      <c r="P707" s="43" t="s">
        <v>1087</v>
      </c>
      <c r="Q707" s="44" t="s">
        <v>1088</v>
      </c>
      <c r="R707" s="45" t="s">
        <v>1010</v>
      </c>
      <c r="S707" s="43" t="s">
        <v>280</v>
      </c>
      <c r="T707" s="46" t="s">
        <v>1089</v>
      </c>
      <c r="U707" s="40">
        <v>6</v>
      </c>
      <c r="V707" s="47">
        <v>12097</v>
      </c>
      <c r="W707" s="48">
        <v>2000</v>
      </c>
      <c r="X707" s="40"/>
      <c r="Y707" s="52"/>
      <c r="Z707" s="40" t="s">
        <v>910</v>
      </c>
      <c r="AA707" s="49">
        <f t="shared" si="97"/>
        <v>418919.11000000004</v>
      </c>
      <c r="AB707" s="71">
        <f t="shared" si="98"/>
        <v>0.61</v>
      </c>
      <c r="AC707" s="49">
        <f t="shared" si="99"/>
        <v>163378.45000000001</v>
      </c>
      <c r="AD707" s="50">
        <f t="shared" si="100"/>
        <v>0</v>
      </c>
      <c r="AE707" s="50">
        <f t="shared" si="101"/>
        <v>0</v>
      </c>
      <c r="AF707" s="50">
        <f t="shared" si="102"/>
        <v>163378.45000000001</v>
      </c>
      <c r="AG707" s="199">
        <f t="shared" si="103"/>
        <v>163378</v>
      </c>
      <c r="AH707" s="187"/>
      <c r="AI707" s="185" t="s">
        <v>1458</v>
      </c>
      <c r="AJ707" s="185"/>
      <c r="AK707" s="277">
        <f t="shared" si="105" ref="AK707:AK770">ROUND(V707,2)</f>
        <v>12097</v>
      </c>
      <c r="AL707" s="25">
        <f>(SUMIFS('T1 2019 Pipeline Data Lagasco'!$O:$O,'T1 2019 Pipeline Data Lagasco'!$A:$A,'Dec 31 2018 OFFS'!$AI707,'T1 2019 Pipeline Data Lagasco'!$Q:$Q,'Dec 31 2018 OFFS'!$AK707,'T1 2019 Pipeline Data Lagasco'!$E:$E,'Dec 31 2018 OFFS'!$U707,'T1 2019 Pipeline Data Lagasco'!$G:$G,'Dec 31 2018 OFFS'!$W707))/(MAX(COUNTIFS('T1 2019 Pipeline Data Lagasco'!$A:$A,'Dec 31 2018 OFFS'!$AI707,'T1 2019 Pipeline Data Lagasco'!$Q:$Q,'Dec 31 2018 OFFS'!$AK707,'T1 2019 Pipeline Data Lagasco'!$E:$E,'Dec 31 2018 OFFS'!$U707,'T1 2019 Pipeline Data Lagasco'!$G:$G,'Dec 31 2018 OFFS'!$W707),1))</f>
        <v>163378</v>
      </c>
      <c r="AM707" s="274">
        <f t="shared" si="104"/>
        <v>0</v>
      </c>
    </row>
    <row r="708" spans="1:39" ht="12.7">
      <c r="A708" s="193" t="s">
        <v>909</v>
      </c>
      <c r="B708" s="40" t="s">
        <v>918</v>
      </c>
      <c r="C708" s="40" t="s">
        <v>1266</v>
      </c>
      <c r="D708" s="40" t="s">
        <v>336</v>
      </c>
      <c r="E708" s="40" t="s">
        <v>1054</v>
      </c>
      <c r="F708" s="40" t="s">
        <v>1051</v>
      </c>
      <c r="G708" s="41" t="s">
        <v>505</v>
      </c>
      <c r="H708" s="42">
        <v>42</v>
      </c>
      <c r="I708" s="43">
        <v>29</v>
      </c>
      <c r="J708" s="44">
        <v>30.042999999999999</v>
      </c>
      <c r="K708" s="45">
        <v>80</v>
      </c>
      <c r="L708" s="43">
        <v>42</v>
      </c>
      <c r="M708" s="46">
        <v>16.814</v>
      </c>
      <c r="N708" s="40" t="s">
        <v>506</v>
      </c>
      <c r="O708" s="42">
        <v>42</v>
      </c>
      <c r="P708" s="43">
        <v>29</v>
      </c>
      <c r="Q708" s="44">
        <v>30.213999999999999</v>
      </c>
      <c r="R708" s="45">
        <v>80</v>
      </c>
      <c r="S708" s="43">
        <v>41</v>
      </c>
      <c r="T708" s="46">
        <v>40.124000000000002</v>
      </c>
      <c r="U708" s="40">
        <v>4</v>
      </c>
      <c r="V708" s="47">
        <v>2748.79</v>
      </c>
      <c r="W708" s="48">
        <v>1971</v>
      </c>
      <c r="X708" s="40"/>
      <c r="Y708" s="52"/>
      <c r="Z708" s="40" t="s">
        <v>910</v>
      </c>
      <c r="AA708" s="49">
        <f t="shared" si="106" ref="AA708:AA771">IF(F708="ABAND",0,(IF(Z708="steel",VLOOKUP(U708,steelrates,2,FALSE)*V708,VLOOKUP(U708,plasticrates,2,FALSE)*V708)))</f>
        <v>0</v>
      </c>
      <c r="AB708" s="71">
        <f t="shared" si="107" ref="AB708:AB771">IF(W708=0,0,(VLOOKUP(W708,depreciation,2)))</f>
        <v>0.80</v>
      </c>
      <c r="AC708" s="49">
        <f t="shared" si="108" ref="AC708:AC771">ROUND(+AA708-(+AA708*AB708),2)</f>
        <v>0</v>
      </c>
      <c r="AD708" s="50">
        <f t="shared" si="109" ref="AD708:AD771">(IF(X708="LOOP",AC708*0.25,0))</f>
        <v>0</v>
      </c>
      <c r="AE708" s="50">
        <f t="shared" si="110" ref="AE708:AE771">(IF(F708="SUSP",AC708*0.2,0))</f>
        <v>0</v>
      </c>
      <c r="AF708" s="50">
        <f t="shared" si="111" ref="AF708:AF771">+AC708-AD708-AE708</f>
        <v>0</v>
      </c>
      <c r="AG708" s="199">
        <f t="shared" si="112" ref="AG708:AG771">ROUNDDOWN(AF708,0)</f>
        <v>0</v>
      </c>
      <c r="AH708" s="187"/>
      <c r="AI708" s="185" t="s">
        <v>1458</v>
      </c>
      <c r="AJ708" s="185"/>
      <c r="AK708" s="277">
        <f t="shared" si="105"/>
        <v>2748.79</v>
      </c>
      <c r="AL708" s="25">
        <f>(SUMIFS('T1 2019 Pipeline Data Lagasco'!$O:$O,'T1 2019 Pipeline Data Lagasco'!$A:$A,'Dec 31 2018 OFFS'!$AI708,'T1 2019 Pipeline Data Lagasco'!$Q:$Q,'Dec 31 2018 OFFS'!$AK708,'T1 2019 Pipeline Data Lagasco'!$E:$E,'Dec 31 2018 OFFS'!$U708,'T1 2019 Pipeline Data Lagasco'!$G:$G,'Dec 31 2018 OFFS'!$W708))/(MAX(COUNTIFS('T1 2019 Pipeline Data Lagasco'!$A:$A,'Dec 31 2018 OFFS'!$AI708,'T1 2019 Pipeline Data Lagasco'!$Q:$Q,'Dec 31 2018 OFFS'!$AK708,'T1 2019 Pipeline Data Lagasco'!$E:$E,'Dec 31 2018 OFFS'!$U708,'T1 2019 Pipeline Data Lagasco'!$G:$G,'Dec 31 2018 OFFS'!$W708),1))</f>
        <v>0</v>
      </c>
      <c r="AM708" s="274">
        <f t="shared" si="113" ref="AM708:AM771">AG708-AL708</f>
        <v>0</v>
      </c>
    </row>
    <row r="709" spans="1:39" ht="12.7">
      <c r="A709" s="193" t="s">
        <v>909</v>
      </c>
      <c r="B709" s="40" t="s">
        <v>918</v>
      </c>
      <c r="C709" s="40" t="s">
        <v>1266</v>
      </c>
      <c r="D709" s="40" t="s">
        <v>336</v>
      </c>
      <c r="E709" s="40" t="s">
        <v>1054</v>
      </c>
      <c r="F709" s="40"/>
      <c r="G709" s="40" t="s">
        <v>522</v>
      </c>
      <c r="H709" s="42">
        <v>42</v>
      </c>
      <c r="I709" s="43">
        <v>29</v>
      </c>
      <c r="J709" s="44">
        <v>42.09</v>
      </c>
      <c r="K709" s="45">
        <v>80</v>
      </c>
      <c r="L709" s="43">
        <v>43</v>
      </c>
      <c r="M709" s="46">
        <v>30.94</v>
      </c>
      <c r="N709" s="41" t="s">
        <v>505</v>
      </c>
      <c r="O709" s="42">
        <v>42</v>
      </c>
      <c r="P709" s="43">
        <v>29</v>
      </c>
      <c r="Q709" s="44">
        <v>30.042999999999999</v>
      </c>
      <c r="R709" s="45">
        <v>80</v>
      </c>
      <c r="S709" s="43">
        <v>42</v>
      </c>
      <c r="T709" s="46">
        <v>16.814</v>
      </c>
      <c r="U709" s="40">
        <v>6</v>
      </c>
      <c r="V709" s="47">
        <v>5685.596948206</v>
      </c>
      <c r="W709" s="48">
        <v>1972</v>
      </c>
      <c r="X709" s="40"/>
      <c r="Y709" s="52"/>
      <c r="Z709" s="40" t="s">
        <v>910</v>
      </c>
      <c r="AA709" s="49">
        <f t="shared" si="106"/>
        <v>196892.22231637378</v>
      </c>
      <c r="AB709" s="71">
        <f t="shared" si="107"/>
        <v>0.80</v>
      </c>
      <c r="AC709" s="49">
        <f t="shared" si="108"/>
        <v>39378.44</v>
      </c>
      <c r="AD709" s="50">
        <f t="shared" si="109"/>
        <v>0</v>
      </c>
      <c r="AE709" s="50">
        <f t="shared" si="110"/>
        <v>0</v>
      </c>
      <c r="AF709" s="50">
        <f t="shared" si="111"/>
        <v>39378.44</v>
      </c>
      <c r="AG709" s="199">
        <f t="shared" si="112"/>
        <v>39378</v>
      </c>
      <c r="AH709" s="187"/>
      <c r="AI709" s="185" t="s">
        <v>1458</v>
      </c>
      <c r="AJ709" s="185"/>
      <c r="AK709" s="277">
        <f t="shared" si="105"/>
        <v>5685.60</v>
      </c>
      <c r="AL709" s="25">
        <f>(SUMIFS('T1 2019 Pipeline Data Lagasco'!$O:$O,'T1 2019 Pipeline Data Lagasco'!$A:$A,'Dec 31 2018 OFFS'!$AI709,'T1 2019 Pipeline Data Lagasco'!$Q:$Q,'Dec 31 2018 OFFS'!$AK709,'T1 2019 Pipeline Data Lagasco'!$E:$E,'Dec 31 2018 OFFS'!$U709,'T1 2019 Pipeline Data Lagasco'!$G:$G,'Dec 31 2018 OFFS'!$W709))/(MAX(COUNTIFS('T1 2019 Pipeline Data Lagasco'!$A:$A,'Dec 31 2018 OFFS'!$AI709,'T1 2019 Pipeline Data Lagasco'!$Q:$Q,'Dec 31 2018 OFFS'!$AK709,'T1 2019 Pipeline Data Lagasco'!$E:$E,'Dec 31 2018 OFFS'!$U709,'T1 2019 Pipeline Data Lagasco'!$G:$G,'Dec 31 2018 OFFS'!$W709),1))</f>
        <v>39378</v>
      </c>
      <c r="AM709" s="274">
        <f t="shared" si="113"/>
        <v>0</v>
      </c>
    </row>
    <row r="710" spans="1:39" ht="12.7">
      <c r="A710" s="193" t="s">
        <v>909</v>
      </c>
      <c r="B710" s="40" t="s">
        <v>918</v>
      </c>
      <c r="C710" s="40" t="s">
        <v>1266</v>
      </c>
      <c r="D710" s="40" t="s">
        <v>336</v>
      </c>
      <c r="E710" s="40" t="s">
        <v>1054</v>
      </c>
      <c r="F710" s="40"/>
      <c r="G710" s="41" t="s">
        <v>1274</v>
      </c>
      <c r="H710" s="42">
        <v>42</v>
      </c>
      <c r="I710" s="43">
        <v>28</v>
      </c>
      <c r="J710" s="44">
        <v>8.4600000000000009</v>
      </c>
      <c r="K710" s="45">
        <v>80</v>
      </c>
      <c r="L710" s="43">
        <v>41</v>
      </c>
      <c r="M710" s="46">
        <v>50.40</v>
      </c>
      <c r="N710" s="40" t="s">
        <v>340</v>
      </c>
      <c r="O710" s="42">
        <v>42</v>
      </c>
      <c r="P710" s="43">
        <v>28</v>
      </c>
      <c r="Q710" s="44">
        <v>8.58</v>
      </c>
      <c r="R710" s="45">
        <v>80</v>
      </c>
      <c r="S710" s="43">
        <v>40</v>
      </c>
      <c r="T710" s="46">
        <v>33.96</v>
      </c>
      <c r="U710" s="40">
        <v>3</v>
      </c>
      <c r="V710" s="47">
        <v>5710</v>
      </c>
      <c r="W710" s="48">
        <v>2006</v>
      </c>
      <c r="X710" s="40"/>
      <c r="Y710" s="52"/>
      <c r="Z710" s="40" t="s">
        <v>910</v>
      </c>
      <c r="AA710" s="49">
        <f t="shared" si="106"/>
        <v>134698.90</v>
      </c>
      <c r="AB710" s="71">
        <f t="shared" si="107"/>
        <v>0.52</v>
      </c>
      <c r="AC710" s="49">
        <f t="shared" si="108"/>
        <v>64655.47</v>
      </c>
      <c r="AD710" s="50">
        <f t="shared" si="109"/>
        <v>0</v>
      </c>
      <c r="AE710" s="50">
        <f t="shared" si="110"/>
        <v>0</v>
      </c>
      <c r="AF710" s="50">
        <f t="shared" si="111"/>
        <v>64655.47</v>
      </c>
      <c r="AG710" s="199">
        <f t="shared" si="112"/>
        <v>64655</v>
      </c>
      <c r="AH710" s="187"/>
      <c r="AI710" s="185" t="s">
        <v>1458</v>
      </c>
      <c r="AJ710" s="185"/>
      <c r="AK710" s="277">
        <f t="shared" si="105"/>
        <v>5710</v>
      </c>
      <c r="AL710" s="25">
        <f>(SUMIFS('T1 2019 Pipeline Data Lagasco'!$O:$O,'T1 2019 Pipeline Data Lagasco'!$A:$A,'Dec 31 2018 OFFS'!$AI710,'T1 2019 Pipeline Data Lagasco'!$Q:$Q,'Dec 31 2018 OFFS'!$AK710,'T1 2019 Pipeline Data Lagasco'!$E:$E,'Dec 31 2018 OFFS'!$U710,'T1 2019 Pipeline Data Lagasco'!$G:$G,'Dec 31 2018 OFFS'!$W710))/(MAX(COUNTIFS('T1 2019 Pipeline Data Lagasco'!$A:$A,'Dec 31 2018 OFFS'!$AI710,'T1 2019 Pipeline Data Lagasco'!$Q:$Q,'Dec 31 2018 OFFS'!$AK710,'T1 2019 Pipeline Data Lagasco'!$E:$E,'Dec 31 2018 OFFS'!$U710,'T1 2019 Pipeline Data Lagasco'!$G:$G,'Dec 31 2018 OFFS'!$W710),1))</f>
        <v>64655</v>
      </c>
      <c r="AM710" s="274">
        <f t="shared" si="113"/>
        <v>0</v>
      </c>
    </row>
    <row r="711" spans="1:39" ht="12.7">
      <c r="A711" s="193" t="s">
        <v>909</v>
      </c>
      <c r="B711" s="40" t="s">
        <v>918</v>
      </c>
      <c r="C711" s="40" t="s">
        <v>1266</v>
      </c>
      <c r="D711" s="40" t="s">
        <v>336</v>
      </c>
      <c r="E711" s="40" t="s">
        <v>1054</v>
      </c>
      <c r="F711" s="40" t="s">
        <v>1051</v>
      </c>
      <c r="G711" s="41" t="s">
        <v>337</v>
      </c>
      <c r="H711" s="42">
        <v>42</v>
      </c>
      <c r="I711" s="43">
        <v>28</v>
      </c>
      <c r="J711" s="44">
        <v>57.966000000000001</v>
      </c>
      <c r="K711" s="45">
        <v>80</v>
      </c>
      <c r="L711" s="43">
        <v>40</v>
      </c>
      <c r="M711" s="46">
        <v>12.098000000000001</v>
      </c>
      <c r="N711" s="41" t="s">
        <v>338</v>
      </c>
      <c r="O711" s="42">
        <v>42</v>
      </c>
      <c r="P711" s="43">
        <v>29</v>
      </c>
      <c r="Q711" s="44">
        <v>7.9119999999999999</v>
      </c>
      <c r="R711" s="45">
        <v>80</v>
      </c>
      <c r="S711" s="43">
        <v>39</v>
      </c>
      <c r="T711" s="46">
        <v>48.652999999999999</v>
      </c>
      <c r="U711" s="40">
        <v>2</v>
      </c>
      <c r="V711" s="47">
        <v>2024.77</v>
      </c>
      <c r="W711" s="48">
        <v>1982</v>
      </c>
      <c r="X711" s="40"/>
      <c r="Y711" s="52"/>
      <c r="Z711" s="40" t="s">
        <v>910</v>
      </c>
      <c r="AA711" s="49">
        <f t="shared" si="106"/>
        <v>0</v>
      </c>
      <c r="AB711" s="71">
        <f t="shared" si="107"/>
        <v>0.80</v>
      </c>
      <c r="AC711" s="49">
        <f t="shared" si="108"/>
        <v>0</v>
      </c>
      <c r="AD711" s="50">
        <f t="shared" si="109"/>
        <v>0</v>
      </c>
      <c r="AE711" s="50">
        <f t="shared" si="110"/>
        <v>0</v>
      </c>
      <c r="AF711" s="50">
        <f t="shared" si="111"/>
        <v>0</v>
      </c>
      <c r="AG711" s="199">
        <f t="shared" si="112"/>
        <v>0</v>
      </c>
      <c r="AH711" s="187"/>
      <c r="AI711" s="185" t="s">
        <v>1458</v>
      </c>
      <c r="AJ711" s="185"/>
      <c r="AK711" s="277">
        <f t="shared" si="105"/>
        <v>2024.77</v>
      </c>
      <c r="AL711" s="25">
        <f>(SUMIFS('T1 2019 Pipeline Data Lagasco'!$O:$O,'T1 2019 Pipeline Data Lagasco'!$A:$A,'Dec 31 2018 OFFS'!$AI711,'T1 2019 Pipeline Data Lagasco'!$Q:$Q,'Dec 31 2018 OFFS'!$AK711,'T1 2019 Pipeline Data Lagasco'!$E:$E,'Dec 31 2018 OFFS'!$U711,'T1 2019 Pipeline Data Lagasco'!$G:$G,'Dec 31 2018 OFFS'!$W711))/(MAX(COUNTIFS('T1 2019 Pipeline Data Lagasco'!$A:$A,'Dec 31 2018 OFFS'!$AI711,'T1 2019 Pipeline Data Lagasco'!$Q:$Q,'Dec 31 2018 OFFS'!$AK711,'T1 2019 Pipeline Data Lagasco'!$E:$E,'Dec 31 2018 OFFS'!$U711,'T1 2019 Pipeline Data Lagasco'!$G:$G,'Dec 31 2018 OFFS'!$W711),1))</f>
        <v>0</v>
      </c>
      <c r="AM711" s="274">
        <f t="shared" si="113"/>
        <v>0</v>
      </c>
    </row>
    <row r="712" spans="1:39" ht="12.7">
      <c r="A712" s="193" t="s">
        <v>909</v>
      </c>
      <c r="B712" s="40" t="s">
        <v>918</v>
      </c>
      <c r="C712" s="40" t="s">
        <v>1266</v>
      </c>
      <c r="D712" s="40" t="s">
        <v>336</v>
      </c>
      <c r="E712" s="40" t="s">
        <v>1054</v>
      </c>
      <c r="F712" s="40"/>
      <c r="G712" s="40" t="s">
        <v>1307</v>
      </c>
      <c r="H712" s="42">
        <v>42</v>
      </c>
      <c r="I712" s="43">
        <v>28</v>
      </c>
      <c r="J712" s="44">
        <v>57.966000000000001</v>
      </c>
      <c r="K712" s="45">
        <v>80</v>
      </c>
      <c r="L712" s="43">
        <v>40</v>
      </c>
      <c r="M712" s="46">
        <v>12.098000000000001</v>
      </c>
      <c r="N712" s="41" t="s">
        <v>1117</v>
      </c>
      <c r="O712" s="42" t="s">
        <v>78</v>
      </c>
      <c r="P712" s="43" t="s">
        <v>1084</v>
      </c>
      <c r="Q712" s="44" t="s">
        <v>1118</v>
      </c>
      <c r="R712" s="45" t="s">
        <v>1010</v>
      </c>
      <c r="S712" s="43" t="s">
        <v>1119</v>
      </c>
      <c r="T712" s="46" t="s">
        <v>1120</v>
      </c>
      <c r="U712" s="40">
        <v>2</v>
      </c>
      <c r="V712" s="47">
        <v>4843</v>
      </c>
      <c r="W712" s="48">
        <v>1975</v>
      </c>
      <c r="X712" s="40"/>
      <c r="Y712" s="52"/>
      <c r="Z712" s="40" t="s">
        <v>910</v>
      </c>
      <c r="AA712" s="49">
        <f t="shared" si="106"/>
        <v>78650.319999999992</v>
      </c>
      <c r="AB712" s="71">
        <f t="shared" si="107"/>
        <v>0.80</v>
      </c>
      <c r="AC712" s="49">
        <f t="shared" si="108"/>
        <v>15730.06</v>
      </c>
      <c r="AD712" s="50">
        <f t="shared" si="109"/>
        <v>0</v>
      </c>
      <c r="AE712" s="50">
        <f t="shared" si="110"/>
        <v>0</v>
      </c>
      <c r="AF712" s="50">
        <f t="shared" si="111"/>
        <v>15730.06</v>
      </c>
      <c r="AG712" s="199">
        <f t="shared" si="112"/>
        <v>15730</v>
      </c>
      <c r="AH712" s="187"/>
      <c r="AI712" s="185" t="s">
        <v>1458</v>
      </c>
      <c r="AJ712" s="185"/>
      <c r="AK712" s="277">
        <f t="shared" si="105"/>
        <v>4843</v>
      </c>
      <c r="AL712" s="25">
        <f>(SUMIFS('T1 2019 Pipeline Data Lagasco'!$O:$O,'T1 2019 Pipeline Data Lagasco'!$A:$A,'Dec 31 2018 OFFS'!$AI712,'T1 2019 Pipeline Data Lagasco'!$Q:$Q,'Dec 31 2018 OFFS'!$AK712,'T1 2019 Pipeline Data Lagasco'!$E:$E,'Dec 31 2018 OFFS'!$U712,'T1 2019 Pipeline Data Lagasco'!$G:$G,'Dec 31 2018 OFFS'!$W712))/(MAX(COUNTIFS('T1 2019 Pipeline Data Lagasco'!$A:$A,'Dec 31 2018 OFFS'!$AI712,'T1 2019 Pipeline Data Lagasco'!$Q:$Q,'Dec 31 2018 OFFS'!$AK712,'T1 2019 Pipeline Data Lagasco'!$E:$E,'Dec 31 2018 OFFS'!$U712,'T1 2019 Pipeline Data Lagasco'!$G:$G,'Dec 31 2018 OFFS'!$W712),1))</f>
        <v>15730</v>
      </c>
      <c r="AM712" s="274">
        <f t="shared" si="113"/>
        <v>0</v>
      </c>
    </row>
    <row r="713" spans="1:39" ht="12.7">
      <c r="A713" s="193" t="s">
        <v>909</v>
      </c>
      <c r="B713" s="40" t="s">
        <v>918</v>
      </c>
      <c r="C713" s="40" t="s">
        <v>1266</v>
      </c>
      <c r="D713" s="40" t="s">
        <v>336</v>
      </c>
      <c r="E713" s="40" t="s">
        <v>1054</v>
      </c>
      <c r="F713" s="40"/>
      <c r="G713" s="41" t="s">
        <v>337</v>
      </c>
      <c r="H713" s="42" t="s">
        <v>78</v>
      </c>
      <c r="I713" s="43" t="s">
        <v>1087</v>
      </c>
      <c r="J713" s="44" t="s">
        <v>1088</v>
      </c>
      <c r="K713" s="45" t="s">
        <v>1010</v>
      </c>
      <c r="L713" s="43" t="s">
        <v>280</v>
      </c>
      <c r="M713" s="46" t="s">
        <v>1089</v>
      </c>
      <c r="N713" s="40" t="s">
        <v>344</v>
      </c>
      <c r="O713" s="42" t="s">
        <v>78</v>
      </c>
      <c r="P713" s="43" t="s">
        <v>1087</v>
      </c>
      <c r="Q713" s="44">
        <v>15</v>
      </c>
      <c r="R713" s="45" t="s">
        <v>1010</v>
      </c>
      <c r="S713" s="43" t="s">
        <v>1090</v>
      </c>
      <c r="T713" s="46" t="s">
        <v>1091</v>
      </c>
      <c r="U713" s="40">
        <v>6</v>
      </c>
      <c r="V713" s="47">
        <v>11380</v>
      </c>
      <c r="W713" s="48">
        <v>2000</v>
      </c>
      <c r="X713" s="40"/>
      <c r="Y713" s="52"/>
      <c r="Z713" s="40" t="s">
        <v>910</v>
      </c>
      <c r="AA713" s="49">
        <f t="shared" si="106"/>
        <v>394089.40</v>
      </c>
      <c r="AB713" s="71">
        <f t="shared" si="107"/>
        <v>0.61</v>
      </c>
      <c r="AC713" s="49">
        <f t="shared" si="108"/>
        <v>153694.87</v>
      </c>
      <c r="AD713" s="50">
        <f t="shared" si="109"/>
        <v>0</v>
      </c>
      <c r="AE713" s="50">
        <f t="shared" si="110"/>
        <v>0</v>
      </c>
      <c r="AF713" s="50">
        <f t="shared" si="111"/>
        <v>153694.87</v>
      </c>
      <c r="AG713" s="199">
        <f t="shared" si="112"/>
        <v>153694</v>
      </c>
      <c r="AH713" s="187"/>
      <c r="AI713" s="185" t="s">
        <v>1458</v>
      </c>
      <c r="AJ713" s="185"/>
      <c r="AK713" s="277">
        <f t="shared" si="105"/>
        <v>11380</v>
      </c>
      <c r="AL713" s="25">
        <f>(SUMIFS('T1 2019 Pipeline Data Lagasco'!$O:$O,'T1 2019 Pipeline Data Lagasco'!$A:$A,'Dec 31 2018 OFFS'!$AI713,'T1 2019 Pipeline Data Lagasco'!$Q:$Q,'Dec 31 2018 OFFS'!$AK713,'T1 2019 Pipeline Data Lagasco'!$E:$E,'Dec 31 2018 OFFS'!$U713,'T1 2019 Pipeline Data Lagasco'!$G:$G,'Dec 31 2018 OFFS'!$W713))/(MAX(COUNTIFS('T1 2019 Pipeline Data Lagasco'!$A:$A,'Dec 31 2018 OFFS'!$AI713,'T1 2019 Pipeline Data Lagasco'!$Q:$Q,'Dec 31 2018 OFFS'!$AK713,'T1 2019 Pipeline Data Lagasco'!$E:$E,'Dec 31 2018 OFFS'!$U713,'T1 2019 Pipeline Data Lagasco'!$G:$G,'Dec 31 2018 OFFS'!$W713),1))</f>
        <v>153694</v>
      </c>
      <c r="AM713" s="274">
        <f t="shared" si="113"/>
        <v>0</v>
      </c>
    </row>
    <row r="714" spans="1:39" ht="12.7">
      <c r="A714" s="288" t="s">
        <v>909</v>
      </c>
      <c r="B714" s="289" t="s">
        <v>918</v>
      </c>
      <c r="C714" s="289" t="s">
        <v>1266</v>
      </c>
      <c r="D714" s="289" t="s">
        <v>336</v>
      </c>
      <c r="E714" s="289" t="s">
        <v>1054</v>
      </c>
      <c r="F714" s="290" t="s">
        <v>1051</v>
      </c>
      <c r="G714" s="289" t="s">
        <v>340</v>
      </c>
      <c r="H714" s="292">
        <v>42</v>
      </c>
      <c r="I714" s="293">
        <v>28</v>
      </c>
      <c r="J714" s="294">
        <v>8.045</v>
      </c>
      <c r="K714" s="295">
        <v>80</v>
      </c>
      <c r="L714" s="293">
        <v>40</v>
      </c>
      <c r="M714" s="296">
        <v>34.229999999999997</v>
      </c>
      <c r="N714" s="297" t="s">
        <v>335</v>
      </c>
      <c r="O714" s="292">
        <v>42</v>
      </c>
      <c r="P714" s="293">
        <v>27</v>
      </c>
      <c r="Q714" s="294">
        <v>20.151</v>
      </c>
      <c r="R714" s="295">
        <v>80</v>
      </c>
      <c r="S714" s="293">
        <v>39</v>
      </c>
      <c r="T714" s="296">
        <v>54.331000000000003</v>
      </c>
      <c r="U714" s="289">
        <v>2</v>
      </c>
      <c r="V714" s="184">
        <v>8593.3396461499997</v>
      </c>
      <c r="W714" s="298">
        <v>1982</v>
      </c>
      <c r="X714" s="289"/>
      <c r="Y714" s="52"/>
      <c r="Z714" s="289" t="s">
        <v>910</v>
      </c>
      <c r="AA714" s="299">
        <f t="shared" si="106"/>
        <v>0</v>
      </c>
      <c r="AB714" s="300">
        <f t="shared" si="107"/>
        <v>0.80</v>
      </c>
      <c r="AC714" s="299">
        <f t="shared" si="108"/>
        <v>0</v>
      </c>
      <c r="AD714" s="301">
        <f t="shared" si="109"/>
        <v>0</v>
      </c>
      <c r="AE714" s="301">
        <f t="shared" si="110"/>
        <v>0</v>
      </c>
      <c r="AF714" s="301">
        <f t="shared" si="111"/>
        <v>0</v>
      </c>
      <c r="AG714" s="302">
        <f t="shared" si="112"/>
        <v>0</v>
      </c>
      <c r="AH714" s="303"/>
      <c r="AI714" s="186" t="s">
        <v>1458</v>
      </c>
      <c r="AJ714" s="186" t="s">
        <v>1558</v>
      </c>
      <c r="AK714" s="277">
        <f t="shared" si="105"/>
        <v>8593.34</v>
      </c>
      <c r="AL714" s="25">
        <f>(SUMIFS('T1 2019 Pipeline Data Lagasco'!$O:$O,'T1 2019 Pipeline Data Lagasco'!$A:$A,'Dec 31 2018 OFFS'!$AI714,'T1 2019 Pipeline Data Lagasco'!$Q:$Q,'Dec 31 2018 OFFS'!$AK714,'T1 2019 Pipeline Data Lagasco'!$E:$E,'Dec 31 2018 OFFS'!$U714,'T1 2019 Pipeline Data Lagasco'!$G:$G,'Dec 31 2018 OFFS'!$W714))/(MAX(COUNTIFS('T1 2019 Pipeline Data Lagasco'!$A:$A,'Dec 31 2018 OFFS'!$AI714,'T1 2019 Pipeline Data Lagasco'!$Q:$Q,'Dec 31 2018 OFFS'!$AK714,'T1 2019 Pipeline Data Lagasco'!$E:$E,'Dec 31 2018 OFFS'!$U714,'T1 2019 Pipeline Data Lagasco'!$G:$G,'Dec 31 2018 OFFS'!$W714),1))</f>
        <v>0</v>
      </c>
      <c r="AM714" s="274">
        <f t="shared" si="113"/>
        <v>0</v>
      </c>
    </row>
    <row r="715" spans="1:39" ht="12.7">
      <c r="A715" s="193" t="s">
        <v>909</v>
      </c>
      <c r="B715" s="40" t="s">
        <v>918</v>
      </c>
      <c r="C715" s="40" t="s">
        <v>1266</v>
      </c>
      <c r="D715" s="40" t="s">
        <v>336</v>
      </c>
      <c r="E715" s="40" t="s">
        <v>1054</v>
      </c>
      <c r="F715" s="40"/>
      <c r="G715" s="40" t="s">
        <v>340</v>
      </c>
      <c r="H715" s="42">
        <v>42</v>
      </c>
      <c r="I715" s="43">
        <v>28</v>
      </c>
      <c r="J715" s="44">
        <v>8.045</v>
      </c>
      <c r="K715" s="45">
        <v>80</v>
      </c>
      <c r="L715" s="43">
        <v>40</v>
      </c>
      <c r="M715" s="46">
        <v>34.229999999999997</v>
      </c>
      <c r="N715" s="41" t="s">
        <v>337</v>
      </c>
      <c r="O715" s="42">
        <v>42</v>
      </c>
      <c r="P715" s="43">
        <v>28</v>
      </c>
      <c r="Q715" s="44">
        <v>57.966000000000001</v>
      </c>
      <c r="R715" s="45">
        <v>80</v>
      </c>
      <c r="S715" s="43">
        <v>40</v>
      </c>
      <c r="T715" s="46">
        <v>12.098000000000001</v>
      </c>
      <c r="U715" s="40">
        <v>3</v>
      </c>
      <c r="V715" s="47">
        <v>5313</v>
      </c>
      <c r="W715" s="48">
        <v>1975</v>
      </c>
      <c r="X715" s="40"/>
      <c r="Y715" s="52"/>
      <c r="Z715" s="40" t="s">
        <v>910</v>
      </c>
      <c r="AA715" s="49">
        <f t="shared" si="106"/>
        <v>125333.67</v>
      </c>
      <c r="AB715" s="71">
        <f t="shared" si="107"/>
        <v>0.80</v>
      </c>
      <c r="AC715" s="49">
        <f t="shared" si="108"/>
        <v>25066.73</v>
      </c>
      <c r="AD715" s="50">
        <f t="shared" si="109"/>
        <v>0</v>
      </c>
      <c r="AE715" s="50">
        <f t="shared" si="110"/>
        <v>0</v>
      </c>
      <c r="AF715" s="50">
        <f t="shared" si="111"/>
        <v>25066.73</v>
      </c>
      <c r="AG715" s="199">
        <f t="shared" si="112"/>
        <v>25066</v>
      </c>
      <c r="AH715" s="187"/>
      <c r="AI715" s="185" t="s">
        <v>1458</v>
      </c>
      <c r="AJ715" s="185"/>
      <c r="AK715" s="277">
        <f t="shared" si="105"/>
        <v>5313</v>
      </c>
      <c r="AL715" s="25">
        <f>(SUMIFS('T1 2019 Pipeline Data Lagasco'!$O:$O,'T1 2019 Pipeline Data Lagasco'!$A:$A,'Dec 31 2018 OFFS'!$AI715,'T1 2019 Pipeline Data Lagasco'!$Q:$Q,'Dec 31 2018 OFFS'!$AK715,'T1 2019 Pipeline Data Lagasco'!$E:$E,'Dec 31 2018 OFFS'!$U715,'T1 2019 Pipeline Data Lagasco'!$G:$G,'Dec 31 2018 OFFS'!$W715))/(MAX(COUNTIFS('T1 2019 Pipeline Data Lagasco'!$A:$A,'Dec 31 2018 OFFS'!$AI715,'T1 2019 Pipeline Data Lagasco'!$Q:$Q,'Dec 31 2018 OFFS'!$AK715,'T1 2019 Pipeline Data Lagasco'!$E:$E,'Dec 31 2018 OFFS'!$U715,'T1 2019 Pipeline Data Lagasco'!$G:$G,'Dec 31 2018 OFFS'!$W715),1))</f>
        <v>25066</v>
      </c>
      <c r="AM715" s="274">
        <f t="shared" si="113"/>
        <v>0</v>
      </c>
    </row>
    <row r="716" spans="1:39" ht="12.7">
      <c r="A716" s="193" t="s">
        <v>909</v>
      </c>
      <c r="B716" s="40" t="s">
        <v>918</v>
      </c>
      <c r="C716" s="40" t="s">
        <v>1266</v>
      </c>
      <c r="D716" s="40" t="s">
        <v>336</v>
      </c>
      <c r="E716" s="40" t="s">
        <v>1054</v>
      </c>
      <c r="F716" s="40" t="s">
        <v>1051</v>
      </c>
      <c r="G716" s="41" t="s">
        <v>339</v>
      </c>
      <c r="H716" s="42">
        <v>42</v>
      </c>
      <c r="I716" s="43">
        <v>27</v>
      </c>
      <c r="J716" s="44">
        <v>16.38</v>
      </c>
      <c r="K716" s="45">
        <v>80</v>
      </c>
      <c r="L716" s="43">
        <v>41</v>
      </c>
      <c r="M716" s="46">
        <v>18.12</v>
      </c>
      <c r="N716" s="40" t="s">
        <v>340</v>
      </c>
      <c r="O716" s="42">
        <v>42</v>
      </c>
      <c r="P716" s="43">
        <v>28</v>
      </c>
      <c r="Q716" s="44">
        <v>8.045</v>
      </c>
      <c r="R716" s="45">
        <v>80</v>
      </c>
      <c r="S716" s="43">
        <v>40</v>
      </c>
      <c r="T716" s="46">
        <v>34.229999999999997</v>
      </c>
      <c r="U716" s="40">
        <v>2</v>
      </c>
      <c r="V716" s="47">
        <v>6178.6743617479997</v>
      </c>
      <c r="W716" s="48">
        <v>1982</v>
      </c>
      <c r="X716" s="40"/>
      <c r="Y716" s="52"/>
      <c r="Z716" s="40" t="s">
        <v>910</v>
      </c>
      <c r="AA716" s="49">
        <f t="shared" si="106"/>
        <v>0</v>
      </c>
      <c r="AB716" s="71">
        <f t="shared" si="107"/>
        <v>0.80</v>
      </c>
      <c r="AC716" s="49">
        <f t="shared" si="108"/>
        <v>0</v>
      </c>
      <c r="AD716" s="50">
        <f t="shared" si="109"/>
        <v>0</v>
      </c>
      <c r="AE716" s="50">
        <f t="shared" si="110"/>
        <v>0</v>
      </c>
      <c r="AF716" s="50">
        <f t="shared" si="111"/>
        <v>0</v>
      </c>
      <c r="AG716" s="199">
        <f t="shared" si="112"/>
        <v>0</v>
      </c>
      <c r="AH716" s="187"/>
      <c r="AI716" s="185" t="s">
        <v>1458</v>
      </c>
      <c r="AJ716" s="185"/>
      <c r="AK716" s="277">
        <f t="shared" si="105"/>
        <v>6178.67</v>
      </c>
      <c r="AL716" s="25">
        <f>(SUMIFS('T1 2019 Pipeline Data Lagasco'!$O:$O,'T1 2019 Pipeline Data Lagasco'!$A:$A,'Dec 31 2018 OFFS'!$AI716,'T1 2019 Pipeline Data Lagasco'!$Q:$Q,'Dec 31 2018 OFFS'!$AK716,'T1 2019 Pipeline Data Lagasco'!$E:$E,'Dec 31 2018 OFFS'!$U716,'T1 2019 Pipeline Data Lagasco'!$G:$G,'Dec 31 2018 OFFS'!$W716))/(MAX(COUNTIFS('T1 2019 Pipeline Data Lagasco'!$A:$A,'Dec 31 2018 OFFS'!$AI716,'T1 2019 Pipeline Data Lagasco'!$Q:$Q,'Dec 31 2018 OFFS'!$AK716,'T1 2019 Pipeline Data Lagasco'!$E:$E,'Dec 31 2018 OFFS'!$U716,'T1 2019 Pipeline Data Lagasco'!$G:$G,'Dec 31 2018 OFFS'!$W716),1))</f>
        <v>0</v>
      </c>
      <c r="AM716" s="274">
        <f t="shared" si="113"/>
        <v>0</v>
      </c>
    </row>
    <row r="717" spans="1:39" ht="12.7">
      <c r="A717" s="193" t="s">
        <v>909</v>
      </c>
      <c r="B717" s="40" t="s">
        <v>918</v>
      </c>
      <c r="C717" s="40" t="s">
        <v>1266</v>
      </c>
      <c r="D717" s="40" t="s">
        <v>336</v>
      </c>
      <c r="E717" s="40" t="s">
        <v>1054</v>
      </c>
      <c r="F717" s="40"/>
      <c r="G717" s="41" t="s">
        <v>339</v>
      </c>
      <c r="H717" s="42">
        <v>42</v>
      </c>
      <c r="I717" s="43">
        <v>27</v>
      </c>
      <c r="J717" s="44">
        <f>60*0.27</f>
        <v>16.200000000000003</v>
      </c>
      <c r="K717" s="45">
        <v>80</v>
      </c>
      <c r="L717" s="43">
        <v>41</v>
      </c>
      <c r="M717" s="46">
        <f>60*0.291</f>
        <v>17.459999999999997</v>
      </c>
      <c r="N717" s="40" t="s">
        <v>340</v>
      </c>
      <c r="O717" s="42">
        <v>42</v>
      </c>
      <c r="P717" s="43">
        <v>28</v>
      </c>
      <c r="Q717" s="44">
        <f>60*0.143</f>
        <v>8.58</v>
      </c>
      <c r="R717" s="45">
        <v>80</v>
      </c>
      <c r="S717" s="43">
        <v>40</v>
      </c>
      <c r="T717" s="46">
        <f>60*0.566</f>
        <v>33.959999999999994</v>
      </c>
      <c r="U717" s="40">
        <v>3</v>
      </c>
      <c r="V717" s="47">
        <v>6217</v>
      </c>
      <c r="W717" s="48">
        <v>1982</v>
      </c>
      <c r="X717" s="40"/>
      <c r="Y717" s="52"/>
      <c r="Z717" s="40" t="s">
        <v>910</v>
      </c>
      <c r="AA717" s="49">
        <f t="shared" si="106"/>
        <v>146659.03</v>
      </c>
      <c r="AB717" s="71">
        <f t="shared" si="107"/>
        <v>0.80</v>
      </c>
      <c r="AC717" s="49">
        <f t="shared" si="108"/>
        <v>29331.81</v>
      </c>
      <c r="AD717" s="50">
        <f t="shared" si="109"/>
        <v>0</v>
      </c>
      <c r="AE717" s="50">
        <f t="shared" si="110"/>
        <v>0</v>
      </c>
      <c r="AF717" s="50">
        <f t="shared" si="111"/>
        <v>29331.81</v>
      </c>
      <c r="AG717" s="199">
        <f t="shared" si="112"/>
        <v>29331</v>
      </c>
      <c r="AH717" s="187"/>
      <c r="AI717" s="185" t="s">
        <v>1458</v>
      </c>
      <c r="AJ717" s="185"/>
      <c r="AK717" s="277">
        <f t="shared" si="105"/>
        <v>6217</v>
      </c>
      <c r="AL717" s="25">
        <f>(SUMIFS('T1 2019 Pipeline Data Lagasco'!$O:$O,'T1 2019 Pipeline Data Lagasco'!$A:$A,'Dec 31 2018 OFFS'!$AI717,'T1 2019 Pipeline Data Lagasco'!$Q:$Q,'Dec 31 2018 OFFS'!$AK717,'T1 2019 Pipeline Data Lagasco'!$E:$E,'Dec 31 2018 OFFS'!$U717,'T1 2019 Pipeline Data Lagasco'!$G:$G,'Dec 31 2018 OFFS'!$W717))/(MAX(COUNTIFS('T1 2019 Pipeline Data Lagasco'!$A:$A,'Dec 31 2018 OFFS'!$AI717,'T1 2019 Pipeline Data Lagasco'!$Q:$Q,'Dec 31 2018 OFFS'!$AK717,'T1 2019 Pipeline Data Lagasco'!$E:$E,'Dec 31 2018 OFFS'!$U717,'T1 2019 Pipeline Data Lagasco'!$G:$G,'Dec 31 2018 OFFS'!$W717),1))</f>
        <v>29331</v>
      </c>
      <c r="AM717" s="274">
        <f t="shared" si="113"/>
        <v>0</v>
      </c>
    </row>
    <row r="718" spans="1:39" ht="12.7">
      <c r="A718" s="193" t="s">
        <v>909</v>
      </c>
      <c r="B718" s="40" t="s">
        <v>918</v>
      </c>
      <c r="C718" s="40" t="s">
        <v>1266</v>
      </c>
      <c r="D718" s="40" t="s">
        <v>336</v>
      </c>
      <c r="E718" s="40" t="s">
        <v>1054</v>
      </c>
      <c r="F718" s="139" t="s">
        <v>1051</v>
      </c>
      <c r="G718" s="41" t="s">
        <v>1312</v>
      </c>
      <c r="H718" s="42">
        <v>42</v>
      </c>
      <c r="I718" s="43">
        <v>25</v>
      </c>
      <c r="J718" s="44">
        <v>27</v>
      </c>
      <c r="K718" s="45">
        <v>80</v>
      </c>
      <c r="L718" s="43">
        <v>41</v>
      </c>
      <c r="M718" s="46">
        <v>6.96</v>
      </c>
      <c r="N718" s="40" t="s">
        <v>1313</v>
      </c>
      <c r="O718" s="42" t="s">
        <v>78</v>
      </c>
      <c r="P718" s="43">
        <v>25</v>
      </c>
      <c r="Q718" s="44">
        <v>58.20</v>
      </c>
      <c r="R718" s="45" t="s">
        <v>1010</v>
      </c>
      <c r="S718" s="43">
        <v>41</v>
      </c>
      <c r="T718" s="46">
        <v>26.82</v>
      </c>
      <c r="U718" s="40">
        <v>3</v>
      </c>
      <c r="V718" s="47">
        <v>3500</v>
      </c>
      <c r="W718" s="48">
        <v>2008</v>
      </c>
      <c r="X718" s="40"/>
      <c r="Y718" s="52"/>
      <c r="Z718" s="40" t="s">
        <v>910</v>
      </c>
      <c r="AA718" s="49">
        <f t="shared" si="106"/>
        <v>0</v>
      </c>
      <c r="AB718" s="71">
        <f t="shared" si="107"/>
        <v>0.49</v>
      </c>
      <c r="AC718" s="49">
        <f t="shared" si="108"/>
        <v>0</v>
      </c>
      <c r="AD718" s="50">
        <f t="shared" si="109"/>
        <v>0</v>
      </c>
      <c r="AE718" s="50">
        <f t="shared" si="110"/>
        <v>0</v>
      </c>
      <c r="AF718" s="50">
        <f t="shared" si="111"/>
        <v>0</v>
      </c>
      <c r="AG718" s="199">
        <f t="shared" si="112"/>
        <v>0</v>
      </c>
      <c r="AH718" s="187"/>
      <c r="AI718" s="185" t="s">
        <v>1458</v>
      </c>
      <c r="AJ718" s="185"/>
      <c r="AK718" s="277">
        <f t="shared" si="105"/>
        <v>3500</v>
      </c>
      <c r="AL718" s="25">
        <f>(SUMIFS('T1 2019 Pipeline Data Lagasco'!$O:$O,'T1 2019 Pipeline Data Lagasco'!$A:$A,'Dec 31 2018 OFFS'!$AI718,'T1 2019 Pipeline Data Lagasco'!$Q:$Q,'Dec 31 2018 OFFS'!$AK718,'T1 2019 Pipeline Data Lagasco'!$E:$E,'Dec 31 2018 OFFS'!$U718,'T1 2019 Pipeline Data Lagasco'!$G:$G,'Dec 31 2018 OFFS'!$W718))/(MAX(COUNTIFS('T1 2019 Pipeline Data Lagasco'!$A:$A,'Dec 31 2018 OFFS'!$AI718,'T1 2019 Pipeline Data Lagasco'!$Q:$Q,'Dec 31 2018 OFFS'!$AK718,'T1 2019 Pipeline Data Lagasco'!$E:$E,'Dec 31 2018 OFFS'!$U718,'T1 2019 Pipeline Data Lagasco'!$G:$G,'Dec 31 2018 OFFS'!$W718),1))</f>
        <v>0</v>
      </c>
      <c r="AM718" s="274">
        <f t="shared" si="113"/>
        <v>0</v>
      </c>
    </row>
    <row r="719" spans="1:39" ht="12.7">
      <c r="A719" s="193" t="s">
        <v>909</v>
      </c>
      <c r="B719" s="40" t="s">
        <v>918</v>
      </c>
      <c r="C719" s="40" t="s">
        <v>1266</v>
      </c>
      <c r="D719" s="40" t="s">
        <v>336</v>
      </c>
      <c r="E719" s="40" t="s">
        <v>1054</v>
      </c>
      <c r="F719" s="40"/>
      <c r="G719" s="41" t="s">
        <v>1313</v>
      </c>
      <c r="H719" s="42" t="s">
        <v>78</v>
      </c>
      <c r="I719" s="43">
        <v>25</v>
      </c>
      <c r="J719" s="44">
        <v>58.20</v>
      </c>
      <c r="K719" s="45" t="s">
        <v>1010</v>
      </c>
      <c r="L719" s="43">
        <v>41</v>
      </c>
      <c r="M719" s="46">
        <v>26.82</v>
      </c>
      <c r="N719" s="41" t="s">
        <v>1285</v>
      </c>
      <c r="O719" s="42" t="s">
        <v>78</v>
      </c>
      <c r="P719" s="43">
        <v>26</v>
      </c>
      <c r="Q719" s="44">
        <v>36.840000000000003</v>
      </c>
      <c r="R719" s="45">
        <v>80</v>
      </c>
      <c r="S719" s="43">
        <v>41</v>
      </c>
      <c r="T719" s="46">
        <v>32.46</v>
      </c>
      <c r="U719" s="40">
        <v>3</v>
      </c>
      <c r="V719" s="47">
        <v>3919</v>
      </c>
      <c r="W719" s="48">
        <v>2008</v>
      </c>
      <c r="X719" s="40"/>
      <c r="Y719" s="52"/>
      <c r="Z719" s="40" t="s">
        <v>910</v>
      </c>
      <c r="AA719" s="49">
        <f t="shared" si="106"/>
        <v>92449.21</v>
      </c>
      <c r="AB719" s="71">
        <f t="shared" si="107"/>
        <v>0.49</v>
      </c>
      <c r="AC719" s="49">
        <f t="shared" si="108"/>
        <v>47149.10</v>
      </c>
      <c r="AD719" s="50">
        <f t="shared" si="109"/>
        <v>0</v>
      </c>
      <c r="AE719" s="50">
        <f t="shared" si="110"/>
        <v>0</v>
      </c>
      <c r="AF719" s="50">
        <f t="shared" si="111"/>
        <v>47149.10</v>
      </c>
      <c r="AG719" s="199">
        <f t="shared" si="112"/>
        <v>47149</v>
      </c>
      <c r="AH719" s="187"/>
      <c r="AI719" s="185" t="s">
        <v>1458</v>
      </c>
      <c r="AJ719" s="185"/>
      <c r="AK719" s="277">
        <f t="shared" si="105"/>
        <v>3919</v>
      </c>
      <c r="AL719" s="25">
        <f>(SUMIFS('T1 2019 Pipeline Data Lagasco'!$O:$O,'T1 2019 Pipeline Data Lagasco'!$A:$A,'Dec 31 2018 OFFS'!$AI719,'T1 2019 Pipeline Data Lagasco'!$Q:$Q,'Dec 31 2018 OFFS'!$AK719,'T1 2019 Pipeline Data Lagasco'!$E:$E,'Dec 31 2018 OFFS'!$U719,'T1 2019 Pipeline Data Lagasco'!$G:$G,'Dec 31 2018 OFFS'!$W719))/(MAX(COUNTIFS('T1 2019 Pipeline Data Lagasco'!$A:$A,'Dec 31 2018 OFFS'!$AI719,'T1 2019 Pipeline Data Lagasco'!$Q:$Q,'Dec 31 2018 OFFS'!$AK719,'T1 2019 Pipeline Data Lagasco'!$E:$E,'Dec 31 2018 OFFS'!$U719,'T1 2019 Pipeline Data Lagasco'!$G:$G,'Dec 31 2018 OFFS'!$W719),1))</f>
        <v>47149</v>
      </c>
      <c r="AM719" s="274">
        <f t="shared" si="113"/>
        <v>0</v>
      </c>
    </row>
    <row r="720" spans="1:39" ht="12.7">
      <c r="A720" s="193" t="s">
        <v>909</v>
      </c>
      <c r="B720" s="40" t="s">
        <v>918</v>
      </c>
      <c r="C720" s="40" t="s">
        <v>1266</v>
      </c>
      <c r="D720" s="40" t="s">
        <v>336</v>
      </c>
      <c r="E720" s="40" t="s">
        <v>1054</v>
      </c>
      <c r="F720" s="40"/>
      <c r="G720" s="41" t="s">
        <v>1285</v>
      </c>
      <c r="H720" s="42">
        <v>42</v>
      </c>
      <c r="I720" s="43">
        <v>26</v>
      </c>
      <c r="J720" s="44">
        <v>36.840000000000003</v>
      </c>
      <c r="K720" s="45">
        <v>80</v>
      </c>
      <c r="L720" s="43">
        <v>41</v>
      </c>
      <c r="M720" s="46">
        <v>32.46</v>
      </c>
      <c r="N720" s="41" t="s">
        <v>339</v>
      </c>
      <c r="O720" s="42">
        <v>42</v>
      </c>
      <c r="P720" s="43">
        <v>27</v>
      </c>
      <c r="Q720" s="44">
        <v>16.20</v>
      </c>
      <c r="R720" s="45">
        <v>80</v>
      </c>
      <c r="S720" s="43">
        <v>41</v>
      </c>
      <c r="T720" s="46">
        <v>17.46</v>
      </c>
      <c r="U720" s="40">
        <v>3</v>
      </c>
      <c r="V720" s="47">
        <v>4141</v>
      </c>
      <c r="W720" s="48">
        <v>2006</v>
      </c>
      <c r="X720" s="40"/>
      <c r="Y720" s="52"/>
      <c r="Z720" s="40" t="s">
        <v>910</v>
      </c>
      <c r="AA720" s="49">
        <f t="shared" si="106"/>
        <v>97686.19</v>
      </c>
      <c r="AB720" s="71">
        <f t="shared" si="107"/>
        <v>0.52</v>
      </c>
      <c r="AC720" s="49">
        <f t="shared" si="108"/>
        <v>46889.37</v>
      </c>
      <c r="AD720" s="50">
        <f t="shared" si="109"/>
        <v>0</v>
      </c>
      <c r="AE720" s="50">
        <f t="shared" si="110"/>
        <v>0</v>
      </c>
      <c r="AF720" s="50">
        <f t="shared" si="111"/>
        <v>46889.37</v>
      </c>
      <c r="AG720" s="199">
        <f t="shared" si="112"/>
        <v>46889</v>
      </c>
      <c r="AH720" s="187"/>
      <c r="AI720" s="185" t="s">
        <v>1458</v>
      </c>
      <c r="AJ720" s="185"/>
      <c r="AK720" s="277">
        <f t="shared" si="105"/>
        <v>4141</v>
      </c>
      <c r="AL720" s="25">
        <f>(SUMIFS('T1 2019 Pipeline Data Lagasco'!$O:$O,'T1 2019 Pipeline Data Lagasco'!$A:$A,'Dec 31 2018 OFFS'!$AI720,'T1 2019 Pipeline Data Lagasco'!$Q:$Q,'Dec 31 2018 OFFS'!$AK720,'T1 2019 Pipeline Data Lagasco'!$E:$E,'Dec 31 2018 OFFS'!$U720,'T1 2019 Pipeline Data Lagasco'!$G:$G,'Dec 31 2018 OFFS'!$W720))/(MAX(COUNTIFS('T1 2019 Pipeline Data Lagasco'!$A:$A,'Dec 31 2018 OFFS'!$AI720,'T1 2019 Pipeline Data Lagasco'!$Q:$Q,'Dec 31 2018 OFFS'!$AK720,'T1 2019 Pipeline Data Lagasco'!$E:$E,'Dec 31 2018 OFFS'!$U720,'T1 2019 Pipeline Data Lagasco'!$G:$G,'Dec 31 2018 OFFS'!$W720),1))</f>
        <v>46889</v>
      </c>
      <c r="AM720" s="274">
        <f t="shared" si="113"/>
        <v>0</v>
      </c>
    </row>
    <row r="721" spans="1:39" ht="12.7">
      <c r="A721" s="193" t="s">
        <v>909</v>
      </c>
      <c r="B721" s="40" t="s">
        <v>918</v>
      </c>
      <c r="C721" s="40" t="s">
        <v>1266</v>
      </c>
      <c r="D721" s="40" t="s">
        <v>336</v>
      </c>
      <c r="E721" s="40" t="s">
        <v>1054</v>
      </c>
      <c r="F721" s="40" t="s">
        <v>1051</v>
      </c>
      <c r="G721" s="41" t="s">
        <v>940</v>
      </c>
      <c r="H721" s="42">
        <v>42</v>
      </c>
      <c r="I721" s="43">
        <v>29</v>
      </c>
      <c r="J721" s="44">
        <v>10.634</v>
      </c>
      <c r="K721" s="45">
        <v>80</v>
      </c>
      <c r="L721" s="43">
        <v>35</v>
      </c>
      <c r="M721" s="46">
        <v>6.6609999999999996</v>
      </c>
      <c r="N721" s="40" t="s">
        <v>355</v>
      </c>
      <c r="O721" s="42">
        <v>42</v>
      </c>
      <c r="P721" s="43">
        <v>29</v>
      </c>
      <c r="Q721" s="44">
        <v>44.585</v>
      </c>
      <c r="R721" s="45">
        <v>80</v>
      </c>
      <c r="S721" s="43">
        <v>34</v>
      </c>
      <c r="T721" s="44">
        <v>39.064</v>
      </c>
      <c r="U721" s="40">
        <v>4</v>
      </c>
      <c r="V721" s="47">
        <v>4006</v>
      </c>
      <c r="W721" s="48">
        <v>1968</v>
      </c>
      <c r="X721" s="40"/>
      <c r="Y721" s="52"/>
      <c r="Z721" s="40" t="s">
        <v>910</v>
      </c>
      <c r="AA721" s="49">
        <f t="shared" si="106"/>
        <v>0</v>
      </c>
      <c r="AB721" s="71">
        <f t="shared" si="107"/>
        <v>0.80</v>
      </c>
      <c r="AC721" s="49">
        <f t="shared" si="108"/>
        <v>0</v>
      </c>
      <c r="AD721" s="50">
        <f t="shared" si="109"/>
        <v>0</v>
      </c>
      <c r="AE721" s="50">
        <f t="shared" si="110"/>
        <v>0</v>
      </c>
      <c r="AF721" s="50">
        <f t="shared" si="111"/>
        <v>0</v>
      </c>
      <c r="AG721" s="199">
        <f t="shared" si="112"/>
        <v>0</v>
      </c>
      <c r="AH721" s="187"/>
      <c r="AI721" s="185" t="s">
        <v>1458</v>
      </c>
      <c r="AJ721" s="185"/>
      <c r="AK721" s="277">
        <f t="shared" si="105"/>
        <v>4006</v>
      </c>
      <c r="AL721" s="25">
        <f>(SUMIFS('T1 2019 Pipeline Data Lagasco'!$O:$O,'T1 2019 Pipeline Data Lagasco'!$A:$A,'Dec 31 2018 OFFS'!$AI721,'T1 2019 Pipeline Data Lagasco'!$Q:$Q,'Dec 31 2018 OFFS'!$AK721,'T1 2019 Pipeline Data Lagasco'!$E:$E,'Dec 31 2018 OFFS'!$U721,'T1 2019 Pipeline Data Lagasco'!$G:$G,'Dec 31 2018 OFFS'!$W721))/(MAX(COUNTIFS('T1 2019 Pipeline Data Lagasco'!$A:$A,'Dec 31 2018 OFFS'!$AI721,'T1 2019 Pipeline Data Lagasco'!$Q:$Q,'Dec 31 2018 OFFS'!$AK721,'T1 2019 Pipeline Data Lagasco'!$E:$E,'Dec 31 2018 OFFS'!$U721,'T1 2019 Pipeline Data Lagasco'!$G:$G,'Dec 31 2018 OFFS'!$W721),1))</f>
        <v>0</v>
      </c>
      <c r="AM721" s="274">
        <f t="shared" si="113"/>
        <v>0</v>
      </c>
    </row>
    <row r="722" spans="1:39" ht="12.7">
      <c r="A722" s="193" t="s">
        <v>909</v>
      </c>
      <c r="B722" s="40" t="s">
        <v>918</v>
      </c>
      <c r="C722" s="40" t="s">
        <v>1266</v>
      </c>
      <c r="D722" s="40" t="s">
        <v>336</v>
      </c>
      <c r="E722" s="40" t="s">
        <v>1054</v>
      </c>
      <c r="F722" s="40" t="s">
        <v>1051</v>
      </c>
      <c r="G722" s="41" t="s">
        <v>940</v>
      </c>
      <c r="H722" s="42">
        <v>42</v>
      </c>
      <c r="I722" s="43">
        <v>29</v>
      </c>
      <c r="J722" s="44">
        <v>10.634</v>
      </c>
      <c r="K722" s="45">
        <v>80</v>
      </c>
      <c r="L722" s="43">
        <v>35</v>
      </c>
      <c r="M722" s="46">
        <v>6.6609999999999996</v>
      </c>
      <c r="N722" s="41" t="s">
        <v>346</v>
      </c>
      <c r="O722" s="42">
        <v>42</v>
      </c>
      <c r="P722" s="43">
        <v>28</v>
      </c>
      <c r="Q722" s="44">
        <v>28.553999999999998</v>
      </c>
      <c r="R722" s="45">
        <v>80</v>
      </c>
      <c r="S722" s="43">
        <v>35</v>
      </c>
      <c r="T722" s="46">
        <v>41.345</v>
      </c>
      <c r="U722" s="40">
        <v>4</v>
      </c>
      <c r="V722" s="47">
        <v>4984</v>
      </c>
      <c r="W722" s="48">
        <v>1975</v>
      </c>
      <c r="X722" s="40"/>
      <c r="Y722" s="52"/>
      <c r="Z722" s="40" t="s">
        <v>910</v>
      </c>
      <c r="AA722" s="49">
        <f t="shared" si="106"/>
        <v>0</v>
      </c>
      <c r="AB722" s="71">
        <f t="shared" si="107"/>
        <v>0.80</v>
      </c>
      <c r="AC722" s="49">
        <f t="shared" si="108"/>
        <v>0</v>
      </c>
      <c r="AD722" s="50">
        <f t="shared" si="109"/>
        <v>0</v>
      </c>
      <c r="AE722" s="50">
        <f t="shared" si="110"/>
        <v>0</v>
      </c>
      <c r="AF722" s="50">
        <f t="shared" si="111"/>
        <v>0</v>
      </c>
      <c r="AG722" s="199">
        <f t="shared" si="112"/>
        <v>0</v>
      </c>
      <c r="AH722" s="187"/>
      <c r="AI722" s="185" t="s">
        <v>1458</v>
      </c>
      <c r="AJ722" s="185"/>
      <c r="AK722" s="277">
        <f t="shared" si="105"/>
        <v>4984</v>
      </c>
      <c r="AL722" s="25">
        <f>(SUMIFS('T1 2019 Pipeline Data Lagasco'!$O:$O,'T1 2019 Pipeline Data Lagasco'!$A:$A,'Dec 31 2018 OFFS'!$AI722,'T1 2019 Pipeline Data Lagasco'!$Q:$Q,'Dec 31 2018 OFFS'!$AK722,'T1 2019 Pipeline Data Lagasco'!$E:$E,'Dec 31 2018 OFFS'!$U722,'T1 2019 Pipeline Data Lagasco'!$G:$G,'Dec 31 2018 OFFS'!$W722))/(MAX(COUNTIFS('T1 2019 Pipeline Data Lagasco'!$A:$A,'Dec 31 2018 OFFS'!$AI722,'T1 2019 Pipeline Data Lagasco'!$Q:$Q,'Dec 31 2018 OFFS'!$AK722,'T1 2019 Pipeline Data Lagasco'!$E:$E,'Dec 31 2018 OFFS'!$U722,'T1 2019 Pipeline Data Lagasco'!$G:$G,'Dec 31 2018 OFFS'!$W722),1))</f>
        <v>0</v>
      </c>
      <c r="AM722" s="274">
        <f t="shared" si="113"/>
        <v>0</v>
      </c>
    </row>
    <row r="723" spans="1:39" ht="12.7">
      <c r="A723" s="193" t="s">
        <v>909</v>
      </c>
      <c r="B723" s="40" t="s">
        <v>918</v>
      </c>
      <c r="C723" s="40" t="s">
        <v>1266</v>
      </c>
      <c r="D723" s="40" t="s">
        <v>336</v>
      </c>
      <c r="E723" s="40" t="s">
        <v>1054</v>
      </c>
      <c r="F723" s="40"/>
      <c r="G723" s="40" t="s">
        <v>1310</v>
      </c>
      <c r="H723" s="42">
        <v>42</v>
      </c>
      <c r="I723" s="43">
        <v>29</v>
      </c>
      <c r="J723" s="44">
        <f>60*0.155</f>
        <v>9.3000000000000007</v>
      </c>
      <c r="K723" s="45">
        <v>80</v>
      </c>
      <c r="L723" s="43">
        <v>37</v>
      </c>
      <c r="M723" s="46">
        <f>60*0.015</f>
        <v>0.89999999999999991</v>
      </c>
      <c r="N723" s="40" t="s">
        <v>1295</v>
      </c>
      <c r="O723" s="42">
        <v>42</v>
      </c>
      <c r="P723" s="43">
        <v>29</v>
      </c>
      <c r="Q723" s="44">
        <f>60*0.537</f>
        <v>32.22</v>
      </c>
      <c r="R723" s="45">
        <v>80</v>
      </c>
      <c r="S723" s="43">
        <v>38</v>
      </c>
      <c r="T723" s="46">
        <f>60*0.604</f>
        <v>36.24</v>
      </c>
      <c r="U723" s="40">
        <v>4</v>
      </c>
      <c r="V723" s="47">
        <v>7480</v>
      </c>
      <c r="W723" s="48">
        <v>2005</v>
      </c>
      <c r="X723" s="139"/>
      <c r="Y723" s="52"/>
      <c r="Z723" s="40" t="s">
        <v>910</v>
      </c>
      <c r="AA723" s="49">
        <f t="shared" si="106"/>
        <v>197846</v>
      </c>
      <c r="AB723" s="71">
        <f t="shared" si="107"/>
        <v>0.54</v>
      </c>
      <c r="AC723" s="49">
        <f t="shared" si="108"/>
        <v>91009.16</v>
      </c>
      <c r="AD723" s="50">
        <f t="shared" si="109"/>
        <v>0</v>
      </c>
      <c r="AE723" s="50">
        <f t="shared" si="110"/>
        <v>0</v>
      </c>
      <c r="AF723" s="50">
        <f t="shared" si="111"/>
        <v>91009.16</v>
      </c>
      <c r="AG723" s="199">
        <f t="shared" si="112"/>
        <v>91009</v>
      </c>
      <c r="AH723" s="187"/>
      <c r="AI723" s="185" t="s">
        <v>1458</v>
      </c>
      <c r="AJ723" s="185"/>
      <c r="AK723" s="282">
        <f t="shared" si="105"/>
        <v>7480</v>
      </c>
      <c r="AL723" s="25">
        <f>(SUMIFS('T1 2019 Pipeline Data Lagasco'!$O:$O,'T1 2019 Pipeline Data Lagasco'!$A:$A,'Dec 31 2018 OFFS'!$AI723,'T1 2019 Pipeline Data Lagasco'!$Q:$Q,'Dec 31 2018 OFFS'!$AK723,'T1 2019 Pipeline Data Lagasco'!$E:$E,'Dec 31 2018 OFFS'!$U723,'T1 2019 Pipeline Data Lagasco'!$G:$G,'Dec 31 2018 OFFS'!$W723))/(MAX(COUNTIFS('T1 2019 Pipeline Data Lagasco'!$A:$A,'Dec 31 2018 OFFS'!$AI723,'T1 2019 Pipeline Data Lagasco'!$Q:$Q,'Dec 31 2018 OFFS'!$AK723,'T1 2019 Pipeline Data Lagasco'!$E:$E,'Dec 31 2018 OFFS'!$U723,'T1 2019 Pipeline Data Lagasco'!$G:$G,'Dec 31 2018 OFFS'!$W723),1))</f>
        <v>91009</v>
      </c>
      <c r="AM723" s="274">
        <f t="shared" si="113"/>
        <v>0</v>
      </c>
    </row>
    <row r="724" spans="1:39" ht="12.7">
      <c r="A724" s="193" t="s">
        <v>909</v>
      </c>
      <c r="B724" s="40" t="s">
        <v>918</v>
      </c>
      <c r="C724" s="40" t="s">
        <v>1266</v>
      </c>
      <c r="D724" s="40" t="s">
        <v>336</v>
      </c>
      <c r="E724" s="40" t="s">
        <v>1054</v>
      </c>
      <c r="F724" s="40"/>
      <c r="G724" s="40" t="s">
        <v>1310</v>
      </c>
      <c r="H724" s="42">
        <v>42</v>
      </c>
      <c r="I724" s="43">
        <v>29</v>
      </c>
      <c r="J724" s="44">
        <v>9.3000000000000007</v>
      </c>
      <c r="K724" s="45">
        <v>80</v>
      </c>
      <c r="L724" s="43">
        <v>37</v>
      </c>
      <c r="M724" s="46">
        <v>9</v>
      </c>
      <c r="N724" s="40" t="s">
        <v>1326</v>
      </c>
      <c r="O724" s="42" t="s">
        <v>78</v>
      </c>
      <c r="P724" s="43">
        <v>29</v>
      </c>
      <c r="Q724" s="44">
        <v>36.90</v>
      </c>
      <c r="R724" s="45" t="s">
        <v>1010</v>
      </c>
      <c r="S724" s="43">
        <v>36</v>
      </c>
      <c r="T724" s="46">
        <v>58.14</v>
      </c>
      <c r="U724" s="40">
        <v>3</v>
      </c>
      <c r="V724" s="47">
        <v>2803</v>
      </c>
      <c r="W724" s="48">
        <v>1998</v>
      </c>
      <c r="X724" s="40"/>
      <c r="Y724" s="52"/>
      <c r="Z724" s="40" t="s">
        <v>910</v>
      </c>
      <c r="AA724" s="49">
        <f t="shared" si="106"/>
        <v>66122.77</v>
      </c>
      <c r="AB724" s="71">
        <f t="shared" si="107"/>
        <v>0.63</v>
      </c>
      <c r="AC724" s="49">
        <f t="shared" si="108"/>
        <v>24465.42</v>
      </c>
      <c r="AD724" s="50">
        <f t="shared" si="109"/>
        <v>0</v>
      </c>
      <c r="AE724" s="50">
        <f t="shared" si="110"/>
        <v>0</v>
      </c>
      <c r="AF724" s="50">
        <f t="shared" si="111"/>
        <v>24465.42</v>
      </c>
      <c r="AG724" s="199">
        <f t="shared" si="112"/>
        <v>24465</v>
      </c>
      <c r="AH724" s="187"/>
      <c r="AI724" s="185" t="s">
        <v>1458</v>
      </c>
      <c r="AJ724" s="185"/>
      <c r="AK724" s="277">
        <f t="shared" si="105"/>
        <v>2803</v>
      </c>
      <c r="AL724" s="25">
        <f>(SUMIFS('T1 2019 Pipeline Data Lagasco'!$O:$O,'T1 2019 Pipeline Data Lagasco'!$A:$A,'Dec 31 2018 OFFS'!$AI724,'T1 2019 Pipeline Data Lagasco'!$Q:$Q,'Dec 31 2018 OFFS'!$AK724,'T1 2019 Pipeline Data Lagasco'!$E:$E,'Dec 31 2018 OFFS'!$U724,'T1 2019 Pipeline Data Lagasco'!$G:$G,'Dec 31 2018 OFFS'!$W724))/(MAX(COUNTIFS('T1 2019 Pipeline Data Lagasco'!$A:$A,'Dec 31 2018 OFFS'!$AI724,'T1 2019 Pipeline Data Lagasco'!$Q:$Q,'Dec 31 2018 OFFS'!$AK724,'T1 2019 Pipeline Data Lagasco'!$E:$E,'Dec 31 2018 OFFS'!$U724,'T1 2019 Pipeline Data Lagasco'!$G:$G,'Dec 31 2018 OFFS'!$W724),1))</f>
        <v>24465</v>
      </c>
      <c r="AM724" s="274">
        <f t="shared" si="113"/>
        <v>0</v>
      </c>
    </row>
    <row r="725" spans="1:39" ht="12.7">
      <c r="A725" s="193" t="s">
        <v>909</v>
      </c>
      <c r="B725" s="40" t="s">
        <v>918</v>
      </c>
      <c r="C725" s="40" t="s">
        <v>1266</v>
      </c>
      <c r="D725" s="40" t="s">
        <v>336</v>
      </c>
      <c r="E725" s="40" t="s">
        <v>1054</v>
      </c>
      <c r="F725" s="139" t="s">
        <v>1051</v>
      </c>
      <c r="G725" s="40" t="s">
        <v>1326</v>
      </c>
      <c r="H725" s="42" t="s">
        <v>78</v>
      </c>
      <c r="I725" s="43">
        <v>29</v>
      </c>
      <c r="J725" s="44">
        <v>36.90</v>
      </c>
      <c r="K725" s="45" t="s">
        <v>1010</v>
      </c>
      <c r="L725" s="43">
        <v>36</v>
      </c>
      <c r="M725" s="46">
        <v>58.14</v>
      </c>
      <c r="N725" s="40" t="s">
        <v>1311</v>
      </c>
      <c r="O725" s="42">
        <v>42</v>
      </c>
      <c r="P725" s="43">
        <v>30</v>
      </c>
      <c r="Q725" s="44">
        <v>17.209</v>
      </c>
      <c r="R725" s="45">
        <v>80</v>
      </c>
      <c r="S725" s="43">
        <v>36</v>
      </c>
      <c r="T725" s="46">
        <v>52.585999999999999</v>
      </c>
      <c r="U725" s="40">
        <v>3</v>
      </c>
      <c r="V725" s="47">
        <v>4122</v>
      </c>
      <c r="W725" s="48">
        <v>1998</v>
      </c>
      <c r="X725" s="40"/>
      <c r="Y725" s="52"/>
      <c r="Z725" s="40" t="s">
        <v>910</v>
      </c>
      <c r="AA725" s="49">
        <f t="shared" si="106"/>
        <v>0</v>
      </c>
      <c r="AB725" s="71">
        <f t="shared" si="107"/>
        <v>0.63</v>
      </c>
      <c r="AC725" s="49">
        <f t="shared" si="108"/>
        <v>0</v>
      </c>
      <c r="AD725" s="50">
        <f t="shared" si="109"/>
        <v>0</v>
      </c>
      <c r="AE725" s="50">
        <f t="shared" si="110"/>
        <v>0</v>
      </c>
      <c r="AF725" s="50">
        <f t="shared" si="111"/>
        <v>0</v>
      </c>
      <c r="AG725" s="199">
        <f t="shared" si="112"/>
        <v>0</v>
      </c>
      <c r="AH725" s="187"/>
      <c r="AI725" s="185" t="s">
        <v>1458</v>
      </c>
      <c r="AJ725" s="185"/>
      <c r="AK725" s="277">
        <f t="shared" si="105"/>
        <v>4122</v>
      </c>
      <c r="AL725" s="25">
        <f>(SUMIFS('T1 2019 Pipeline Data Lagasco'!$O:$O,'T1 2019 Pipeline Data Lagasco'!$A:$A,'Dec 31 2018 OFFS'!$AI725,'T1 2019 Pipeline Data Lagasco'!$Q:$Q,'Dec 31 2018 OFFS'!$AK725,'T1 2019 Pipeline Data Lagasco'!$E:$E,'Dec 31 2018 OFFS'!$U725,'T1 2019 Pipeline Data Lagasco'!$G:$G,'Dec 31 2018 OFFS'!$W725))/(MAX(COUNTIFS('T1 2019 Pipeline Data Lagasco'!$A:$A,'Dec 31 2018 OFFS'!$AI725,'T1 2019 Pipeline Data Lagasco'!$Q:$Q,'Dec 31 2018 OFFS'!$AK725,'T1 2019 Pipeline Data Lagasco'!$E:$E,'Dec 31 2018 OFFS'!$U725,'T1 2019 Pipeline Data Lagasco'!$G:$G,'Dec 31 2018 OFFS'!$W725),1))</f>
        <v>0</v>
      </c>
      <c r="AM725" s="274">
        <f t="shared" si="113"/>
        <v>0</v>
      </c>
    </row>
    <row r="726" spans="1:39" ht="12.7">
      <c r="A726" s="193" t="s">
        <v>909</v>
      </c>
      <c r="B726" s="40" t="s">
        <v>918</v>
      </c>
      <c r="C726" s="40" t="s">
        <v>1266</v>
      </c>
      <c r="D726" s="40" t="s">
        <v>336</v>
      </c>
      <c r="E726" s="40" t="s">
        <v>1054</v>
      </c>
      <c r="F726" s="139" t="s">
        <v>1051</v>
      </c>
      <c r="G726" s="40" t="s">
        <v>1326</v>
      </c>
      <c r="H726" s="42" t="s">
        <v>78</v>
      </c>
      <c r="I726" s="43">
        <v>29</v>
      </c>
      <c r="J726" s="44">
        <v>36.90</v>
      </c>
      <c r="K726" s="45" t="s">
        <v>1010</v>
      </c>
      <c r="L726" s="43">
        <v>36</v>
      </c>
      <c r="M726" s="46">
        <v>58.14</v>
      </c>
      <c r="N726" s="40" t="s">
        <v>342</v>
      </c>
      <c r="O726" s="42" t="s">
        <v>78</v>
      </c>
      <c r="P726" s="43">
        <v>30</v>
      </c>
      <c r="Q726" s="44">
        <v>0</v>
      </c>
      <c r="R726" s="45" t="s">
        <v>1010</v>
      </c>
      <c r="S726" s="43">
        <v>37</v>
      </c>
      <c r="T726" s="46">
        <v>0</v>
      </c>
      <c r="U726" s="40">
        <v>3</v>
      </c>
      <c r="V726" s="47">
        <v>1398</v>
      </c>
      <c r="W726" s="48">
        <v>2002</v>
      </c>
      <c r="X726" s="40"/>
      <c r="Y726" s="52"/>
      <c r="Z726" s="40" t="s">
        <v>910</v>
      </c>
      <c r="AA726" s="49">
        <f t="shared" si="106"/>
        <v>0</v>
      </c>
      <c r="AB726" s="71">
        <f t="shared" si="107"/>
        <v>0.56999999999999995</v>
      </c>
      <c r="AC726" s="49">
        <f t="shared" si="108"/>
        <v>0</v>
      </c>
      <c r="AD726" s="50">
        <f t="shared" si="109"/>
        <v>0</v>
      </c>
      <c r="AE726" s="50">
        <f t="shared" si="110"/>
        <v>0</v>
      </c>
      <c r="AF726" s="50">
        <f t="shared" si="111"/>
        <v>0</v>
      </c>
      <c r="AG726" s="199">
        <f t="shared" si="112"/>
        <v>0</v>
      </c>
      <c r="AH726" s="187"/>
      <c r="AI726" s="185" t="s">
        <v>1458</v>
      </c>
      <c r="AJ726" s="185"/>
      <c r="AK726" s="277">
        <f t="shared" si="105"/>
        <v>1398</v>
      </c>
      <c r="AL726" s="25">
        <f>(SUMIFS('T1 2019 Pipeline Data Lagasco'!$O:$O,'T1 2019 Pipeline Data Lagasco'!$A:$A,'Dec 31 2018 OFFS'!$AI726,'T1 2019 Pipeline Data Lagasco'!$Q:$Q,'Dec 31 2018 OFFS'!$AK726,'T1 2019 Pipeline Data Lagasco'!$E:$E,'Dec 31 2018 OFFS'!$U726,'T1 2019 Pipeline Data Lagasco'!$G:$G,'Dec 31 2018 OFFS'!$W726))/(MAX(COUNTIFS('T1 2019 Pipeline Data Lagasco'!$A:$A,'Dec 31 2018 OFFS'!$AI726,'T1 2019 Pipeline Data Lagasco'!$Q:$Q,'Dec 31 2018 OFFS'!$AK726,'T1 2019 Pipeline Data Lagasco'!$E:$E,'Dec 31 2018 OFFS'!$U726,'T1 2019 Pipeline Data Lagasco'!$G:$G,'Dec 31 2018 OFFS'!$W726),1))</f>
        <v>0</v>
      </c>
      <c r="AM726" s="274">
        <f t="shared" si="113"/>
        <v>0</v>
      </c>
    </row>
    <row r="727" spans="1:39" ht="12.7">
      <c r="A727" s="193" t="s">
        <v>909</v>
      </c>
      <c r="B727" s="40" t="s">
        <v>918</v>
      </c>
      <c r="C727" s="40" t="s">
        <v>1266</v>
      </c>
      <c r="D727" s="40" t="s">
        <v>336</v>
      </c>
      <c r="E727" s="40" t="s">
        <v>1054</v>
      </c>
      <c r="F727" s="40" t="s">
        <v>1051</v>
      </c>
      <c r="G727" s="41" t="s">
        <v>341</v>
      </c>
      <c r="H727" s="42">
        <v>42</v>
      </c>
      <c r="I727" s="43">
        <v>29</v>
      </c>
      <c r="J727" s="44">
        <v>50.223999999999997</v>
      </c>
      <c r="K727" s="45">
        <v>80</v>
      </c>
      <c r="L727" s="43">
        <v>38</v>
      </c>
      <c r="M727" s="46">
        <v>21.094000000000001</v>
      </c>
      <c r="N727" s="40" t="s">
        <v>342</v>
      </c>
      <c r="O727" s="42">
        <v>42</v>
      </c>
      <c r="P727" s="43">
        <v>29</v>
      </c>
      <c r="Q727" s="44">
        <v>37.130000000000003</v>
      </c>
      <c r="R727" s="45">
        <v>80</v>
      </c>
      <c r="S727" s="43">
        <v>37</v>
      </c>
      <c r="T727" s="46">
        <v>16.533999999999999</v>
      </c>
      <c r="U727" s="40">
        <v>2</v>
      </c>
      <c r="V727" s="47">
        <v>5014.80</v>
      </c>
      <c r="W727" s="48">
        <v>1984</v>
      </c>
      <c r="X727" s="40"/>
      <c r="Y727" s="52"/>
      <c r="Z727" s="40" t="s">
        <v>910</v>
      </c>
      <c r="AA727" s="49">
        <f t="shared" si="106"/>
        <v>0</v>
      </c>
      <c r="AB727" s="71">
        <f t="shared" si="107"/>
        <v>0.80</v>
      </c>
      <c r="AC727" s="49">
        <f t="shared" si="108"/>
        <v>0</v>
      </c>
      <c r="AD727" s="50">
        <f t="shared" si="109"/>
        <v>0</v>
      </c>
      <c r="AE727" s="50">
        <f t="shared" si="110"/>
        <v>0</v>
      </c>
      <c r="AF727" s="50">
        <f t="shared" si="111"/>
        <v>0</v>
      </c>
      <c r="AG727" s="199">
        <f t="shared" si="112"/>
        <v>0</v>
      </c>
      <c r="AH727" s="187"/>
      <c r="AI727" s="185" t="s">
        <v>1458</v>
      </c>
      <c r="AJ727" s="185"/>
      <c r="AK727" s="277">
        <f t="shared" si="105"/>
        <v>5014.80</v>
      </c>
      <c r="AL727" s="25">
        <f>(SUMIFS('T1 2019 Pipeline Data Lagasco'!$O:$O,'T1 2019 Pipeline Data Lagasco'!$A:$A,'Dec 31 2018 OFFS'!$AI727,'T1 2019 Pipeline Data Lagasco'!$Q:$Q,'Dec 31 2018 OFFS'!$AK727,'T1 2019 Pipeline Data Lagasco'!$E:$E,'Dec 31 2018 OFFS'!$U727,'T1 2019 Pipeline Data Lagasco'!$G:$G,'Dec 31 2018 OFFS'!$W727))/(MAX(COUNTIFS('T1 2019 Pipeline Data Lagasco'!$A:$A,'Dec 31 2018 OFFS'!$AI727,'T1 2019 Pipeline Data Lagasco'!$Q:$Q,'Dec 31 2018 OFFS'!$AK727,'T1 2019 Pipeline Data Lagasco'!$E:$E,'Dec 31 2018 OFFS'!$U727,'T1 2019 Pipeline Data Lagasco'!$G:$G,'Dec 31 2018 OFFS'!$W727),1))</f>
        <v>0</v>
      </c>
      <c r="AM727" s="274">
        <f t="shared" si="113"/>
        <v>0</v>
      </c>
    </row>
    <row r="728" spans="1:39" ht="12.7">
      <c r="A728" s="193" t="s">
        <v>909</v>
      </c>
      <c r="B728" s="40" t="s">
        <v>918</v>
      </c>
      <c r="C728" s="40" t="s">
        <v>1266</v>
      </c>
      <c r="D728" s="40" t="s">
        <v>336</v>
      </c>
      <c r="E728" s="40" t="s">
        <v>1054</v>
      </c>
      <c r="F728" s="40" t="s">
        <v>1051</v>
      </c>
      <c r="G728" s="41" t="s">
        <v>338</v>
      </c>
      <c r="H728" s="42">
        <v>42</v>
      </c>
      <c r="I728" s="43">
        <v>29</v>
      </c>
      <c r="J728" s="44">
        <v>7.9119999999999999</v>
      </c>
      <c r="K728" s="45">
        <v>80</v>
      </c>
      <c r="L728" s="43">
        <v>39</v>
      </c>
      <c r="M728" s="46">
        <v>48.652999999999999</v>
      </c>
      <c r="N728" s="40" t="s">
        <v>341</v>
      </c>
      <c r="O728" s="42">
        <v>42</v>
      </c>
      <c r="P728" s="43">
        <v>29</v>
      </c>
      <c r="Q728" s="44">
        <v>50.223999999999997</v>
      </c>
      <c r="R728" s="45">
        <v>80</v>
      </c>
      <c r="S728" s="43">
        <v>38</v>
      </c>
      <c r="T728" s="44">
        <v>21.094000000000001</v>
      </c>
      <c r="U728" s="40">
        <v>2</v>
      </c>
      <c r="V728" s="47">
        <v>7834.42</v>
      </c>
      <c r="W728" s="48">
        <v>1982</v>
      </c>
      <c r="X728" s="40"/>
      <c r="Y728" s="52"/>
      <c r="Z728" s="40" t="s">
        <v>910</v>
      </c>
      <c r="AA728" s="49">
        <f t="shared" si="106"/>
        <v>0</v>
      </c>
      <c r="AB728" s="71">
        <f t="shared" si="107"/>
        <v>0.80</v>
      </c>
      <c r="AC728" s="49">
        <f t="shared" si="108"/>
        <v>0</v>
      </c>
      <c r="AD728" s="50">
        <f t="shared" si="109"/>
        <v>0</v>
      </c>
      <c r="AE728" s="50">
        <f t="shared" si="110"/>
        <v>0</v>
      </c>
      <c r="AF728" s="50">
        <f t="shared" si="111"/>
        <v>0</v>
      </c>
      <c r="AG728" s="199">
        <f t="shared" si="112"/>
        <v>0</v>
      </c>
      <c r="AH728" s="187"/>
      <c r="AI728" s="185" t="s">
        <v>1458</v>
      </c>
      <c r="AJ728" s="185"/>
      <c r="AK728" s="277">
        <f t="shared" si="105"/>
        <v>7834.42</v>
      </c>
      <c r="AL728" s="25">
        <f>(SUMIFS('T1 2019 Pipeline Data Lagasco'!$O:$O,'T1 2019 Pipeline Data Lagasco'!$A:$A,'Dec 31 2018 OFFS'!$AI728,'T1 2019 Pipeline Data Lagasco'!$Q:$Q,'Dec 31 2018 OFFS'!$AK728,'T1 2019 Pipeline Data Lagasco'!$E:$E,'Dec 31 2018 OFFS'!$U728,'T1 2019 Pipeline Data Lagasco'!$G:$G,'Dec 31 2018 OFFS'!$W728))/(MAX(COUNTIFS('T1 2019 Pipeline Data Lagasco'!$A:$A,'Dec 31 2018 OFFS'!$AI728,'T1 2019 Pipeline Data Lagasco'!$Q:$Q,'Dec 31 2018 OFFS'!$AK728,'T1 2019 Pipeline Data Lagasco'!$E:$E,'Dec 31 2018 OFFS'!$U728,'T1 2019 Pipeline Data Lagasco'!$G:$G,'Dec 31 2018 OFFS'!$W728),1))</f>
        <v>0</v>
      </c>
      <c r="AM728" s="274">
        <f t="shared" si="113"/>
        <v>0</v>
      </c>
    </row>
    <row r="729" spans="1:39" ht="12.7">
      <c r="A729" s="193" t="s">
        <v>909</v>
      </c>
      <c r="B729" s="40" t="s">
        <v>918</v>
      </c>
      <c r="C729" s="40" t="s">
        <v>1266</v>
      </c>
      <c r="D729" s="40" t="s">
        <v>336</v>
      </c>
      <c r="E729" s="40" t="s">
        <v>1054</v>
      </c>
      <c r="F729" s="40" t="s">
        <v>1051</v>
      </c>
      <c r="G729" s="41" t="s">
        <v>338</v>
      </c>
      <c r="H729" s="42">
        <v>42</v>
      </c>
      <c r="I729" s="43">
        <v>29</v>
      </c>
      <c r="J729" s="44">
        <v>7.9119999999999999</v>
      </c>
      <c r="K729" s="45">
        <v>80</v>
      </c>
      <c r="L729" s="43">
        <v>39</v>
      </c>
      <c r="M729" s="46">
        <v>48.652999999999999</v>
      </c>
      <c r="N729" s="40" t="s">
        <v>343</v>
      </c>
      <c r="O729" s="42">
        <v>42</v>
      </c>
      <c r="P729" s="43">
        <v>28</v>
      </c>
      <c r="Q729" s="44">
        <v>43.68</v>
      </c>
      <c r="R729" s="45">
        <v>80</v>
      </c>
      <c r="S729" s="43">
        <v>37</v>
      </c>
      <c r="T729" s="46">
        <v>53.88</v>
      </c>
      <c r="U729" s="40">
        <v>4</v>
      </c>
      <c r="V729" s="47">
        <v>8942.91</v>
      </c>
      <c r="W729" s="48">
        <v>1975</v>
      </c>
      <c r="X729" s="40"/>
      <c r="Y729" s="52"/>
      <c r="Z729" s="40" t="s">
        <v>910</v>
      </c>
      <c r="AA729" s="49">
        <f t="shared" si="106"/>
        <v>0</v>
      </c>
      <c r="AB729" s="71">
        <f t="shared" si="107"/>
        <v>0.80</v>
      </c>
      <c r="AC729" s="49">
        <f t="shared" si="108"/>
        <v>0</v>
      </c>
      <c r="AD729" s="50">
        <f t="shared" si="109"/>
        <v>0</v>
      </c>
      <c r="AE729" s="50">
        <f t="shared" si="110"/>
        <v>0</v>
      </c>
      <c r="AF729" s="50">
        <f t="shared" si="111"/>
        <v>0</v>
      </c>
      <c r="AG729" s="199">
        <f t="shared" si="112"/>
        <v>0</v>
      </c>
      <c r="AH729" s="187"/>
      <c r="AI729" s="185" t="s">
        <v>1458</v>
      </c>
      <c r="AJ729" s="185"/>
      <c r="AK729" s="277">
        <f t="shared" si="105"/>
        <v>8942.91</v>
      </c>
      <c r="AL729" s="25">
        <f>(SUMIFS('T1 2019 Pipeline Data Lagasco'!$O:$O,'T1 2019 Pipeline Data Lagasco'!$A:$A,'Dec 31 2018 OFFS'!$AI729,'T1 2019 Pipeline Data Lagasco'!$Q:$Q,'Dec 31 2018 OFFS'!$AK729,'T1 2019 Pipeline Data Lagasco'!$E:$E,'Dec 31 2018 OFFS'!$U729,'T1 2019 Pipeline Data Lagasco'!$G:$G,'Dec 31 2018 OFFS'!$W729))/(MAX(COUNTIFS('T1 2019 Pipeline Data Lagasco'!$A:$A,'Dec 31 2018 OFFS'!$AI729,'T1 2019 Pipeline Data Lagasco'!$Q:$Q,'Dec 31 2018 OFFS'!$AK729,'T1 2019 Pipeline Data Lagasco'!$E:$E,'Dec 31 2018 OFFS'!$U729,'T1 2019 Pipeline Data Lagasco'!$G:$G,'Dec 31 2018 OFFS'!$W729),1))</f>
        <v>0</v>
      </c>
      <c r="AM729" s="274">
        <f t="shared" si="113"/>
        <v>0</v>
      </c>
    </row>
    <row r="730" spans="1:39" ht="12.7">
      <c r="A730" s="193" t="s">
        <v>909</v>
      </c>
      <c r="B730" s="40" t="s">
        <v>918</v>
      </c>
      <c r="C730" s="40" t="s">
        <v>1266</v>
      </c>
      <c r="D730" s="40" t="s">
        <v>336</v>
      </c>
      <c r="E730" s="40" t="s">
        <v>1054</v>
      </c>
      <c r="F730" s="40" t="s">
        <v>1051</v>
      </c>
      <c r="G730" s="41" t="s">
        <v>343</v>
      </c>
      <c r="H730" s="42">
        <v>42</v>
      </c>
      <c r="I730" s="43">
        <v>28</v>
      </c>
      <c r="J730" s="44">
        <v>43.68</v>
      </c>
      <c r="K730" s="45">
        <v>80</v>
      </c>
      <c r="L730" s="43">
        <v>37</v>
      </c>
      <c r="M730" s="46">
        <v>53.88</v>
      </c>
      <c r="N730" s="40" t="s">
        <v>344</v>
      </c>
      <c r="O730" s="42">
        <v>42</v>
      </c>
      <c r="P730" s="43">
        <v>28</v>
      </c>
      <c r="Q730" s="44">
        <v>15</v>
      </c>
      <c r="R730" s="45">
        <v>80</v>
      </c>
      <c r="S730" s="43">
        <v>37</v>
      </c>
      <c r="T730" s="46">
        <v>51</v>
      </c>
      <c r="U730" s="40">
        <v>2</v>
      </c>
      <c r="V730" s="47">
        <v>2911.29</v>
      </c>
      <c r="W730" s="48">
        <v>1985</v>
      </c>
      <c r="X730" s="40"/>
      <c r="Y730" s="52"/>
      <c r="Z730" s="40" t="s">
        <v>910</v>
      </c>
      <c r="AA730" s="49">
        <f t="shared" si="106"/>
        <v>0</v>
      </c>
      <c r="AB730" s="71">
        <f t="shared" si="107"/>
        <v>0.80</v>
      </c>
      <c r="AC730" s="49">
        <f t="shared" si="108"/>
        <v>0</v>
      </c>
      <c r="AD730" s="50">
        <f t="shared" si="109"/>
        <v>0</v>
      </c>
      <c r="AE730" s="50">
        <f t="shared" si="110"/>
        <v>0</v>
      </c>
      <c r="AF730" s="50">
        <f t="shared" si="111"/>
        <v>0</v>
      </c>
      <c r="AG730" s="199">
        <f t="shared" si="112"/>
        <v>0</v>
      </c>
      <c r="AH730" s="187"/>
      <c r="AI730" s="185" t="s">
        <v>1458</v>
      </c>
      <c r="AJ730" s="185"/>
      <c r="AK730" s="277">
        <f t="shared" si="105"/>
        <v>2911.29</v>
      </c>
      <c r="AL730" s="25">
        <f>(SUMIFS('T1 2019 Pipeline Data Lagasco'!$O:$O,'T1 2019 Pipeline Data Lagasco'!$A:$A,'Dec 31 2018 OFFS'!$AI730,'T1 2019 Pipeline Data Lagasco'!$Q:$Q,'Dec 31 2018 OFFS'!$AK730,'T1 2019 Pipeline Data Lagasco'!$E:$E,'Dec 31 2018 OFFS'!$U730,'T1 2019 Pipeline Data Lagasco'!$G:$G,'Dec 31 2018 OFFS'!$W730))/(MAX(COUNTIFS('T1 2019 Pipeline Data Lagasco'!$A:$A,'Dec 31 2018 OFFS'!$AI730,'T1 2019 Pipeline Data Lagasco'!$Q:$Q,'Dec 31 2018 OFFS'!$AK730,'T1 2019 Pipeline Data Lagasco'!$E:$E,'Dec 31 2018 OFFS'!$U730,'T1 2019 Pipeline Data Lagasco'!$G:$G,'Dec 31 2018 OFFS'!$W730),1))</f>
        <v>0</v>
      </c>
      <c r="AM730" s="274">
        <f t="shared" si="113"/>
        <v>0</v>
      </c>
    </row>
    <row r="731" spans="1:39" ht="12.7">
      <c r="A731" s="193" t="s">
        <v>909</v>
      </c>
      <c r="B731" s="40" t="s">
        <v>918</v>
      </c>
      <c r="C731" s="40" t="s">
        <v>1266</v>
      </c>
      <c r="D731" s="40" t="s">
        <v>336</v>
      </c>
      <c r="E731" s="40" t="s">
        <v>1054</v>
      </c>
      <c r="F731" s="40" t="s">
        <v>1051</v>
      </c>
      <c r="G731" s="41" t="s">
        <v>343</v>
      </c>
      <c r="H731" s="42">
        <v>42</v>
      </c>
      <c r="I731" s="43">
        <v>28</v>
      </c>
      <c r="J731" s="44">
        <v>43.68</v>
      </c>
      <c r="K731" s="45">
        <v>80</v>
      </c>
      <c r="L731" s="43">
        <v>37</v>
      </c>
      <c r="M731" s="46">
        <v>53.88</v>
      </c>
      <c r="N731" s="40" t="s">
        <v>346</v>
      </c>
      <c r="O731" s="42">
        <v>42</v>
      </c>
      <c r="P731" s="43">
        <v>28</v>
      </c>
      <c r="Q731" s="44">
        <v>28.553999999999998</v>
      </c>
      <c r="R731" s="45">
        <v>80</v>
      </c>
      <c r="S731" s="43">
        <v>35</v>
      </c>
      <c r="T731" s="46">
        <v>41.345</v>
      </c>
      <c r="U731" s="40">
        <v>4</v>
      </c>
      <c r="V731" s="47">
        <v>1049.05</v>
      </c>
      <c r="W731" s="48">
        <v>1968</v>
      </c>
      <c r="X731" s="40"/>
      <c r="Y731" s="52"/>
      <c r="Z731" s="40" t="s">
        <v>910</v>
      </c>
      <c r="AA731" s="49">
        <f t="shared" si="106"/>
        <v>0</v>
      </c>
      <c r="AB731" s="71">
        <f t="shared" si="107"/>
        <v>0.80</v>
      </c>
      <c r="AC731" s="49">
        <f t="shared" si="108"/>
        <v>0</v>
      </c>
      <c r="AD731" s="50">
        <f t="shared" si="109"/>
        <v>0</v>
      </c>
      <c r="AE731" s="50">
        <f t="shared" si="110"/>
        <v>0</v>
      </c>
      <c r="AF731" s="50">
        <f t="shared" si="111"/>
        <v>0</v>
      </c>
      <c r="AG731" s="199">
        <f t="shared" si="112"/>
        <v>0</v>
      </c>
      <c r="AH731" s="187"/>
      <c r="AI731" s="185" t="s">
        <v>1458</v>
      </c>
      <c r="AJ731" s="185"/>
      <c r="AK731" s="277">
        <f t="shared" si="105"/>
        <v>1049.05</v>
      </c>
      <c r="AL731" s="25">
        <f>(SUMIFS('T1 2019 Pipeline Data Lagasco'!$O:$O,'T1 2019 Pipeline Data Lagasco'!$A:$A,'Dec 31 2018 OFFS'!$AI731,'T1 2019 Pipeline Data Lagasco'!$Q:$Q,'Dec 31 2018 OFFS'!$AK731,'T1 2019 Pipeline Data Lagasco'!$E:$E,'Dec 31 2018 OFFS'!$U731,'T1 2019 Pipeline Data Lagasco'!$G:$G,'Dec 31 2018 OFFS'!$W731))/(MAX(COUNTIFS('T1 2019 Pipeline Data Lagasco'!$A:$A,'Dec 31 2018 OFFS'!$AI731,'T1 2019 Pipeline Data Lagasco'!$Q:$Q,'Dec 31 2018 OFFS'!$AK731,'T1 2019 Pipeline Data Lagasco'!$E:$E,'Dec 31 2018 OFFS'!$U731,'T1 2019 Pipeline Data Lagasco'!$G:$G,'Dec 31 2018 OFFS'!$W731),1))</f>
        <v>0</v>
      </c>
      <c r="AM731" s="274">
        <f t="shared" si="113"/>
        <v>0</v>
      </c>
    </row>
    <row r="732" spans="1:39" ht="12.7">
      <c r="A732" s="193" t="s">
        <v>909</v>
      </c>
      <c r="B732" s="40" t="s">
        <v>918</v>
      </c>
      <c r="C732" s="40" t="s">
        <v>1266</v>
      </c>
      <c r="D732" s="40" t="s">
        <v>336</v>
      </c>
      <c r="E732" s="40" t="s">
        <v>1054</v>
      </c>
      <c r="F732" s="40"/>
      <c r="G732" s="41" t="s">
        <v>344</v>
      </c>
      <c r="H732" s="42" t="s">
        <v>78</v>
      </c>
      <c r="I732" s="43" t="s">
        <v>1087</v>
      </c>
      <c r="J732" s="44">
        <v>14.765</v>
      </c>
      <c r="K732" s="45" t="s">
        <v>1010</v>
      </c>
      <c r="L732" s="43" t="s">
        <v>1090</v>
      </c>
      <c r="M732" s="46">
        <v>51.535</v>
      </c>
      <c r="N732" s="40" t="s">
        <v>346</v>
      </c>
      <c r="O732" s="42" t="s">
        <v>78</v>
      </c>
      <c r="P732" s="43" t="s">
        <v>1087</v>
      </c>
      <c r="Q732" s="44" t="s">
        <v>1092</v>
      </c>
      <c r="R732" s="45" t="s">
        <v>1010</v>
      </c>
      <c r="S732" s="43" t="s">
        <v>1014</v>
      </c>
      <c r="T732" s="46" t="s">
        <v>1093</v>
      </c>
      <c r="U732" s="40">
        <v>6</v>
      </c>
      <c r="V732" s="47">
        <v>9987</v>
      </c>
      <c r="W732" s="48">
        <v>2000</v>
      </c>
      <c r="X732" s="40"/>
      <c r="Y732" s="52"/>
      <c r="Z732" s="40" t="s">
        <v>910</v>
      </c>
      <c r="AA732" s="49">
        <f t="shared" si="106"/>
        <v>345849.81</v>
      </c>
      <c r="AB732" s="71">
        <f t="shared" si="107"/>
        <v>0.61</v>
      </c>
      <c r="AC732" s="49">
        <f t="shared" si="108"/>
        <v>134881.43</v>
      </c>
      <c r="AD732" s="50">
        <f t="shared" si="109"/>
        <v>0</v>
      </c>
      <c r="AE732" s="50">
        <f t="shared" si="110"/>
        <v>0</v>
      </c>
      <c r="AF732" s="50">
        <f t="shared" si="111"/>
        <v>134881.43</v>
      </c>
      <c r="AG732" s="199">
        <f t="shared" si="112"/>
        <v>134881</v>
      </c>
      <c r="AH732" s="187"/>
      <c r="AI732" s="185" t="s">
        <v>1458</v>
      </c>
      <c r="AJ732" s="185"/>
      <c r="AK732" s="277">
        <f t="shared" si="105"/>
        <v>9987</v>
      </c>
      <c r="AL732" s="25">
        <f>(SUMIFS('T1 2019 Pipeline Data Lagasco'!$O:$O,'T1 2019 Pipeline Data Lagasco'!$A:$A,'Dec 31 2018 OFFS'!$AI732,'T1 2019 Pipeline Data Lagasco'!$Q:$Q,'Dec 31 2018 OFFS'!$AK732,'T1 2019 Pipeline Data Lagasco'!$E:$E,'Dec 31 2018 OFFS'!$U732,'T1 2019 Pipeline Data Lagasco'!$G:$G,'Dec 31 2018 OFFS'!$W732))/(MAX(COUNTIFS('T1 2019 Pipeline Data Lagasco'!$A:$A,'Dec 31 2018 OFFS'!$AI732,'T1 2019 Pipeline Data Lagasco'!$Q:$Q,'Dec 31 2018 OFFS'!$AK732,'T1 2019 Pipeline Data Lagasco'!$E:$E,'Dec 31 2018 OFFS'!$U732,'T1 2019 Pipeline Data Lagasco'!$G:$G,'Dec 31 2018 OFFS'!$W732),1))</f>
        <v>134881</v>
      </c>
      <c r="AM732" s="274">
        <f t="shared" si="113"/>
        <v>0</v>
      </c>
    </row>
    <row r="733" spans="1:39" ht="12.7">
      <c r="A733" s="193" t="s">
        <v>909</v>
      </c>
      <c r="B733" s="40" t="s">
        <v>918</v>
      </c>
      <c r="C733" s="40" t="s">
        <v>1266</v>
      </c>
      <c r="D733" s="40" t="s">
        <v>336</v>
      </c>
      <c r="E733" s="40" t="s">
        <v>1054</v>
      </c>
      <c r="F733" s="40"/>
      <c r="G733" s="41" t="s">
        <v>1171</v>
      </c>
      <c r="H733" s="42">
        <v>42</v>
      </c>
      <c r="I733" s="43">
        <v>28</v>
      </c>
      <c r="J733" s="44">
        <v>19.98</v>
      </c>
      <c r="K733" s="45">
        <v>80</v>
      </c>
      <c r="L733" s="43">
        <v>37</v>
      </c>
      <c r="M733" s="46">
        <v>5.04</v>
      </c>
      <c r="N733" s="40" t="s">
        <v>345</v>
      </c>
      <c r="O733" s="42">
        <v>42</v>
      </c>
      <c r="P733" s="43">
        <v>28</v>
      </c>
      <c r="Q733" s="44">
        <v>4.9740000000000002</v>
      </c>
      <c r="R733" s="45">
        <v>80</v>
      </c>
      <c r="S733" s="43">
        <v>37</v>
      </c>
      <c r="T733" s="46">
        <v>4.4059999999999997</v>
      </c>
      <c r="U733" s="40">
        <v>3</v>
      </c>
      <c r="V733" s="47">
        <v>1438</v>
      </c>
      <c r="W733" s="48">
        <v>1995</v>
      </c>
      <c r="X733" s="40"/>
      <c r="Y733" s="52"/>
      <c r="Z733" s="40" t="s">
        <v>910</v>
      </c>
      <c r="AA733" s="49">
        <f t="shared" si="106"/>
        <v>33922.42</v>
      </c>
      <c r="AB733" s="71">
        <f t="shared" si="107"/>
        <v>0.67</v>
      </c>
      <c r="AC733" s="49">
        <f t="shared" si="108"/>
        <v>11194.40</v>
      </c>
      <c r="AD733" s="50">
        <f t="shared" si="109"/>
        <v>0</v>
      </c>
      <c r="AE733" s="50">
        <f t="shared" si="110"/>
        <v>0</v>
      </c>
      <c r="AF733" s="50">
        <f t="shared" si="111"/>
        <v>11194.40</v>
      </c>
      <c r="AG733" s="199">
        <f t="shared" si="112"/>
        <v>11194</v>
      </c>
      <c r="AH733" s="187"/>
      <c r="AI733" s="185" t="s">
        <v>1458</v>
      </c>
      <c r="AJ733" s="185"/>
      <c r="AK733" s="277">
        <f t="shared" si="105"/>
        <v>1438</v>
      </c>
      <c r="AL733" s="25">
        <f>(SUMIFS('T1 2019 Pipeline Data Lagasco'!$O:$O,'T1 2019 Pipeline Data Lagasco'!$A:$A,'Dec 31 2018 OFFS'!$AI733,'T1 2019 Pipeline Data Lagasco'!$Q:$Q,'Dec 31 2018 OFFS'!$AK733,'T1 2019 Pipeline Data Lagasco'!$E:$E,'Dec 31 2018 OFFS'!$U733,'T1 2019 Pipeline Data Lagasco'!$G:$G,'Dec 31 2018 OFFS'!$W733))/(MAX(COUNTIFS('T1 2019 Pipeline Data Lagasco'!$A:$A,'Dec 31 2018 OFFS'!$AI733,'T1 2019 Pipeline Data Lagasco'!$Q:$Q,'Dec 31 2018 OFFS'!$AK733,'T1 2019 Pipeline Data Lagasco'!$E:$E,'Dec 31 2018 OFFS'!$U733,'T1 2019 Pipeline Data Lagasco'!$G:$G,'Dec 31 2018 OFFS'!$W733),1))</f>
        <v>11194</v>
      </c>
      <c r="AM733" s="274">
        <f t="shared" si="113"/>
        <v>0</v>
      </c>
    </row>
    <row r="734" spans="1:39" ht="12.7">
      <c r="A734" s="193" t="s">
        <v>909</v>
      </c>
      <c r="B734" s="40" t="s">
        <v>918</v>
      </c>
      <c r="C734" s="40" t="s">
        <v>1266</v>
      </c>
      <c r="D734" s="40" t="s">
        <v>336</v>
      </c>
      <c r="E734" s="40" t="s">
        <v>1054</v>
      </c>
      <c r="F734" s="40"/>
      <c r="G734" s="40" t="s">
        <v>1250</v>
      </c>
      <c r="H734" s="42">
        <v>42</v>
      </c>
      <c r="I734" s="43">
        <v>28</v>
      </c>
      <c r="J734" s="44">
        <f>60*0.803</f>
        <v>48.18</v>
      </c>
      <c r="K734" s="45">
        <v>80</v>
      </c>
      <c r="L734" s="43">
        <v>35</v>
      </c>
      <c r="M734" s="46">
        <f>60*0.404</f>
        <v>24.24</v>
      </c>
      <c r="N734" s="40" t="s">
        <v>1310</v>
      </c>
      <c r="O734" s="42">
        <v>42</v>
      </c>
      <c r="P734" s="43">
        <v>29</v>
      </c>
      <c r="Q734" s="44">
        <f>60*0.155</f>
        <v>9.3000000000000007</v>
      </c>
      <c r="R734" s="45">
        <v>80</v>
      </c>
      <c r="S734" s="43">
        <v>37</v>
      </c>
      <c r="T734" s="46">
        <f>60*0.015</f>
        <v>0.89999999999999991</v>
      </c>
      <c r="U734" s="40">
        <v>4</v>
      </c>
      <c r="V734" s="47">
        <v>7480</v>
      </c>
      <c r="W734" s="48">
        <v>2005</v>
      </c>
      <c r="X734" s="139"/>
      <c r="Y734" s="52"/>
      <c r="Z734" s="40" t="s">
        <v>910</v>
      </c>
      <c r="AA734" s="49">
        <f t="shared" si="106"/>
        <v>197846</v>
      </c>
      <c r="AB734" s="71">
        <f t="shared" si="107"/>
        <v>0.54</v>
      </c>
      <c r="AC734" s="49">
        <f t="shared" si="108"/>
        <v>91009.16</v>
      </c>
      <c r="AD734" s="50">
        <f t="shared" si="109"/>
        <v>0</v>
      </c>
      <c r="AE734" s="50">
        <f t="shared" si="110"/>
        <v>0</v>
      </c>
      <c r="AF734" s="50">
        <f t="shared" si="111"/>
        <v>91009.16</v>
      </c>
      <c r="AG734" s="199">
        <f t="shared" si="112"/>
        <v>91009</v>
      </c>
      <c r="AH734" s="187"/>
      <c r="AI734" s="185" t="s">
        <v>1458</v>
      </c>
      <c r="AJ734" s="185"/>
      <c r="AK734" s="282">
        <f t="shared" si="105"/>
        <v>7480</v>
      </c>
      <c r="AL734" s="25">
        <f>(SUMIFS('T1 2019 Pipeline Data Lagasco'!$O:$O,'T1 2019 Pipeline Data Lagasco'!$A:$A,'Dec 31 2018 OFFS'!$AI734,'T1 2019 Pipeline Data Lagasco'!$Q:$Q,'Dec 31 2018 OFFS'!$AK734,'T1 2019 Pipeline Data Lagasco'!$E:$E,'Dec 31 2018 OFFS'!$U734,'T1 2019 Pipeline Data Lagasco'!$G:$G,'Dec 31 2018 OFFS'!$W734))/(MAX(COUNTIFS('T1 2019 Pipeline Data Lagasco'!$A:$A,'Dec 31 2018 OFFS'!$AI734,'T1 2019 Pipeline Data Lagasco'!$Q:$Q,'Dec 31 2018 OFFS'!$AK734,'T1 2019 Pipeline Data Lagasco'!$E:$E,'Dec 31 2018 OFFS'!$U734,'T1 2019 Pipeline Data Lagasco'!$G:$G,'Dec 31 2018 OFFS'!$W734),1))</f>
        <v>91009</v>
      </c>
      <c r="AM734" s="274">
        <f t="shared" si="113"/>
        <v>0</v>
      </c>
    </row>
    <row r="735" spans="1:39" ht="12.7">
      <c r="A735" s="193" t="s">
        <v>909</v>
      </c>
      <c r="B735" s="40" t="s">
        <v>918</v>
      </c>
      <c r="C735" s="40" t="s">
        <v>1266</v>
      </c>
      <c r="D735" s="40" t="s">
        <v>336</v>
      </c>
      <c r="E735" s="40" t="s">
        <v>1054</v>
      </c>
      <c r="F735" s="40" t="s">
        <v>1051</v>
      </c>
      <c r="G735" s="41" t="s">
        <v>347</v>
      </c>
      <c r="H735" s="42">
        <v>42</v>
      </c>
      <c r="I735" s="43">
        <v>28</v>
      </c>
      <c r="J735" s="44">
        <v>14.52</v>
      </c>
      <c r="K735" s="45">
        <v>80</v>
      </c>
      <c r="L735" s="43">
        <v>35</v>
      </c>
      <c r="M735" s="46">
        <v>47.28</v>
      </c>
      <c r="N735" s="40" t="s">
        <v>345</v>
      </c>
      <c r="O735" s="42">
        <v>42</v>
      </c>
      <c r="P735" s="43">
        <v>28</v>
      </c>
      <c r="Q735" s="44">
        <v>4.9740000000000002</v>
      </c>
      <c r="R735" s="45">
        <v>80</v>
      </c>
      <c r="S735" s="43">
        <v>37</v>
      </c>
      <c r="T735" s="46">
        <v>4.4059999999999997</v>
      </c>
      <c r="U735" s="40">
        <v>2</v>
      </c>
      <c r="V735" s="47">
        <v>5860.47</v>
      </c>
      <c r="W735" s="48">
        <v>1971</v>
      </c>
      <c r="X735" s="40"/>
      <c r="Y735" s="52"/>
      <c r="Z735" s="40" t="s">
        <v>910</v>
      </c>
      <c r="AA735" s="49">
        <f t="shared" si="106"/>
        <v>0</v>
      </c>
      <c r="AB735" s="71">
        <f t="shared" si="107"/>
        <v>0.80</v>
      </c>
      <c r="AC735" s="49">
        <f t="shared" si="108"/>
        <v>0</v>
      </c>
      <c r="AD735" s="50">
        <f t="shared" si="109"/>
        <v>0</v>
      </c>
      <c r="AE735" s="50">
        <f t="shared" si="110"/>
        <v>0</v>
      </c>
      <c r="AF735" s="50">
        <f t="shared" si="111"/>
        <v>0</v>
      </c>
      <c r="AG735" s="199">
        <f t="shared" si="112"/>
        <v>0</v>
      </c>
      <c r="AH735" s="187"/>
      <c r="AI735" s="185" t="s">
        <v>1458</v>
      </c>
      <c r="AJ735" s="185"/>
      <c r="AK735" s="277">
        <f t="shared" si="105"/>
        <v>5860.47</v>
      </c>
      <c r="AL735" s="25">
        <f>(SUMIFS('T1 2019 Pipeline Data Lagasco'!$O:$O,'T1 2019 Pipeline Data Lagasco'!$A:$A,'Dec 31 2018 OFFS'!$AI735,'T1 2019 Pipeline Data Lagasco'!$Q:$Q,'Dec 31 2018 OFFS'!$AK735,'T1 2019 Pipeline Data Lagasco'!$E:$E,'Dec 31 2018 OFFS'!$U735,'T1 2019 Pipeline Data Lagasco'!$G:$G,'Dec 31 2018 OFFS'!$W735))/(MAX(COUNTIFS('T1 2019 Pipeline Data Lagasco'!$A:$A,'Dec 31 2018 OFFS'!$AI735,'T1 2019 Pipeline Data Lagasco'!$Q:$Q,'Dec 31 2018 OFFS'!$AK735,'T1 2019 Pipeline Data Lagasco'!$E:$E,'Dec 31 2018 OFFS'!$U735,'T1 2019 Pipeline Data Lagasco'!$G:$G,'Dec 31 2018 OFFS'!$W735),1))</f>
        <v>0</v>
      </c>
      <c r="AM735" s="274">
        <f t="shared" si="113"/>
        <v>0</v>
      </c>
    </row>
    <row r="736" spans="1:39" ht="12.7">
      <c r="A736" s="193" t="s">
        <v>909</v>
      </c>
      <c r="B736" s="40" t="s">
        <v>918</v>
      </c>
      <c r="C736" s="40" t="s">
        <v>1266</v>
      </c>
      <c r="D736" s="40" t="s">
        <v>336</v>
      </c>
      <c r="E736" s="40" t="s">
        <v>1054</v>
      </c>
      <c r="F736" s="40" t="s">
        <v>1051</v>
      </c>
      <c r="G736" s="41" t="s">
        <v>346</v>
      </c>
      <c r="H736" s="42">
        <v>42</v>
      </c>
      <c r="I736" s="43">
        <v>28</v>
      </c>
      <c r="J736" s="44">
        <v>28.553999999999998</v>
      </c>
      <c r="K736" s="45">
        <v>80</v>
      </c>
      <c r="L736" s="43">
        <v>35</v>
      </c>
      <c r="M736" s="46">
        <v>41.345</v>
      </c>
      <c r="N736" s="40" t="s">
        <v>347</v>
      </c>
      <c r="O736" s="42">
        <v>42</v>
      </c>
      <c r="P736" s="43">
        <v>28</v>
      </c>
      <c r="Q736" s="44">
        <v>14.52</v>
      </c>
      <c r="R736" s="45">
        <v>80</v>
      </c>
      <c r="S736" s="43">
        <v>35</v>
      </c>
      <c r="T736" s="46">
        <v>47.28</v>
      </c>
      <c r="U736" s="40">
        <v>2</v>
      </c>
      <c r="V736" s="47">
        <v>1488.68</v>
      </c>
      <c r="W736" s="48">
        <v>1968</v>
      </c>
      <c r="X736" s="40"/>
      <c r="Y736" s="52"/>
      <c r="Z736" s="40" t="s">
        <v>910</v>
      </c>
      <c r="AA736" s="49">
        <f t="shared" si="106"/>
        <v>0</v>
      </c>
      <c r="AB736" s="71">
        <f t="shared" si="107"/>
        <v>0.80</v>
      </c>
      <c r="AC736" s="49">
        <f t="shared" si="108"/>
        <v>0</v>
      </c>
      <c r="AD736" s="50">
        <f t="shared" si="109"/>
        <v>0</v>
      </c>
      <c r="AE736" s="50">
        <f t="shared" si="110"/>
        <v>0</v>
      </c>
      <c r="AF736" s="50">
        <f t="shared" si="111"/>
        <v>0</v>
      </c>
      <c r="AG736" s="199">
        <f t="shared" si="112"/>
        <v>0</v>
      </c>
      <c r="AH736" s="187"/>
      <c r="AI736" s="185" t="s">
        <v>1458</v>
      </c>
      <c r="AJ736" s="185"/>
      <c r="AK736" s="277">
        <f t="shared" si="105"/>
        <v>1488.68</v>
      </c>
      <c r="AL736" s="25">
        <f>(SUMIFS('T1 2019 Pipeline Data Lagasco'!$O:$O,'T1 2019 Pipeline Data Lagasco'!$A:$A,'Dec 31 2018 OFFS'!$AI736,'T1 2019 Pipeline Data Lagasco'!$Q:$Q,'Dec 31 2018 OFFS'!$AK736,'T1 2019 Pipeline Data Lagasco'!$E:$E,'Dec 31 2018 OFFS'!$U736,'T1 2019 Pipeline Data Lagasco'!$G:$G,'Dec 31 2018 OFFS'!$W736))/(MAX(COUNTIFS('T1 2019 Pipeline Data Lagasco'!$A:$A,'Dec 31 2018 OFFS'!$AI736,'T1 2019 Pipeline Data Lagasco'!$Q:$Q,'Dec 31 2018 OFFS'!$AK736,'T1 2019 Pipeline Data Lagasco'!$E:$E,'Dec 31 2018 OFFS'!$U736,'T1 2019 Pipeline Data Lagasco'!$G:$G,'Dec 31 2018 OFFS'!$W736),1))</f>
        <v>0</v>
      </c>
      <c r="AM736" s="274">
        <f t="shared" si="113"/>
        <v>0</v>
      </c>
    </row>
    <row r="737" spans="1:39" ht="12.7">
      <c r="A737" s="200" t="s">
        <v>909</v>
      </c>
      <c r="B737" s="201" t="s">
        <v>918</v>
      </c>
      <c r="C737" s="201" t="s">
        <v>1266</v>
      </c>
      <c r="D737" s="201" t="s">
        <v>336</v>
      </c>
      <c r="E737" s="201" t="s">
        <v>1054</v>
      </c>
      <c r="F737" s="201"/>
      <c r="G737" s="208" t="s">
        <v>346</v>
      </c>
      <c r="H737" s="203" t="s">
        <v>78</v>
      </c>
      <c r="I737" s="204" t="s">
        <v>1087</v>
      </c>
      <c r="J737" s="205" t="s">
        <v>1092</v>
      </c>
      <c r="K737" s="206" t="s">
        <v>1010</v>
      </c>
      <c r="L737" s="204" t="s">
        <v>1014</v>
      </c>
      <c r="M737" s="207" t="s">
        <v>1093</v>
      </c>
      <c r="N737" s="201" t="s">
        <v>355</v>
      </c>
      <c r="O737" s="203" t="s">
        <v>78</v>
      </c>
      <c r="P737" s="204" t="s">
        <v>1084</v>
      </c>
      <c r="Q737" s="205" t="s">
        <v>1094</v>
      </c>
      <c r="R737" s="206" t="s">
        <v>1010</v>
      </c>
      <c r="S737" s="204" t="s">
        <v>1095</v>
      </c>
      <c r="T737" s="207" t="s">
        <v>1096</v>
      </c>
      <c r="U737" s="201">
        <v>6</v>
      </c>
      <c r="V737" s="209">
        <v>8208</v>
      </c>
      <c r="W737" s="210">
        <v>2000</v>
      </c>
      <c r="X737" s="201"/>
      <c r="Y737" s="52"/>
      <c r="Z737" s="201" t="s">
        <v>910</v>
      </c>
      <c r="AA737" s="211">
        <f t="shared" si="106"/>
        <v>284243.04000000004</v>
      </c>
      <c r="AB737" s="212">
        <f t="shared" si="107"/>
        <v>0.61</v>
      </c>
      <c r="AC737" s="211">
        <f t="shared" si="108"/>
        <v>110854.79</v>
      </c>
      <c r="AD737" s="213">
        <f t="shared" si="109"/>
        <v>0</v>
      </c>
      <c r="AE737" s="213">
        <f t="shared" si="110"/>
        <v>0</v>
      </c>
      <c r="AF737" s="213">
        <f t="shared" si="111"/>
        <v>110854.79</v>
      </c>
      <c r="AG737" s="214">
        <f t="shared" si="112"/>
        <v>110854</v>
      </c>
      <c r="AH737" s="215"/>
      <c r="AI737" s="216" t="s">
        <v>1458</v>
      </c>
      <c r="AJ737" s="312" t="s">
        <v>1561</v>
      </c>
      <c r="AK737" s="283">
        <f t="shared" si="105"/>
        <v>8208</v>
      </c>
      <c r="AL737" s="284">
        <f>(SUMIFS('T1 2019 Pipeline Data Lagasco'!$O:$O,'T1 2019 Pipeline Data Lagasco'!$A:$A,'Dec 31 2018 OFFS'!$AI737,'T1 2019 Pipeline Data Lagasco'!$Q:$Q,'Dec 31 2018 OFFS'!$AK737,'T1 2019 Pipeline Data Lagasco'!$E:$E,'Dec 31 2018 OFFS'!$U737,'T1 2019 Pipeline Data Lagasco'!$G:$G,'Dec 31 2018 OFFS'!$W737))/(MAX(COUNTIFS('T1 2019 Pipeline Data Lagasco'!$A:$A,'Dec 31 2018 OFFS'!$AI737,'T1 2019 Pipeline Data Lagasco'!$Q:$Q,'Dec 31 2018 OFFS'!$AK737,'T1 2019 Pipeline Data Lagasco'!$E:$E,'Dec 31 2018 OFFS'!$U737,'T1 2019 Pipeline Data Lagasco'!$G:$G,'Dec 31 2018 OFFS'!$W737),1))</f>
        <v>110854</v>
      </c>
      <c r="AM737" s="285">
        <f t="shared" si="113"/>
        <v>0</v>
      </c>
    </row>
    <row r="738" spans="1:39" ht="12.7">
      <c r="A738" s="193" t="s">
        <v>909</v>
      </c>
      <c r="B738" s="40" t="s">
        <v>918</v>
      </c>
      <c r="C738" s="40" t="s">
        <v>1266</v>
      </c>
      <c r="D738" s="40" t="s">
        <v>336</v>
      </c>
      <c r="E738" s="40" t="s">
        <v>1054</v>
      </c>
      <c r="F738" s="40" t="s">
        <v>1051</v>
      </c>
      <c r="G738" s="41" t="s">
        <v>346</v>
      </c>
      <c r="H738" s="42">
        <v>42</v>
      </c>
      <c r="I738" s="43">
        <v>28</v>
      </c>
      <c r="J738" s="44">
        <v>28.553999999999998</v>
      </c>
      <c r="K738" s="45">
        <v>80</v>
      </c>
      <c r="L738" s="43">
        <v>35</v>
      </c>
      <c r="M738" s="46">
        <v>41.345</v>
      </c>
      <c r="N738" s="41" t="s">
        <v>507</v>
      </c>
      <c r="O738" s="42">
        <v>42</v>
      </c>
      <c r="P738" s="43">
        <v>26</v>
      </c>
      <c r="Q738" s="44">
        <v>52.612000000000002</v>
      </c>
      <c r="R738" s="45">
        <v>80</v>
      </c>
      <c r="S738" s="43">
        <v>34</v>
      </c>
      <c r="T738" s="46">
        <v>56.097999999999999</v>
      </c>
      <c r="U738" s="40">
        <v>4</v>
      </c>
      <c r="V738" s="47">
        <v>10287.40</v>
      </c>
      <c r="W738" s="48">
        <v>1968</v>
      </c>
      <c r="X738" s="40"/>
      <c r="Y738" s="52"/>
      <c r="Z738" s="40" t="s">
        <v>910</v>
      </c>
      <c r="AA738" s="49">
        <f t="shared" si="106"/>
        <v>0</v>
      </c>
      <c r="AB738" s="71">
        <f t="shared" si="107"/>
        <v>0.80</v>
      </c>
      <c r="AC738" s="49">
        <f t="shared" si="108"/>
        <v>0</v>
      </c>
      <c r="AD738" s="50">
        <f t="shared" si="109"/>
        <v>0</v>
      </c>
      <c r="AE738" s="50">
        <f t="shared" si="110"/>
        <v>0</v>
      </c>
      <c r="AF738" s="50">
        <f t="shared" si="111"/>
        <v>0</v>
      </c>
      <c r="AG738" s="199">
        <f t="shared" si="112"/>
        <v>0</v>
      </c>
      <c r="AH738" s="187"/>
      <c r="AI738" s="185" t="s">
        <v>1458</v>
      </c>
      <c r="AJ738" s="185"/>
      <c r="AK738" s="277">
        <f t="shared" si="105"/>
        <v>10287.40</v>
      </c>
      <c r="AL738" s="25">
        <f>(SUMIFS('T1 2019 Pipeline Data Lagasco'!$O:$O,'T1 2019 Pipeline Data Lagasco'!$A:$A,'Dec 31 2018 OFFS'!$AI738,'T1 2019 Pipeline Data Lagasco'!$Q:$Q,'Dec 31 2018 OFFS'!$AK738,'T1 2019 Pipeline Data Lagasco'!$E:$E,'Dec 31 2018 OFFS'!$U738,'T1 2019 Pipeline Data Lagasco'!$G:$G,'Dec 31 2018 OFFS'!$W738))/(MAX(COUNTIFS('T1 2019 Pipeline Data Lagasco'!$A:$A,'Dec 31 2018 OFFS'!$AI738,'T1 2019 Pipeline Data Lagasco'!$Q:$Q,'Dec 31 2018 OFFS'!$AK738,'T1 2019 Pipeline Data Lagasco'!$E:$E,'Dec 31 2018 OFFS'!$U738,'T1 2019 Pipeline Data Lagasco'!$G:$G,'Dec 31 2018 OFFS'!$W738),1))</f>
        <v>0</v>
      </c>
      <c r="AM738" s="274">
        <f t="shared" si="113"/>
        <v>0</v>
      </c>
    </row>
    <row r="739" spans="1:39" ht="12.7">
      <c r="A739" s="193" t="s">
        <v>909</v>
      </c>
      <c r="B739" s="40" t="s">
        <v>918</v>
      </c>
      <c r="C739" s="40" t="s">
        <v>1266</v>
      </c>
      <c r="D739" s="40" t="s">
        <v>336</v>
      </c>
      <c r="E739" s="40" t="s">
        <v>1054</v>
      </c>
      <c r="F739" s="40" t="s">
        <v>1051</v>
      </c>
      <c r="G739" s="41" t="s">
        <v>346</v>
      </c>
      <c r="H739" s="42">
        <v>42</v>
      </c>
      <c r="I739" s="43">
        <v>28</v>
      </c>
      <c r="J739" s="44">
        <v>28.553999999999998</v>
      </c>
      <c r="K739" s="45">
        <v>80</v>
      </c>
      <c r="L739" s="43">
        <v>35</v>
      </c>
      <c r="M739" s="46">
        <v>41.345</v>
      </c>
      <c r="N739" s="40" t="s">
        <v>508</v>
      </c>
      <c r="O739" s="42">
        <v>42</v>
      </c>
      <c r="P739" s="43">
        <v>28</v>
      </c>
      <c r="Q739" s="44">
        <v>13.375</v>
      </c>
      <c r="R739" s="45">
        <v>80</v>
      </c>
      <c r="S739" s="43">
        <v>34</v>
      </c>
      <c r="T739" s="46">
        <v>42.173000000000002</v>
      </c>
      <c r="U739" s="40">
        <v>4</v>
      </c>
      <c r="V739" s="47">
        <v>4693.1429087059996</v>
      </c>
      <c r="W739" s="48">
        <v>1971</v>
      </c>
      <c r="X739" s="40"/>
      <c r="Y739" s="52"/>
      <c r="Z739" s="40" t="s">
        <v>910</v>
      </c>
      <c r="AA739" s="49">
        <f t="shared" si="106"/>
        <v>0</v>
      </c>
      <c r="AB739" s="71">
        <f t="shared" si="107"/>
        <v>0.80</v>
      </c>
      <c r="AC739" s="49">
        <f t="shared" si="108"/>
        <v>0</v>
      </c>
      <c r="AD739" s="50">
        <f t="shared" si="109"/>
        <v>0</v>
      </c>
      <c r="AE739" s="50">
        <f t="shared" si="110"/>
        <v>0</v>
      </c>
      <c r="AF739" s="50">
        <f t="shared" si="111"/>
        <v>0</v>
      </c>
      <c r="AG739" s="199">
        <f t="shared" si="112"/>
        <v>0</v>
      </c>
      <c r="AH739" s="187"/>
      <c r="AI739" s="185" t="s">
        <v>1458</v>
      </c>
      <c r="AJ739" s="185"/>
      <c r="AK739" s="277">
        <f t="shared" si="105"/>
        <v>4693.1400000000003</v>
      </c>
      <c r="AL739" s="25">
        <f>(SUMIFS('T1 2019 Pipeline Data Lagasco'!$O:$O,'T1 2019 Pipeline Data Lagasco'!$A:$A,'Dec 31 2018 OFFS'!$AI739,'T1 2019 Pipeline Data Lagasco'!$Q:$Q,'Dec 31 2018 OFFS'!$AK739,'T1 2019 Pipeline Data Lagasco'!$E:$E,'Dec 31 2018 OFFS'!$U739,'T1 2019 Pipeline Data Lagasco'!$G:$G,'Dec 31 2018 OFFS'!$W739))/(MAX(COUNTIFS('T1 2019 Pipeline Data Lagasco'!$A:$A,'Dec 31 2018 OFFS'!$AI739,'T1 2019 Pipeline Data Lagasco'!$Q:$Q,'Dec 31 2018 OFFS'!$AK739,'T1 2019 Pipeline Data Lagasco'!$E:$E,'Dec 31 2018 OFFS'!$U739,'T1 2019 Pipeline Data Lagasco'!$G:$G,'Dec 31 2018 OFFS'!$W739),1))</f>
        <v>0</v>
      </c>
      <c r="AM739" s="274">
        <f t="shared" si="113"/>
        <v>0</v>
      </c>
    </row>
    <row r="740" spans="1:39" ht="12.7">
      <c r="A740" s="193" t="s">
        <v>909</v>
      </c>
      <c r="B740" s="40" t="s">
        <v>918</v>
      </c>
      <c r="C740" s="40" t="s">
        <v>1266</v>
      </c>
      <c r="D740" s="40" t="s">
        <v>336</v>
      </c>
      <c r="E740" s="40" t="s">
        <v>1054</v>
      </c>
      <c r="F740" s="139" t="s">
        <v>1051</v>
      </c>
      <c r="G740" s="41" t="s">
        <v>346</v>
      </c>
      <c r="H740" s="42">
        <v>42</v>
      </c>
      <c r="I740" s="43">
        <v>28</v>
      </c>
      <c r="J740" s="44">
        <v>28.80</v>
      </c>
      <c r="K740" s="45">
        <v>80</v>
      </c>
      <c r="L740" s="43">
        <v>35</v>
      </c>
      <c r="M740" s="46">
        <v>40.98</v>
      </c>
      <c r="N740" s="40" t="s">
        <v>1275</v>
      </c>
      <c r="O740" s="42">
        <v>42</v>
      </c>
      <c r="P740" s="43">
        <v>28</v>
      </c>
      <c r="Q740" s="44">
        <v>11.76</v>
      </c>
      <c r="R740" s="45">
        <v>80</v>
      </c>
      <c r="S740" s="43">
        <v>34</v>
      </c>
      <c r="T740" s="46">
        <v>39.479999999999997</v>
      </c>
      <c r="U740" s="40">
        <v>3</v>
      </c>
      <c r="V740" s="47">
        <v>4907</v>
      </c>
      <c r="W740" s="48">
        <v>2006</v>
      </c>
      <c r="X740" s="40"/>
      <c r="Y740" s="52"/>
      <c r="Z740" s="40" t="s">
        <v>910</v>
      </c>
      <c r="AA740" s="49">
        <f t="shared" si="106"/>
        <v>0</v>
      </c>
      <c r="AB740" s="71">
        <f t="shared" si="107"/>
        <v>0.52</v>
      </c>
      <c r="AC740" s="49">
        <f t="shared" si="108"/>
        <v>0</v>
      </c>
      <c r="AD740" s="50">
        <f t="shared" si="109"/>
        <v>0</v>
      </c>
      <c r="AE740" s="50">
        <f t="shared" si="110"/>
        <v>0</v>
      </c>
      <c r="AF740" s="50">
        <f t="shared" si="111"/>
        <v>0</v>
      </c>
      <c r="AG740" s="199">
        <f t="shared" si="112"/>
        <v>0</v>
      </c>
      <c r="AH740" s="187"/>
      <c r="AI740" s="185" t="s">
        <v>1458</v>
      </c>
      <c r="AJ740" s="185"/>
      <c r="AK740" s="277">
        <f t="shared" si="105"/>
        <v>4907</v>
      </c>
      <c r="AL740" s="25">
        <f>(SUMIFS('T1 2019 Pipeline Data Lagasco'!$O:$O,'T1 2019 Pipeline Data Lagasco'!$A:$A,'Dec 31 2018 OFFS'!$AI740,'T1 2019 Pipeline Data Lagasco'!$Q:$Q,'Dec 31 2018 OFFS'!$AK740,'T1 2019 Pipeline Data Lagasco'!$E:$E,'Dec 31 2018 OFFS'!$U740,'T1 2019 Pipeline Data Lagasco'!$G:$G,'Dec 31 2018 OFFS'!$W740))/(MAX(COUNTIFS('T1 2019 Pipeline Data Lagasco'!$A:$A,'Dec 31 2018 OFFS'!$AI740,'T1 2019 Pipeline Data Lagasco'!$Q:$Q,'Dec 31 2018 OFFS'!$AK740,'T1 2019 Pipeline Data Lagasco'!$E:$E,'Dec 31 2018 OFFS'!$U740,'T1 2019 Pipeline Data Lagasco'!$G:$G,'Dec 31 2018 OFFS'!$W740),1))</f>
        <v>0</v>
      </c>
      <c r="AM740" s="274">
        <f t="shared" si="113"/>
        <v>0</v>
      </c>
    </row>
    <row r="741" spans="1:39" ht="12.7">
      <c r="A741" s="193" t="s">
        <v>909</v>
      </c>
      <c r="B741" s="40" t="s">
        <v>918</v>
      </c>
      <c r="C741" s="40" t="s">
        <v>1266</v>
      </c>
      <c r="D741" s="40" t="s">
        <v>336</v>
      </c>
      <c r="E741" s="40" t="s">
        <v>1054</v>
      </c>
      <c r="F741" s="40" t="s">
        <v>1051</v>
      </c>
      <c r="G741" s="41" t="s">
        <v>349</v>
      </c>
      <c r="H741" s="42">
        <v>42</v>
      </c>
      <c r="I741" s="43">
        <v>27</v>
      </c>
      <c r="J741" s="44">
        <v>41.53</v>
      </c>
      <c r="K741" s="45">
        <v>80</v>
      </c>
      <c r="L741" s="43">
        <v>35</v>
      </c>
      <c r="M741" s="46">
        <v>19.504000000000001</v>
      </c>
      <c r="N741" s="41" t="s">
        <v>507</v>
      </c>
      <c r="O741" s="42">
        <v>42</v>
      </c>
      <c r="P741" s="43">
        <v>26</v>
      </c>
      <c r="Q741" s="44">
        <v>52.612000000000002</v>
      </c>
      <c r="R741" s="45">
        <v>80</v>
      </c>
      <c r="S741" s="43">
        <v>34</v>
      </c>
      <c r="T741" s="46">
        <v>56.097999999999999</v>
      </c>
      <c r="U741" s="40">
        <v>4</v>
      </c>
      <c r="V741" s="47">
        <v>5253.64</v>
      </c>
      <c r="W741" s="48">
        <v>1971</v>
      </c>
      <c r="X741" s="40"/>
      <c r="Y741" s="52"/>
      <c r="Z741" s="40" t="s">
        <v>910</v>
      </c>
      <c r="AA741" s="49">
        <f t="shared" si="106"/>
        <v>0</v>
      </c>
      <c r="AB741" s="71">
        <f t="shared" si="107"/>
        <v>0.80</v>
      </c>
      <c r="AC741" s="49">
        <f t="shared" si="108"/>
        <v>0</v>
      </c>
      <c r="AD741" s="50">
        <f t="shared" si="109"/>
        <v>0</v>
      </c>
      <c r="AE741" s="50">
        <f t="shared" si="110"/>
        <v>0</v>
      </c>
      <c r="AF741" s="50">
        <f t="shared" si="111"/>
        <v>0</v>
      </c>
      <c r="AG741" s="199">
        <f t="shared" si="112"/>
        <v>0</v>
      </c>
      <c r="AH741" s="187"/>
      <c r="AI741" s="185" t="s">
        <v>1458</v>
      </c>
      <c r="AJ741" s="185"/>
      <c r="AK741" s="277">
        <f t="shared" si="105"/>
        <v>5253.64</v>
      </c>
      <c r="AL741" s="25">
        <f>(SUMIFS('T1 2019 Pipeline Data Lagasco'!$O:$O,'T1 2019 Pipeline Data Lagasco'!$A:$A,'Dec 31 2018 OFFS'!$AI741,'T1 2019 Pipeline Data Lagasco'!$Q:$Q,'Dec 31 2018 OFFS'!$AK741,'T1 2019 Pipeline Data Lagasco'!$E:$E,'Dec 31 2018 OFFS'!$U741,'T1 2019 Pipeline Data Lagasco'!$G:$G,'Dec 31 2018 OFFS'!$W741))/(MAX(COUNTIFS('T1 2019 Pipeline Data Lagasco'!$A:$A,'Dec 31 2018 OFFS'!$AI741,'T1 2019 Pipeline Data Lagasco'!$Q:$Q,'Dec 31 2018 OFFS'!$AK741,'T1 2019 Pipeline Data Lagasco'!$E:$E,'Dec 31 2018 OFFS'!$U741,'T1 2019 Pipeline Data Lagasco'!$G:$G,'Dec 31 2018 OFFS'!$W741),1))</f>
        <v>0</v>
      </c>
      <c r="AM741" s="274">
        <f t="shared" si="113"/>
        <v>0</v>
      </c>
    </row>
    <row r="742" spans="1:39" ht="12.7">
      <c r="A742" s="193" t="s">
        <v>909</v>
      </c>
      <c r="B742" s="40" t="s">
        <v>918</v>
      </c>
      <c r="C742" s="40" t="s">
        <v>1266</v>
      </c>
      <c r="D742" s="40" t="s">
        <v>336</v>
      </c>
      <c r="E742" s="40" t="s">
        <v>1054</v>
      </c>
      <c r="F742" s="40" t="s">
        <v>1051</v>
      </c>
      <c r="G742" s="41" t="s">
        <v>348</v>
      </c>
      <c r="H742" s="42">
        <v>42</v>
      </c>
      <c r="I742" s="43">
        <v>27</v>
      </c>
      <c r="J742" s="44">
        <v>21.059000000000001</v>
      </c>
      <c r="K742" s="45">
        <v>80</v>
      </c>
      <c r="L742" s="43">
        <v>36</v>
      </c>
      <c r="M742" s="46">
        <v>12.09</v>
      </c>
      <c r="N742" s="40" t="s">
        <v>349</v>
      </c>
      <c r="O742" s="42">
        <v>42</v>
      </c>
      <c r="P742" s="43">
        <v>27</v>
      </c>
      <c r="Q742" s="44">
        <v>41.53</v>
      </c>
      <c r="R742" s="45">
        <v>80</v>
      </c>
      <c r="S742" s="43">
        <v>35</v>
      </c>
      <c r="T742" s="46">
        <v>19.504000000000001</v>
      </c>
      <c r="U742" s="40">
        <v>2</v>
      </c>
      <c r="V742" s="47">
        <v>4453.3135193259996</v>
      </c>
      <c r="W742" s="48">
        <v>1981</v>
      </c>
      <c r="X742" s="40"/>
      <c r="Y742" s="52"/>
      <c r="Z742" s="40" t="s">
        <v>910</v>
      </c>
      <c r="AA742" s="49">
        <f t="shared" si="106"/>
        <v>0</v>
      </c>
      <c r="AB742" s="71">
        <f t="shared" si="107"/>
        <v>0.80</v>
      </c>
      <c r="AC742" s="49">
        <f t="shared" si="108"/>
        <v>0</v>
      </c>
      <c r="AD742" s="50">
        <f t="shared" si="109"/>
        <v>0</v>
      </c>
      <c r="AE742" s="50">
        <f t="shared" si="110"/>
        <v>0</v>
      </c>
      <c r="AF742" s="50">
        <f t="shared" si="111"/>
        <v>0</v>
      </c>
      <c r="AG742" s="199">
        <f t="shared" si="112"/>
        <v>0</v>
      </c>
      <c r="AH742" s="187"/>
      <c r="AI742" s="185" t="s">
        <v>1458</v>
      </c>
      <c r="AJ742" s="185"/>
      <c r="AK742" s="277">
        <f t="shared" si="105"/>
        <v>4453.3100000000004</v>
      </c>
      <c r="AL742" s="25">
        <f>(SUMIFS('T1 2019 Pipeline Data Lagasco'!$O:$O,'T1 2019 Pipeline Data Lagasco'!$A:$A,'Dec 31 2018 OFFS'!$AI742,'T1 2019 Pipeline Data Lagasco'!$Q:$Q,'Dec 31 2018 OFFS'!$AK742,'T1 2019 Pipeline Data Lagasco'!$E:$E,'Dec 31 2018 OFFS'!$U742,'T1 2019 Pipeline Data Lagasco'!$G:$G,'Dec 31 2018 OFFS'!$W742))/(MAX(COUNTIFS('T1 2019 Pipeline Data Lagasco'!$A:$A,'Dec 31 2018 OFFS'!$AI742,'T1 2019 Pipeline Data Lagasco'!$Q:$Q,'Dec 31 2018 OFFS'!$AK742,'T1 2019 Pipeline Data Lagasco'!$E:$E,'Dec 31 2018 OFFS'!$U742,'T1 2019 Pipeline Data Lagasco'!$G:$G,'Dec 31 2018 OFFS'!$W742),1))</f>
        <v>0</v>
      </c>
      <c r="AM742" s="274">
        <f t="shared" si="113"/>
        <v>0</v>
      </c>
    </row>
    <row r="743" spans="1:39" ht="12.7">
      <c r="A743" s="193" t="s">
        <v>909</v>
      </c>
      <c r="B743" s="40" t="s">
        <v>918</v>
      </c>
      <c r="C743" s="40" t="s">
        <v>1266</v>
      </c>
      <c r="D743" s="40" t="s">
        <v>336</v>
      </c>
      <c r="E743" s="40" t="s">
        <v>1054</v>
      </c>
      <c r="F743" s="139" t="s">
        <v>1051</v>
      </c>
      <c r="G743" s="41" t="s">
        <v>348</v>
      </c>
      <c r="H743" s="42">
        <v>42</v>
      </c>
      <c r="I743" s="43">
        <v>27</v>
      </c>
      <c r="J743" s="44">
        <v>21.06</v>
      </c>
      <c r="K743" s="45">
        <v>80</v>
      </c>
      <c r="L743" s="43">
        <v>36</v>
      </c>
      <c r="M743" s="46">
        <v>12.30</v>
      </c>
      <c r="N743" s="40" t="s">
        <v>349</v>
      </c>
      <c r="O743" s="42">
        <v>42</v>
      </c>
      <c r="P743" s="43">
        <v>27</v>
      </c>
      <c r="Q743" s="44">
        <v>40.799999999999997</v>
      </c>
      <c r="R743" s="45">
        <v>80</v>
      </c>
      <c r="S743" s="43">
        <v>35</v>
      </c>
      <c r="T743" s="46">
        <v>19.32</v>
      </c>
      <c r="U743" s="40">
        <v>3</v>
      </c>
      <c r="V743" s="47">
        <v>4434</v>
      </c>
      <c r="W743" s="48">
        <v>2006</v>
      </c>
      <c r="X743" s="40"/>
      <c r="Y743" s="52"/>
      <c r="Z743" s="40" t="s">
        <v>910</v>
      </c>
      <c r="AA743" s="49">
        <f t="shared" si="106"/>
        <v>0</v>
      </c>
      <c r="AB743" s="71">
        <f t="shared" si="107"/>
        <v>0.52</v>
      </c>
      <c r="AC743" s="49">
        <f t="shared" si="108"/>
        <v>0</v>
      </c>
      <c r="AD743" s="50">
        <f t="shared" si="109"/>
        <v>0</v>
      </c>
      <c r="AE743" s="50">
        <f t="shared" si="110"/>
        <v>0</v>
      </c>
      <c r="AF743" s="50">
        <f t="shared" si="111"/>
        <v>0</v>
      </c>
      <c r="AG743" s="199">
        <f t="shared" si="112"/>
        <v>0</v>
      </c>
      <c r="AH743" s="187"/>
      <c r="AI743" s="185" t="s">
        <v>1458</v>
      </c>
      <c r="AJ743" s="185"/>
      <c r="AK743" s="277">
        <f t="shared" si="105"/>
        <v>4434</v>
      </c>
      <c r="AL743" s="25">
        <f>(SUMIFS('T1 2019 Pipeline Data Lagasco'!$O:$O,'T1 2019 Pipeline Data Lagasco'!$A:$A,'Dec 31 2018 OFFS'!$AI743,'T1 2019 Pipeline Data Lagasco'!$Q:$Q,'Dec 31 2018 OFFS'!$AK743,'T1 2019 Pipeline Data Lagasco'!$E:$E,'Dec 31 2018 OFFS'!$U743,'T1 2019 Pipeline Data Lagasco'!$G:$G,'Dec 31 2018 OFFS'!$W743))/(MAX(COUNTIFS('T1 2019 Pipeline Data Lagasco'!$A:$A,'Dec 31 2018 OFFS'!$AI743,'T1 2019 Pipeline Data Lagasco'!$Q:$Q,'Dec 31 2018 OFFS'!$AK743,'T1 2019 Pipeline Data Lagasco'!$E:$E,'Dec 31 2018 OFFS'!$U743,'T1 2019 Pipeline Data Lagasco'!$G:$G,'Dec 31 2018 OFFS'!$W743),1))</f>
        <v>0</v>
      </c>
      <c r="AM743" s="274">
        <f t="shared" si="113"/>
        <v>0</v>
      </c>
    </row>
    <row r="744" spans="1:39" ht="12.7">
      <c r="A744" s="193" t="s">
        <v>909</v>
      </c>
      <c r="B744" s="40" t="s">
        <v>918</v>
      </c>
      <c r="C744" s="40" t="s">
        <v>1266</v>
      </c>
      <c r="D744" s="40" t="s">
        <v>336</v>
      </c>
      <c r="E744" s="40" t="s">
        <v>1054</v>
      </c>
      <c r="F744" s="40" t="s">
        <v>1051</v>
      </c>
      <c r="G744" s="41" t="s">
        <v>350</v>
      </c>
      <c r="H744" s="42">
        <v>42</v>
      </c>
      <c r="I744" s="43">
        <v>27</v>
      </c>
      <c r="J744" s="44">
        <v>46.55</v>
      </c>
      <c r="K744" s="45">
        <v>80</v>
      </c>
      <c r="L744" s="43">
        <v>38</v>
      </c>
      <c r="M744" s="46">
        <v>5.315</v>
      </c>
      <c r="N744" s="40" t="s">
        <v>338</v>
      </c>
      <c r="O744" s="42">
        <v>42</v>
      </c>
      <c r="P744" s="43">
        <v>29</v>
      </c>
      <c r="Q744" s="44">
        <v>7.9119999999999999</v>
      </c>
      <c r="R744" s="45">
        <v>80</v>
      </c>
      <c r="S744" s="43">
        <v>39</v>
      </c>
      <c r="T744" s="46">
        <v>48.652999999999999</v>
      </c>
      <c r="U744" s="40">
        <v>2</v>
      </c>
      <c r="V744" s="47">
        <v>11305.22</v>
      </c>
      <c r="W744" s="48">
        <v>1980</v>
      </c>
      <c r="X744" s="40"/>
      <c r="Y744" s="52"/>
      <c r="Z744" s="40" t="s">
        <v>910</v>
      </c>
      <c r="AA744" s="49">
        <f t="shared" si="106"/>
        <v>0</v>
      </c>
      <c r="AB744" s="71">
        <f t="shared" si="107"/>
        <v>0.80</v>
      </c>
      <c r="AC744" s="49">
        <f t="shared" si="108"/>
        <v>0</v>
      </c>
      <c r="AD744" s="50">
        <f t="shared" si="109"/>
        <v>0</v>
      </c>
      <c r="AE744" s="50">
        <f t="shared" si="110"/>
        <v>0</v>
      </c>
      <c r="AF744" s="50">
        <f t="shared" si="111"/>
        <v>0</v>
      </c>
      <c r="AG744" s="199">
        <f t="shared" si="112"/>
        <v>0</v>
      </c>
      <c r="AH744" s="187"/>
      <c r="AI744" s="185" t="s">
        <v>1458</v>
      </c>
      <c r="AJ744" s="185"/>
      <c r="AK744" s="277">
        <f t="shared" si="105"/>
        <v>11305.22</v>
      </c>
      <c r="AL744" s="25">
        <f>(SUMIFS('T1 2019 Pipeline Data Lagasco'!$O:$O,'T1 2019 Pipeline Data Lagasco'!$A:$A,'Dec 31 2018 OFFS'!$AI744,'T1 2019 Pipeline Data Lagasco'!$Q:$Q,'Dec 31 2018 OFFS'!$AK744,'T1 2019 Pipeline Data Lagasco'!$E:$E,'Dec 31 2018 OFFS'!$U744,'T1 2019 Pipeline Data Lagasco'!$G:$G,'Dec 31 2018 OFFS'!$W744))/(MAX(COUNTIFS('T1 2019 Pipeline Data Lagasco'!$A:$A,'Dec 31 2018 OFFS'!$AI744,'T1 2019 Pipeline Data Lagasco'!$Q:$Q,'Dec 31 2018 OFFS'!$AK744,'T1 2019 Pipeline Data Lagasco'!$E:$E,'Dec 31 2018 OFFS'!$U744,'T1 2019 Pipeline Data Lagasco'!$G:$G,'Dec 31 2018 OFFS'!$W744),1))</f>
        <v>0</v>
      </c>
      <c r="AM744" s="274">
        <f t="shared" si="113"/>
        <v>0</v>
      </c>
    </row>
    <row r="745" spans="1:39" ht="12.7">
      <c r="A745" s="193" t="s">
        <v>909</v>
      </c>
      <c r="B745" s="40" t="s">
        <v>918</v>
      </c>
      <c r="C745" s="40" t="s">
        <v>1266</v>
      </c>
      <c r="D745" s="40" t="s">
        <v>336</v>
      </c>
      <c r="E745" s="40" t="s">
        <v>1054</v>
      </c>
      <c r="F745" s="40"/>
      <c r="G745" s="41" t="s">
        <v>350</v>
      </c>
      <c r="H745" s="42">
        <v>42</v>
      </c>
      <c r="I745" s="43">
        <v>27</v>
      </c>
      <c r="J745" s="44">
        <v>46.55</v>
      </c>
      <c r="K745" s="45">
        <v>80</v>
      </c>
      <c r="L745" s="43">
        <v>38</v>
      </c>
      <c r="M745" s="46">
        <v>5.315</v>
      </c>
      <c r="N745" s="40" t="s">
        <v>344</v>
      </c>
      <c r="O745" s="42">
        <v>42</v>
      </c>
      <c r="P745" s="43">
        <v>28</v>
      </c>
      <c r="Q745" s="44">
        <v>15</v>
      </c>
      <c r="R745" s="45">
        <v>80</v>
      </c>
      <c r="S745" s="43">
        <v>37</v>
      </c>
      <c r="T745" s="46">
        <v>51</v>
      </c>
      <c r="U745" s="40">
        <v>3</v>
      </c>
      <c r="V745" s="47">
        <v>3070</v>
      </c>
      <c r="W745" s="48">
        <v>1975</v>
      </c>
      <c r="X745" s="40"/>
      <c r="Y745" s="52"/>
      <c r="Z745" s="40" t="s">
        <v>910</v>
      </c>
      <c r="AA745" s="49">
        <f t="shared" si="106"/>
        <v>72421.30</v>
      </c>
      <c r="AB745" s="71">
        <f t="shared" si="107"/>
        <v>0.80</v>
      </c>
      <c r="AC745" s="49">
        <f t="shared" si="108"/>
        <v>14484.26</v>
      </c>
      <c r="AD745" s="50">
        <f t="shared" si="109"/>
        <v>0</v>
      </c>
      <c r="AE745" s="50">
        <f t="shared" si="110"/>
        <v>0</v>
      </c>
      <c r="AF745" s="50">
        <f t="shared" si="111"/>
        <v>14484.26</v>
      </c>
      <c r="AG745" s="199">
        <f t="shared" si="112"/>
        <v>14484</v>
      </c>
      <c r="AH745" s="187"/>
      <c r="AI745" s="185" t="s">
        <v>1458</v>
      </c>
      <c r="AJ745" s="185"/>
      <c r="AK745" s="277">
        <f t="shared" si="105"/>
        <v>3070</v>
      </c>
      <c r="AL745" s="25">
        <f>(SUMIFS('T1 2019 Pipeline Data Lagasco'!$O:$O,'T1 2019 Pipeline Data Lagasco'!$A:$A,'Dec 31 2018 OFFS'!$AI745,'T1 2019 Pipeline Data Lagasco'!$Q:$Q,'Dec 31 2018 OFFS'!$AK745,'T1 2019 Pipeline Data Lagasco'!$E:$E,'Dec 31 2018 OFFS'!$U745,'T1 2019 Pipeline Data Lagasco'!$G:$G,'Dec 31 2018 OFFS'!$W745))/(MAX(COUNTIFS('T1 2019 Pipeline Data Lagasco'!$A:$A,'Dec 31 2018 OFFS'!$AI745,'T1 2019 Pipeline Data Lagasco'!$Q:$Q,'Dec 31 2018 OFFS'!$AK745,'T1 2019 Pipeline Data Lagasco'!$E:$E,'Dec 31 2018 OFFS'!$U745,'T1 2019 Pipeline Data Lagasco'!$G:$G,'Dec 31 2018 OFFS'!$W745),1))</f>
        <v>14484</v>
      </c>
      <c r="AM745" s="274">
        <f t="shared" si="113"/>
        <v>0</v>
      </c>
    </row>
    <row r="746" spans="1:39" ht="12.7">
      <c r="A746" s="193" t="s">
        <v>909</v>
      </c>
      <c r="B746" s="40" t="s">
        <v>918</v>
      </c>
      <c r="C746" s="40" t="s">
        <v>1266</v>
      </c>
      <c r="D746" s="40" t="s">
        <v>336</v>
      </c>
      <c r="E746" s="40" t="s">
        <v>1054</v>
      </c>
      <c r="F746" s="40"/>
      <c r="G746" s="40" t="s">
        <v>351</v>
      </c>
      <c r="H746" s="42">
        <v>42</v>
      </c>
      <c r="I746" s="43">
        <v>27</v>
      </c>
      <c r="J746" s="44">
        <v>6.12</v>
      </c>
      <c r="K746" s="45">
        <v>80</v>
      </c>
      <c r="L746" s="43">
        <v>38</v>
      </c>
      <c r="M746" s="46">
        <v>47.16</v>
      </c>
      <c r="N746" s="40" t="s">
        <v>350</v>
      </c>
      <c r="O746" s="42">
        <v>42</v>
      </c>
      <c r="P746" s="43">
        <v>27</v>
      </c>
      <c r="Q746" s="44">
        <v>46.68</v>
      </c>
      <c r="R746" s="45">
        <v>80</v>
      </c>
      <c r="S746" s="43">
        <v>38</v>
      </c>
      <c r="T746" s="46">
        <v>5.46</v>
      </c>
      <c r="U746" s="40">
        <v>3</v>
      </c>
      <c r="V746" s="47">
        <v>5155</v>
      </c>
      <c r="W746" s="48">
        <v>2006</v>
      </c>
      <c r="X746" s="40"/>
      <c r="Y746" s="52"/>
      <c r="Z746" s="40" t="s">
        <v>910</v>
      </c>
      <c r="AA746" s="49">
        <f t="shared" si="106"/>
        <v>121606.45</v>
      </c>
      <c r="AB746" s="71">
        <f t="shared" si="107"/>
        <v>0.52</v>
      </c>
      <c r="AC746" s="49">
        <f t="shared" si="108"/>
        <v>58371.10</v>
      </c>
      <c r="AD746" s="50">
        <f t="shared" si="109"/>
        <v>0</v>
      </c>
      <c r="AE746" s="50">
        <f t="shared" si="110"/>
        <v>0</v>
      </c>
      <c r="AF746" s="50">
        <f t="shared" si="111"/>
        <v>58371.10</v>
      </c>
      <c r="AG746" s="199">
        <f t="shared" si="112"/>
        <v>58371</v>
      </c>
      <c r="AH746" s="187"/>
      <c r="AI746" s="185" t="s">
        <v>1458</v>
      </c>
      <c r="AJ746" s="185"/>
      <c r="AK746" s="277">
        <f t="shared" si="105"/>
        <v>5155</v>
      </c>
      <c r="AL746" s="25">
        <f>(SUMIFS('T1 2019 Pipeline Data Lagasco'!$O:$O,'T1 2019 Pipeline Data Lagasco'!$A:$A,'Dec 31 2018 OFFS'!$AI746,'T1 2019 Pipeline Data Lagasco'!$Q:$Q,'Dec 31 2018 OFFS'!$AK746,'T1 2019 Pipeline Data Lagasco'!$E:$E,'Dec 31 2018 OFFS'!$U746,'T1 2019 Pipeline Data Lagasco'!$G:$G,'Dec 31 2018 OFFS'!$W746))/(MAX(COUNTIFS('T1 2019 Pipeline Data Lagasco'!$A:$A,'Dec 31 2018 OFFS'!$AI746,'T1 2019 Pipeline Data Lagasco'!$Q:$Q,'Dec 31 2018 OFFS'!$AK746,'T1 2019 Pipeline Data Lagasco'!$E:$E,'Dec 31 2018 OFFS'!$U746,'T1 2019 Pipeline Data Lagasco'!$G:$G,'Dec 31 2018 OFFS'!$W746),1))</f>
        <v>58371</v>
      </c>
      <c r="AM746" s="274">
        <f t="shared" si="113"/>
        <v>0</v>
      </c>
    </row>
    <row r="747" spans="1:39" ht="12.7">
      <c r="A747" s="193" t="s">
        <v>909</v>
      </c>
      <c r="B747" s="40" t="s">
        <v>918</v>
      </c>
      <c r="C747" s="40" t="s">
        <v>1266</v>
      </c>
      <c r="D747" s="40" t="s">
        <v>336</v>
      </c>
      <c r="E747" s="40" t="s">
        <v>1054</v>
      </c>
      <c r="F747" s="40" t="s">
        <v>1051</v>
      </c>
      <c r="G747" s="41" t="s">
        <v>335</v>
      </c>
      <c r="H747" s="42">
        <v>42</v>
      </c>
      <c r="I747" s="43">
        <v>27</v>
      </c>
      <c r="J747" s="44">
        <v>20.151</v>
      </c>
      <c r="K747" s="45">
        <v>80</v>
      </c>
      <c r="L747" s="43">
        <v>39</v>
      </c>
      <c r="M747" s="46">
        <v>54.331000000000003</v>
      </c>
      <c r="N747" s="40" t="s">
        <v>351</v>
      </c>
      <c r="O747" s="42">
        <v>42</v>
      </c>
      <c r="P747" s="43">
        <v>27</v>
      </c>
      <c r="Q747" s="44">
        <v>5.6660000000000004</v>
      </c>
      <c r="R747" s="45">
        <v>80</v>
      </c>
      <c r="S747" s="43">
        <v>38</v>
      </c>
      <c r="T747" s="46">
        <v>48.487000000000002</v>
      </c>
      <c r="U747" s="40">
        <v>2</v>
      </c>
      <c r="V747" s="47">
        <v>5149.1099999999997</v>
      </c>
      <c r="W747" s="48">
        <v>1980</v>
      </c>
      <c r="X747" s="40"/>
      <c r="Y747" s="52"/>
      <c r="Z747" s="40" t="s">
        <v>910</v>
      </c>
      <c r="AA747" s="49">
        <f t="shared" si="106"/>
        <v>0</v>
      </c>
      <c r="AB747" s="71">
        <f t="shared" si="107"/>
        <v>0.80</v>
      </c>
      <c r="AC747" s="49">
        <f t="shared" si="108"/>
        <v>0</v>
      </c>
      <c r="AD747" s="50">
        <f t="shared" si="109"/>
        <v>0</v>
      </c>
      <c r="AE747" s="50">
        <f t="shared" si="110"/>
        <v>0</v>
      </c>
      <c r="AF747" s="50">
        <f t="shared" si="111"/>
        <v>0</v>
      </c>
      <c r="AG747" s="199">
        <f t="shared" si="112"/>
        <v>0</v>
      </c>
      <c r="AH747" s="187"/>
      <c r="AI747" s="185" t="s">
        <v>1458</v>
      </c>
      <c r="AJ747" s="185"/>
      <c r="AK747" s="277">
        <f t="shared" si="105"/>
        <v>5149.1099999999997</v>
      </c>
      <c r="AL747" s="25">
        <f>(SUMIFS('T1 2019 Pipeline Data Lagasco'!$O:$O,'T1 2019 Pipeline Data Lagasco'!$A:$A,'Dec 31 2018 OFFS'!$AI747,'T1 2019 Pipeline Data Lagasco'!$Q:$Q,'Dec 31 2018 OFFS'!$AK747,'T1 2019 Pipeline Data Lagasco'!$E:$E,'Dec 31 2018 OFFS'!$U747,'T1 2019 Pipeline Data Lagasco'!$G:$G,'Dec 31 2018 OFFS'!$W747))/(MAX(COUNTIFS('T1 2019 Pipeline Data Lagasco'!$A:$A,'Dec 31 2018 OFFS'!$AI747,'T1 2019 Pipeline Data Lagasco'!$Q:$Q,'Dec 31 2018 OFFS'!$AK747,'T1 2019 Pipeline Data Lagasco'!$E:$E,'Dec 31 2018 OFFS'!$U747,'T1 2019 Pipeline Data Lagasco'!$G:$G,'Dec 31 2018 OFFS'!$W747),1))</f>
        <v>0</v>
      </c>
      <c r="AM747" s="274">
        <f t="shared" si="113"/>
        <v>0</v>
      </c>
    </row>
    <row r="748" spans="1:39" ht="12.7">
      <c r="A748" s="193" t="s">
        <v>909</v>
      </c>
      <c r="B748" s="40" t="s">
        <v>918</v>
      </c>
      <c r="C748" s="40" t="s">
        <v>1266</v>
      </c>
      <c r="D748" s="40" t="s">
        <v>336</v>
      </c>
      <c r="E748" s="40" t="s">
        <v>1054</v>
      </c>
      <c r="F748" s="40" t="s">
        <v>1051</v>
      </c>
      <c r="G748" s="41" t="s">
        <v>352</v>
      </c>
      <c r="H748" s="42">
        <v>42</v>
      </c>
      <c r="I748" s="43">
        <v>29</v>
      </c>
      <c r="J748" s="44">
        <v>14.148999999999999</v>
      </c>
      <c r="K748" s="45">
        <v>80</v>
      </c>
      <c r="L748" s="43">
        <v>31</v>
      </c>
      <c r="M748" s="46">
        <v>19.591999999999999</v>
      </c>
      <c r="N748" s="40" t="s">
        <v>353</v>
      </c>
      <c r="O748" s="42">
        <v>42</v>
      </c>
      <c r="P748" s="43">
        <v>29</v>
      </c>
      <c r="Q748" s="44">
        <v>20.70</v>
      </c>
      <c r="R748" s="45">
        <v>80</v>
      </c>
      <c r="S748" s="43">
        <v>30</v>
      </c>
      <c r="T748" s="46">
        <v>36.78</v>
      </c>
      <c r="U748" s="40">
        <v>2</v>
      </c>
      <c r="V748" s="47">
        <v>3275.459222728</v>
      </c>
      <c r="W748" s="48">
        <v>1993</v>
      </c>
      <c r="X748" s="40"/>
      <c r="Y748" s="52"/>
      <c r="Z748" s="40" t="s">
        <v>910</v>
      </c>
      <c r="AA748" s="49">
        <f t="shared" si="106"/>
        <v>0</v>
      </c>
      <c r="AB748" s="71">
        <f t="shared" si="107"/>
        <v>0.70</v>
      </c>
      <c r="AC748" s="49">
        <f t="shared" si="108"/>
        <v>0</v>
      </c>
      <c r="AD748" s="50">
        <f t="shared" si="109"/>
        <v>0</v>
      </c>
      <c r="AE748" s="50">
        <f t="shared" si="110"/>
        <v>0</v>
      </c>
      <c r="AF748" s="50">
        <f t="shared" si="111"/>
        <v>0</v>
      </c>
      <c r="AG748" s="199">
        <f t="shared" si="112"/>
        <v>0</v>
      </c>
      <c r="AH748" s="187"/>
      <c r="AI748" s="185" t="s">
        <v>1458</v>
      </c>
      <c r="AJ748" s="185"/>
      <c r="AK748" s="277">
        <f t="shared" si="105"/>
        <v>3275.46</v>
      </c>
      <c r="AL748" s="25">
        <f>(SUMIFS('T1 2019 Pipeline Data Lagasco'!$O:$O,'T1 2019 Pipeline Data Lagasco'!$A:$A,'Dec 31 2018 OFFS'!$AI748,'T1 2019 Pipeline Data Lagasco'!$Q:$Q,'Dec 31 2018 OFFS'!$AK748,'T1 2019 Pipeline Data Lagasco'!$E:$E,'Dec 31 2018 OFFS'!$U748,'T1 2019 Pipeline Data Lagasco'!$G:$G,'Dec 31 2018 OFFS'!$W748))/(MAX(COUNTIFS('T1 2019 Pipeline Data Lagasco'!$A:$A,'Dec 31 2018 OFFS'!$AI748,'T1 2019 Pipeline Data Lagasco'!$Q:$Q,'Dec 31 2018 OFFS'!$AK748,'T1 2019 Pipeline Data Lagasco'!$E:$E,'Dec 31 2018 OFFS'!$U748,'T1 2019 Pipeline Data Lagasco'!$G:$G,'Dec 31 2018 OFFS'!$W748),1))</f>
        <v>0</v>
      </c>
      <c r="AM748" s="274">
        <f t="shared" si="113"/>
        <v>0</v>
      </c>
    </row>
    <row r="749" spans="1:39" ht="12.7">
      <c r="A749" s="193" t="s">
        <v>909</v>
      </c>
      <c r="B749" s="40" t="s">
        <v>918</v>
      </c>
      <c r="C749" s="40" t="s">
        <v>1266</v>
      </c>
      <c r="D749" s="40" t="s">
        <v>336</v>
      </c>
      <c r="E749" s="40" t="s">
        <v>1054</v>
      </c>
      <c r="F749" s="40"/>
      <c r="G749" s="41" t="s">
        <v>352</v>
      </c>
      <c r="H749" s="42">
        <v>42</v>
      </c>
      <c r="I749" s="43">
        <v>29</v>
      </c>
      <c r="J749" s="44">
        <v>14.148999999999999</v>
      </c>
      <c r="K749" s="45">
        <v>80</v>
      </c>
      <c r="L749" s="43">
        <v>31</v>
      </c>
      <c r="M749" s="46">
        <v>19.591999999999999</v>
      </c>
      <c r="N749" s="40" t="s">
        <v>353</v>
      </c>
      <c r="O749" s="42">
        <v>42</v>
      </c>
      <c r="P749" s="43">
        <v>29</v>
      </c>
      <c r="Q749" s="44">
        <v>20.70</v>
      </c>
      <c r="R749" s="45">
        <v>80</v>
      </c>
      <c r="S749" s="43">
        <v>30</v>
      </c>
      <c r="T749" s="46">
        <v>36.78</v>
      </c>
      <c r="U749" s="40">
        <v>3</v>
      </c>
      <c r="V749" s="47">
        <v>3380</v>
      </c>
      <c r="W749" s="48">
        <v>2009</v>
      </c>
      <c r="X749" s="40"/>
      <c r="Y749" s="52"/>
      <c r="Z749" s="40" t="s">
        <v>910</v>
      </c>
      <c r="AA749" s="49">
        <f t="shared" si="106"/>
        <v>79734.20</v>
      </c>
      <c r="AB749" s="71">
        <f t="shared" si="107"/>
        <v>0.44</v>
      </c>
      <c r="AC749" s="49">
        <f t="shared" si="108"/>
        <v>44651.15</v>
      </c>
      <c r="AD749" s="50">
        <f t="shared" si="109"/>
        <v>0</v>
      </c>
      <c r="AE749" s="50">
        <f t="shared" si="110"/>
        <v>0</v>
      </c>
      <c r="AF749" s="50">
        <f t="shared" si="111"/>
        <v>44651.15</v>
      </c>
      <c r="AG749" s="199">
        <f t="shared" si="112"/>
        <v>44651</v>
      </c>
      <c r="AH749" s="187"/>
      <c r="AI749" s="185" t="s">
        <v>1458</v>
      </c>
      <c r="AJ749" s="185"/>
      <c r="AK749" s="277">
        <f t="shared" si="105"/>
        <v>3380</v>
      </c>
      <c r="AL749" s="25">
        <f>(SUMIFS('T1 2019 Pipeline Data Lagasco'!$O:$O,'T1 2019 Pipeline Data Lagasco'!$A:$A,'Dec 31 2018 OFFS'!$AI749,'T1 2019 Pipeline Data Lagasco'!$Q:$Q,'Dec 31 2018 OFFS'!$AK749,'T1 2019 Pipeline Data Lagasco'!$E:$E,'Dec 31 2018 OFFS'!$U749,'T1 2019 Pipeline Data Lagasco'!$G:$G,'Dec 31 2018 OFFS'!$W749))/(MAX(COUNTIFS('T1 2019 Pipeline Data Lagasco'!$A:$A,'Dec 31 2018 OFFS'!$AI749,'T1 2019 Pipeline Data Lagasco'!$Q:$Q,'Dec 31 2018 OFFS'!$AK749,'T1 2019 Pipeline Data Lagasco'!$E:$E,'Dec 31 2018 OFFS'!$U749,'T1 2019 Pipeline Data Lagasco'!$G:$G,'Dec 31 2018 OFFS'!$W749),1))</f>
        <v>44651</v>
      </c>
      <c r="AM749" s="274">
        <f t="shared" si="113"/>
        <v>0</v>
      </c>
    </row>
    <row r="750" spans="1:39" ht="12.7">
      <c r="A750" s="193" t="s">
        <v>909</v>
      </c>
      <c r="B750" s="40" t="s">
        <v>918</v>
      </c>
      <c r="C750" s="40" t="s">
        <v>1266</v>
      </c>
      <c r="D750" s="40" t="s">
        <v>336</v>
      </c>
      <c r="E750" s="40" t="s">
        <v>1054</v>
      </c>
      <c r="F750" s="40" t="s">
        <v>1051</v>
      </c>
      <c r="G750" s="41" t="s">
        <v>352</v>
      </c>
      <c r="H750" s="42">
        <v>42</v>
      </c>
      <c r="I750" s="43">
        <v>29</v>
      </c>
      <c r="J750" s="44">
        <v>14.148999999999999</v>
      </c>
      <c r="K750" s="45">
        <v>80</v>
      </c>
      <c r="L750" s="43">
        <v>31</v>
      </c>
      <c r="M750" s="46">
        <v>19.591999999999999</v>
      </c>
      <c r="N750" s="40" t="s">
        <v>509</v>
      </c>
      <c r="O750" s="42">
        <v>42</v>
      </c>
      <c r="P750" s="43">
        <v>28</v>
      </c>
      <c r="Q750" s="44">
        <v>46.92</v>
      </c>
      <c r="R750" s="45">
        <v>80</v>
      </c>
      <c r="S750" s="43">
        <v>32</v>
      </c>
      <c r="T750" s="44">
        <v>5.88</v>
      </c>
      <c r="U750" s="40">
        <v>4</v>
      </c>
      <c r="V750" s="47">
        <v>4430.25</v>
      </c>
      <c r="W750" s="48">
        <v>1985</v>
      </c>
      <c r="X750" s="40"/>
      <c r="Y750" s="52"/>
      <c r="Z750" s="40" t="s">
        <v>910</v>
      </c>
      <c r="AA750" s="49">
        <f t="shared" si="106"/>
        <v>0</v>
      </c>
      <c r="AB750" s="71">
        <f t="shared" si="107"/>
        <v>0.80</v>
      </c>
      <c r="AC750" s="49">
        <f t="shared" si="108"/>
        <v>0</v>
      </c>
      <c r="AD750" s="50">
        <f t="shared" si="109"/>
        <v>0</v>
      </c>
      <c r="AE750" s="50">
        <f t="shared" si="110"/>
        <v>0</v>
      </c>
      <c r="AF750" s="50">
        <f t="shared" si="111"/>
        <v>0</v>
      </c>
      <c r="AG750" s="199">
        <f t="shared" si="112"/>
        <v>0</v>
      </c>
      <c r="AH750" s="187"/>
      <c r="AI750" s="185" t="s">
        <v>1458</v>
      </c>
      <c r="AJ750" s="185"/>
      <c r="AK750" s="277">
        <f t="shared" si="105"/>
        <v>4430.25</v>
      </c>
      <c r="AL750" s="25">
        <f>(SUMIFS('T1 2019 Pipeline Data Lagasco'!$O:$O,'T1 2019 Pipeline Data Lagasco'!$A:$A,'Dec 31 2018 OFFS'!$AI750,'T1 2019 Pipeline Data Lagasco'!$Q:$Q,'Dec 31 2018 OFFS'!$AK750,'T1 2019 Pipeline Data Lagasco'!$E:$E,'Dec 31 2018 OFFS'!$U750,'T1 2019 Pipeline Data Lagasco'!$G:$G,'Dec 31 2018 OFFS'!$W750))/(MAX(COUNTIFS('T1 2019 Pipeline Data Lagasco'!$A:$A,'Dec 31 2018 OFFS'!$AI750,'T1 2019 Pipeline Data Lagasco'!$Q:$Q,'Dec 31 2018 OFFS'!$AK750,'T1 2019 Pipeline Data Lagasco'!$E:$E,'Dec 31 2018 OFFS'!$U750,'T1 2019 Pipeline Data Lagasco'!$G:$G,'Dec 31 2018 OFFS'!$W750),1))</f>
        <v>0</v>
      </c>
      <c r="AM750" s="274">
        <f t="shared" si="113"/>
        <v>0</v>
      </c>
    </row>
    <row r="751" spans="1:39" ht="15">
      <c r="A751" s="193" t="s">
        <v>909</v>
      </c>
      <c r="B751" s="40" t="s">
        <v>918</v>
      </c>
      <c r="C751" s="40" t="s">
        <v>1266</v>
      </c>
      <c r="D751" s="40" t="s">
        <v>336</v>
      </c>
      <c r="E751" s="40" t="s">
        <v>1054</v>
      </c>
      <c r="F751" s="40"/>
      <c r="G751" s="40" t="s">
        <v>352</v>
      </c>
      <c r="H751" s="42">
        <v>42</v>
      </c>
      <c r="I751" s="43">
        <v>29</v>
      </c>
      <c r="J751" s="44">
        <f>60*0.25</f>
        <v>15</v>
      </c>
      <c r="K751" s="45">
        <v>80</v>
      </c>
      <c r="L751" s="43">
        <v>31</v>
      </c>
      <c r="M751" s="46">
        <f>60*0.35</f>
        <v>21</v>
      </c>
      <c r="N751" s="40" t="s">
        <v>509</v>
      </c>
      <c r="O751" s="42">
        <v>42</v>
      </c>
      <c r="P751" s="43">
        <v>28</v>
      </c>
      <c r="Q751" s="44">
        <f>60*0.8</f>
        <v>48</v>
      </c>
      <c r="R751" s="45">
        <v>80</v>
      </c>
      <c r="S751" s="43">
        <v>32</v>
      </c>
      <c r="T751" s="46">
        <f>60*0.083</f>
        <v>4.9800000000000004</v>
      </c>
      <c r="U751" s="40">
        <v>3</v>
      </c>
      <c r="V751" s="47">
        <v>4275</v>
      </c>
      <c r="W751" s="48">
        <v>2005</v>
      </c>
      <c r="X751" s="108"/>
      <c r="Y751" s="52"/>
      <c r="Z751" s="40" t="s">
        <v>910</v>
      </c>
      <c r="AA751" s="49">
        <f t="shared" si="106"/>
        <v>100847.25</v>
      </c>
      <c r="AB751" s="71">
        <f t="shared" si="107"/>
        <v>0.54</v>
      </c>
      <c r="AC751" s="49">
        <f t="shared" si="108"/>
        <v>46389.74</v>
      </c>
      <c r="AD751" s="50">
        <f t="shared" si="109"/>
        <v>0</v>
      </c>
      <c r="AE751" s="50">
        <f t="shared" si="110"/>
        <v>0</v>
      </c>
      <c r="AF751" s="50">
        <f t="shared" si="111"/>
        <v>46389.74</v>
      </c>
      <c r="AG751" s="199">
        <f t="shared" si="112"/>
        <v>46389</v>
      </c>
      <c r="AH751" s="187"/>
      <c r="AI751" s="185" t="s">
        <v>1458</v>
      </c>
      <c r="AJ751" s="185"/>
      <c r="AK751" s="277">
        <f t="shared" si="105"/>
        <v>4275</v>
      </c>
      <c r="AL751" s="25">
        <f>(SUMIFS('T1 2019 Pipeline Data Lagasco'!$O:$O,'T1 2019 Pipeline Data Lagasco'!$A:$A,'Dec 31 2018 OFFS'!$AI751,'T1 2019 Pipeline Data Lagasco'!$Q:$Q,'Dec 31 2018 OFFS'!$AK751,'T1 2019 Pipeline Data Lagasco'!$E:$E,'Dec 31 2018 OFFS'!$U751,'T1 2019 Pipeline Data Lagasco'!$G:$G,'Dec 31 2018 OFFS'!$W751))/(MAX(COUNTIFS('T1 2019 Pipeline Data Lagasco'!$A:$A,'Dec 31 2018 OFFS'!$AI751,'T1 2019 Pipeline Data Lagasco'!$Q:$Q,'Dec 31 2018 OFFS'!$AK751,'T1 2019 Pipeline Data Lagasco'!$E:$E,'Dec 31 2018 OFFS'!$U751,'T1 2019 Pipeline Data Lagasco'!$G:$G,'Dec 31 2018 OFFS'!$W751),1))</f>
        <v>46389</v>
      </c>
      <c r="AM751" s="274">
        <f t="shared" si="113"/>
        <v>0</v>
      </c>
    </row>
    <row r="752" spans="1:39" ht="15">
      <c r="A752" s="193" t="s">
        <v>909</v>
      </c>
      <c r="B752" s="40" t="s">
        <v>918</v>
      </c>
      <c r="C752" s="40" t="s">
        <v>1266</v>
      </c>
      <c r="D752" s="40" t="s">
        <v>336</v>
      </c>
      <c r="E752" s="40" t="s">
        <v>1054</v>
      </c>
      <c r="F752" s="139" t="s">
        <v>1051</v>
      </c>
      <c r="G752" s="40" t="s">
        <v>352</v>
      </c>
      <c r="H752" s="42">
        <v>42</v>
      </c>
      <c r="I752" s="43">
        <v>29</v>
      </c>
      <c r="J752" s="44">
        <v>14.148999999999999</v>
      </c>
      <c r="K752" s="45">
        <v>80</v>
      </c>
      <c r="L752" s="43">
        <v>31</v>
      </c>
      <c r="M752" s="46">
        <v>19.591999999999999</v>
      </c>
      <c r="N752" s="40" t="s">
        <v>1336</v>
      </c>
      <c r="O752" s="42" t="s">
        <v>78</v>
      </c>
      <c r="P752" s="43">
        <v>29</v>
      </c>
      <c r="Q752" s="44">
        <v>16.469000000000001</v>
      </c>
      <c r="R752" s="45" t="s">
        <v>1010</v>
      </c>
      <c r="S752" s="43">
        <v>31</v>
      </c>
      <c r="T752" s="46">
        <v>18.521000000000001</v>
      </c>
      <c r="U752" s="40">
        <v>3</v>
      </c>
      <c r="V752" s="47">
        <v>252</v>
      </c>
      <c r="W752" s="48">
        <v>2009</v>
      </c>
      <c r="X752" s="108"/>
      <c r="Y752" s="52"/>
      <c r="Z752" s="40" t="s">
        <v>910</v>
      </c>
      <c r="AA752" s="49">
        <f t="shared" si="106"/>
        <v>0</v>
      </c>
      <c r="AB752" s="71">
        <f t="shared" si="107"/>
        <v>0.44</v>
      </c>
      <c r="AC752" s="49">
        <f t="shared" si="108"/>
        <v>0</v>
      </c>
      <c r="AD752" s="50">
        <f t="shared" si="109"/>
        <v>0</v>
      </c>
      <c r="AE752" s="50">
        <f t="shared" si="110"/>
        <v>0</v>
      </c>
      <c r="AF752" s="50">
        <f t="shared" si="111"/>
        <v>0</v>
      </c>
      <c r="AG752" s="199">
        <f t="shared" si="112"/>
        <v>0</v>
      </c>
      <c r="AH752" s="187"/>
      <c r="AI752" s="185" t="s">
        <v>1458</v>
      </c>
      <c r="AJ752" s="185"/>
      <c r="AK752" s="277">
        <f t="shared" si="105"/>
        <v>252</v>
      </c>
      <c r="AL752" s="25">
        <f>(SUMIFS('T1 2019 Pipeline Data Lagasco'!$O:$O,'T1 2019 Pipeline Data Lagasco'!$A:$A,'Dec 31 2018 OFFS'!$AI752,'T1 2019 Pipeline Data Lagasco'!$Q:$Q,'Dec 31 2018 OFFS'!$AK752,'T1 2019 Pipeline Data Lagasco'!$E:$E,'Dec 31 2018 OFFS'!$U752,'T1 2019 Pipeline Data Lagasco'!$G:$G,'Dec 31 2018 OFFS'!$W752))/(MAX(COUNTIFS('T1 2019 Pipeline Data Lagasco'!$A:$A,'Dec 31 2018 OFFS'!$AI752,'T1 2019 Pipeline Data Lagasco'!$Q:$Q,'Dec 31 2018 OFFS'!$AK752,'T1 2019 Pipeline Data Lagasco'!$E:$E,'Dec 31 2018 OFFS'!$U752,'T1 2019 Pipeline Data Lagasco'!$G:$G,'Dec 31 2018 OFFS'!$W752),1))</f>
        <v>0</v>
      </c>
      <c r="AM752" s="274">
        <f t="shared" si="113"/>
        <v>0</v>
      </c>
    </row>
    <row r="753" spans="1:39" ht="12.7">
      <c r="A753" s="193" t="s">
        <v>909</v>
      </c>
      <c r="B753" s="40" t="s">
        <v>918</v>
      </c>
      <c r="C753" s="40" t="s">
        <v>1266</v>
      </c>
      <c r="D753" s="40" t="s">
        <v>336</v>
      </c>
      <c r="E753" s="40" t="s">
        <v>1054</v>
      </c>
      <c r="F753" s="139" t="s">
        <v>1051</v>
      </c>
      <c r="G753" s="41" t="s">
        <v>510</v>
      </c>
      <c r="H753" s="42">
        <v>42</v>
      </c>
      <c r="I753" s="43">
        <v>29</v>
      </c>
      <c r="J753" s="44">
        <v>58.50</v>
      </c>
      <c r="K753" s="45">
        <v>80</v>
      </c>
      <c r="L753" s="43">
        <v>32</v>
      </c>
      <c r="M753" s="46">
        <v>0.60</v>
      </c>
      <c r="N753" s="40" t="s">
        <v>511</v>
      </c>
      <c r="O753" s="42">
        <v>42</v>
      </c>
      <c r="P753" s="43">
        <v>30</v>
      </c>
      <c r="Q753" s="44">
        <v>52.021999999999998</v>
      </c>
      <c r="R753" s="45">
        <v>80</v>
      </c>
      <c r="S753" s="43">
        <v>31</v>
      </c>
      <c r="T753" s="46">
        <v>58.698999999999998</v>
      </c>
      <c r="U753" s="40">
        <v>4</v>
      </c>
      <c r="V753" s="47">
        <v>5420.0129663959997</v>
      </c>
      <c r="W753" s="48">
        <v>1988</v>
      </c>
      <c r="X753" s="40"/>
      <c r="Y753" s="52"/>
      <c r="Z753" s="40" t="s">
        <v>910</v>
      </c>
      <c r="AA753" s="49">
        <f t="shared" si="106"/>
        <v>0</v>
      </c>
      <c r="AB753" s="71">
        <f t="shared" si="107"/>
        <v>0.76</v>
      </c>
      <c r="AC753" s="49">
        <f t="shared" si="108"/>
        <v>0</v>
      </c>
      <c r="AD753" s="50">
        <f t="shared" si="109"/>
        <v>0</v>
      </c>
      <c r="AE753" s="50">
        <f t="shared" si="110"/>
        <v>0</v>
      </c>
      <c r="AF753" s="50">
        <f t="shared" si="111"/>
        <v>0</v>
      </c>
      <c r="AG753" s="199">
        <f t="shared" si="112"/>
        <v>0</v>
      </c>
      <c r="AH753" s="187"/>
      <c r="AI753" s="185" t="s">
        <v>1458</v>
      </c>
      <c r="AJ753" s="185"/>
      <c r="AK753" s="277">
        <f t="shared" si="105"/>
        <v>5420.01</v>
      </c>
      <c r="AL753" s="25">
        <f>(SUMIFS('T1 2019 Pipeline Data Lagasco'!$O:$O,'T1 2019 Pipeline Data Lagasco'!$A:$A,'Dec 31 2018 OFFS'!$AI753,'T1 2019 Pipeline Data Lagasco'!$Q:$Q,'Dec 31 2018 OFFS'!$AK753,'T1 2019 Pipeline Data Lagasco'!$E:$E,'Dec 31 2018 OFFS'!$U753,'T1 2019 Pipeline Data Lagasco'!$G:$G,'Dec 31 2018 OFFS'!$W753))/(MAX(COUNTIFS('T1 2019 Pipeline Data Lagasco'!$A:$A,'Dec 31 2018 OFFS'!$AI753,'T1 2019 Pipeline Data Lagasco'!$Q:$Q,'Dec 31 2018 OFFS'!$AK753,'T1 2019 Pipeline Data Lagasco'!$E:$E,'Dec 31 2018 OFFS'!$U753,'T1 2019 Pipeline Data Lagasco'!$G:$G,'Dec 31 2018 OFFS'!$W753),1))</f>
        <v>0</v>
      </c>
      <c r="AM753" s="274">
        <f t="shared" si="113"/>
        <v>0</v>
      </c>
    </row>
    <row r="754" spans="1:39" ht="12.7">
      <c r="A754" s="193" t="s">
        <v>909</v>
      </c>
      <c r="B754" s="40" t="s">
        <v>918</v>
      </c>
      <c r="C754" s="40" t="s">
        <v>1266</v>
      </c>
      <c r="D754" s="40" t="s">
        <v>336</v>
      </c>
      <c r="E754" s="40" t="s">
        <v>1054</v>
      </c>
      <c r="F754" s="40" t="s">
        <v>1051</v>
      </c>
      <c r="G754" s="41" t="s">
        <v>354</v>
      </c>
      <c r="H754" s="42">
        <v>42</v>
      </c>
      <c r="I754" s="43">
        <v>29</v>
      </c>
      <c r="J754" s="44">
        <v>16.38</v>
      </c>
      <c r="K754" s="45">
        <v>80</v>
      </c>
      <c r="L754" s="43">
        <v>32</v>
      </c>
      <c r="M754" s="46">
        <v>0.57999999999999996</v>
      </c>
      <c r="N754" s="40" t="s">
        <v>352</v>
      </c>
      <c r="O754" s="42">
        <v>42</v>
      </c>
      <c r="P754" s="43">
        <v>29</v>
      </c>
      <c r="Q754" s="44">
        <v>14.148999999999999</v>
      </c>
      <c r="R754" s="45">
        <v>80</v>
      </c>
      <c r="S754" s="43">
        <v>31</v>
      </c>
      <c r="T754" s="46">
        <v>19.591999999999999</v>
      </c>
      <c r="U754" s="40">
        <v>2</v>
      </c>
      <c r="V754" s="47">
        <v>3079.2978110859999</v>
      </c>
      <c r="W754" s="48">
        <v>1981</v>
      </c>
      <c r="X754" s="40"/>
      <c r="Y754" s="52"/>
      <c r="Z754" s="40" t="s">
        <v>910</v>
      </c>
      <c r="AA754" s="49">
        <f t="shared" si="106"/>
        <v>0</v>
      </c>
      <c r="AB754" s="71">
        <f t="shared" si="107"/>
        <v>0.80</v>
      </c>
      <c r="AC754" s="49">
        <f t="shared" si="108"/>
        <v>0</v>
      </c>
      <c r="AD754" s="50">
        <f t="shared" si="109"/>
        <v>0</v>
      </c>
      <c r="AE754" s="50">
        <f t="shared" si="110"/>
        <v>0</v>
      </c>
      <c r="AF754" s="50">
        <f t="shared" si="111"/>
        <v>0</v>
      </c>
      <c r="AG754" s="199">
        <f t="shared" si="112"/>
        <v>0</v>
      </c>
      <c r="AH754" s="187"/>
      <c r="AI754" s="185" t="s">
        <v>1458</v>
      </c>
      <c r="AJ754" s="185"/>
      <c r="AK754" s="277">
        <f t="shared" si="105"/>
        <v>3079.30</v>
      </c>
      <c r="AL754" s="25">
        <f>(SUMIFS('T1 2019 Pipeline Data Lagasco'!$O:$O,'T1 2019 Pipeline Data Lagasco'!$A:$A,'Dec 31 2018 OFFS'!$AI754,'T1 2019 Pipeline Data Lagasco'!$Q:$Q,'Dec 31 2018 OFFS'!$AK754,'T1 2019 Pipeline Data Lagasco'!$E:$E,'Dec 31 2018 OFFS'!$U754,'T1 2019 Pipeline Data Lagasco'!$G:$G,'Dec 31 2018 OFFS'!$W754))/(MAX(COUNTIFS('T1 2019 Pipeline Data Lagasco'!$A:$A,'Dec 31 2018 OFFS'!$AI754,'T1 2019 Pipeline Data Lagasco'!$Q:$Q,'Dec 31 2018 OFFS'!$AK754,'T1 2019 Pipeline Data Lagasco'!$E:$E,'Dec 31 2018 OFFS'!$U754,'T1 2019 Pipeline Data Lagasco'!$G:$G,'Dec 31 2018 OFFS'!$W754),1))</f>
        <v>0</v>
      </c>
      <c r="AM754" s="274">
        <f t="shared" si="113"/>
        <v>0</v>
      </c>
    </row>
    <row r="755" spans="1:39" ht="12.7">
      <c r="A755" s="193" t="s">
        <v>909</v>
      </c>
      <c r="B755" s="40" t="s">
        <v>918</v>
      </c>
      <c r="C755" s="40" t="s">
        <v>1266</v>
      </c>
      <c r="D755" s="40" t="s">
        <v>336</v>
      </c>
      <c r="E755" s="40" t="s">
        <v>1054</v>
      </c>
      <c r="F755" s="40" t="s">
        <v>1051</v>
      </c>
      <c r="G755" s="41" t="s">
        <v>510</v>
      </c>
      <c r="H755" s="42">
        <v>42</v>
      </c>
      <c r="I755" s="43">
        <v>29</v>
      </c>
      <c r="J755" s="44">
        <v>58.50</v>
      </c>
      <c r="K755" s="45">
        <v>80</v>
      </c>
      <c r="L755" s="43">
        <v>32</v>
      </c>
      <c r="M755" s="46">
        <v>0.60</v>
      </c>
      <c r="N755" s="40" t="s">
        <v>512</v>
      </c>
      <c r="O755" s="42">
        <v>42</v>
      </c>
      <c r="P755" s="43">
        <v>29</v>
      </c>
      <c r="Q755" s="44">
        <v>52.31</v>
      </c>
      <c r="R755" s="45">
        <v>80</v>
      </c>
      <c r="S755" s="43">
        <v>33</v>
      </c>
      <c r="T755" s="46">
        <v>20.291</v>
      </c>
      <c r="U755" s="40">
        <v>4</v>
      </c>
      <c r="V755" s="47">
        <v>5993</v>
      </c>
      <c r="W755" s="48">
        <v>1984</v>
      </c>
      <c r="X755" s="40"/>
      <c r="Y755" s="52"/>
      <c r="Z755" s="139" t="s">
        <v>910</v>
      </c>
      <c r="AA755" s="49">
        <f t="shared" si="106"/>
        <v>0</v>
      </c>
      <c r="AB755" s="71">
        <f t="shared" si="107"/>
        <v>0.80</v>
      </c>
      <c r="AC755" s="49">
        <f t="shared" si="108"/>
        <v>0</v>
      </c>
      <c r="AD755" s="50">
        <f t="shared" si="109"/>
        <v>0</v>
      </c>
      <c r="AE755" s="50">
        <f t="shared" si="110"/>
        <v>0</v>
      </c>
      <c r="AF755" s="50">
        <f t="shared" si="111"/>
        <v>0</v>
      </c>
      <c r="AG755" s="199">
        <f t="shared" si="112"/>
        <v>0</v>
      </c>
      <c r="AH755" s="187"/>
      <c r="AI755" s="185" t="s">
        <v>1458</v>
      </c>
      <c r="AJ755" s="185"/>
      <c r="AK755" s="277">
        <f t="shared" si="105"/>
        <v>5993</v>
      </c>
      <c r="AL755" s="25">
        <f>(SUMIFS('T1 2019 Pipeline Data Lagasco'!$O:$O,'T1 2019 Pipeline Data Lagasco'!$A:$A,'Dec 31 2018 OFFS'!$AI755,'T1 2019 Pipeline Data Lagasco'!$Q:$Q,'Dec 31 2018 OFFS'!$AK755,'T1 2019 Pipeline Data Lagasco'!$E:$E,'Dec 31 2018 OFFS'!$U755,'T1 2019 Pipeline Data Lagasco'!$G:$G,'Dec 31 2018 OFFS'!$W755))/(MAX(COUNTIFS('T1 2019 Pipeline Data Lagasco'!$A:$A,'Dec 31 2018 OFFS'!$AI755,'T1 2019 Pipeline Data Lagasco'!$Q:$Q,'Dec 31 2018 OFFS'!$AK755,'T1 2019 Pipeline Data Lagasco'!$E:$E,'Dec 31 2018 OFFS'!$U755,'T1 2019 Pipeline Data Lagasco'!$G:$G,'Dec 31 2018 OFFS'!$W755),1))</f>
        <v>0</v>
      </c>
      <c r="AM755" s="274">
        <f t="shared" si="113"/>
        <v>0</v>
      </c>
    </row>
    <row r="756" spans="1:39" ht="12.7">
      <c r="A756" s="193" t="s">
        <v>909</v>
      </c>
      <c r="B756" s="40" t="s">
        <v>918</v>
      </c>
      <c r="C756" s="40" t="s">
        <v>1266</v>
      </c>
      <c r="D756" s="40" t="s">
        <v>336</v>
      </c>
      <c r="E756" s="40" t="s">
        <v>1054</v>
      </c>
      <c r="F756" s="40" t="s">
        <v>1380</v>
      </c>
      <c r="G756" s="41" t="s">
        <v>510</v>
      </c>
      <c r="H756" s="42">
        <v>42</v>
      </c>
      <c r="I756" s="43">
        <v>29</v>
      </c>
      <c r="J756" s="44">
        <v>58.50</v>
      </c>
      <c r="K756" s="45">
        <v>80</v>
      </c>
      <c r="L756" s="43">
        <v>32</v>
      </c>
      <c r="M756" s="46">
        <v>0.60</v>
      </c>
      <c r="N756" s="40" t="s">
        <v>355</v>
      </c>
      <c r="O756" s="42">
        <v>42</v>
      </c>
      <c r="P756" s="43">
        <v>29</v>
      </c>
      <c r="Q756" s="44">
        <v>44.585</v>
      </c>
      <c r="R756" s="45">
        <v>80</v>
      </c>
      <c r="S756" s="43">
        <v>34</v>
      </c>
      <c r="T756" s="46">
        <v>39.064</v>
      </c>
      <c r="U756" s="40">
        <v>4</v>
      </c>
      <c r="V756" s="280">
        <v>12287</v>
      </c>
      <c r="W756" s="48">
        <v>1999</v>
      </c>
      <c r="X756" s="40"/>
      <c r="Y756" s="52"/>
      <c r="Z756" s="139" t="s">
        <v>910</v>
      </c>
      <c r="AA756" s="49">
        <f t="shared" si="106"/>
        <v>324991.14999999997</v>
      </c>
      <c r="AB756" s="71">
        <f t="shared" si="107"/>
        <v>0.62</v>
      </c>
      <c r="AC756" s="49">
        <f t="shared" si="108"/>
        <v>123496.64</v>
      </c>
      <c r="AD756" s="50">
        <f t="shared" si="109"/>
        <v>0</v>
      </c>
      <c r="AE756" s="50">
        <f t="shared" si="110"/>
        <v>0</v>
      </c>
      <c r="AF756" s="50">
        <f t="shared" si="111"/>
        <v>123496.64</v>
      </c>
      <c r="AG756" s="199">
        <f t="shared" si="112"/>
        <v>123496</v>
      </c>
      <c r="AH756" s="187"/>
      <c r="AI756" s="185" t="s">
        <v>1458</v>
      </c>
      <c r="AJ756" s="185"/>
      <c r="AK756" s="277">
        <f t="shared" si="105"/>
        <v>12287</v>
      </c>
      <c r="AL756" s="25">
        <f>(SUMIFS('T1 2019 Pipeline Data Lagasco'!$O:$O,'T1 2019 Pipeline Data Lagasco'!$A:$A,'Dec 31 2018 OFFS'!$AI756,'T1 2019 Pipeline Data Lagasco'!$Q:$Q,'Dec 31 2018 OFFS'!$AK756,'T1 2019 Pipeline Data Lagasco'!$E:$E,'Dec 31 2018 OFFS'!$U756,'T1 2019 Pipeline Data Lagasco'!$G:$G,'Dec 31 2018 OFFS'!$W756))/(MAX(COUNTIFS('T1 2019 Pipeline Data Lagasco'!$A:$A,'Dec 31 2018 OFFS'!$AI756,'T1 2019 Pipeline Data Lagasco'!$Q:$Q,'Dec 31 2018 OFFS'!$AK756,'T1 2019 Pipeline Data Lagasco'!$E:$E,'Dec 31 2018 OFFS'!$U756,'T1 2019 Pipeline Data Lagasco'!$G:$G,'Dec 31 2018 OFFS'!$W756),1))</f>
        <v>123496</v>
      </c>
      <c r="AM756" s="274">
        <f t="shared" si="113"/>
        <v>0</v>
      </c>
    </row>
    <row r="757" spans="1:39" ht="12.7">
      <c r="A757" s="193" t="s">
        <v>909</v>
      </c>
      <c r="B757" s="40" t="s">
        <v>918</v>
      </c>
      <c r="C757" s="40" t="s">
        <v>1266</v>
      </c>
      <c r="D757" s="40" t="s">
        <v>336</v>
      </c>
      <c r="E757" s="40" t="s">
        <v>1054</v>
      </c>
      <c r="F757" s="40"/>
      <c r="G757" s="41" t="s">
        <v>354</v>
      </c>
      <c r="H757" s="42">
        <v>42</v>
      </c>
      <c r="I757" s="43">
        <v>29</v>
      </c>
      <c r="J757" s="44">
        <v>16.38</v>
      </c>
      <c r="K757" s="45">
        <v>80</v>
      </c>
      <c r="L757" s="43">
        <v>32</v>
      </c>
      <c r="M757" s="46">
        <v>0.57999999999999996</v>
      </c>
      <c r="N757" s="40" t="s">
        <v>510</v>
      </c>
      <c r="O757" s="42">
        <v>42</v>
      </c>
      <c r="P757" s="43">
        <v>29</v>
      </c>
      <c r="Q757" s="44">
        <v>58.50</v>
      </c>
      <c r="R757" s="45">
        <v>80</v>
      </c>
      <c r="S757" s="43">
        <v>32</v>
      </c>
      <c r="T757" s="46">
        <v>0.60</v>
      </c>
      <c r="U757" s="40">
        <v>4</v>
      </c>
      <c r="V757" s="47">
        <v>4263.8450208759996</v>
      </c>
      <c r="W757" s="48">
        <v>1981</v>
      </c>
      <c r="X757" s="40"/>
      <c r="Y757" s="52"/>
      <c r="Z757" s="40" t="s">
        <v>910</v>
      </c>
      <c r="AA757" s="49">
        <f t="shared" si="106"/>
        <v>112778.70080217019</v>
      </c>
      <c r="AB757" s="71">
        <f t="shared" si="107"/>
        <v>0.80</v>
      </c>
      <c r="AC757" s="49">
        <f t="shared" si="108"/>
        <v>22555.74</v>
      </c>
      <c r="AD757" s="50">
        <f t="shared" si="109"/>
        <v>0</v>
      </c>
      <c r="AE757" s="50">
        <f t="shared" si="110"/>
        <v>0</v>
      </c>
      <c r="AF757" s="50">
        <f t="shared" si="111"/>
        <v>22555.74</v>
      </c>
      <c r="AG757" s="199">
        <f t="shared" si="112"/>
        <v>22555</v>
      </c>
      <c r="AH757" s="187"/>
      <c r="AI757" s="185" t="s">
        <v>1458</v>
      </c>
      <c r="AJ757" s="185"/>
      <c r="AK757" s="277">
        <f t="shared" si="105"/>
        <v>4263.8500000000004</v>
      </c>
      <c r="AL757" s="25">
        <f>(SUMIFS('T1 2019 Pipeline Data Lagasco'!$O:$O,'T1 2019 Pipeline Data Lagasco'!$A:$A,'Dec 31 2018 OFFS'!$AI757,'T1 2019 Pipeline Data Lagasco'!$Q:$Q,'Dec 31 2018 OFFS'!$AK757,'T1 2019 Pipeline Data Lagasco'!$E:$E,'Dec 31 2018 OFFS'!$U757,'T1 2019 Pipeline Data Lagasco'!$G:$G,'Dec 31 2018 OFFS'!$W757))/(MAX(COUNTIFS('T1 2019 Pipeline Data Lagasco'!$A:$A,'Dec 31 2018 OFFS'!$AI757,'T1 2019 Pipeline Data Lagasco'!$Q:$Q,'Dec 31 2018 OFFS'!$AK757,'T1 2019 Pipeline Data Lagasco'!$E:$E,'Dec 31 2018 OFFS'!$U757,'T1 2019 Pipeline Data Lagasco'!$G:$G,'Dec 31 2018 OFFS'!$W757),1))</f>
        <v>22555</v>
      </c>
      <c r="AM757" s="274">
        <f t="shared" si="113"/>
        <v>0</v>
      </c>
    </row>
    <row r="758" spans="1:39" ht="12.7">
      <c r="A758" s="193" t="s">
        <v>909</v>
      </c>
      <c r="B758" s="40" t="s">
        <v>918</v>
      </c>
      <c r="C758" s="40" t="s">
        <v>1266</v>
      </c>
      <c r="D758" s="40" t="s">
        <v>336</v>
      </c>
      <c r="E758" s="40" t="s">
        <v>1054</v>
      </c>
      <c r="F758" s="40" t="s">
        <v>1051</v>
      </c>
      <c r="G758" s="41" t="s">
        <v>354</v>
      </c>
      <c r="H758" s="42">
        <v>42</v>
      </c>
      <c r="I758" s="43">
        <v>29</v>
      </c>
      <c r="J758" s="44">
        <v>16.38</v>
      </c>
      <c r="K758" s="45">
        <v>80</v>
      </c>
      <c r="L758" s="43">
        <v>32</v>
      </c>
      <c r="M758" s="46">
        <v>0.57999999999999996</v>
      </c>
      <c r="N758" s="40" t="s">
        <v>512</v>
      </c>
      <c r="O758" s="42">
        <v>42</v>
      </c>
      <c r="P758" s="43">
        <v>29</v>
      </c>
      <c r="Q758" s="44">
        <v>52.31</v>
      </c>
      <c r="R758" s="45">
        <v>80</v>
      </c>
      <c r="S758" s="43">
        <v>33</v>
      </c>
      <c r="T758" s="46">
        <v>20.291</v>
      </c>
      <c r="U758" s="40">
        <v>4</v>
      </c>
      <c r="V758" s="47">
        <v>6992.26</v>
      </c>
      <c r="W758" s="48">
        <v>1981</v>
      </c>
      <c r="X758" s="40"/>
      <c r="Y758" s="52"/>
      <c r="Z758" s="40" t="s">
        <v>910</v>
      </c>
      <c r="AA758" s="49">
        <f t="shared" si="106"/>
        <v>0</v>
      </c>
      <c r="AB758" s="71">
        <f t="shared" si="107"/>
        <v>0.80</v>
      </c>
      <c r="AC758" s="49">
        <f t="shared" si="108"/>
        <v>0</v>
      </c>
      <c r="AD758" s="50">
        <f t="shared" si="109"/>
        <v>0</v>
      </c>
      <c r="AE758" s="50">
        <f t="shared" si="110"/>
        <v>0</v>
      </c>
      <c r="AF758" s="50">
        <f t="shared" si="111"/>
        <v>0</v>
      </c>
      <c r="AG758" s="199">
        <f t="shared" si="112"/>
        <v>0</v>
      </c>
      <c r="AH758" s="187"/>
      <c r="AI758" s="185" t="s">
        <v>1458</v>
      </c>
      <c r="AJ758" s="185"/>
      <c r="AK758" s="277">
        <f t="shared" si="105"/>
        <v>6992.26</v>
      </c>
      <c r="AL758" s="25">
        <f>(SUMIFS('T1 2019 Pipeline Data Lagasco'!$O:$O,'T1 2019 Pipeline Data Lagasco'!$A:$A,'Dec 31 2018 OFFS'!$AI758,'T1 2019 Pipeline Data Lagasco'!$Q:$Q,'Dec 31 2018 OFFS'!$AK758,'T1 2019 Pipeline Data Lagasco'!$E:$E,'Dec 31 2018 OFFS'!$U758,'T1 2019 Pipeline Data Lagasco'!$G:$G,'Dec 31 2018 OFFS'!$W758))/(MAX(COUNTIFS('T1 2019 Pipeline Data Lagasco'!$A:$A,'Dec 31 2018 OFFS'!$AI758,'T1 2019 Pipeline Data Lagasco'!$Q:$Q,'Dec 31 2018 OFFS'!$AK758,'T1 2019 Pipeline Data Lagasco'!$E:$E,'Dec 31 2018 OFFS'!$U758,'T1 2019 Pipeline Data Lagasco'!$G:$G,'Dec 31 2018 OFFS'!$W758),1))</f>
        <v>0</v>
      </c>
      <c r="AM758" s="274">
        <f t="shared" si="113"/>
        <v>0</v>
      </c>
    </row>
    <row r="759" spans="1:39" ht="12.7">
      <c r="A759" s="193" t="s">
        <v>909</v>
      </c>
      <c r="B759" s="40" t="s">
        <v>918</v>
      </c>
      <c r="C759" s="40" t="s">
        <v>1266</v>
      </c>
      <c r="D759" s="40" t="s">
        <v>336</v>
      </c>
      <c r="E759" s="40" t="s">
        <v>1054</v>
      </c>
      <c r="F759" s="40" t="s">
        <v>1051</v>
      </c>
      <c r="G759" s="41" t="s">
        <v>512</v>
      </c>
      <c r="H759" s="42">
        <v>42</v>
      </c>
      <c r="I759" s="43">
        <v>29</v>
      </c>
      <c r="J759" s="44">
        <v>52.31</v>
      </c>
      <c r="K759" s="45">
        <v>80</v>
      </c>
      <c r="L759" s="43">
        <v>33</v>
      </c>
      <c r="M759" s="46">
        <v>20.291</v>
      </c>
      <c r="N759" s="40" t="s">
        <v>355</v>
      </c>
      <c r="O759" s="42">
        <v>42</v>
      </c>
      <c r="P759" s="43">
        <v>29</v>
      </c>
      <c r="Q759" s="44">
        <v>44.585</v>
      </c>
      <c r="R759" s="45">
        <v>80</v>
      </c>
      <c r="S759" s="43">
        <v>34</v>
      </c>
      <c r="T759" s="46">
        <v>39.064</v>
      </c>
      <c r="U759" s="40">
        <v>4</v>
      </c>
      <c r="V759" s="47">
        <v>5952.7229247220002</v>
      </c>
      <c r="W759" s="48">
        <v>1984</v>
      </c>
      <c r="X759" s="40"/>
      <c r="Y759" s="52"/>
      <c r="Z759" s="40" t="s">
        <v>910</v>
      </c>
      <c r="AA759" s="49">
        <f t="shared" si="106"/>
        <v>0</v>
      </c>
      <c r="AB759" s="71">
        <f t="shared" si="107"/>
        <v>0.80</v>
      </c>
      <c r="AC759" s="49">
        <f t="shared" si="108"/>
        <v>0</v>
      </c>
      <c r="AD759" s="50">
        <f t="shared" si="109"/>
        <v>0</v>
      </c>
      <c r="AE759" s="50">
        <f t="shared" si="110"/>
        <v>0</v>
      </c>
      <c r="AF759" s="50">
        <f t="shared" si="111"/>
        <v>0</v>
      </c>
      <c r="AG759" s="199">
        <f t="shared" si="112"/>
        <v>0</v>
      </c>
      <c r="AH759" s="187"/>
      <c r="AI759" s="185" t="s">
        <v>1458</v>
      </c>
      <c r="AJ759" s="185"/>
      <c r="AK759" s="277">
        <f t="shared" si="105"/>
        <v>5952.72</v>
      </c>
      <c r="AL759" s="25">
        <f>(SUMIFS('T1 2019 Pipeline Data Lagasco'!$O:$O,'T1 2019 Pipeline Data Lagasco'!$A:$A,'Dec 31 2018 OFFS'!$AI759,'T1 2019 Pipeline Data Lagasco'!$Q:$Q,'Dec 31 2018 OFFS'!$AK759,'T1 2019 Pipeline Data Lagasco'!$E:$E,'Dec 31 2018 OFFS'!$U759,'T1 2019 Pipeline Data Lagasco'!$G:$G,'Dec 31 2018 OFFS'!$W759))/(MAX(COUNTIFS('T1 2019 Pipeline Data Lagasco'!$A:$A,'Dec 31 2018 OFFS'!$AI759,'T1 2019 Pipeline Data Lagasco'!$Q:$Q,'Dec 31 2018 OFFS'!$AK759,'T1 2019 Pipeline Data Lagasco'!$E:$E,'Dec 31 2018 OFFS'!$U759,'T1 2019 Pipeline Data Lagasco'!$G:$G,'Dec 31 2018 OFFS'!$W759),1))</f>
        <v>0</v>
      </c>
      <c r="AM759" s="274">
        <f t="shared" si="113"/>
        <v>0</v>
      </c>
    </row>
    <row r="760" spans="1:39" ht="12.7">
      <c r="A760" s="193" t="s">
        <v>909</v>
      </c>
      <c r="B760" s="40" t="s">
        <v>918</v>
      </c>
      <c r="C760" s="40" t="s">
        <v>1266</v>
      </c>
      <c r="D760" s="40" t="s">
        <v>336</v>
      </c>
      <c r="E760" s="40" t="s">
        <v>1054</v>
      </c>
      <c r="F760" s="40"/>
      <c r="G760" s="40" t="s">
        <v>1295</v>
      </c>
      <c r="H760" s="42">
        <v>42</v>
      </c>
      <c r="I760" s="43">
        <v>29</v>
      </c>
      <c r="J760" s="44">
        <f>60*0.537</f>
        <v>32.22</v>
      </c>
      <c r="K760" s="45">
        <v>80</v>
      </c>
      <c r="L760" s="43">
        <v>38</v>
      </c>
      <c r="M760" s="46">
        <f>60*0.604</f>
        <v>36.24</v>
      </c>
      <c r="N760" s="40" t="s">
        <v>1251</v>
      </c>
      <c r="O760" s="42">
        <v>42</v>
      </c>
      <c r="P760" s="43">
        <v>29</v>
      </c>
      <c r="Q760" s="44">
        <f>60*0.912</f>
        <v>54.72</v>
      </c>
      <c r="R760" s="45">
        <v>80</v>
      </c>
      <c r="S760" s="43">
        <v>40</v>
      </c>
      <c r="T760" s="46">
        <f>60*0.2</f>
        <v>12</v>
      </c>
      <c r="U760" s="40">
        <v>4</v>
      </c>
      <c r="V760" s="47">
        <v>7480</v>
      </c>
      <c r="W760" s="48">
        <v>2005</v>
      </c>
      <c r="X760" s="139"/>
      <c r="Y760" s="52"/>
      <c r="Z760" s="40" t="s">
        <v>910</v>
      </c>
      <c r="AA760" s="49">
        <f t="shared" si="106"/>
        <v>197846</v>
      </c>
      <c r="AB760" s="71">
        <f t="shared" si="107"/>
        <v>0.54</v>
      </c>
      <c r="AC760" s="49">
        <f t="shared" si="108"/>
        <v>91009.16</v>
      </c>
      <c r="AD760" s="50">
        <f t="shared" si="109"/>
        <v>0</v>
      </c>
      <c r="AE760" s="50">
        <f t="shared" si="110"/>
        <v>0</v>
      </c>
      <c r="AF760" s="50">
        <f t="shared" si="111"/>
        <v>91009.16</v>
      </c>
      <c r="AG760" s="199">
        <f t="shared" si="112"/>
        <v>91009</v>
      </c>
      <c r="AH760" s="187"/>
      <c r="AI760" s="185" t="s">
        <v>1458</v>
      </c>
      <c r="AJ760" s="185"/>
      <c r="AK760" s="282">
        <f t="shared" si="105"/>
        <v>7480</v>
      </c>
      <c r="AL760" s="25">
        <f>(SUMIFS('T1 2019 Pipeline Data Lagasco'!$O:$O,'T1 2019 Pipeline Data Lagasco'!$A:$A,'Dec 31 2018 OFFS'!$AI760,'T1 2019 Pipeline Data Lagasco'!$Q:$Q,'Dec 31 2018 OFFS'!$AK760,'T1 2019 Pipeline Data Lagasco'!$E:$E,'Dec 31 2018 OFFS'!$U760,'T1 2019 Pipeline Data Lagasco'!$G:$G,'Dec 31 2018 OFFS'!$W760))/(MAX(COUNTIFS('T1 2019 Pipeline Data Lagasco'!$A:$A,'Dec 31 2018 OFFS'!$AI760,'T1 2019 Pipeline Data Lagasco'!$Q:$Q,'Dec 31 2018 OFFS'!$AK760,'T1 2019 Pipeline Data Lagasco'!$E:$E,'Dec 31 2018 OFFS'!$U760,'T1 2019 Pipeline Data Lagasco'!$G:$G,'Dec 31 2018 OFFS'!$W760),1))</f>
        <v>91009</v>
      </c>
      <c r="AM760" s="274">
        <f t="shared" si="113"/>
        <v>0</v>
      </c>
    </row>
    <row r="761" spans="1:39" ht="12.7">
      <c r="A761" s="193" t="s">
        <v>909</v>
      </c>
      <c r="B761" s="40" t="s">
        <v>918</v>
      </c>
      <c r="C761" s="40" t="s">
        <v>1266</v>
      </c>
      <c r="D761" s="40" t="s">
        <v>336</v>
      </c>
      <c r="E761" s="40" t="s">
        <v>1054</v>
      </c>
      <c r="F761" s="40"/>
      <c r="G761" s="41" t="s">
        <v>355</v>
      </c>
      <c r="H761" s="42">
        <v>42</v>
      </c>
      <c r="I761" s="43">
        <v>29</v>
      </c>
      <c r="J761" s="44">
        <v>44.585</v>
      </c>
      <c r="K761" s="45">
        <v>80</v>
      </c>
      <c r="L761" s="43">
        <v>34</v>
      </c>
      <c r="M761" s="46">
        <v>39.064</v>
      </c>
      <c r="N761" s="40" t="s">
        <v>1304</v>
      </c>
      <c r="O761" s="42">
        <v>42</v>
      </c>
      <c r="P761" s="43">
        <v>30</v>
      </c>
      <c r="Q761" s="44">
        <v>20.22</v>
      </c>
      <c r="R761" s="45">
        <v>80</v>
      </c>
      <c r="S761" s="43">
        <v>34</v>
      </c>
      <c r="T761" s="46">
        <v>32.58</v>
      </c>
      <c r="U761" s="40">
        <v>3</v>
      </c>
      <c r="V761" s="47">
        <v>3639.9277161099999</v>
      </c>
      <c r="W761" s="48">
        <v>2002</v>
      </c>
      <c r="X761" s="40"/>
      <c r="Y761" s="52"/>
      <c r="Z761" s="40" t="s">
        <v>910</v>
      </c>
      <c r="AA761" s="49">
        <f t="shared" si="106"/>
        <v>85865.894823034891</v>
      </c>
      <c r="AB761" s="71">
        <f t="shared" si="107"/>
        <v>0.56999999999999995</v>
      </c>
      <c r="AC761" s="49">
        <f t="shared" si="108"/>
        <v>36922.33</v>
      </c>
      <c r="AD761" s="50">
        <f t="shared" si="109"/>
        <v>0</v>
      </c>
      <c r="AE761" s="50">
        <f t="shared" si="110"/>
        <v>0</v>
      </c>
      <c r="AF761" s="50">
        <f t="shared" si="111"/>
        <v>36922.33</v>
      </c>
      <c r="AG761" s="199">
        <f t="shared" si="112"/>
        <v>36922</v>
      </c>
      <c r="AH761" s="187"/>
      <c r="AI761" s="185" t="s">
        <v>1458</v>
      </c>
      <c r="AJ761" s="185"/>
      <c r="AK761" s="277">
        <f t="shared" si="105"/>
        <v>3639.93</v>
      </c>
      <c r="AL761" s="25">
        <f>(SUMIFS('T1 2019 Pipeline Data Lagasco'!$O:$O,'T1 2019 Pipeline Data Lagasco'!$A:$A,'Dec 31 2018 OFFS'!$AI761,'T1 2019 Pipeline Data Lagasco'!$Q:$Q,'Dec 31 2018 OFFS'!$AK761,'T1 2019 Pipeline Data Lagasco'!$E:$E,'Dec 31 2018 OFFS'!$U761,'T1 2019 Pipeline Data Lagasco'!$G:$G,'Dec 31 2018 OFFS'!$W761))/(MAX(COUNTIFS('T1 2019 Pipeline Data Lagasco'!$A:$A,'Dec 31 2018 OFFS'!$AI761,'T1 2019 Pipeline Data Lagasco'!$Q:$Q,'Dec 31 2018 OFFS'!$AK761,'T1 2019 Pipeline Data Lagasco'!$E:$E,'Dec 31 2018 OFFS'!$U761,'T1 2019 Pipeline Data Lagasco'!$G:$G,'Dec 31 2018 OFFS'!$W761),1))</f>
        <v>36922</v>
      </c>
      <c r="AM761" s="274">
        <f t="shared" si="113"/>
        <v>0</v>
      </c>
    </row>
    <row r="762" spans="1:39" ht="12.7">
      <c r="A762" s="193" t="s">
        <v>909</v>
      </c>
      <c r="B762" s="40" t="s">
        <v>918</v>
      </c>
      <c r="C762" s="40" t="s">
        <v>1266</v>
      </c>
      <c r="D762" s="40" t="s">
        <v>336</v>
      </c>
      <c r="E762" s="40" t="s">
        <v>1054</v>
      </c>
      <c r="F762" s="40" t="s">
        <v>1051</v>
      </c>
      <c r="G762" s="41" t="s">
        <v>355</v>
      </c>
      <c r="H762" s="42">
        <v>42</v>
      </c>
      <c r="I762" s="43">
        <v>29</v>
      </c>
      <c r="J762" s="44">
        <v>44.585</v>
      </c>
      <c r="K762" s="45">
        <v>80</v>
      </c>
      <c r="L762" s="43">
        <v>34</v>
      </c>
      <c r="M762" s="46">
        <v>39.064</v>
      </c>
      <c r="N762" s="40" t="s">
        <v>357</v>
      </c>
      <c r="O762" s="42">
        <v>42</v>
      </c>
      <c r="P762" s="43">
        <v>29</v>
      </c>
      <c r="Q762" s="44">
        <v>18.693999999999999</v>
      </c>
      <c r="R762" s="45">
        <v>80</v>
      </c>
      <c r="S762" s="43">
        <v>33</v>
      </c>
      <c r="T762" s="46">
        <v>59.488</v>
      </c>
      <c r="U762" s="40">
        <v>2</v>
      </c>
      <c r="V762" s="47">
        <v>3957.35</v>
      </c>
      <c r="W762" s="48">
        <v>1981</v>
      </c>
      <c r="X762" s="40"/>
      <c r="Y762" s="52"/>
      <c r="Z762" s="40" t="s">
        <v>910</v>
      </c>
      <c r="AA762" s="49">
        <f t="shared" si="106"/>
        <v>0</v>
      </c>
      <c r="AB762" s="71">
        <f t="shared" si="107"/>
        <v>0.80</v>
      </c>
      <c r="AC762" s="49">
        <f t="shared" si="108"/>
        <v>0</v>
      </c>
      <c r="AD762" s="50">
        <f t="shared" si="109"/>
        <v>0</v>
      </c>
      <c r="AE762" s="50">
        <f t="shared" si="110"/>
        <v>0</v>
      </c>
      <c r="AF762" s="50">
        <f t="shared" si="111"/>
        <v>0</v>
      </c>
      <c r="AG762" s="199">
        <f t="shared" si="112"/>
        <v>0</v>
      </c>
      <c r="AH762" s="187"/>
      <c r="AI762" s="185" t="s">
        <v>1458</v>
      </c>
      <c r="AJ762" s="185"/>
      <c r="AK762" s="277">
        <f t="shared" si="105"/>
        <v>3957.35</v>
      </c>
      <c r="AL762" s="25">
        <f>(SUMIFS('T1 2019 Pipeline Data Lagasco'!$O:$O,'T1 2019 Pipeline Data Lagasco'!$A:$A,'Dec 31 2018 OFFS'!$AI762,'T1 2019 Pipeline Data Lagasco'!$Q:$Q,'Dec 31 2018 OFFS'!$AK762,'T1 2019 Pipeline Data Lagasco'!$E:$E,'Dec 31 2018 OFFS'!$U762,'T1 2019 Pipeline Data Lagasco'!$G:$G,'Dec 31 2018 OFFS'!$W762))/(MAX(COUNTIFS('T1 2019 Pipeline Data Lagasco'!$A:$A,'Dec 31 2018 OFFS'!$AI762,'T1 2019 Pipeline Data Lagasco'!$Q:$Q,'Dec 31 2018 OFFS'!$AK762,'T1 2019 Pipeline Data Lagasco'!$E:$E,'Dec 31 2018 OFFS'!$U762,'T1 2019 Pipeline Data Lagasco'!$G:$G,'Dec 31 2018 OFFS'!$W762),1))</f>
        <v>0</v>
      </c>
      <c r="AM762" s="274">
        <f t="shared" si="113"/>
        <v>0</v>
      </c>
    </row>
    <row r="763" spans="1:39" ht="12.7">
      <c r="A763" s="193" t="s">
        <v>909</v>
      </c>
      <c r="B763" s="40" t="s">
        <v>918</v>
      </c>
      <c r="C763" s="40" t="s">
        <v>1266</v>
      </c>
      <c r="D763" s="40" t="s">
        <v>336</v>
      </c>
      <c r="E763" s="40" t="s">
        <v>1054</v>
      </c>
      <c r="F763" s="139" t="s">
        <v>1051</v>
      </c>
      <c r="G763" s="41" t="s">
        <v>508</v>
      </c>
      <c r="H763" s="42">
        <v>42</v>
      </c>
      <c r="I763" s="43">
        <v>28</v>
      </c>
      <c r="J763" s="44">
        <v>13.375</v>
      </c>
      <c r="K763" s="45">
        <v>80</v>
      </c>
      <c r="L763" s="43">
        <v>34</v>
      </c>
      <c r="M763" s="46">
        <v>42.173000000000002</v>
      </c>
      <c r="N763" s="40" t="s">
        <v>358</v>
      </c>
      <c r="O763" s="42">
        <v>42</v>
      </c>
      <c r="P763" s="43">
        <v>28</v>
      </c>
      <c r="Q763" s="44">
        <v>40.98</v>
      </c>
      <c r="R763" s="45">
        <v>80</v>
      </c>
      <c r="S763" s="43">
        <v>34</v>
      </c>
      <c r="T763" s="46">
        <v>39</v>
      </c>
      <c r="U763" s="40">
        <v>2</v>
      </c>
      <c r="V763" s="47">
        <v>2804.593094632</v>
      </c>
      <c r="W763" s="48">
        <v>1990</v>
      </c>
      <c r="X763" s="40"/>
      <c r="Y763" s="52"/>
      <c r="Z763" s="40" t="s">
        <v>910</v>
      </c>
      <c r="AA763" s="49">
        <f t="shared" si="106"/>
        <v>0</v>
      </c>
      <c r="AB763" s="71">
        <f t="shared" si="107"/>
        <v>0.73</v>
      </c>
      <c r="AC763" s="49">
        <f t="shared" si="108"/>
        <v>0</v>
      </c>
      <c r="AD763" s="50">
        <f t="shared" si="109"/>
        <v>0</v>
      </c>
      <c r="AE763" s="50">
        <f t="shared" si="110"/>
        <v>0</v>
      </c>
      <c r="AF763" s="50">
        <f t="shared" si="111"/>
        <v>0</v>
      </c>
      <c r="AG763" s="199">
        <f t="shared" si="112"/>
        <v>0</v>
      </c>
      <c r="AH763" s="187"/>
      <c r="AI763" s="185" t="s">
        <v>1458</v>
      </c>
      <c r="AJ763" s="185"/>
      <c r="AK763" s="277">
        <f t="shared" si="105"/>
        <v>2804.59</v>
      </c>
      <c r="AL763" s="25">
        <f>(SUMIFS('T1 2019 Pipeline Data Lagasco'!$O:$O,'T1 2019 Pipeline Data Lagasco'!$A:$A,'Dec 31 2018 OFFS'!$AI763,'T1 2019 Pipeline Data Lagasco'!$Q:$Q,'Dec 31 2018 OFFS'!$AK763,'T1 2019 Pipeline Data Lagasco'!$E:$E,'Dec 31 2018 OFFS'!$U763,'T1 2019 Pipeline Data Lagasco'!$G:$G,'Dec 31 2018 OFFS'!$W763))/(MAX(COUNTIFS('T1 2019 Pipeline Data Lagasco'!$A:$A,'Dec 31 2018 OFFS'!$AI763,'T1 2019 Pipeline Data Lagasco'!$Q:$Q,'Dec 31 2018 OFFS'!$AK763,'T1 2019 Pipeline Data Lagasco'!$E:$E,'Dec 31 2018 OFFS'!$U763,'T1 2019 Pipeline Data Lagasco'!$G:$G,'Dec 31 2018 OFFS'!$W763),1))</f>
        <v>0</v>
      </c>
      <c r="AM763" s="274">
        <f t="shared" si="113"/>
        <v>0</v>
      </c>
    </row>
    <row r="764" spans="1:39" ht="12.7">
      <c r="A764" s="193" t="s">
        <v>909</v>
      </c>
      <c r="B764" s="40" t="s">
        <v>918</v>
      </c>
      <c r="C764" s="40" t="s">
        <v>1266</v>
      </c>
      <c r="D764" s="40" t="s">
        <v>336</v>
      </c>
      <c r="E764" s="40" t="s">
        <v>1054</v>
      </c>
      <c r="F764" s="40" t="s">
        <v>1051</v>
      </c>
      <c r="G764" s="41" t="s">
        <v>508</v>
      </c>
      <c r="H764" s="42">
        <v>42</v>
      </c>
      <c r="I764" s="43">
        <v>28</v>
      </c>
      <c r="J764" s="44">
        <v>13.375</v>
      </c>
      <c r="K764" s="45">
        <v>80</v>
      </c>
      <c r="L764" s="43">
        <v>34</v>
      </c>
      <c r="M764" s="46">
        <v>42.173000000000002</v>
      </c>
      <c r="N764" s="40" t="s">
        <v>513</v>
      </c>
      <c r="O764" s="42">
        <v>42</v>
      </c>
      <c r="P764" s="43">
        <v>28</v>
      </c>
      <c r="Q764" s="44">
        <v>15.695</v>
      </c>
      <c r="R764" s="45">
        <v>80</v>
      </c>
      <c r="S764" s="43">
        <v>32</v>
      </c>
      <c r="T764" s="46">
        <v>16.937000000000001</v>
      </c>
      <c r="U764" s="40">
        <v>4</v>
      </c>
      <c r="V764" s="47">
        <v>10887.11</v>
      </c>
      <c r="W764" s="48">
        <v>1981</v>
      </c>
      <c r="X764" s="40"/>
      <c r="Y764" s="52"/>
      <c r="Z764" s="40" t="s">
        <v>910</v>
      </c>
      <c r="AA764" s="49">
        <f t="shared" si="106"/>
        <v>0</v>
      </c>
      <c r="AB764" s="71">
        <f t="shared" si="107"/>
        <v>0.80</v>
      </c>
      <c r="AC764" s="49">
        <f t="shared" si="108"/>
        <v>0</v>
      </c>
      <c r="AD764" s="50">
        <f t="shared" si="109"/>
        <v>0</v>
      </c>
      <c r="AE764" s="50">
        <f t="shared" si="110"/>
        <v>0</v>
      </c>
      <c r="AF764" s="50">
        <f t="shared" si="111"/>
        <v>0</v>
      </c>
      <c r="AG764" s="199">
        <f t="shared" si="112"/>
        <v>0</v>
      </c>
      <c r="AH764" s="187"/>
      <c r="AI764" s="185" t="s">
        <v>1458</v>
      </c>
      <c r="AJ764" s="185"/>
      <c r="AK764" s="277">
        <f t="shared" si="105"/>
        <v>10887.11</v>
      </c>
      <c r="AL764" s="25">
        <f>(SUMIFS('T1 2019 Pipeline Data Lagasco'!$O:$O,'T1 2019 Pipeline Data Lagasco'!$A:$A,'Dec 31 2018 OFFS'!$AI764,'T1 2019 Pipeline Data Lagasco'!$Q:$Q,'Dec 31 2018 OFFS'!$AK764,'T1 2019 Pipeline Data Lagasco'!$E:$E,'Dec 31 2018 OFFS'!$U764,'T1 2019 Pipeline Data Lagasco'!$G:$G,'Dec 31 2018 OFFS'!$W764))/(MAX(COUNTIFS('T1 2019 Pipeline Data Lagasco'!$A:$A,'Dec 31 2018 OFFS'!$AI764,'T1 2019 Pipeline Data Lagasco'!$Q:$Q,'Dec 31 2018 OFFS'!$AK764,'T1 2019 Pipeline Data Lagasco'!$E:$E,'Dec 31 2018 OFFS'!$U764,'T1 2019 Pipeline Data Lagasco'!$G:$G,'Dec 31 2018 OFFS'!$W764),1))</f>
        <v>0</v>
      </c>
      <c r="AM764" s="274">
        <f t="shared" si="113"/>
        <v>0</v>
      </c>
    </row>
    <row r="765" spans="1:39" ht="12.7">
      <c r="A765" s="193" t="s">
        <v>909</v>
      </c>
      <c r="B765" s="40" t="s">
        <v>918</v>
      </c>
      <c r="C765" s="40" t="s">
        <v>1266</v>
      </c>
      <c r="D765" s="40" t="s">
        <v>336</v>
      </c>
      <c r="E765" s="40" t="s">
        <v>1054</v>
      </c>
      <c r="F765" s="40"/>
      <c r="G765" s="155" t="s">
        <v>1409</v>
      </c>
      <c r="H765" s="42">
        <v>42</v>
      </c>
      <c r="I765" s="43">
        <v>28</v>
      </c>
      <c r="J765" s="44">
        <v>13.375</v>
      </c>
      <c r="K765" s="45">
        <v>80</v>
      </c>
      <c r="L765" s="43">
        <v>34</v>
      </c>
      <c r="M765" s="46">
        <v>42.173000000000002</v>
      </c>
      <c r="N765" s="40" t="s">
        <v>361</v>
      </c>
      <c r="O765" s="42">
        <v>42</v>
      </c>
      <c r="P765" s="43">
        <v>26</v>
      </c>
      <c r="Q765" s="44">
        <v>3.90</v>
      </c>
      <c r="R765" s="45">
        <v>80</v>
      </c>
      <c r="S765" s="43">
        <v>34</v>
      </c>
      <c r="T765" s="46">
        <v>32.28</v>
      </c>
      <c r="U765" s="40">
        <v>3</v>
      </c>
      <c r="V765" s="47">
        <v>13113</v>
      </c>
      <c r="W765" s="48">
        <v>1986</v>
      </c>
      <c r="X765" s="40"/>
      <c r="Y765" s="52"/>
      <c r="Z765" s="40" t="s">
        <v>910</v>
      </c>
      <c r="AA765" s="49">
        <f t="shared" si="106"/>
        <v>309335.67</v>
      </c>
      <c r="AB765" s="71">
        <f t="shared" si="107"/>
        <v>0.79</v>
      </c>
      <c r="AC765" s="49">
        <f t="shared" si="108"/>
        <v>64960.49</v>
      </c>
      <c r="AD765" s="50">
        <f t="shared" si="109"/>
        <v>0</v>
      </c>
      <c r="AE765" s="50">
        <f t="shared" si="110"/>
        <v>0</v>
      </c>
      <c r="AF765" s="50">
        <f t="shared" si="111"/>
        <v>64960.49</v>
      </c>
      <c r="AG765" s="199">
        <f t="shared" si="112"/>
        <v>64960</v>
      </c>
      <c r="AH765" s="187"/>
      <c r="AI765" s="185" t="s">
        <v>1458</v>
      </c>
      <c r="AJ765" s="185"/>
      <c r="AK765" s="277">
        <f t="shared" si="105"/>
        <v>13113</v>
      </c>
      <c r="AL765" s="25">
        <f>(SUMIFS('T1 2019 Pipeline Data Lagasco'!$O:$O,'T1 2019 Pipeline Data Lagasco'!$A:$A,'Dec 31 2018 OFFS'!$AI765,'T1 2019 Pipeline Data Lagasco'!$Q:$Q,'Dec 31 2018 OFFS'!$AK765,'T1 2019 Pipeline Data Lagasco'!$E:$E,'Dec 31 2018 OFFS'!$U765,'T1 2019 Pipeline Data Lagasco'!$G:$G,'Dec 31 2018 OFFS'!$W765))/(MAX(COUNTIFS('T1 2019 Pipeline Data Lagasco'!$A:$A,'Dec 31 2018 OFFS'!$AI765,'T1 2019 Pipeline Data Lagasco'!$Q:$Q,'Dec 31 2018 OFFS'!$AK765,'T1 2019 Pipeline Data Lagasco'!$E:$E,'Dec 31 2018 OFFS'!$U765,'T1 2019 Pipeline Data Lagasco'!$G:$G,'Dec 31 2018 OFFS'!$W765),1))</f>
        <v>64960</v>
      </c>
      <c r="AM765" s="274">
        <f t="shared" si="113"/>
        <v>0</v>
      </c>
    </row>
    <row r="766" spans="1:39" ht="15">
      <c r="A766" s="193" t="s">
        <v>909</v>
      </c>
      <c r="B766" s="40" t="s">
        <v>918</v>
      </c>
      <c r="C766" s="40" t="s">
        <v>1266</v>
      </c>
      <c r="D766" s="40" t="s">
        <v>336</v>
      </c>
      <c r="E766" s="40" t="s">
        <v>1054</v>
      </c>
      <c r="F766" s="40"/>
      <c r="G766" s="40" t="s">
        <v>1249</v>
      </c>
      <c r="H766" s="42">
        <v>42</v>
      </c>
      <c r="I766" s="43">
        <v>28</v>
      </c>
      <c r="J766" s="44">
        <f>60*0.358</f>
        <v>21.48</v>
      </c>
      <c r="K766" s="45">
        <v>80</v>
      </c>
      <c r="L766" s="43">
        <v>33</v>
      </c>
      <c r="M766" s="46">
        <f>60*0.505</f>
        <v>30.30</v>
      </c>
      <c r="N766" s="40" t="s">
        <v>1250</v>
      </c>
      <c r="O766" s="42">
        <v>42</v>
      </c>
      <c r="P766" s="43">
        <v>28</v>
      </c>
      <c r="Q766" s="44">
        <f>60*0.803</f>
        <v>48.18</v>
      </c>
      <c r="R766" s="45">
        <v>80</v>
      </c>
      <c r="S766" s="43">
        <v>35</v>
      </c>
      <c r="T766" s="46">
        <f>60*0.404</f>
        <v>24.24</v>
      </c>
      <c r="U766" s="40">
        <v>4</v>
      </c>
      <c r="V766" s="47">
        <v>8976</v>
      </c>
      <c r="W766" s="48">
        <v>2005</v>
      </c>
      <c r="X766" s="108"/>
      <c r="Y766" s="52"/>
      <c r="Z766" s="40" t="s">
        <v>910</v>
      </c>
      <c r="AA766" s="49">
        <f t="shared" si="106"/>
        <v>237415.19999999998</v>
      </c>
      <c r="AB766" s="71">
        <f t="shared" si="107"/>
        <v>0.54</v>
      </c>
      <c r="AC766" s="49">
        <f t="shared" si="108"/>
        <v>109210.99</v>
      </c>
      <c r="AD766" s="50">
        <f t="shared" si="109"/>
        <v>0</v>
      </c>
      <c r="AE766" s="50">
        <f t="shared" si="110"/>
        <v>0</v>
      </c>
      <c r="AF766" s="50">
        <f t="shared" si="111"/>
        <v>109210.99</v>
      </c>
      <c r="AG766" s="199">
        <f t="shared" si="112"/>
        <v>109210</v>
      </c>
      <c r="AH766" s="187"/>
      <c r="AI766" s="185" t="s">
        <v>1458</v>
      </c>
      <c r="AJ766" s="185"/>
      <c r="AK766" s="282">
        <f t="shared" si="105"/>
        <v>8976</v>
      </c>
      <c r="AL766" s="25">
        <f>(SUMIFS('T1 2019 Pipeline Data Lagasco'!$O:$O,'T1 2019 Pipeline Data Lagasco'!$A:$A,'Dec 31 2018 OFFS'!$AI766,'T1 2019 Pipeline Data Lagasco'!$Q:$Q,'Dec 31 2018 OFFS'!$AK766,'T1 2019 Pipeline Data Lagasco'!$E:$E,'Dec 31 2018 OFFS'!$U766,'T1 2019 Pipeline Data Lagasco'!$G:$G,'Dec 31 2018 OFFS'!$W766))/(MAX(COUNTIFS('T1 2019 Pipeline Data Lagasco'!$A:$A,'Dec 31 2018 OFFS'!$AI766,'T1 2019 Pipeline Data Lagasco'!$Q:$Q,'Dec 31 2018 OFFS'!$AK766,'T1 2019 Pipeline Data Lagasco'!$E:$E,'Dec 31 2018 OFFS'!$U766,'T1 2019 Pipeline Data Lagasco'!$G:$G,'Dec 31 2018 OFFS'!$W766),1))</f>
        <v>109210</v>
      </c>
      <c r="AM766" s="274">
        <f t="shared" si="113"/>
        <v>0</v>
      </c>
    </row>
    <row r="767" spans="1:39" ht="15">
      <c r="A767" s="193" t="s">
        <v>909</v>
      </c>
      <c r="B767" s="40" t="s">
        <v>918</v>
      </c>
      <c r="C767" s="40" t="s">
        <v>1266</v>
      </c>
      <c r="D767" s="40" t="s">
        <v>336</v>
      </c>
      <c r="E767" s="40" t="s">
        <v>1054</v>
      </c>
      <c r="F767" s="40"/>
      <c r="G767" s="40" t="s">
        <v>509</v>
      </c>
      <c r="H767" s="42">
        <v>42</v>
      </c>
      <c r="I767" s="43">
        <v>28</v>
      </c>
      <c r="J767" s="44">
        <f>60*0.8</f>
        <v>48</v>
      </c>
      <c r="K767" s="45">
        <v>80</v>
      </c>
      <c r="L767" s="43">
        <v>32</v>
      </c>
      <c r="M767" s="46">
        <f>60*0.083</f>
        <v>4.9800000000000004</v>
      </c>
      <c r="N767" s="40" t="s">
        <v>1263</v>
      </c>
      <c r="O767" s="42">
        <v>42</v>
      </c>
      <c r="P767" s="43">
        <v>28</v>
      </c>
      <c r="Q767" s="44">
        <f>60*0.366</f>
        <v>21.96</v>
      </c>
      <c r="R767" s="45">
        <v>80</v>
      </c>
      <c r="S767" s="43">
        <v>33</v>
      </c>
      <c r="T767" s="46">
        <f>60*0.5</f>
        <v>30</v>
      </c>
      <c r="U767" s="40">
        <v>3</v>
      </c>
      <c r="V767" s="47">
        <v>6990</v>
      </c>
      <c r="W767" s="48">
        <v>2005</v>
      </c>
      <c r="X767" s="108"/>
      <c r="Y767" s="52"/>
      <c r="Z767" s="40" t="s">
        <v>910</v>
      </c>
      <c r="AA767" s="49">
        <f t="shared" si="106"/>
        <v>164894.10</v>
      </c>
      <c r="AB767" s="71">
        <f t="shared" si="107"/>
        <v>0.54</v>
      </c>
      <c r="AC767" s="49">
        <f t="shared" si="108"/>
        <v>75851.289999999994</v>
      </c>
      <c r="AD767" s="50">
        <f t="shared" si="109"/>
        <v>0</v>
      </c>
      <c r="AE767" s="50">
        <f t="shared" si="110"/>
        <v>0</v>
      </c>
      <c r="AF767" s="50">
        <f t="shared" si="111"/>
        <v>75851.289999999994</v>
      </c>
      <c r="AG767" s="199">
        <f t="shared" si="112"/>
        <v>75851</v>
      </c>
      <c r="AH767" s="187"/>
      <c r="AI767" s="185" t="s">
        <v>1458</v>
      </c>
      <c r="AJ767" s="185"/>
      <c r="AK767" s="277">
        <f t="shared" si="105"/>
        <v>6990</v>
      </c>
      <c r="AL767" s="25">
        <f>(SUMIFS('T1 2019 Pipeline Data Lagasco'!$O:$O,'T1 2019 Pipeline Data Lagasco'!$A:$A,'Dec 31 2018 OFFS'!$AI767,'T1 2019 Pipeline Data Lagasco'!$Q:$Q,'Dec 31 2018 OFFS'!$AK767,'T1 2019 Pipeline Data Lagasco'!$E:$E,'Dec 31 2018 OFFS'!$U767,'T1 2019 Pipeline Data Lagasco'!$G:$G,'Dec 31 2018 OFFS'!$W767))/(MAX(COUNTIFS('T1 2019 Pipeline Data Lagasco'!$A:$A,'Dec 31 2018 OFFS'!$AI767,'T1 2019 Pipeline Data Lagasco'!$Q:$Q,'Dec 31 2018 OFFS'!$AK767,'T1 2019 Pipeline Data Lagasco'!$E:$E,'Dec 31 2018 OFFS'!$U767,'T1 2019 Pipeline Data Lagasco'!$G:$G,'Dec 31 2018 OFFS'!$W767),1))</f>
        <v>75851</v>
      </c>
      <c r="AM767" s="274">
        <f t="shared" si="113"/>
        <v>0</v>
      </c>
    </row>
    <row r="768" spans="1:39" ht="12.7">
      <c r="A768" s="193" t="s">
        <v>909</v>
      </c>
      <c r="B768" s="40" t="s">
        <v>918</v>
      </c>
      <c r="C768" s="40" t="s">
        <v>1266</v>
      </c>
      <c r="D768" s="40" t="s">
        <v>336</v>
      </c>
      <c r="E768" s="40" t="s">
        <v>1054</v>
      </c>
      <c r="F768" s="40" t="s">
        <v>1051</v>
      </c>
      <c r="G768" s="41" t="s">
        <v>513</v>
      </c>
      <c r="H768" s="42">
        <v>42</v>
      </c>
      <c r="I768" s="43">
        <v>28</v>
      </c>
      <c r="J768" s="44">
        <v>15.695</v>
      </c>
      <c r="K768" s="45">
        <v>80</v>
      </c>
      <c r="L768" s="43">
        <v>32</v>
      </c>
      <c r="M768" s="46">
        <v>16.937000000000001</v>
      </c>
      <c r="N768" s="41" t="s">
        <v>501</v>
      </c>
      <c r="O768" s="42">
        <v>42</v>
      </c>
      <c r="P768" s="43">
        <v>28</v>
      </c>
      <c r="Q768" s="44">
        <v>33.90</v>
      </c>
      <c r="R768" s="45">
        <v>80</v>
      </c>
      <c r="S768" s="43">
        <v>29</v>
      </c>
      <c r="T768" s="46">
        <v>54.36</v>
      </c>
      <c r="U768" s="40">
        <v>4</v>
      </c>
      <c r="V768" s="47">
        <v>10824</v>
      </c>
      <c r="W768" s="48">
        <v>1981</v>
      </c>
      <c r="X768" s="40"/>
      <c r="Y768" s="52"/>
      <c r="Z768" s="40" t="s">
        <v>910</v>
      </c>
      <c r="AA768" s="49">
        <f t="shared" si="106"/>
        <v>0</v>
      </c>
      <c r="AB768" s="71">
        <f t="shared" si="107"/>
        <v>0.80</v>
      </c>
      <c r="AC768" s="49">
        <f t="shared" si="108"/>
        <v>0</v>
      </c>
      <c r="AD768" s="50">
        <f t="shared" si="109"/>
        <v>0</v>
      </c>
      <c r="AE768" s="50">
        <f t="shared" si="110"/>
        <v>0</v>
      </c>
      <c r="AF768" s="50">
        <f t="shared" si="111"/>
        <v>0</v>
      </c>
      <c r="AG768" s="199">
        <f t="shared" si="112"/>
        <v>0</v>
      </c>
      <c r="AH768" s="187"/>
      <c r="AI768" s="185" t="s">
        <v>1458</v>
      </c>
      <c r="AJ768" s="185"/>
      <c r="AK768" s="277">
        <f t="shared" si="105"/>
        <v>10824</v>
      </c>
      <c r="AL768" s="25">
        <f>(SUMIFS('T1 2019 Pipeline Data Lagasco'!$O:$O,'T1 2019 Pipeline Data Lagasco'!$A:$A,'Dec 31 2018 OFFS'!$AI768,'T1 2019 Pipeline Data Lagasco'!$Q:$Q,'Dec 31 2018 OFFS'!$AK768,'T1 2019 Pipeline Data Lagasco'!$E:$E,'Dec 31 2018 OFFS'!$U768,'T1 2019 Pipeline Data Lagasco'!$G:$G,'Dec 31 2018 OFFS'!$W768))/(MAX(COUNTIFS('T1 2019 Pipeline Data Lagasco'!$A:$A,'Dec 31 2018 OFFS'!$AI768,'T1 2019 Pipeline Data Lagasco'!$Q:$Q,'Dec 31 2018 OFFS'!$AK768,'T1 2019 Pipeline Data Lagasco'!$E:$E,'Dec 31 2018 OFFS'!$U768,'T1 2019 Pipeline Data Lagasco'!$G:$G,'Dec 31 2018 OFFS'!$W768),1))</f>
        <v>0</v>
      </c>
      <c r="AM768" s="274">
        <f t="shared" si="113"/>
        <v>0</v>
      </c>
    </row>
    <row r="769" spans="1:39" ht="12.7">
      <c r="A769" s="193" t="s">
        <v>909</v>
      </c>
      <c r="B769" s="139" t="s">
        <v>918</v>
      </c>
      <c r="C769" s="40" t="s">
        <v>1266</v>
      </c>
      <c r="D769" s="40" t="s">
        <v>336</v>
      </c>
      <c r="E769" s="40" t="s">
        <v>1054</v>
      </c>
      <c r="F769" s="40"/>
      <c r="G769" s="41" t="s">
        <v>513</v>
      </c>
      <c r="H769" s="42" t="s">
        <v>78</v>
      </c>
      <c r="I769" s="43">
        <v>28</v>
      </c>
      <c r="J769" s="44">
        <v>15.72</v>
      </c>
      <c r="K769" s="45" t="s">
        <v>1010</v>
      </c>
      <c r="L769" s="43">
        <v>32</v>
      </c>
      <c r="M769" s="46">
        <v>20.04</v>
      </c>
      <c r="N769" s="40" t="s">
        <v>1249</v>
      </c>
      <c r="O769" s="42" t="s">
        <v>78</v>
      </c>
      <c r="P769" s="43">
        <v>28</v>
      </c>
      <c r="Q769" s="44">
        <v>21.48</v>
      </c>
      <c r="R769" s="45" t="s">
        <v>1010</v>
      </c>
      <c r="S769" s="43">
        <v>33</v>
      </c>
      <c r="T769" s="46">
        <v>30.30</v>
      </c>
      <c r="U769" s="40">
        <v>3</v>
      </c>
      <c r="V769" s="47">
        <v>5513</v>
      </c>
      <c r="W769" s="48">
        <v>2005</v>
      </c>
      <c r="X769" s="40"/>
      <c r="Y769" s="52"/>
      <c r="Z769" s="40" t="s">
        <v>910</v>
      </c>
      <c r="AA769" s="49">
        <f t="shared" si="106"/>
        <v>130051.67</v>
      </c>
      <c r="AB769" s="71">
        <f t="shared" si="107"/>
        <v>0.54</v>
      </c>
      <c r="AC769" s="49">
        <f t="shared" si="108"/>
        <v>59823.77</v>
      </c>
      <c r="AD769" s="50">
        <f t="shared" si="109"/>
        <v>0</v>
      </c>
      <c r="AE769" s="50">
        <f t="shared" si="110"/>
        <v>0</v>
      </c>
      <c r="AF769" s="50">
        <f t="shared" si="111"/>
        <v>59823.77</v>
      </c>
      <c r="AG769" s="199">
        <f t="shared" si="112"/>
        <v>59823</v>
      </c>
      <c r="AH769" s="187"/>
      <c r="AI769" s="185" t="s">
        <v>1458</v>
      </c>
      <c r="AJ769" s="185"/>
      <c r="AK769" s="277">
        <f t="shared" si="105"/>
        <v>5513</v>
      </c>
      <c r="AL769" s="25">
        <f>(SUMIFS('T1 2019 Pipeline Data Lagasco'!$O:$O,'T1 2019 Pipeline Data Lagasco'!$A:$A,'Dec 31 2018 OFFS'!$AI769,'T1 2019 Pipeline Data Lagasco'!$Q:$Q,'Dec 31 2018 OFFS'!$AK769,'T1 2019 Pipeline Data Lagasco'!$E:$E,'Dec 31 2018 OFFS'!$U769,'T1 2019 Pipeline Data Lagasco'!$G:$G,'Dec 31 2018 OFFS'!$W769))/(MAX(COUNTIFS('T1 2019 Pipeline Data Lagasco'!$A:$A,'Dec 31 2018 OFFS'!$AI769,'T1 2019 Pipeline Data Lagasco'!$Q:$Q,'Dec 31 2018 OFFS'!$AK769,'T1 2019 Pipeline Data Lagasco'!$E:$E,'Dec 31 2018 OFFS'!$U769,'T1 2019 Pipeline Data Lagasco'!$G:$G,'Dec 31 2018 OFFS'!$W769),1))</f>
        <v>59823</v>
      </c>
      <c r="AM769" s="274">
        <f t="shared" si="113"/>
        <v>0</v>
      </c>
    </row>
    <row r="770" spans="1:39" ht="12.7">
      <c r="A770" s="193" t="s">
        <v>909</v>
      </c>
      <c r="B770" s="40" t="s">
        <v>918</v>
      </c>
      <c r="C770" s="40" t="s">
        <v>1266</v>
      </c>
      <c r="D770" s="40" t="s">
        <v>336</v>
      </c>
      <c r="E770" s="40" t="s">
        <v>1054</v>
      </c>
      <c r="F770" s="40" t="s">
        <v>1051</v>
      </c>
      <c r="G770" s="41" t="s">
        <v>513</v>
      </c>
      <c r="H770" s="42">
        <v>42</v>
      </c>
      <c r="I770" s="43">
        <v>28</v>
      </c>
      <c r="J770" s="44">
        <v>15.695</v>
      </c>
      <c r="K770" s="45">
        <v>80</v>
      </c>
      <c r="L770" s="43">
        <v>32</v>
      </c>
      <c r="M770" s="46">
        <v>16.937000000000001</v>
      </c>
      <c r="N770" s="41" t="s">
        <v>354</v>
      </c>
      <c r="O770" s="42">
        <v>42</v>
      </c>
      <c r="P770" s="43">
        <v>29</v>
      </c>
      <c r="Q770" s="44">
        <v>16.38</v>
      </c>
      <c r="R770" s="45">
        <v>80</v>
      </c>
      <c r="S770" s="43">
        <v>32</v>
      </c>
      <c r="T770" s="46">
        <v>0.57999999999999996</v>
      </c>
      <c r="U770" s="40">
        <v>4</v>
      </c>
      <c r="V770" s="47">
        <v>6264.30</v>
      </c>
      <c r="W770" s="48">
        <v>1981</v>
      </c>
      <c r="X770" s="40"/>
      <c r="Y770" s="52"/>
      <c r="Z770" s="40" t="s">
        <v>910</v>
      </c>
      <c r="AA770" s="49">
        <f t="shared" si="106"/>
        <v>0</v>
      </c>
      <c r="AB770" s="71">
        <f t="shared" si="107"/>
        <v>0.80</v>
      </c>
      <c r="AC770" s="49">
        <f t="shared" si="108"/>
        <v>0</v>
      </c>
      <c r="AD770" s="50">
        <f t="shared" si="109"/>
        <v>0</v>
      </c>
      <c r="AE770" s="50">
        <f t="shared" si="110"/>
        <v>0</v>
      </c>
      <c r="AF770" s="50">
        <f t="shared" si="111"/>
        <v>0</v>
      </c>
      <c r="AG770" s="199">
        <f t="shared" si="112"/>
        <v>0</v>
      </c>
      <c r="AH770" s="187"/>
      <c r="AI770" s="185" t="s">
        <v>1458</v>
      </c>
      <c r="AJ770" s="185"/>
      <c r="AK770" s="277">
        <f t="shared" si="105"/>
        <v>6264.30</v>
      </c>
      <c r="AL770" s="25">
        <f>(SUMIFS('T1 2019 Pipeline Data Lagasco'!$O:$O,'T1 2019 Pipeline Data Lagasco'!$A:$A,'Dec 31 2018 OFFS'!$AI770,'T1 2019 Pipeline Data Lagasco'!$Q:$Q,'Dec 31 2018 OFFS'!$AK770,'T1 2019 Pipeline Data Lagasco'!$E:$E,'Dec 31 2018 OFFS'!$U770,'T1 2019 Pipeline Data Lagasco'!$G:$G,'Dec 31 2018 OFFS'!$W770))/(MAX(COUNTIFS('T1 2019 Pipeline Data Lagasco'!$A:$A,'Dec 31 2018 OFFS'!$AI770,'T1 2019 Pipeline Data Lagasco'!$Q:$Q,'Dec 31 2018 OFFS'!$AK770,'T1 2019 Pipeline Data Lagasco'!$E:$E,'Dec 31 2018 OFFS'!$U770,'T1 2019 Pipeline Data Lagasco'!$G:$G,'Dec 31 2018 OFFS'!$W770),1))</f>
        <v>0</v>
      </c>
      <c r="AM770" s="274">
        <f t="shared" si="113"/>
        <v>0</v>
      </c>
    </row>
    <row r="771" spans="1:39" ht="15">
      <c r="A771" s="193" t="s">
        <v>909</v>
      </c>
      <c r="B771" s="40" t="s">
        <v>918</v>
      </c>
      <c r="C771" s="40" t="s">
        <v>1266</v>
      </c>
      <c r="D771" s="40" t="s">
        <v>336</v>
      </c>
      <c r="E771" s="40" t="s">
        <v>1054</v>
      </c>
      <c r="F771" s="40" t="s">
        <v>1051</v>
      </c>
      <c r="G771" s="40" t="s">
        <v>1262</v>
      </c>
      <c r="H771" s="42">
        <v>42</v>
      </c>
      <c r="I771" s="43">
        <v>27</v>
      </c>
      <c r="J771" s="44">
        <f>60*0.566</f>
        <v>33.959999999999994</v>
      </c>
      <c r="K771" s="45">
        <v>80</v>
      </c>
      <c r="L771" s="43">
        <v>33</v>
      </c>
      <c r="M771" s="46">
        <f>60*0.933</f>
        <v>55.98</v>
      </c>
      <c r="N771" s="40" t="s">
        <v>1325</v>
      </c>
      <c r="O771" s="42">
        <v>42</v>
      </c>
      <c r="P771" s="43">
        <v>28</v>
      </c>
      <c r="Q771" s="44">
        <f>60*0.366</f>
        <v>21.96</v>
      </c>
      <c r="R771" s="45">
        <v>80</v>
      </c>
      <c r="S771" s="43">
        <v>33</v>
      </c>
      <c r="T771" s="46">
        <f>60*0.5</f>
        <v>30</v>
      </c>
      <c r="U771" s="40">
        <v>3</v>
      </c>
      <c r="V771" s="47">
        <v>5273</v>
      </c>
      <c r="W771" s="48">
        <v>2005</v>
      </c>
      <c r="X771" s="108"/>
      <c r="Y771" s="52"/>
      <c r="Z771" s="40" t="s">
        <v>910</v>
      </c>
      <c r="AA771" s="49">
        <f t="shared" si="106"/>
        <v>0</v>
      </c>
      <c r="AB771" s="71">
        <f t="shared" si="107"/>
        <v>0.54</v>
      </c>
      <c r="AC771" s="49">
        <f t="shared" si="108"/>
        <v>0</v>
      </c>
      <c r="AD771" s="50">
        <f t="shared" si="109"/>
        <v>0</v>
      </c>
      <c r="AE771" s="50">
        <f t="shared" si="110"/>
        <v>0</v>
      </c>
      <c r="AF771" s="50">
        <f t="shared" si="111"/>
        <v>0</v>
      </c>
      <c r="AG771" s="199">
        <f t="shared" si="112"/>
        <v>0</v>
      </c>
      <c r="AH771" s="187"/>
      <c r="AI771" s="185" t="s">
        <v>1458</v>
      </c>
      <c r="AJ771" s="185"/>
      <c r="AK771" s="277">
        <f t="shared" si="114" ref="AK771:AK834">ROUND(V771,2)</f>
        <v>5273</v>
      </c>
      <c r="AL771" s="25">
        <f>(SUMIFS('T1 2019 Pipeline Data Lagasco'!$O:$O,'T1 2019 Pipeline Data Lagasco'!$A:$A,'Dec 31 2018 OFFS'!$AI771,'T1 2019 Pipeline Data Lagasco'!$Q:$Q,'Dec 31 2018 OFFS'!$AK771,'T1 2019 Pipeline Data Lagasco'!$E:$E,'Dec 31 2018 OFFS'!$U771,'T1 2019 Pipeline Data Lagasco'!$G:$G,'Dec 31 2018 OFFS'!$W771))/(MAX(COUNTIFS('T1 2019 Pipeline Data Lagasco'!$A:$A,'Dec 31 2018 OFFS'!$AI771,'T1 2019 Pipeline Data Lagasco'!$Q:$Q,'Dec 31 2018 OFFS'!$AK771,'T1 2019 Pipeline Data Lagasco'!$E:$E,'Dec 31 2018 OFFS'!$U771,'T1 2019 Pipeline Data Lagasco'!$G:$G,'Dec 31 2018 OFFS'!$W771),1))</f>
        <v>0</v>
      </c>
      <c r="AM771" s="274">
        <f t="shared" si="113"/>
        <v>0</v>
      </c>
    </row>
    <row r="772" spans="1:39" ht="12.7">
      <c r="A772" s="193" t="s">
        <v>909</v>
      </c>
      <c r="B772" s="40" t="s">
        <v>918</v>
      </c>
      <c r="C772" s="40" t="s">
        <v>1266</v>
      </c>
      <c r="D772" s="40" t="s">
        <v>336</v>
      </c>
      <c r="E772" s="40" t="s">
        <v>1054</v>
      </c>
      <c r="F772" s="40" t="s">
        <v>1051</v>
      </c>
      <c r="G772" s="41" t="s">
        <v>507</v>
      </c>
      <c r="H772" s="42">
        <v>42</v>
      </c>
      <c r="I772" s="43">
        <v>26</v>
      </c>
      <c r="J772" s="44">
        <v>52.612000000000002</v>
      </c>
      <c r="K772" s="45">
        <v>80</v>
      </c>
      <c r="L772" s="43">
        <v>34</v>
      </c>
      <c r="M772" s="46">
        <v>56.097999999999999</v>
      </c>
      <c r="N772" s="40" t="s">
        <v>359</v>
      </c>
      <c r="O772" s="42">
        <v>42</v>
      </c>
      <c r="P772" s="43">
        <v>26</v>
      </c>
      <c r="Q772" s="44">
        <v>30.821999999999999</v>
      </c>
      <c r="R772" s="45">
        <v>80</v>
      </c>
      <c r="S772" s="43">
        <v>35</v>
      </c>
      <c r="T772" s="46">
        <v>24.533999999999999</v>
      </c>
      <c r="U772" s="40">
        <v>2</v>
      </c>
      <c r="V772" s="47">
        <v>3067.72</v>
      </c>
      <c r="W772" s="48">
        <v>1993</v>
      </c>
      <c r="X772" s="40"/>
      <c r="Y772" s="52"/>
      <c r="Z772" s="40" t="s">
        <v>910</v>
      </c>
      <c r="AA772" s="49">
        <f t="shared" si="115" ref="AA772:AA835">IF(F772="ABAND",0,(IF(Z772="steel",VLOOKUP(U772,steelrates,2,FALSE)*V772,VLOOKUP(U772,plasticrates,2,FALSE)*V772)))</f>
        <v>0</v>
      </c>
      <c r="AB772" s="71">
        <f t="shared" si="116" ref="AB772:AB835">IF(W772=0,0,(VLOOKUP(W772,depreciation,2)))</f>
        <v>0.70</v>
      </c>
      <c r="AC772" s="49">
        <f t="shared" si="117" ref="AC772:AC835">ROUND(+AA772-(+AA772*AB772),2)</f>
        <v>0</v>
      </c>
      <c r="AD772" s="50">
        <f t="shared" si="118" ref="AD772:AD835">(IF(X772="LOOP",AC772*0.25,0))</f>
        <v>0</v>
      </c>
      <c r="AE772" s="50">
        <f t="shared" si="119" ref="AE772:AE835">(IF(F772="SUSP",AC772*0.2,0))</f>
        <v>0</v>
      </c>
      <c r="AF772" s="50">
        <f t="shared" si="120" ref="AF772:AF835">+AC772-AD772-AE772</f>
        <v>0</v>
      </c>
      <c r="AG772" s="199">
        <f t="shared" si="121" ref="AG772:AG835">ROUNDDOWN(AF772,0)</f>
        <v>0</v>
      </c>
      <c r="AH772" s="187"/>
      <c r="AI772" s="185" t="s">
        <v>1458</v>
      </c>
      <c r="AJ772" s="185"/>
      <c r="AK772" s="277">
        <f t="shared" si="114"/>
        <v>3067.72</v>
      </c>
      <c r="AL772" s="25">
        <f>(SUMIFS('T1 2019 Pipeline Data Lagasco'!$O:$O,'T1 2019 Pipeline Data Lagasco'!$A:$A,'Dec 31 2018 OFFS'!$AI772,'T1 2019 Pipeline Data Lagasco'!$Q:$Q,'Dec 31 2018 OFFS'!$AK772,'T1 2019 Pipeline Data Lagasco'!$E:$E,'Dec 31 2018 OFFS'!$U772,'T1 2019 Pipeline Data Lagasco'!$G:$G,'Dec 31 2018 OFFS'!$W772))/(MAX(COUNTIFS('T1 2019 Pipeline Data Lagasco'!$A:$A,'Dec 31 2018 OFFS'!$AI772,'T1 2019 Pipeline Data Lagasco'!$Q:$Q,'Dec 31 2018 OFFS'!$AK772,'T1 2019 Pipeline Data Lagasco'!$E:$E,'Dec 31 2018 OFFS'!$U772,'T1 2019 Pipeline Data Lagasco'!$G:$G,'Dec 31 2018 OFFS'!$W772),1))</f>
        <v>0</v>
      </c>
      <c r="AM772" s="274">
        <f t="shared" si="122" ref="AM772:AM835">AG772-AL772</f>
        <v>0</v>
      </c>
    </row>
    <row r="773" spans="1:39" ht="12.7">
      <c r="A773" s="193" t="s">
        <v>909</v>
      </c>
      <c r="B773" s="40" t="s">
        <v>918</v>
      </c>
      <c r="C773" s="40" t="s">
        <v>1266</v>
      </c>
      <c r="D773" s="40" t="s">
        <v>336</v>
      </c>
      <c r="E773" s="40" t="s">
        <v>1054</v>
      </c>
      <c r="F773" s="40" t="s">
        <v>1051</v>
      </c>
      <c r="G773" s="41" t="s">
        <v>507</v>
      </c>
      <c r="H773" s="42">
        <v>42</v>
      </c>
      <c r="I773" s="43">
        <v>26</v>
      </c>
      <c r="J773" s="44">
        <v>52.612000000000002</v>
      </c>
      <c r="K773" s="45">
        <v>80</v>
      </c>
      <c r="L773" s="43">
        <v>34</v>
      </c>
      <c r="M773" s="46">
        <v>56.097999999999999</v>
      </c>
      <c r="N773" s="40" t="s">
        <v>360</v>
      </c>
      <c r="O773" s="42">
        <v>42</v>
      </c>
      <c r="P773" s="43">
        <v>26</v>
      </c>
      <c r="Q773" s="44">
        <v>41.40</v>
      </c>
      <c r="R773" s="45">
        <v>80</v>
      </c>
      <c r="S773" s="43">
        <v>34</v>
      </c>
      <c r="T773" s="46">
        <v>0.09</v>
      </c>
      <c r="U773" s="40">
        <v>2</v>
      </c>
      <c r="V773" s="47">
        <v>4349.7700000000004</v>
      </c>
      <c r="W773" s="48">
        <v>1981</v>
      </c>
      <c r="X773" s="40"/>
      <c r="Y773" s="52"/>
      <c r="Z773" s="40" t="s">
        <v>910</v>
      </c>
      <c r="AA773" s="49">
        <f t="shared" si="115"/>
        <v>0</v>
      </c>
      <c r="AB773" s="71">
        <f t="shared" si="116"/>
        <v>0.80</v>
      </c>
      <c r="AC773" s="49">
        <f t="shared" si="117"/>
        <v>0</v>
      </c>
      <c r="AD773" s="50">
        <f t="shared" si="118"/>
        <v>0</v>
      </c>
      <c r="AE773" s="50">
        <f t="shared" si="119"/>
        <v>0</v>
      </c>
      <c r="AF773" s="50">
        <f t="shared" si="120"/>
        <v>0</v>
      </c>
      <c r="AG773" s="199">
        <f t="shared" si="121"/>
        <v>0</v>
      </c>
      <c r="AH773" s="187"/>
      <c r="AI773" s="185" t="s">
        <v>1458</v>
      </c>
      <c r="AJ773" s="185"/>
      <c r="AK773" s="277">
        <f t="shared" si="114"/>
        <v>4349.7700000000004</v>
      </c>
      <c r="AL773" s="25">
        <f>(SUMIFS('T1 2019 Pipeline Data Lagasco'!$O:$O,'T1 2019 Pipeline Data Lagasco'!$A:$A,'Dec 31 2018 OFFS'!$AI773,'T1 2019 Pipeline Data Lagasco'!$Q:$Q,'Dec 31 2018 OFFS'!$AK773,'T1 2019 Pipeline Data Lagasco'!$E:$E,'Dec 31 2018 OFFS'!$U773,'T1 2019 Pipeline Data Lagasco'!$G:$G,'Dec 31 2018 OFFS'!$W773))/(MAX(COUNTIFS('T1 2019 Pipeline Data Lagasco'!$A:$A,'Dec 31 2018 OFFS'!$AI773,'T1 2019 Pipeline Data Lagasco'!$Q:$Q,'Dec 31 2018 OFFS'!$AK773,'T1 2019 Pipeline Data Lagasco'!$E:$E,'Dec 31 2018 OFFS'!$U773,'T1 2019 Pipeline Data Lagasco'!$G:$G,'Dec 31 2018 OFFS'!$W773),1))</f>
        <v>0</v>
      </c>
      <c r="AM773" s="274">
        <f t="shared" si="122"/>
        <v>0</v>
      </c>
    </row>
    <row r="774" spans="1:39" ht="12.7">
      <c r="A774" s="193" t="s">
        <v>909</v>
      </c>
      <c r="B774" s="40" t="s">
        <v>918</v>
      </c>
      <c r="C774" s="40" t="s">
        <v>1266</v>
      </c>
      <c r="D774" s="40" t="s">
        <v>336</v>
      </c>
      <c r="E774" s="40" t="s">
        <v>1054</v>
      </c>
      <c r="F774" s="40" t="s">
        <v>1051</v>
      </c>
      <c r="G774" s="41" t="s">
        <v>507</v>
      </c>
      <c r="H774" s="42">
        <v>42</v>
      </c>
      <c r="I774" s="43">
        <v>26</v>
      </c>
      <c r="J774" s="44">
        <v>52.612000000000002</v>
      </c>
      <c r="K774" s="45">
        <v>80</v>
      </c>
      <c r="L774" s="43">
        <v>34</v>
      </c>
      <c r="M774" s="46">
        <v>56.097999999999999</v>
      </c>
      <c r="N774" s="40" t="s">
        <v>361</v>
      </c>
      <c r="O774" s="42">
        <v>42</v>
      </c>
      <c r="P774" s="43">
        <v>26</v>
      </c>
      <c r="Q774" s="44">
        <v>3.90</v>
      </c>
      <c r="R774" s="45">
        <v>80</v>
      </c>
      <c r="S774" s="43">
        <v>34</v>
      </c>
      <c r="T774" s="46">
        <v>32.28</v>
      </c>
      <c r="U774" s="40">
        <v>4</v>
      </c>
      <c r="V774" s="47">
        <v>5244.55</v>
      </c>
      <c r="W774" s="48">
        <v>1971</v>
      </c>
      <c r="X774" s="40"/>
      <c r="Y774" s="52"/>
      <c r="Z774" s="40" t="s">
        <v>910</v>
      </c>
      <c r="AA774" s="49">
        <f t="shared" si="115"/>
        <v>0</v>
      </c>
      <c r="AB774" s="71">
        <f t="shared" si="116"/>
        <v>0.80</v>
      </c>
      <c r="AC774" s="49">
        <f t="shared" si="117"/>
        <v>0</v>
      </c>
      <c r="AD774" s="50">
        <f t="shared" si="118"/>
        <v>0</v>
      </c>
      <c r="AE774" s="50">
        <f t="shared" si="119"/>
        <v>0</v>
      </c>
      <c r="AF774" s="50">
        <f t="shared" si="120"/>
        <v>0</v>
      </c>
      <c r="AG774" s="199">
        <f t="shared" si="121"/>
        <v>0</v>
      </c>
      <c r="AH774" s="187"/>
      <c r="AI774" s="185" t="s">
        <v>1458</v>
      </c>
      <c r="AJ774" s="185"/>
      <c r="AK774" s="277">
        <f t="shared" si="114"/>
        <v>5244.55</v>
      </c>
      <c r="AL774" s="25">
        <f>(SUMIFS('T1 2019 Pipeline Data Lagasco'!$O:$O,'T1 2019 Pipeline Data Lagasco'!$A:$A,'Dec 31 2018 OFFS'!$AI774,'T1 2019 Pipeline Data Lagasco'!$Q:$Q,'Dec 31 2018 OFFS'!$AK774,'T1 2019 Pipeline Data Lagasco'!$E:$E,'Dec 31 2018 OFFS'!$U774,'T1 2019 Pipeline Data Lagasco'!$G:$G,'Dec 31 2018 OFFS'!$W774))/(MAX(COUNTIFS('T1 2019 Pipeline Data Lagasco'!$A:$A,'Dec 31 2018 OFFS'!$AI774,'T1 2019 Pipeline Data Lagasco'!$Q:$Q,'Dec 31 2018 OFFS'!$AK774,'T1 2019 Pipeline Data Lagasco'!$E:$E,'Dec 31 2018 OFFS'!$U774,'T1 2019 Pipeline Data Lagasco'!$G:$G,'Dec 31 2018 OFFS'!$W774),1))</f>
        <v>0</v>
      </c>
      <c r="AM774" s="274">
        <f t="shared" si="122"/>
        <v>0</v>
      </c>
    </row>
    <row r="775" spans="1:39" ht="12.7">
      <c r="A775" s="193" t="s">
        <v>909</v>
      </c>
      <c r="B775" s="40" t="s">
        <v>918</v>
      </c>
      <c r="C775" s="40" t="s">
        <v>1266</v>
      </c>
      <c r="D775" s="40" t="s">
        <v>336</v>
      </c>
      <c r="E775" s="40" t="s">
        <v>1054</v>
      </c>
      <c r="F775" s="40" t="s">
        <v>1051</v>
      </c>
      <c r="G775" s="41" t="s">
        <v>361</v>
      </c>
      <c r="H775" s="42">
        <v>42</v>
      </c>
      <c r="I775" s="43">
        <v>26</v>
      </c>
      <c r="J775" s="44">
        <v>3.90</v>
      </c>
      <c r="K775" s="45">
        <v>80</v>
      </c>
      <c r="L775" s="43">
        <v>34</v>
      </c>
      <c r="M775" s="46">
        <v>32.28</v>
      </c>
      <c r="N775" s="40" t="s">
        <v>362</v>
      </c>
      <c r="O775" s="42">
        <v>42</v>
      </c>
      <c r="P775" s="43">
        <v>26</v>
      </c>
      <c r="Q775" s="44">
        <v>26.28</v>
      </c>
      <c r="R775" s="45">
        <v>80</v>
      </c>
      <c r="S775" s="43">
        <v>34</v>
      </c>
      <c r="T775" s="46">
        <v>34.50</v>
      </c>
      <c r="U775" s="40">
        <v>2</v>
      </c>
      <c r="V775" s="47">
        <v>2271.620669122</v>
      </c>
      <c r="W775" s="48">
        <v>1990</v>
      </c>
      <c r="X775" s="40"/>
      <c r="Y775" s="52"/>
      <c r="Z775" s="40" t="s">
        <v>910</v>
      </c>
      <c r="AA775" s="49">
        <f t="shared" si="115"/>
        <v>0</v>
      </c>
      <c r="AB775" s="71">
        <f t="shared" si="116"/>
        <v>0.73</v>
      </c>
      <c r="AC775" s="49">
        <f t="shared" si="117"/>
        <v>0</v>
      </c>
      <c r="AD775" s="50">
        <f t="shared" si="118"/>
        <v>0</v>
      </c>
      <c r="AE775" s="50">
        <f t="shared" si="119"/>
        <v>0</v>
      </c>
      <c r="AF775" s="50">
        <f t="shared" si="120"/>
        <v>0</v>
      </c>
      <c r="AG775" s="199">
        <f t="shared" si="121"/>
        <v>0</v>
      </c>
      <c r="AH775" s="187"/>
      <c r="AI775" s="185" t="s">
        <v>1458</v>
      </c>
      <c r="AJ775" s="185"/>
      <c r="AK775" s="277">
        <f t="shared" si="114"/>
        <v>2271.62</v>
      </c>
      <c r="AL775" s="25">
        <f>(SUMIFS('T1 2019 Pipeline Data Lagasco'!$O:$O,'T1 2019 Pipeline Data Lagasco'!$A:$A,'Dec 31 2018 OFFS'!$AI775,'T1 2019 Pipeline Data Lagasco'!$Q:$Q,'Dec 31 2018 OFFS'!$AK775,'T1 2019 Pipeline Data Lagasco'!$E:$E,'Dec 31 2018 OFFS'!$U775,'T1 2019 Pipeline Data Lagasco'!$G:$G,'Dec 31 2018 OFFS'!$W775))/(MAX(COUNTIFS('T1 2019 Pipeline Data Lagasco'!$A:$A,'Dec 31 2018 OFFS'!$AI775,'T1 2019 Pipeline Data Lagasco'!$Q:$Q,'Dec 31 2018 OFFS'!$AK775,'T1 2019 Pipeline Data Lagasco'!$E:$E,'Dec 31 2018 OFFS'!$U775,'T1 2019 Pipeline Data Lagasco'!$G:$G,'Dec 31 2018 OFFS'!$W775),1))</f>
        <v>0</v>
      </c>
      <c r="AM775" s="274">
        <f t="shared" si="122"/>
        <v>0</v>
      </c>
    </row>
    <row r="776" spans="1:39" ht="12.7">
      <c r="A776" s="193" t="s">
        <v>909</v>
      </c>
      <c r="B776" s="40" t="s">
        <v>918</v>
      </c>
      <c r="C776" s="40" t="s">
        <v>1266</v>
      </c>
      <c r="D776" s="40" t="s">
        <v>336</v>
      </c>
      <c r="E776" s="40" t="s">
        <v>1054</v>
      </c>
      <c r="F776" s="40"/>
      <c r="G776" s="40" t="s">
        <v>362</v>
      </c>
      <c r="H776" s="42">
        <v>42</v>
      </c>
      <c r="I776" s="43">
        <v>26</v>
      </c>
      <c r="J776" s="44">
        <f>0.438*60</f>
        <v>26.28</v>
      </c>
      <c r="K776" s="45">
        <v>80</v>
      </c>
      <c r="L776" s="43">
        <v>34</v>
      </c>
      <c r="M776" s="46">
        <f>0.57*60</f>
        <v>34.199999999999996</v>
      </c>
      <c r="N776" s="41" t="s">
        <v>361</v>
      </c>
      <c r="O776" s="42">
        <v>42</v>
      </c>
      <c r="P776" s="43">
        <v>26</v>
      </c>
      <c r="Q776" s="44">
        <f>0.067*60</f>
        <v>4.0200000000000005</v>
      </c>
      <c r="R776" s="45">
        <v>80</v>
      </c>
      <c r="S776" s="43">
        <v>34</v>
      </c>
      <c r="T776" s="46">
        <f>0.525*60</f>
        <v>31.50</v>
      </c>
      <c r="U776" s="40">
        <v>3</v>
      </c>
      <c r="V776" s="47">
        <v>2223</v>
      </c>
      <c r="W776" s="48">
        <v>2010</v>
      </c>
      <c r="X776" s="40"/>
      <c r="Y776" s="52"/>
      <c r="Z776" s="40" t="s">
        <v>910</v>
      </c>
      <c r="AA776" s="49">
        <f t="shared" si="115"/>
        <v>52440.57</v>
      </c>
      <c r="AB776" s="71">
        <f t="shared" si="116"/>
        <v>0.39</v>
      </c>
      <c r="AC776" s="49">
        <f t="shared" si="117"/>
        <v>31988.75</v>
      </c>
      <c r="AD776" s="50">
        <f t="shared" si="118"/>
        <v>0</v>
      </c>
      <c r="AE776" s="50">
        <f t="shared" si="119"/>
        <v>0</v>
      </c>
      <c r="AF776" s="50">
        <f t="shared" si="120"/>
        <v>31988.75</v>
      </c>
      <c r="AG776" s="199">
        <f t="shared" si="121"/>
        <v>31988</v>
      </c>
      <c r="AH776" s="187"/>
      <c r="AI776" s="185" t="s">
        <v>1458</v>
      </c>
      <c r="AJ776" s="185"/>
      <c r="AK776" s="277">
        <f t="shared" si="114"/>
        <v>2223</v>
      </c>
      <c r="AL776" s="25">
        <f>(SUMIFS('T1 2019 Pipeline Data Lagasco'!$O:$O,'T1 2019 Pipeline Data Lagasco'!$A:$A,'Dec 31 2018 OFFS'!$AI776,'T1 2019 Pipeline Data Lagasco'!$Q:$Q,'Dec 31 2018 OFFS'!$AK776,'T1 2019 Pipeline Data Lagasco'!$E:$E,'Dec 31 2018 OFFS'!$U776,'T1 2019 Pipeline Data Lagasco'!$G:$G,'Dec 31 2018 OFFS'!$W776))/(MAX(COUNTIFS('T1 2019 Pipeline Data Lagasco'!$A:$A,'Dec 31 2018 OFFS'!$AI776,'T1 2019 Pipeline Data Lagasco'!$Q:$Q,'Dec 31 2018 OFFS'!$AK776,'T1 2019 Pipeline Data Lagasco'!$E:$E,'Dec 31 2018 OFFS'!$U776,'T1 2019 Pipeline Data Lagasco'!$G:$G,'Dec 31 2018 OFFS'!$W776),1))</f>
        <v>31988</v>
      </c>
      <c r="AM776" s="274">
        <f t="shared" si="122"/>
        <v>0</v>
      </c>
    </row>
    <row r="777" spans="1:39" ht="12.7">
      <c r="A777" s="200" t="s">
        <v>909</v>
      </c>
      <c r="B777" s="201" t="s">
        <v>918</v>
      </c>
      <c r="C777" s="201" t="s">
        <v>1266</v>
      </c>
      <c r="D777" s="201" t="s">
        <v>336</v>
      </c>
      <c r="E777" s="201" t="s">
        <v>1054</v>
      </c>
      <c r="F777" s="202" t="s">
        <v>1051</v>
      </c>
      <c r="G777" s="208" t="s">
        <v>361</v>
      </c>
      <c r="H777" s="203">
        <v>42</v>
      </c>
      <c r="I777" s="204">
        <v>26</v>
      </c>
      <c r="J777" s="205">
        <v>3.90</v>
      </c>
      <c r="K777" s="206">
        <v>80</v>
      </c>
      <c r="L777" s="204">
        <v>34</v>
      </c>
      <c r="M777" s="207">
        <v>32.28</v>
      </c>
      <c r="N777" s="201" t="s">
        <v>363</v>
      </c>
      <c r="O777" s="203">
        <v>42</v>
      </c>
      <c r="P777" s="204">
        <v>24</v>
      </c>
      <c r="Q777" s="205">
        <v>59.28</v>
      </c>
      <c r="R777" s="206">
        <v>80</v>
      </c>
      <c r="S777" s="204">
        <v>34</v>
      </c>
      <c r="T777" s="207">
        <v>2.10</v>
      </c>
      <c r="U777" s="201">
        <v>2</v>
      </c>
      <c r="V777" s="281">
        <v>6922.0142352339999</v>
      </c>
      <c r="W777" s="210">
        <v>1978</v>
      </c>
      <c r="X777" s="309"/>
      <c r="Y777" s="52"/>
      <c r="Z777" s="201" t="s">
        <v>910</v>
      </c>
      <c r="AA777" s="211">
        <f t="shared" si="115"/>
        <v>0</v>
      </c>
      <c r="AB777" s="212">
        <f t="shared" si="116"/>
        <v>0.80</v>
      </c>
      <c r="AC777" s="211">
        <f t="shared" si="117"/>
        <v>0</v>
      </c>
      <c r="AD777" s="213">
        <f t="shared" si="118"/>
        <v>0</v>
      </c>
      <c r="AE777" s="213">
        <f t="shared" si="119"/>
        <v>0</v>
      </c>
      <c r="AF777" s="213">
        <f t="shared" si="120"/>
        <v>0</v>
      </c>
      <c r="AG777" s="214">
        <f t="shared" si="121"/>
        <v>0</v>
      </c>
      <c r="AH777" s="215"/>
      <c r="AI777" s="216" t="s">
        <v>1458</v>
      </c>
      <c r="AJ777" s="216" t="s">
        <v>1560</v>
      </c>
      <c r="AK777" s="283">
        <f t="shared" si="114"/>
        <v>6922.01</v>
      </c>
      <c r="AL777" s="25">
        <f>(SUMIFS('T1 2019 Pipeline Data Lagasco'!$O:$O,'T1 2019 Pipeline Data Lagasco'!$A:$A,'Dec 31 2018 OFFS'!$AI777,'T1 2019 Pipeline Data Lagasco'!$Q:$Q,'Dec 31 2018 OFFS'!$AK777,'T1 2019 Pipeline Data Lagasco'!$E:$E,'Dec 31 2018 OFFS'!$U777,'T1 2019 Pipeline Data Lagasco'!$G:$G,'Dec 31 2018 OFFS'!$W777))/(MAX(COUNTIFS('T1 2019 Pipeline Data Lagasco'!$A:$A,'Dec 31 2018 OFFS'!$AI777,'T1 2019 Pipeline Data Lagasco'!$Q:$Q,'Dec 31 2018 OFFS'!$AK777,'T1 2019 Pipeline Data Lagasco'!$E:$E,'Dec 31 2018 OFFS'!$U777,'T1 2019 Pipeline Data Lagasco'!$G:$G,'Dec 31 2018 OFFS'!$W777),1))</f>
        <v>0</v>
      </c>
      <c r="AM777" s="285">
        <f t="shared" si="122"/>
        <v>0</v>
      </c>
    </row>
    <row r="778" spans="1:39" ht="12.7">
      <c r="A778" s="193" t="s">
        <v>909</v>
      </c>
      <c r="B778" s="139" t="s">
        <v>918</v>
      </c>
      <c r="C778" s="139" t="s">
        <v>1266</v>
      </c>
      <c r="D778" s="139" t="s">
        <v>336</v>
      </c>
      <c r="E778" s="139" t="s">
        <v>1054</v>
      </c>
      <c r="F778" s="139" t="s">
        <v>1380</v>
      </c>
      <c r="G778" s="155" t="s">
        <v>361</v>
      </c>
      <c r="H778" s="42">
        <v>42</v>
      </c>
      <c r="I778" s="43">
        <v>26</v>
      </c>
      <c r="J778" s="44">
        <v>3.90</v>
      </c>
      <c r="K778" s="45">
        <v>80</v>
      </c>
      <c r="L778" s="43">
        <v>34</v>
      </c>
      <c r="M778" s="46">
        <v>32.28</v>
      </c>
      <c r="N778" s="139" t="s">
        <v>363</v>
      </c>
      <c r="O778" s="42">
        <v>42</v>
      </c>
      <c r="P778" s="43">
        <v>24</v>
      </c>
      <c r="Q778" s="44">
        <v>59.28</v>
      </c>
      <c r="R778" s="45">
        <v>80</v>
      </c>
      <c r="S778" s="43">
        <v>34</v>
      </c>
      <c r="T778" s="46">
        <v>2.10</v>
      </c>
      <c r="U778" s="40">
        <v>3</v>
      </c>
      <c r="V778" s="281">
        <v>6922.0142352339999</v>
      </c>
      <c r="W778" s="48">
        <v>2004</v>
      </c>
      <c r="X778" s="183"/>
      <c r="Y778" s="52"/>
      <c r="Z778" s="40" t="s">
        <v>910</v>
      </c>
      <c r="AA778" s="49">
        <f t="shared" si="115"/>
        <v>163290.31580917005</v>
      </c>
      <c r="AB778" s="71">
        <f t="shared" si="116"/>
        <v>0.56000000000000005</v>
      </c>
      <c r="AC778" s="49">
        <f t="shared" si="117"/>
        <v>71847.740000000005</v>
      </c>
      <c r="AD778" s="50">
        <f t="shared" si="118"/>
        <v>0</v>
      </c>
      <c r="AE778" s="50">
        <f t="shared" si="119"/>
        <v>0</v>
      </c>
      <c r="AF778" s="50">
        <f t="shared" si="120"/>
        <v>71847.740000000005</v>
      </c>
      <c r="AG778" s="199">
        <f t="shared" si="121"/>
        <v>71847</v>
      </c>
      <c r="AH778" s="187"/>
      <c r="AI778" s="185" t="s">
        <v>1458</v>
      </c>
      <c r="AJ778" s="185"/>
      <c r="AK778" s="277">
        <f t="shared" si="114"/>
        <v>6922.01</v>
      </c>
      <c r="AL778" s="25">
        <f>(SUMIFS('T1 2019 Pipeline Data Lagasco'!$O:$O,'T1 2019 Pipeline Data Lagasco'!$A:$A,'Dec 31 2018 OFFS'!$AI778,'T1 2019 Pipeline Data Lagasco'!$Q:$Q,'Dec 31 2018 OFFS'!$AK778,'T1 2019 Pipeline Data Lagasco'!$E:$E,'Dec 31 2018 OFFS'!$U778,'T1 2019 Pipeline Data Lagasco'!$G:$G,'Dec 31 2018 OFFS'!$W778))/(MAX(COUNTIFS('T1 2019 Pipeline Data Lagasco'!$A:$A,'Dec 31 2018 OFFS'!$AI778,'T1 2019 Pipeline Data Lagasco'!$Q:$Q,'Dec 31 2018 OFFS'!$AK778,'T1 2019 Pipeline Data Lagasco'!$E:$E,'Dec 31 2018 OFFS'!$U778,'T1 2019 Pipeline Data Lagasco'!$G:$G,'Dec 31 2018 OFFS'!$W778),1))</f>
        <v>71847</v>
      </c>
      <c r="AM778" s="274">
        <f t="shared" si="122"/>
        <v>0</v>
      </c>
    </row>
    <row r="779" spans="1:39" ht="12.7">
      <c r="A779" s="193" t="s">
        <v>909</v>
      </c>
      <c r="B779" s="40" t="s">
        <v>918</v>
      </c>
      <c r="C779" s="40" t="s">
        <v>1266</v>
      </c>
      <c r="D779" s="40" t="s">
        <v>336</v>
      </c>
      <c r="E779" s="40" t="s">
        <v>1054</v>
      </c>
      <c r="F779" s="139"/>
      <c r="G779" s="41" t="s">
        <v>363</v>
      </c>
      <c r="H779" s="42">
        <v>42</v>
      </c>
      <c r="I779" s="43">
        <v>24</v>
      </c>
      <c r="J779" s="44">
        <v>59.28</v>
      </c>
      <c r="K779" s="45">
        <v>80</v>
      </c>
      <c r="L779" s="43">
        <v>34</v>
      </c>
      <c r="M779" s="46">
        <v>2.10</v>
      </c>
      <c r="N779" s="40" t="s">
        <v>364</v>
      </c>
      <c r="O779" s="42">
        <v>42</v>
      </c>
      <c r="P779" s="43">
        <v>24</v>
      </c>
      <c r="Q779" s="44">
        <v>8.2200000000000006</v>
      </c>
      <c r="R779" s="45">
        <v>80</v>
      </c>
      <c r="S779" s="43">
        <v>33</v>
      </c>
      <c r="T779" s="46">
        <v>46.08</v>
      </c>
      <c r="U779" s="40">
        <v>2</v>
      </c>
      <c r="V779" s="47">
        <v>5306.659951306</v>
      </c>
      <c r="W779" s="48">
        <v>1978</v>
      </c>
      <c r="X779" s="40"/>
      <c r="Y779" s="52"/>
      <c r="Z779" s="40" t="s">
        <v>910</v>
      </c>
      <c r="AA779" s="49">
        <f t="shared" si="115"/>
        <v>86180.157609209433</v>
      </c>
      <c r="AB779" s="71">
        <f t="shared" si="116"/>
        <v>0.80</v>
      </c>
      <c r="AC779" s="49">
        <f t="shared" si="117"/>
        <v>17236.03</v>
      </c>
      <c r="AD779" s="50">
        <f t="shared" si="118"/>
        <v>0</v>
      </c>
      <c r="AE779" s="50">
        <f t="shared" si="119"/>
        <v>0</v>
      </c>
      <c r="AF779" s="50">
        <f t="shared" si="120"/>
        <v>17236.03</v>
      </c>
      <c r="AG779" s="199">
        <f t="shared" si="121"/>
        <v>17236</v>
      </c>
      <c r="AH779" s="187"/>
      <c r="AI779" s="185" t="s">
        <v>1458</v>
      </c>
      <c r="AJ779" s="185"/>
      <c r="AK779" s="277">
        <f t="shared" si="114"/>
        <v>5306.66</v>
      </c>
      <c r="AL779" s="25">
        <f>(SUMIFS('T1 2019 Pipeline Data Lagasco'!$O:$O,'T1 2019 Pipeline Data Lagasco'!$A:$A,'Dec 31 2018 OFFS'!$AI779,'T1 2019 Pipeline Data Lagasco'!$Q:$Q,'Dec 31 2018 OFFS'!$AK779,'T1 2019 Pipeline Data Lagasco'!$E:$E,'Dec 31 2018 OFFS'!$U779,'T1 2019 Pipeline Data Lagasco'!$G:$G,'Dec 31 2018 OFFS'!$W779))/(MAX(COUNTIFS('T1 2019 Pipeline Data Lagasco'!$A:$A,'Dec 31 2018 OFFS'!$AI779,'T1 2019 Pipeline Data Lagasco'!$Q:$Q,'Dec 31 2018 OFFS'!$AK779,'T1 2019 Pipeline Data Lagasco'!$E:$E,'Dec 31 2018 OFFS'!$U779,'T1 2019 Pipeline Data Lagasco'!$G:$G,'Dec 31 2018 OFFS'!$W779),1))</f>
        <v>17236</v>
      </c>
      <c r="AM779" s="274">
        <f t="shared" si="122"/>
        <v>0</v>
      </c>
    </row>
    <row r="780" spans="1:39" ht="12.7">
      <c r="A780" s="193" t="s">
        <v>909</v>
      </c>
      <c r="B780" s="40" t="s">
        <v>918</v>
      </c>
      <c r="C780" s="40" t="s">
        <v>1266</v>
      </c>
      <c r="D780" s="40" t="s">
        <v>336</v>
      </c>
      <c r="E780" s="40" t="s">
        <v>1054</v>
      </c>
      <c r="F780" s="40" t="s">
        <v>1051</v>
      </c>
      <c r="G780" s="41" t="s">
        <v>501</v>
      </c>
      <c r="H780" s="42">
        <v>42</v>
      </c>
      <c r="I780" s="43">
        <v>28</v>
      </c>
      <c r="J780" s="44">
        <v>33.90</v>
      </c>
      <c r="K780" s="45">
        <v>80</v>
      </c>
      <c r="L780" s="43">
        <v>29</v>
      </c>
      <c r="M780" s="46">
        <v>54.36</v>
      </c>
      <c r="N780" s="40" t="s">
        <v>502</v>
      </c>
      <c r="O780" s="42">
        <v>42</v>
      </c>
      <c r="P780" s="43">
        <v>28</v>
      </c>
      <c r="Q780" s="44">
        <v>30.219000000000001</v>
      </c>
      <c r="R780" s="45">
        <v>80</v>
      </c>
      <c r="S780" s="43">
        <v>28</v>
      </c>
      <c r="T780" s="44">
        <v>34.012999999999998</v>
      </c>
      <c r="U780" s="40">
        <v>4</v>
      </c>
      <c r="V780" s="47">
        <v>6022</v>
      </c>
      <c r="W780" s="48">
        <v>1981</v>
      </c>
      <c r="X780" s="40"/>
      <c r="Y780" s="52"/>
      <c r="Z780" s="40" t="s">
        <v>910</v>
      </c>
      <c r="AA780" s="49">
        <f t="shared" si="115"/>
        <v>0</v>
      </c>
      <c r="AB780" s="71">
        <f t="shared" si="116"/>
        <v>0.80</v>
      </c>
      <c r="AC780" s="49">
        <f t="shared" si="117"/>
        <v>0</v>
      </c>
      <c r="AD780" s="50">
        <f t="shared" si="118"/>
        <v>0</v>
      </c>
      <c r="AE780" s="50">
        <f t="shared" si="119"/>
        <v>0</v>
      </c>
      <c r="AF780" s="50">
        <f t="shared" si="120"/>
        <v>0</v>
      </c>
      <c r="AG780" s="199">
        <f t="shared" si="121"/>
        <v>0</v>
      </c>
      <c r="AH780" s="187"/>
      <c r="AI780" s="185" t="s">
        <v>1458</v>
      </c>
      <c r="AJ780" s="185"/>
      <c r="AK780" s="277">
        <f t="shared" si="114"/>
        <v>6022</v>
      </c>
      <c r="AL780" s="25">
        <f>(SUMIFS('T1 2019 Pipeline Data Lagasco'!$O:$O,'T1 2019 Pipeline Data Lagasco'!$A:$A,'Dec 31 2018 OFFS'!$AI780,'T1 2019 Pipeline Data Lagasco'!$Q:$Q,'Dec 31 2018 OFFS'!$AK780,'T1 2019 Pipeline Data Lagasco'!$E:$E,'Dec 31 2018 OFFS'!$U780,'T1 2019 Pipeline Data Lagasco'!$G:$G,'Dec 31 2018 OFFS'!$W780))/(MAX(COUNTIFS('T1 2019 Pipeline Data Lagasco'!$A:$A,'Dec 31 2018 OFFS'!$AI780,'T1 2019 Pipeline Data Lagasco'!$Q:$Q,'Dec 31 2018 OFFS'!$AK780,'T1 2019 Pipeline Data Lagasco'!$E:$E,'Dec 31 2018 OFFS'!$U780,'T1 2019 Pipeline Data Lagasco'!$G:$G,'Dec 31 2018 OFFS'!$W780),1))</f>
        <v>0</v>
      </c>
      <c r="AM780" s="274">
        <f t="shared" si="122"/>
        <v>0</v>
      </c>
    </row>
    <row r="781" spans="1:39" ht="12.7">
      <c r="A781" s="193" t="s">
        <v>909</v>
      </c>
      <c r="B781" s="40" t="s">
        <v>918</v>
      </c>
      <c r="C781" s="40" t="s">
        <v>1266</v>
      </c>
      <c r="D781" s="40" t="s">
        <v>336</v>
      </c>
      <c r="E781" s="40" t="s">
        <v>1223</v>
      </c>
      <c r="F781" s="40"/>
      <c r="G781" s="41" t="s">
        <v>415</v>
      </c>
      <c r="H781" s="42">
        <v>42</v>
      </c>
      <c r="I781" s="43">
        <v>28</v>
      </c>
      <c r="J781" s="44">
        <v>29.94</v>
      </c>
      <c r="K781" s="45">
        <v>80</v>
      </c>
      <c r="L781" s="43">
        <v>28</v>
      </c>
      <c r="M781" s="46">
        <v>34.32</v>
      </c>
      <c r="N781" s="40" t="s">
        <v>416</v>
      </c>
      <c r="O781" s="42">
        <v>42</v>
      </c>
      <c r="P781" s="43">
        <v>24</v>
      </c>
      <c r="Q781" s="44">
        <v>46.92</v>
      </c>
      <c r="R781" s="45">
        <v>80</v>
      </c>
      <c r="S781" s="43">
        <v>28</v>
      </c>
      <c r="T781" s="46">
        <v>34.619999999999997</v>
      </c>
      <c r="U781" s="40">
        <v>3</v>
      </c>
      <c r="V781" s="47">
        <v>22576.574149331998</v>
      </c>
      <c r="W781" s="48">
        <v>1981</v>
      </c>
      <c r="X781" s="40"/>
      <c r="Y781" s="52"/>
      <c r="Z781" s="40" t="s">
        <v>910</v>
      </c>
      <c r="AA781" s="49">
        <f t="shared" si="115"/>
        <v>532581.38418274187</v>
      </c>
      <c r="AB781" s="71">
        <f t="shared" si="116"/>
        <v>0.80</v>
      </c>
      <c r="AC781" s="49">
        <f t="shared" si="117"/>
        <v>106516.28</v>
      </c>
      <c r="AD781" s="50">
        <f t="shared" si="118"/>
        <v>0</v>
      </c>
      <c r="AE781" s="50">
        <f t="shared" si="119"/>
        <v>0</v>
      </c>
      <c r="AF781" s="50">
        <f t="shared" si="120"/>
        <v>106516.28</v>
      </c>
      <c r="AG781" s="199">
        <f t="shared" si="121"/>
        <v>106516</v>
      </c>
      <c r="AH781" s="187"/>
      <c r="AI781" s="185" t="s">
        <v>1458</v>
      </c>
      <c r="AJ781" s="185"/>
      <c r="AK781" s="277">
        <f t="shared" si="114"/>
        <v>22576.57</v>
      </c>
      <c r="AL781" s="25">
        <f>(SUMIFS('T1 2019 Pipeline Data Lagasco'!$O:$O,'T1 2019 Pipeline Data Lagasco'!$A:$A,'Dec 31 2018 OFFS'!$AI781,'T1 2019 Pipeline Data Lagasco'!$Q:$Q,'Dec 31 2018 OFFS'!$AK781,'T1 2019 Pipeline Data Lagasco'!$E:$E,'Dec 31 2018 OFFS'!$U781,'T1 2019 Pipeline Data Lagasco'!$G:$G,'Dec 31 2018 OFFS'!$W781))/(MAX(COUNTIFS('T1 2019 Pipeline Data Lagasco'!$A:$A,'Dec 31 2018 OFFS'!$AI781,'T1 2019 Pipeline Data Lagasco'!$Q:$Q,'Dec 31 2018 OFFS'!$AK781,'T1 2019 Pipeline Data Lagasco'!$E:$E,'Dec 31 2018 OFFS'!$U781,'T1 2019 Pipeline Data Lagasco'!$G:$G,'Dec 31 2018 OFFS'!$W781),1))</f>
        <v>106516</v>
      </c>
      <c r="AM781" s="274">
        <f t="shared" si="122"/>
        <v>0</v>
      </c>
    </row>
    <row r="782" spans="1:39" ht="12.7">
      <c r="A782" s="193" t="s">
        <v>909</v>
      </c>
      <c r="B782" s="40" t="s">
        <v>918</v>
      </c>
      <c r="C782" s="40" t="s">
        <v>1266</v>
      </c>
      <c r="D782" s="40" t="s">
        <v>336</v>
      </c>
      <c r="E782" s="40" t="s">
        <v>1223</v>
      </c>
      <c r="F782" s="40"/>
      <c r="G782" s="41" t="s">
        <v>502</v>
      </c>
      <c r="H782" s="42">
        <v>42</v>
      </c>
      <c r="I782" s="43">
        <v>28</v>
      </c>
      <c r="J782" s="44">
        <v>30.219000000000001</v>
      </c>
      <c r="K782" s="45">
        <v>80</v>
      </c>
      <c r="L782" s="43">
        <v>28</v>
      </c>
      <c r="M782" s="46">
        <v>34.012999999999998</v>
      </c>
      <c r="N782" s="41" t="s">
        <v>514</v>
      </c>
      <c r="O782" s="42">
        <v>42</v>
      </c>
      <c r="P782" s="43">
        <v>28</v>
      </c>
      <c r="Q782" s="44">
        <v>12.12</v>
      </c>
      <c r="R782" s="45">
        <v>80</v>
      </c>
      <c r="S782" s="43">
        <v>24</v>
      </c>
      <c r="T782" s="46">
        <v>23.82</v>
      </c>
      <c r="U782" s="40">
        <v>4</v>
      </c>
      <c r="V782" s="47">
        <v>18839.402341549998</v>
      </c>
      <c r="W782" s="48">
        <v>1981</v>
      </c>
      <c r="X782" s="40"/>
      <c r="Y782" s="52"/>
      <c r="Z782" s="40" t="s">
        <v>910</v>
      </c>
      <c r="AA782" s="49">
        <f t="shared" si="115"/>
        <v>498302.19193399744</v>
      </c>
      <c r="AB782" s="71">
        <f t="shared" si="116"/>
        <v>0.80</v>
      </c>
      <c r="AC782" s="49">
        <f t="shared" si="117"/>
        <v>99660.44</v>
      </c>
      <c r="AD782" s="50">
        <f t="shared" si="118"/>
        <v>0</v>
      </c>
      <c r="AE782" s="50">
        <f t="shared" si="119"/>
        <v>0</v>
      </c>
      <c r="AF782" s="50">
        <f t="shared" si="120"/>
        <v>99660.44</v>
      </c>
      <c r="AG782" s="199">
        <f t="shared" si="121"/>
        <v>99660</v>
      </c>
      <c r="AH782" s="187"/>
      <c r="AI782" s="185" t="s">
        <v>1458</v>
      </c>
      <c r="AJ782" s="185"/>
      <c r="AK782" s="277">
        <f t="shared" si="114"/>
        <v>18839.40</v>
      </c>
      <c r="AL782" s="25">
        <f>(SUMIFS('T1 2019 Pipeline Data Lagasco'!$O:$O,'T1 2019 Pipeline Data Lagasco'!$A:$A,'Dec 31 2018 OFFS'!$AI782,'T1 2019 Pipeline Data Lagasco'!$Q:$Q,'Dec 31 2018 OFFS'!$AK782,'T1 2019 Pipeline Data Lagasco'!$E:$E,'Dec 31 2018 OFFS'!$U782,'T1 2019 Pipeline Data Lagasco'!$G:$G,'Dec 31 2018 OFFS'!$W782))/(MAX(COUNTIFS('T1 2019 Pipeline Data Lagasco'!$A:$A,'Dec 31 2018 OFFS'!$AI782,'T1 2019 Pipeline Data Lagasco'!$Q:$Q,'Dec 31 2018 OFFS'!$AK782,'T1 2019 Pipeline Data Lagasco'!$E:$E,'Dec 31 2018 OFFS'!$U782,'T1 2019 Pipeline Data Lagasco'!$G:$G,'Dec 31 2018 OFFS'!$W782),1))</f>
        <v>99660</v>
      </c>
      <c r="AM782" s="274">
        <f t="shared" si="122"/>
        <v>0</v>
      </c>
    </row>
    <row r="783" spans="1:39" ht="12.7">
      <c r="A783" s="193" t="s">
        <v>909</v>
      </c>
      <c r="B783" s="40" t="s">
        <v>918</v>
      </c>
      <c r="C783" s="40" t="s">
        <v>1266</v>
      </c>
      <c r="D783" s="40" t="s">
        <v>336</v>
      </c>
      <c r="E783" s="40" t="s">
        <v>1054</v>
      </c>
      <c r="F783" s="40" t="s">
        <v>1051</v>
      </c>
      <c r="G783" s="41" t="s">
        <v>365</v>
      </c>
      <c r="H783" s="42">
        <v>42</v>
      </c>
      <c r="I783" s="43">
        <v>28</v>
      </c>
      <c r="J783" s="44">
        <v>49.80</v>
      </c>
      <c r="K783" s="45">
        <v>80</v>
      </c>
      <c r="L783" s="43">
        <v>25</v>
      </c>
      <c r="M783" s="46">
        <v>12.12</v>
      </c>
      <c r="N783" s="40" t="s">
        <v>366</v>
      </c>
      <c r="O783" s="42">
        <v>42</v>
      </c>
      <c r="P783" s="43">
        <v>29</v>
      </c>
      <c r="Q783" s="44">
        <v>49.201000000000001</v>
      </c>
      <c r="R783" s="45">
        <v>80</v>
      </c>
      <c r="S783" s="43">
        <v>25</v>
      </c>
      <c r="T783" s="46">
        <v>57.353000000000002</v>
      </c>
      <c r="U783" s="40">
        <v>2</v>
      </c>
      <c r="V783" s="47">
        <v>6902.56</v>
      </c>
      <c r="W783" s="48">
        <v>1984</v>
      </c>
      <c r="X783" s="40"/>
      <c r="Y783" s="52"/>
      <c r="Z783" s="40" t="s">
        <v>910</v>
      </c>
      <c r="AA783" s="49">
        <f t="shared" si="115"/>
        <v>0</v>
      </c>
      <c r="AB783" s="71">
        <f t="shared" si="116"/>
        <v>0.80</v>
      </c>
      <c r="AC783" s="49">
        <f t="shared" si="117"/>
        <v>0</v>
      </c>
      <c r="AD783" s="50">
        <f t="shared" si="118"/>
        <v>0</v>
      </c>
      <c r="AE783" s="50">
        <f t="shared" si="119"/>
        <v>0</v>
      </c>
      <c r="AF783" s="50">
        <f t="shared" si="120"/>
        <v>0</v>
      </c>
      <c r="AG783" s="199">
        <f t="shared" si="121"/>
        <v>0</v>
      </c>
      <c r="AH783" s="187"/>
      <c r="AI783" s="185" t="s">
        <v>1458</v>
      </c>
      <c r="AJ783" s="185"/>
      <c r="AK783" s="277">
        <f t="shared" si="114"/>
        <v>6902.56</v>
      </c>
      <c r="AL783" s="25">
        <f>(SUMIFS('T1 2019 Pipeline Data Lagasco'!$O:$O,'T1 2019 Pipeline Data Lagasco'!$A:$A,'Dec 31 2018 OFFS'!$AI783,'T1 2019 Pipeline Data Lagasco'!$Q:$Q,'Dec 31 2018 OFFS'!$AK783,'T1 2019 Pipeline Data Lagasco'!$E:$E,'Dec 31 2018 OFFS'!$U783,'T1 2019 Pipeline Data Lagasco'!$G:$G,'Dec 31 2018 OFFS'!$W783))/(MAX(COUNTIFS('T1 2019 Pipeline Data Lagasco'!$A:$A,'Dec 31 2018 OFFS'!$AI783,'T1 2019 Pipeline Data Lagasco'!$Q:$Q,'Dec 31 2018 OFFS'!$AK783,'T1 2019 Pipeline Data Lagasco'!$E:$E,'Dec 31 2018 OFFS'!$U783,'T1 2019 Pipeline Data Lagasco'!$G:$G,'Dec 31 2018 OFFS'!$W783),1))</f>
        <v>0</v>
      </c>
      <c r="AM783" s="274">
        <f t="shared" si="122"/>
        <v>0</v>
      </c>
    </row>
    <row r="784" spans="1:39" ht="12.7">
      <c r="A784" s="193" t="s">
        <v>909</v>
      </c>
      <c r="B784" s="40" t="s">
        <v>918</v>
      </c>
      <c r="C784" s="40" t="s">
        <v>1266</v>
      </c>
      <c r="D784" s="40" t="s">
        <v>336</v>
      </c>
      <c r="E784" s="40" t="s">
        <v>1223</v>
      </c>
      <c r="F784" s="40"/>
      <c r="G784" s="155" t="s">
        <v>367</v>
      </c>
      <c r="H784" s="42">
        <v>42</v>
      </c>
      <c r="I784" s="43">
        <v>28</v>
      </c>
      <c r="J784" s="44">
        <v>13.20</v>
      </c>
      <c r="K784" s="45">
        <v>80</v>
      </c>
      <c r="L784" s="43">
        <v>25</v>
      </c>
      <c r="M784" s="46">
        <v>37.86</v>
      </c>
      <c r="N784" s="41" t="s">
        <v>365</v>
      </c>
      <c r="O784" s="42">
        <v>42</v>
      </c>
      <c r="P784" s="43">
        <v>28</v>
      </c>
      <c r="Q784" s="44">
        <v>49.80</v>
      </c>
      <c r="R784" s="45">
        <v>80</v>
      </c>
      <c r="S784" s="43">
        <v>25</v>
      </c>
      <c r="T784" s="46">
        <v>12.12</v>
      </c>
      <c r="U784" s="40">
        <v>2</v>
      </c>
      <c r="V784" s="47">
        <v>4177.1652333599995</v>
      </c>
      <c r="W784" s="48">
        <v>1980</v>
      </c>
      <c r="X784" s="40"/>
      <c r="Y784" s="52"/>
      <c r="Z784" s="40" t="s">
        <v>910</v>
      </c>
      <c r="AA784" s="49">
        <f t="shared" si="115"/>
        <v>67837.163389766385</v>
      </c>
      <c r="AB784" s="71">
        <f t="shared" si="116"/>
        <v>0.80</v>
      </c>
      <c r="AC784" s="49">
        <f t="shared" si="117"/>
        <v>13567.43</v>
      </c>
      <c r="AD784" s="50">
        <f t="shared" si="118"/>
        <v>0</v>
      </c>
      <c r="AE784" s="50">
        <f t="shared" si="119"/>
        <v>0</v>
      </c>
      <c r="AF784" s="50">
        <f t="shared" si="120"/>
        <v>13567.43</v>
      </c>
      <c r="AG784" s="199">
        <f t="shared" si="121"/>
        <v>13567</v>
      </c>
      <c r="AH784" s="187"/>
      <c r="AI784" s="185" t="s">
        <v>1458</v>
      </c>
      <c r="AJ784" s="185"/>
      <c r="AK784" s="277">
        <f t="shared" si="114"/>
        <v>4177.17</v>
      </c>
      <c r="AL784" s="25">
        <f>(SUMIFS('T1 2019 Pipeline Data Lagasco'!$O:$O,'T1 2019 Pipeline Data Lagasco'!$A:$A,'Dec 31 2018 OFFS'!$AI784,'T1 2019 Pipeline Data Lagasco'!$Q:$Q,'Dec 31 2018 OFFS'!$AK784,'T1 2019 Pipeline Data Lagasco'!$E:$E,'Dec 31 2018 OFFS'!$U784,'T1 2019 Pipeline Data Lagasco'!$G:$G,'Dec 31 2018 OFFS'!$W784))/(MAX(COUNTIFS('T1 2019 Pipeline Data Lagasco'!$A:$A,'Dec 31 2018 OFFS'!$AI784,'T1 2019 Pipeline Data Lagasco'!$Q:$Q,'Dec 31 2018 OFFS'!$AK784,'T1 2019 Pipeline Data Lagasco'!$E:$E,'Dec 31 2018 OFFS'!$U784,'T1 2019 Pipeline Data Lagasco'!$G:$G,'Dec 31 2018 OFFS'!$W784),1))</f>
        <v>13567</v>
      </c>
      <c r="AM784" s="274">
        <f t="shared" si="122"/>
        <v>0</v>
      </c>
    </row>
    <row r="785" spans="1:39" ht="12.7">
      <c r="A785" s="193" t="s">
        <v>909</v>
      </c>
      <c r="B785" s="40" t="s">
        <v>918</v>
      </c>
      <c r="C785" s="40" t="s">
        <v>1266</v>
      </c>
      <c r="D785" s="40" t="s">
        <v>336</v>
      </c>
      <c r="E785" s="40" t="s">
        <v>1223</v>
      </c>
      <c r="F785" s="40"/>
      <c r="G785" s="41" t="s">
        <v>514</v>
      </c>
      <c r="H785" s="42">
        <v>42</v>
      </c>
      <c r="I785" s="43">
        <v>28</v>
      </c>
      <c r="J785" s="44">
        <v>12.12</v>
      </c>
      <c r="K785" s="45">
        <v>80</v>
      </c>
      <c r="L785" s="43">
        <v>24</v>
      </c>
      <c r="M785" s="46">
        <v>23.82</v>
      </c>
      <c r="N785" s="41" t="s">
        <v>417</v>
      </c>
      <c r="O785" s="42">
        <v>42</v>
      </c>
      <c r="P785" s="43">
        <v>28</v>
      </c>
      <c r="Q785" s="44">
        <v>31.20</v>
      </c>
      <c r="R785" s="45">
        <v>80</v>
      </c>
      <c r="S785" s="43">
        <v>21</v>
      </c>
      <c r="T785" s="46">
        <v>51.30</v>
      </c>
      <c r="U785" s="40">
        <v>4</v>
      </c>
      <c r="V785" s="47">
        <v>11592.322498932001</v>
      </c>
      <c r="W785" s="48">
        <v>1981</v>
      </c>
      <c r="X785" s="40"/>
      <c r="Y785" s="52"/>
      <c r="Z785" s="40" t="s">
        <v>910</v>
      </c>
      <c r="AA785" s="49">
        <f t="shared" si="115"/>
        <v>306616.93009675143</v>
      </c>
      <c r="AB785" s="71">
        <f t="shared" si="116"/>
        <v>0.80</v>
      </c>
      <c r="AC785" s="49">
        <f t="shared" si="117"/>
        <v>61323.39</v>
      </c>
      <c r="AD785" s="50">
        <f t="shared" si="118"/>
        <v>0</v>
      </c>
      <c r="AE785" s="50">
        <f t="shared" si="119"/>
        <v>0</v>
      </c>
      <c r="AF785" s="50">
        <f t="shared" si="120"/>
        <v>61323.39</v>
      </c>
      <c r="AG785" s="199">
        <f t="shared" si="121"/>
        <v>61323</v>
      </c>
      <c r="AH785" s="187"/>
      <c r="AI785" s="185" t="s">
        <v>1458</v>
      </c>
      <c r="AJ785" s="185"/>
      <c r="AK785" s="277">
        <f t="shared" si="114"/>
        <v>11592.32</v>
      </c>
      <c r="AL785" s="25">
        <f>(SUMIFS('T1 2019 Pipeline Data Lagasco'!$O:$O,'T1 2019 Pipeline Data Lagasco'!$A:$A,'Dec 31 2018 OFFS'!$AI785,'T1 2019 Pipeline Data Lagasco'!$Q:$Q,'Dec 31 2018 OFFS'!$AK785,'T1 2019 Pipeline Data Lagasco'!$E:$E,'Dec 31 2018 OFFS'!$U785,'T1 2019 Pipeline Data Lagasco'!$G:$G,'Dec 31 2018 OFFS'!$W785))/(MAX(COUNTIFS('T1 2019 Pipeline Data Lagasco'!$A:$A,'Dec 31 2018 OFFS'!$AI785,'T1 2019 Pipeline Data Lagasco'!$Q:$Q,'Dec 31 2018 OFFS'!$AK785,'T1 2019 Pipeline Data Lagasco'!$E:$E,'Dec 31 2018 OFFS'!$U785,'T1 2019 Pipeline Data Lagasco'!$G:$G,'Dec 31 2018 OFFS'!$W785),1))</f>
        <v>61323</v>
      </c>
      <c r="AM785" s="274">
        <f t="shared" si="122"/>
        <v>0</v>
      </c>
    </row>
    <row r="786" spans="1:39" ht="12.7">
      <c r="A786" s="193" t="s">
        <v>909</v>
      </c>
      <c r="B786" s="40" t="s">
        <v>918</v>
      </c>
      <c r="C786" s="40" t="s">
        <v>1266</v>
      </c>
      <c r="D786" s="40" t="s">
        <v>336</v>
      </c>
      <c r="E786" s="40" t="s">
        <v>1223</v>
      </c>
      <c r="F786" s="40"/>
      <c r="G786" s="41" t="s">
        <v>417</v>
      </c>
      <c r="H786" s="42">
        <v>42</v>
      </c>
      <c r="I786" s="43">
        <v>28</v>
      </c>
      <c r="J786" s="44">
        <v>31.20</v>
      </c>
      <c r="K786" s="45">
        <v>80</v>
      </c>
      <c r="L786" s="43">
        <v>21</v>
      </c>
      <c r="M786" s="46">
        <v>51.30</v>
      </c>
      <c r="N786" s="40" t="s">
        <v>418</v>
      </c>
      <c r="O786" s="42">
        <v>42</v>
      </c>
      <c r="P786" s="43">
        <v>28</v>
      </c>
      <c r="Q786" s="44">
        <v>40.08</v>
      </c>
      <c r="R786" s="45">
        <v>80</v>
      </c>
      <c r="S786" s="43">
        <v>20</v>
      </c>
      <c r="T786" s="46">
        <v>24.30</v>
      </c>
      <c r="U786" s="40">
        <v>3</v>
      </c>
      <c r="V786" s="47">
        <v>6581.3318304019995</v>
      </c>
      <c r="W786" s="48">
        <v>1985</v>
      </c>
      <c r="X786" s="40"/>
      <c r="Y786" s="52"/>
      <c r="Z786" s="40" t="s">
        <v>910</v>
      </c>
      <c r="AA786" s="49">
        <f t="shared" si="115"/>
        <v>155253.61787918318</v>
      </c>
      <c r="AB786" s="71">
        <f t="shared" si="116"/>
        <v>0.80</v>
      </c>
      <c r="AC786" s="49">
        <f t="shared" si="117"/>
        <v>31050.72</v>
      </c>
      <c r="AD786" s="50">
        <f t="shared" si="118"/>
        <v>0</v>
      </c>
      <c r="AE786" s="50">
        <f t="shared" si="119"/>
        <v>0</v>
      </c>
      <c r="AF786" s="50">
        <f t="shared" si="120"/>
        <v>31050.72</v>
      </c>
      <c r="AG786" s="199">
        <f t="shared" si="121"/>
        <v>31050</v>
      </c>
      <c r="AH786" s="187"/>
      <c r="AI786" s="185" t="s">
        <v>1458</v>
      </c>
      <c r="AJ786" s="185"/>
      <c r="AK786" s="277">
        <f t="shared" si="114"/>
        <v>6581.33</v>
      </c>
      <c r="AL786" s="25">
        <f>(SUMIFS('T1 2019 Pipeline Data Lagasco'!$O:$O,'T1 2019 Pipeline Data Lagasco'!$A:$A,'Dec 31 2018 OFFS'!$AI786,'T1 2019 Pipeline Data Lagasco'!$Q:$Q,'Dec 31 2018 OFFS'!$AK786,'T1 2019 Pipeline Data Lagasco'!$E:$E,'Dec 31 2018 OFFS'!$U786,'T1 2019 Pipeline Data Lagasco'!$G:$G,'Dec 31 2018 OFFS'!$W786))/(MAX(COUNTIFS('T1 2019 Pipeline Data Lagasco'!$A:$A,'Dec 31 2018 OFFS'!$AI786,'T1 2019 Pipeline Data Lagasco'!$Q:$Q,'Dec 31 2018 OFFS'!$AK786,'T1 2019 Pipeline Data Lagasco'!$E:$E,'Dec 31 2018 OFFS'!$U786,'T1 2019 Pipeline Data Lagasco'!$G:$G,'Dec 31 2018 OFFS'!$W786),1))</f>
        <v>31050</v>
      </c>
      <c r="AM786" s="274">
        <f t="shared" si="122"/>
        <v>0</v>
      </c>
    </row>
    <row r="787" spans="1:39" ht="12.7">
      <c r="A787" s="193" t="s">
        <v>909</v>
      </c>
      <c r="B787" s="40" t="s">
        <v>918</v>
      </c>
      <c r="C787" s="40" t="s">
        <v>1266</v>
      </c>
      <c r="D787" s="40" t="s">
        <v>336</v>
      </c>
      <c r="E787" s="40" t="s">
        <v>1223</v>
      </c>
      <c r="F787" s="40"/>
      <c r="G787" s="41" t="s">
        <v>418</v>
      </c>
      <c r="H787" s="42">
        <v>42</v>
      </c>
      <c r="I787" s="43">
        <v>28</v>
      </c>
      <c r="J787" s="44">
        <v>40.08</v>
      </c>
      <c r="K787" s="45">
        <v>80</v>
      </c>
      <c r="L787" s="43">
        <v>20</v>
      </c>
      <c r="M787" s="46">
        <v>24.30</v>
      </c>
      <c r="N787" s="41" t="s">
        <v>419</v>
      </c>
      <c r="O787" s="42">
        <v>42</v>
      </c>
      <c r="P787" s="43">
        <v>29</v>
      </c>
      <c r="Q787" s="44">
        <v>15.42</v>
      </c>
      <c r="R787" s="45">
        <v>80</v>
      </c>
      <c r="S787" s="43">
        <v>19</v>
      </c>
      <c r="T787" s="46">
        <v>43.38</v>
      </c>
      <c r="U787" s="40">
        <v>3</v>
      </c>
      <c r="V787" s="47">
        <v>4711.745270372</v>
      </c>
      <c r="W787" s="48">
        <v>1974</v>
      </c>
      <c r="X787" s="40"/>
      <c r="Y787" s="52"/>
      <c r="Z787" s="40" t="s">
        <v>910</v>
      </c>
      <c r="AA787" s="49">
        <f t="shared" si="115"/>
        <v>111150.07092807548</v>
      </c>
      <c r="AB787" s="71">
        <f t="shared" si="116"/>
        <v>0.80</v>
      </c>
      <c r="AC787" s="49">
        <f t="shared" si="117"/>
        <v>22230.01</v>
      </c>
      <c r="AD787" s="50">
        <f t="shared" si="118"/>
        <v>0</v>
      </c>
      <c r="AE787" s="50">
        <f t="shared" si="119"/>
        <v>0</v>
      </c>
      <c r="AF787" s="50">
        <f t="shared" si="120"/>
        <v>22230.01</v>
      </c>
      <c r="AG787" s="199">
        <f t="shared" si="121"/>
        <v>22230</v>
      </c>
      <c r="AH787" s="187"/>
      <c r="AI787" s="185" t="s">
        <v>1458</v>
      </c>
      <c r="AJ787" s="185"/>
      <c r="AK787" s="277">
        <f t="shared" si="114"/>
        <v>4711.75</v>
      </c>
      <c r="AL787" s="25">
        <f>(SUMIFS('T1 2019 Pipeline Data Lagasco'!$O:$O,'T1 2019 Pipeline Data Lagasco'!$A:$A,'Dec 31 2018 OFFS'!$AI787,'T1 2019 Pipeline Data Lagasco'!$Q:$Q,'Dec 31 2018 OFFS'!$AK787,'T1 2019 Pipeline Data Lagasco'!$E:$E,'Dec 31 2018 OFFS'!$U787,'T1 2019 Pipeline Data Lagasco'!$G:$G,'Dec 31 2018 OFFS'!$W787))/(MAX(COUNTIFS('T1 2019 Pipeline Data Lagasco'!$A:$A,'Dec 31 2018 OFFS'!$AI787,'T1 2019 Pipeline Data Lagasco'!$Q:$Q,'Dec 31 2018 OFFS'!$AK787,'T1 2019 Pipeline Data Lagasco'!$E:$E,'Dec 31 2018 OFFS'!$U787,'T1 2019 Pipeline Data Lagasco'!$G:$G,'Dec 31 2018 OFFS'!$W787),1))</f>
        <v>22230</v>
      </c>
      <c r="AM787" s="274">
        <f t="shared" si="122"/>
        <v>0</v>
      </c>
    </row>
    <row r="788" spans="1:39" ht="12.7">
      <c r="A788" s="193" t="s">
        <v>909</v>
      </c>
      <c r="B788" s="40" t="s">
        <v>918</v>
      </c>
      <c r="C788" s="40" t="s">
        <v>1266</v>
      </c>
      <c r="D788" s="40" t="s">
        <v>336</v>
      </c>
      <c r="E788" s="40" t="s">
        <v>324</v>
      </c>
      <c r="F788" s="40" t="s">
        <v>1051</v>
      </c>
      <c r="G788" s="41" t="s">
        <v>420</v>
      </c>
      <c r="H788" s="42">
        <v>42</v>
      </c>
      <c r="I788" s="43">
        <v>29</v>
      </c>
      <c r="J788" s="44">
        <v>15.66</v>
      </c>
      <c r="K788" s="45">
        <v>80</v>
      </c>
      <c r="L788" s="43">
        <v>15</v>
      </c>
      <c r="M788" s="46">
        <v>46.98</v>
      </c>
      <c r="N788" s="41" t="s">
        <v>421</v>
      </c>
      <c r="O788" s="42">
        <v>42</v>
      </c>
      <c r="P788" s="43">
        <v>30</v>
      </c>
      <c r="Q788" s="44">
        <v>49.098999999999997</v>
      </c>
      <c r="R788" s="45">
        <v>80</v>
      </c>
      <c r="S788" s="43">
        <v>14</v>
      </c>
      <c r="T788" s="46">
        <v>8.5980000000000008</v>
      </c>
      <c r="U788" s="40">
        <v>3</v>
      </c>
      <c r="V788" s="47">
        <v>11991.338235408</v>
      </c>
      <c r="W788" s="48">
        <v>1982</v>
      </c>
      <c r="X788" s="40"/>
      <c r="Y788" s="52" t="s">
        <v>1081</v>
      </c>
      <c r="Z788" s="40" t="s">
        <v>910</v>
      </c>
      <c r="AA788" s="49">
        <f t="shared" si="115"/>
        <v>0</v>
      </c>
      <c r="AB788" s="71">
        <f t="shared" si="116"/>
        <v>0.80</v>
      </c>
      <c r="AC788" s="49">
        <f t="shared" si="117"/>
        <v>0</v>
      </c>
      <c r="AD788" s="50">
        <f t="shared" si="118"/>
        <v>0</v>
      </c>
      <c r="AE788" s="50">
        <f t="shared" si="119"/>
        <v>0</v>
      </c>
      <c r="AF788" s="50">
        <f t="shared" si="120"/>
        <v>0</v>
      </c>
      <c r="AG788" s="199">
        <f t="shared" si="121"/>
        <v>0</v>
      </c>
      <c r="AH788" s="187"/>
      <c r="AI788" s="185" t="s">
        <v>1458</v>
      </c>
      <c r="AJ788" s="185"/>
      <c r="AK788" s="277">
        <f t="shared" si="114"/>
        <v>11991.34</v>
      </c>
      <c r="AL788" s="25">
        <f>(SUMIFS('T1 2019 Pipeline Data Lagasco'!$O:$O,'T1 2019 Pipeline Data Lagasco'!$A:$A,'Dec 31 2018 OFFS'!$AI788,'T1 2019 Pipeline Data Lagasco'!$Q:$Q,'Dec 31 2018 OFFS'!$AK788,'T1 2019 Pipeline Data Lagasco'!$E:$E,'Dec 31 2018 OFFS'!$U788,'T1 2019 Pipeline Data Lagasco'!$G:$G,'Dec 31 2018 OFFS'!$W788))/(MAX(COUNTIFS('T1 2019 Pipeline Data Lagasco'!$A:$A,'Dec 31 2018 OFFS'!$AI788,'T1 2019 Pipeline Data Lagasco'!$Q:$Q,'Dec 31 2018 OFFS'!$AK788,'T1 2019 Pipeline Data Lagasco'!$E:$E,'Dec 31 2018 OFFS'!$U788,'T1 2019 Pipeline Data Lagasco'!$G:$G,'Dec 31 2018 OFFS'!$W788),1))</f>
        <v>0</v>
      </c>
      <c r="AM788" s="274">
        <f t="shared" si="122"/>
        <v>0</v>
      </c>
    </row>
    <row r="789" spans="1:39" ht="12.7">
      <c r="A789" s="288" t="s">
        <v>909</v>
      </c>
      <c r="B789" s="289" t="s">
        <v>918</v>
      </c>
      <c r="C789" s="289" t="s">
        <v>1266</v>
      </c>
      <c r="D789" s="289" t="s">
        <v>336</v>
      </c>
      <c r="E789" s="289" t="s">
        <v>324</v>
      </c>
      <c r="F789" s="290" t="s">
        <v>1051</v>
      </c>
      <c r="G789" s="297" t="s">
        <v>422</v>
      </c>
      <c r="H789" s="292">
        <v>42</v>
      </c>
      <c r="I789" s="293">
        <v>29</v>
      </c>
      <c r="J789" s="294">
        <v>22.50</v>
      </c>
      <c r="K789" s="295">
        <v>80</v>
      </c>
      <c r="L789" s="293">
        <v>17</v>
      </c>
      <c r="M789" s="296">
        <v>39.78</v>
      </c>
      <c r="N789" s="297" t="s">
        <v>420</v>
      </c>
      <c r="O789" s="292">
        <v>42</v>
      </c>
      <c r="P789" s="293">
        <v>29</v>
      </c>
      <c r="Q789" s="294">
        <v>15.66</v>
      </c>
      <c r="R789" s="295">
        <v>80</v>
      </c>
      <c r="S789" s="293">
        <v>15</v>
      </c>
      <c r="T789" s="296">
        <v>46.98</v>
      </c>
      <c r="U789" s="289">
        <v>3</v>
      </c>
      <c r="V789" s="184">
        <v>8479.7897806719993</v>
      </c>
      <c r="W789" s="298">
        <v>1982</v>
      </c>
      <c r="X789" s="289"/>
      <c r="Y789" s="52" t="s">
        <v>1081</v>
      </c>
      <c r="Z789" s="289" t="s">
        <v>910</v>
      </c>
      <c r="AA789" s="299">
        <f t="shared" si="115"/>
        <v>0</v>
      </c>
      <c r="AB789" s="300">
        <f t="shared" si="116"/>
        <v>0.80</v>
      </c>
      <c r="AC789" s="299">
        <f t="shared" si="117"/>
        <v>0</v>
      </c>
      <c r="AD789" s="301">
        <f t="shared" si="118"/>
        <v>0</v>
      </c>
      <c r="AE789" s="301">
        <f t="shared" si="119"/>
        <v>0</v>
      </c>
      <c r="AF789" s="301">
        <f t="shared" si="120"/>
        <v>0</v>
      </c>
      <c r="AG789" s="302">
        <f t="shared" si="121"/>
        <v>0</v>
      </c>
      <c r="AH789" s="303"/>
      <c r="AI789" s="186" t="s">
        <v>1458</v>
      </c>
      <c r="AJ789" s="186" t="s">
        <v>1558</v>
      </c>
      <c r="AK789" s="277">
        <f t="shared" si="114"/>
        <v>8479.7900000000009</v>
      </c>
      <c r="AL789" s="25">
        <f>(SUMIFS('T1 2019 Pipeline Data Lagasco'!$O:$O,'T1 2019 Pipeline Data Lagasco'!$A:$A,'Dec 31 2018 OFFS'!$AI789,'T1 2019 Pipeline Data Lagasco'!$Q:$Q,'Dec 31 2018 OFFS'!$AK789,'T1 2019 Pipeline Data Lagasco'!$E:$E,'Dec 31 2018 OFFS'!$U789,'T1 2019 Pipeline Data Lagasco'!$G:$G,'Dec 31 2018 OFFS'!$W789))/(MAX(COUNTIFS('T1 2019 Pipeline Data Lagasco'!$A:$A,'Dec 31 2018 OFFS'!$AI789,'T1 2019 Pipeline Data Lagasco'!$Q:$Q,'Dec 31 2018 OFFS'!$AK789,'T1 2019 Pipeline Data Lagasco'!$E:$E,'Dec 31 2018 OFFS'!$U789,'T1 2019 Pipeline Data Lagasco'!$G:$G,'Dec 31 2018 OFFS'!$W789),1))</f>
        <v>0</v>
      </c>
      <c r="AM789" s="274">
        <f t="shared" si="122"/>
        <v>0</v>
      </c>
    </row>
    <row r="790" spans="1:39" ht="12.7">
      <c r="A790" s="193" t="s">
        <v>909</v>
      </c>
      <c r="B790" s="40" t="s">
        <v>918</v>
      </c>
      <c r="C790" s="40" t="s">
        <v>1266</v>
      </c>
      <c r="D790" s="40" t="s">
        <v>336</v>
      </c>
      <c r="E790" s="40" t="s">
        <v>324</v>
      </c>
      <c r="F790" s="40"/>
      <c r="G790" s="41" t="s">
        <v>423</v>
      </c>
      <c r="H790" s="42">
        <v>42</v>
      </c>
      <c r="I790" s="43">
        <v>29</v>
      </c>
      <c r="J790" s="44">
        <v>9.3000000000000007</v>
      </c>
      <c r="K790" s="45">
        <v>80</v>
      </c>
      <c r="L790" s="43">
        <v>18</v>
      </c>
      <c r="M790" s="46">
        <v>46.68</v>
      </c>
      <c r="N790" s="40" t="s">
        <v>422</v>
      </c>
      <c r="O790" s="42">
        <v>42</v>
      </c>
      <c r="P790" s="43">
        <v>29</v>
      </c>
      <c r="Q790" s="44">
        <v>22.50</v>
      </c>
      <c r="R790" s="45">
        <v>80</v>
      </c>
      <c r="S790" s="43">
        <v>17</v>
      </c>
      <c r="T790" s="46">
        <v>39.78</v>
      </c>
      <c r="U790" s="40">
        <v>3</v>
      </c>
      <c r="V790" s="47">
        <v>5187.5654665660004</v>
      </c>
      <c r="W790" s="48">
        <v>1994</v>
      </c>
      <c r="X790" s="40"/>
      <c r="Y790" s="52" t="s">
        <v>1081</v>
      </c>
      <c r="Z790" s="40" t="s">
        <v>910</v>
      </c>
      <c r="AA790" s="49">
        <f t="shared" si="115"/>
        <v>122374.66935629195</v>
      </c>
      <c r="AB790" s="71">
        <f t="shared" si="116"/>
        <v>0.68</v>
      </c>
      <c r="AC790" s="49">
        <f t="shared" si="117"/>
        <v>39159.89</v>
      </c>
      <c r="AD790" s="50">
        <f t="shared" si="118"/>
        <v>0</v>
      </c>
      <c r="AE790" s="50">
        <f t="shared" si="119"/>
        <v>0</v>
      </c>
      <c r="AF790" s="50">
        <f t="shared" si="120"/>
        <v>39159.89</v>
      </c>
      <c r="AG790" s="199">
        <f t="shared" si="121"/>
        <v>39159</v>
      </c>
      <c r="AH790" s="187"/>
      <c r="AI790" s="185" t="s">
        <v>1458</v>
      </c>
      <c r="AJ790" s="185"/>
      <c r="AK790" s="277">
        <f t="shared" si="114"/>
        <v>5187.57</v>
      </c>
      <c r="AL790" s="25">
        <f>(SUMIFS('T1 2019 Pipeline Data Lagasco'!$O:$O,'T1 2019 Pipeline Data Lagasco'!$A:$A,'Dec 31 2018 OFFS'!$AI790,'T1 2019 Pipeline Data Lagasco'!$Q:$Q,'Dec 31 2018 OFFS'!$AK790,'T1 2019 Pipeline Data Lagasco'!$E:$E,'Dec 31 2018 OFFS'!$U790,'T1 2019 Pipeline Data Lagasco'!$G:$G,'Dec 31 2018 OFFS'!$W790))/(MAX(COUNTIFS('T1 2019 Pipeline Data Lagasco'!$A:$A,'Dec 31 2018 OFFS'!$AI790,'T1 2019 Pipeline Data Lagasco'!$Q:$Q,'Dec 31 2018 OFFS'!$AK790,'T1 2019 Pipeline Data Lagasco'!$E:$E,'Dec 31 2018 OFFS'!$U790,'T1 2019 Pipeline Data Lagasco'!$G:$G,'Dec 31 2018 OFFS'!$W790),1))</f>
        <v>39159</v>
      </c>
      <c r="AM790" s="274">
        <f t="shared" si="122"/>
        <v>0</v>
      </c>
    </row>
    <row r="791" spans="1:39" ht="12.7">
      <c r="A791" s="193" t="s">
        <v>909</v>
      </c>
      <c r="B791" s="40" t="s">
        <v>918</v>
      </c>
      <c r="C791" s="40" t="s">
        <v>1266</v>
      </c>
      <c r="D791" s="40" t="s">
        <v>336</v>
      </c>
      <c r="E791" s="40" t="s">
        <v>1054</v>
      </c>
      <c r="F791" s="40" t="s">
        <v>1051</v>
      </c>
      <c r="G791" s="41" t="s">
        <v>424</v>
      </c>
      <c r="H791" s="42">
        <v>42</v>
      </c>
      <c r="I791" s="43">
        <v>28</v>
      </c>
      <c r="J791" s="44">
        <f>0.343*60</f>
        <v>20.58</v>
      </c>
      <c r="K791" s="45">
        <v>80</v>
      </c>
      <c r="L791" s="43">
        <v>4</v>
      </c>
      <c r="M791" s="46">
        <f>0.19*60</f>
        <v>11.40</v>
      </c>
      <c r="N791" s="41" t="s">
        <v>425</v>
      </c>
      <c r="O791" s="42">
        <v>42</v>
      </c>
      <c r="P791" s="43">
        <v>27</v>
      </c>
      <c r="Q791" s="44">
        <v>16.38</v>
      </c>
      <c r="R791" s="45">
        <v>80</v>
      </c>
      <c r="S791" s="43">
        <v>2</v>
      </c>
      <c r="T791" s="46">
        <v>7.02</v>
      </c>
      <c r="U791" s="40">
        <v>3</v>
      </c>
      <c r="V791" s="47">
        <v>11364.99310919</v>
      </c>
      <c r="W791" s="48">
        <v>1974</v>
      </c>
      <c r="X791" s="40"/>
      <c r="Y791" s="52"/>
      <c r="Z791" s="40" t="s">
        <v>910</v>
      </c>
      <c r="AA791" s="49">
        <f t="shared" si="115"/>
        <v>0</v>
      </c>
      <c r="AB791" s="71">
        <f t="shared" si="116"/>
        <v>0.80</v>
      </c>
      <c r="AC791" s="49">
        <f t="shared" si="117"/>
        <v>0</v>
      </c>
      <c r="AD791" s="50">
        <f t="shared" si="118"/>
        <v>0</v>
      </c>
      <c r="AE791" s="50">
        <f t="shared" si="119"/>
        <v>0</v>
      </c>
      <c r="AF791" s="50">
        <f t="shared" si="120"/>
        <v>0</v>
      </c>
      <c r="AG791" s="199">
        <f t="shared" si="121"/>
        <v>0</v>
      </c>
      <c r="AH791" s="187"/>
      <c r="AI791" s="185" t="s">
        <v>1458</v>
      </c>
      <c r="AJ791" s="185"/>
      <c r="AK791" s="277">
        <f t="shared" si="114"/>
        <v>11364.99</v>
      </c>
      <c r="AL791" s="25">
        <f>(SUMIFS('T1 2019 Pipeline Data Lagasco'!$O:$O,'T1 2019 Pipeline Data Lagasco'!$A:$A,'Dec 31 2018 OFFS'!$AI791,'T1 2019 Pipeline Data Lagasco'!$Q:$Q,'Dec 31 2018 OFFS'!$AK791,'T1 2019 Pipeline Data Lagasco'!$E:$E,'Dec 31 2018 OFFS'!$U791,'T1 2019 Pipeline Data Lagasco'!$G:$G,'Dec 31 2018 OFFS'!$W791))/(MAX(COUNTIFS('T1 2019 Pipeline Data Lagasco'!$A:$A,'Dec 31 2018 OFFS'!$AI791,'T1 2019 Pipeline Data Lagasco'!$Q:$Q,'Dec 31 2018 OFFS'!$AK791,'T1 2019 Pipeline Data Lagasco'!$E:$E,'Dec 31 2018 OFFS'!$U791,'T1 2019 Pipeline Data Lagasco'!$G:$G,'Dec 31 2018 OFFS'!$W791),1))</f>
        <v>0</v>
      </c>
      <c r="AM791" s="274">
        <f t="shared" si="122"/>
        <v>0</v>
      </c>
    </row>
    <row r="792" spans="1:39" ht="12.7">
      <c r="A792" s="193" t="s">
        <v>909</v>
      </c>
      <c r="B792" s="40" t="s">
        <v>918</v>
      </c>
      <c r="C792" s="40" t="s">
        <v>1266</v>
      </c>
      <c r="D792" s="40" t="s">
        <v>336</v>
      </c>
      <c r="E792" s="40" t="s">
        <v>324</v>
      </c>
      <c r="F792" s="40"/>
      <c r="G792" s="41" t="s">
        <v>424</v>
      </c>
      <c r="H792" s="42">
        <v>42</v>
      </c>
      <c r="I792" s="43">
        <v>28</v>
      </c>
      <c r="J792" s="44">
        <v>20.40</v>
      </c>
      <c r="K792" s="45">
        <v>80</v>
      </c>
      <c r="L792" s="43">
        <v>4</v>
      </c>
      <c r="M792" s="46">
        <v>10.98</v>
      </c>
      <c r="N792" s="41" t="s">
        <v>1277</v>
      </c>
      <c r="O792" s="42">
        <v>42</v>
      </c>
      <c r="P792" s="43">
        <v>30</v>
      </c>
      <c r="Q792" s="44">
        <v>47.70</v>
      </c>
      <c r="R792" s="45">
        <v>80</v>
      </c>
      <c r="S792" s="43">
        <v>1</v>
      </c>
      <c r="T792" s="46">
        <v>13.44</v>
      </c>
      <c r="U792" s="40">
        <v>3</v>
      </c>
      <c r="V792" s="47">
        <v>16708</v>
      </c>
      <c r="W792" s="48">
        <v>2006</v>
      </c>
      <c r="X792" s="40"/>
      <c r="Y792" s="52"/>
      <c r="Z792" s="40" t="s">
        <v>910</v>
      </c>
      <c r="AA792" s="49">
        <f t="shared" si="115"/>
        <v>394141.72</v>
      </c>
      <c r="AB792" s="71">
        <f t="shared" si="116"/>
        <v>0.52</v>
      </c>
      <c r="AC792" s="49">
        <f t="shared" si="117"/>
        <v>189188.03</v>
      </c>
      <c r="AD792" s="50">
        <f t="shared" si="118"/>
        <v>0</v>
      </c>
      <c r="AE792" s="50">
        <f t="shared" si="119"/>
        <v>0</v>
      </c>
      <c r="AF792" s="50">
        <f t="shared" si="120"/>
        <v>189188.03</v>
      </c>
      <c r="AG792" s="199">
        <f t="shared" si="121"/>
        <v>189188</v>
      </c>
      <c r="AH792" s="187"/>
      <c r="AI792" s="185" t="s">
        <v>1458</v>
      </c>
      <c r="AJ792" s="185"/>
      <c r="AK792" s="277">
        <f t="shared" si="114"/>
        <v>16708</v>
      </c>
      <c r="AL792" s="25">
        <f>(SUMIFS('T1 2019 Pipeline Data Lagasco'!$O:$O,'T1 2019 Pipeline Data Lagasco'!$A:$A,'Dec 31 2018 OFFS'!$AI792,'T1 2019 Pipeline Data Lagasco'!$Q:$Q,'Dec 31 2018 OFFS'!$AK792,'T1 2019 Pipeline Data Lagasco'!$E:$E,'Dec 31 2018 OFFS'!$U792,'T1 2019 Pipeline Data Lagasco'!$G:$G,'Dec 31 2018 OFFS'!$W792))/(MAX(COUNTIFS('T1 2019 Pipeline Data Lagasco'!$A:$A,'Dec 31 2018 OFFS'!$AI792,'T1 2019 Pipeline Data Lagasco'!$Q:$Q,'Dec 31 2018 OFFS'!$AK792,'T1 2019 Pipeline Data Lagasco'!$E:$E,'Dec 31 2018 OFFS'!$U792,'T1 2019 Pipeline Data Lagasco'!$G:$G,'Dec 31 2018 OFFS'!$W792),1))</f>
        <v>189188</v>
      </c>
      <c r="AM792" s="274">
        <f t="shared" si="122"/>
        <v>0</v>
      </c>
    </row>
    <row r="793" spans="1:39" ht="12.7">
      <c r="A793" s="193" t="s">
        <v>909</v>
      </c>
      <c r="B793" s="40" t="s">
        <v>918</v>
      </c>
      <c r="C793" s="40" t="s">
        <v>1266</v>
      </c>
      <c r="D793" s="40" t="s">
        <v>336</v>
      </c>
      <c r="E793" s="40" t="s">
        <v>1054</v>
      </c>
      <c r="F793" s="40"/>
      <c r="G793" s="41" t="s">
        <v>425</v>
      </c>
      <c r="H793" s="42">
        <v>42</v>
      </c>
      <c r="I793" s="43">
        <v>27</v>
      </c>
      <c r="J793" s="44">
        <v>16.02</v>
      </c>
      <c r="K793" s="45">
        <v>80</v>
      </c>
      <c r="L793" s="43">
        <v>2</v>
      </c>
      <c r="M793" s="46">
        <v>7.02</v>
      </c>
      <c r="N793" s="41" t="s">
        <v>1286</v>
      </c>
      <c r="O793" s="42">
        <v>42</v>
      </c>
      <c r="P793" s="43">
        <v>27</v>
      </c>
      <c r="Q793" s="44">
        <v>11.76</v>
      </c>
      <c r="R793" s="45">
        <v>80</v>
      </c>
      <c r="S793" s="43">
        <v>0</v>
      </c>
      <c r="T793" s="46">
        <v>15.60</v>
      </c>
      <c r="U793" s="40">
        <v>3</v>
      </c>
      <c r="V793" s="47">
        <v>8336</v>
      </c>
      <c r="W793" s="48">
        <v>2006</v>
      </c>
      <c r="X793" s="40"/>
      <c r="Y793" s="52"/>
      <c r="Z793" s="40" t="s">
        <v>910</v>
      </c>
      <c r="AA793" s="49">
        <f t="shared" si="115"/>
        <v>196646.24</v>
      </c>
      <c r="AB793" s="71">
        <f t="shared" si="116"/>
        <v>0.52</v>
      </c>
      <c r="AC793" s="49">
        <f t="shared" si="117"/>
        <v>94390.20</v>
      </c>
      <c r="AD793" s="50">
        <f t="shared" si="118"/>
        <v>0</v>
      </c>
      <c r="AE793" s="50">
        <f t="shared" si="119"/>
        <v>0</v>
      </c>
      <c r="AF793" s="50">
        <f t="shared" si="120"/>
        <v>94390.20</v>
      </c>
      <c r="AG793" s="199">
        <f t="shared" si="121"/>
        <v>94390</v>
      </c>
      <c r="AH793" s="187"/>
      <c r="AI793" s="185" t="s">
        <v>1458</v>
      </c>
      <c r="AJ793" s="185"/>
      <c r="AK793" s="277">
        <f t="shared" si="114"/>
        <v>8336</v>
      </c>
      <c r="AL793" s="25">
        <f>(SUMIFS('T1 2019 Pipeline Data Lagasco'!$O:$O,'T1 2019 Pipeline Data Lagasco'!$A:$A,'Dec 31 2018 OFFS'!$AI793,'T1 2019 Pipeline Data Lagasco'!$Q:$Q,'Dec 31 2018 OFFS'!$AK793,'T1 2019 Pipeline Data Lagasco'!$E:$E,'Dec 31 2018 OFFS'!$U793,'T1 2019 Pipeline Data Lagasco'!$G:$G,'Dec 31 2018 OFFS'!$W793))/(MAX(COUNTIFS('T1 2019 Pipeline Data Lagasco'!$A:$A,'Dec 31 2018 OFFS'!$AI793,'T1 2019 Pipeline Data Lagasco'!$Q:$Q,'Dec 31 2018 OFFS'!$AK793,'T1 2019 Pipeline Data Lagasco'!$E:$E,'Dec 31 2018 OFFS'!$U793,'T1 2019 Pipeline Data Lagasco'!$G:$G,'Dec 31 2018 OFFS'!$W793),1))</f>
        <v>94390</v>
      </c>
      <c r="AM793" s="274">
        <f t="shared" si="122"/>
        <v>0</v>
      </c>
    </row>
    <row r="794" spans="1:39" ht="12.7">
      <c r="A794" s="200" t="s">
        <v>909</v>
      </c>
      <c r="B794" s="201" t="s">
        <v>918</v>
      </c>
      <c r="C794" s="201" t="s">
        <v>1266</v>
      </c>
      <c r="D794" s="201" t="s">
        <v>336</v>
      </c>
      <c r="E794" s="201" t="s">
        <v>1054</v>
      </c>
      <c r="F794" s="202" t="s">
        <v>1051</v>
      </c>
      <c r="G794" s="208" t="s">
        <v>1201</v>
      </c>
      <c r="H794" s="203">
        <v>42</v>
      </c>
      <c r="I794" s="204">
        <v>24</v>
      </c>
      <c r="J794" s="205">
        <v>40.56</v>
      </c>
      <c r="K794" s="206">
        <v>80</v>
      </c>
      <c r="L794" s="204">
        <v>26</v>
      </c>
      <c r="M794" s="207">
        <v>48.54</v>
      </c>
      <c r="N794" s="201" t="s">
        <v>1202</v>
      </c>
      <c r="O794" s="203">
        <v>42</v>
      </c>
      <c r="P794" s="204">
        <v>24</v>
      </c>
      <c r="Q794" s="205">
        <v>47.46</v>
      </c>
      <c r="R794" s="206">
        <v>80</v>
      </c>
      <c r="S794" s="204">
        <v>28</v>
      </c>
      <c r="T794" s="207">
        <v>34.380000000000003</v>
      </c>
      <c r="U794" s="201">
        <v>3</v>
      </c>
      <c r="V794" s="209">
        <v>7953</v>
      </c>
      <c r="W794" s="210">
        <v>2004</v>
      </c>
      <c r="X794" s="201"/>
      <c r="Y794" s="52" t="s">
        <v>1081</v>
      </c>
      <c r="Z794" s="201" t="s">
        <v>910</v>
      </c>
      <c r="AA794" s="211">
        <f t="shared" si="115"/>
        <v>0</v>
      </c>
      <c r="AB794" s="212">
        <f t="shared" si="116"/>
        <v>0.56000000000000005</v>
      </c>
      <c r="AC794" s="211">
        <f t="shared" si="117"/>
        <v>0</v>
      </c>
      <c r="AD794" s="213">
        <f t="shared" si="118"/>
        <v>0</v>
      </c>
      <c r="AE794" s="213">
        <f t="shared" si="119"/>
        <v>0</v>
      </c>
      <c r="AF794" s="213">
        <f t="shared" si="120"/>
        <v>0</v>
      </c>
      <c r="AG794" s="214">
        <f t="shared" si="121"/>
        <v>0</v>
      </c>
      <c r="AH794" s="215"/>
      <c r="AI794" s="216" t="s">
        <v>1458</v>
      </c>
      <c r="AJ794" s="216" t="s">
        <v>1560</v>
      </c>
      <c r="AK794" s="283">
        <f t="shared" si="114"/>
        <v>7953</v>
      </c>
      <c r="AL794" s="25">
        <f>(SUMIFS('T1 2019 Pipeline Data Lagasco'!$O:$O,'T1 2019 Pipeline Data Lagasco'!$A:$A,'Dec 31 2018 OFFS'!$AI794,'T1 2019 Pipeline Data Lagasco'!$Q:$Q,'Dec 31 2018 OFFS'!$AK794,'T1 2019 Pipeline Data Lagasco'!$E:$E,'Dec 31 2018 OFFS'!$U794,'T1 2019 Pipeline Data Lagasco'!$G:$G,'Dec 31 2018 OFFS'!$W794))/(MAX(COUNTIFS('T1 2019 Pipeline Data Lagasco'!$A:$A,'Dec 31 2018 OFFS'!$AI794,'T1 2019 Pipeline Data Lagasco'!$Q:$Q,'Dec 31 2018 OFFS'!$AK794,'T1 2019 Pipeline Data Lagasco'!$E:$E,'Dec 31 2018 OFFS'!$U794,'T1 2019 Pipeline Data Lagasco'!$G:$G,'Dec 31 2018 OFFS'!$W794),1))</f>
        <v>0</v>
      </c>
      <c r="AM794" s="285">
        <f t="shared" si="122"/>
        <v>0</v>
      </c>
    </row>
    <row r="795" spans="1:39" ht="12.7">
      <c r="A795" s="193" t="s">
        <v>909</v>
      </c>
      <c r="B795" s="40" t="s">
        <v>918</v>
      </c>
      <c r="C795" s="40" t="s">
        <v>1266</v>
      </c>
      <c r="D795" s="40" t="s">
        <v>336</v>
      </c>
      <c r="E795" s="40" t="s">
        <v>1054</v>
      </c>
      <c r="F795" s="40" t="s">
        <v>1051</v>
      </c>
      <c r="G795" s="41" t="s">
        <v>368</v>
      </c>
      <c r="H795" s="42">
        <v>42</v>
      </c>
      <c r="I795" s="43">
        <v>23</v>
      </c>
      <c r="J795" s="44">
        <v>30.72</v>
      </c>
      <c r="K795" s="45">
        <v>80</v>
      </c>
      <c r="L795" s="43">
        <v>39</v>
      </c>
      <c r="M795" s="46">
        <v>45.78</v>
      </c>
      <c r="N795" s="41" t="s">
        <v>369</v>
      </c>
      <c r="O795" s="42">
        <v>42</v>
      </c>
      <c r="P795" s="43">
        <v>22</v>
      </c>
      <c r="Q795" s="44">
        <v>46.618000000000002</v>
      </c>
      <c r="R795" s="45">
        <v>80</v>
      </c>
      <c r="S795" s="43">
        <v>40</v>
      </c>
      <c r="T795" s="46">
        <v>26.620999999999999</v>
      </c>
      <c r="U795" s="40">
        <v>2</v>
      </c>
      <c r="V795" s="47">
        <v>5415.2229402879993</v>
      </c>
      <c r="W795" s="48">
        <v>1982</v>
      </c>
      <c r="X795" s="40"/>
      <c r="Y795" s="52"/>
      <c r="Z795" s="40" t="s">
        <v>910</v>
      </c>
      <c r="AA795" s="49">
        <f t="shared" si="115"/>
        <v>0</v>
      </c>
      <c r="AB795" s="71">
        <f t="shared" si="116"/>
        <v>0.80</v>
      </c>
      <c r="AC795" s="49">
        <f t="shared" si="117"/>
        <v>0</v>
      </c>
      <c r="AD795" s="50">
        <f t="shared" si="118"/>
        <v>0</v>
      </c>
      <c r="AE795" s="50">
        <f t="shared" si="119"/>
        <v>0</v>
      </c>
      <c r="AF795" s="50">
        <f t="shared" si="120"/>
        <v>0</v>
      </c>
      <c r="AG795" s="199">
        <f t="shared" si="121"/>
        <v>0</v>
      </c>
      <c r="AH795" s="187"/>
      <c r="AI795" s="185" t="s">
        <v>1458</v>
      </c>
      <c r="AJ795" s="185"/>
      <c r="AK795" s="277">
        <f t="shared" si="114"/>
        <v>5415.22</v>
      </c>
      <c r="AL795" s="25">
        <f>(SUMIFS('T1 2019 Pipeline Data Lagasco'!$O:$O,'T1 2019 Pipeline Data Lagasco'!$A:$A,'Dec 31 2018 OFFS'!$AI795,'T1 2019 Pipeline Data Lagasco'!$Q:$Q,'Dec 31 2018 OFFS'!$AK795,'T1 2019 Pipeline Data Lagasco'!$E:$E,'Dec 31 2018 OFFS'!$U795,'T1 2019 Pipeline Data Lagasco'!$G:$G,'Dec 31 2018 OFFS'!$W795))/(MAX(COUNTIFS('T1 2019 Pipeline Data Lagasco'!$A:$A,'Dec 31 2018 OFFS'!$AI795,'T1 2019 Pipeline Data Lagasco'!$Q:$Q,'Dec 31 2018 OFFS'!$AK795,'T1 2019 Pipeline Data Lagasco'!$E:$E,'Dec 31 2018 OFFS'!$U795,'T1 2019 Pipeline Data Lagasco'!$G:$G,'Dec 31 2018 OFFS'!$W795),1))</f>
        <v>0</v>
      </c>
      <c r="AM795" s="274">
        <f t="shared" si="122"/>
        <v>0</v>
      </c>
    </row>
    <row r="796" spans="1:39" ht="12.7">
      <c r="A796" s="193" t="s">
        <v>909</v>
      </c>
      <c r="B796" s="40" t="s">
        <v>918</v>
      </c>
      <c r="C796" s="40" t="s">
        <v>1266</v>
      </c>
      <c r="D796" s="40" t="s">
        <v>336</v>
      </c>
      <c r="E796" s="40" t="s">
        <v>1054</v>
      </c>
      <c r="F796" s="40" t="s">
        <v>1051</v>
      </c>
      <c r="G796" s="41" t="s">
        <v>371</v>
      </c>
      <c r="H796" s="42">
        <v>42</v>
      </c>
      <c r="I796" s="43">
        <v>23</v>
      </c>
      <c r="J796" s="44">
        <v>56.76</v>
      </c>
      <c r="K796" s="45">
        <v>80</v>
      </c>
      <c r="L796" s="43">
        <v>38</v>
      </c>
      <c r="M796" s="46">
        <v>41.52</v>
      </c>
      <c r="N796" s="40" t="s">
        <v>370</v>
      </c>
      <c r="O796" s="42">
        <v>42</v>
      </c>
      <c r="P796" s="43">
        <v>24</v>
      </c>
      <c r="Q796" s="44">
        <v>28.38</v>
      </c>
      <c r="R796" s="45">
        <v>80</v>
      </c>
      <c r="S796" s="43">
        <v>38</v>
      </c>
      <c r="T796" s="46">
        <v>7.32</v>
      </c>
      <c r="U796" s="40">
        <v>2</v>
      </c>
      <c r="V796" s="47">
        <v>4102.33</v>
      </c>
      <c r="W796" s="48">
        <v>1983</v>
      </c>
      <c r="X796" s="40"/>
      <c r="Y796" s="52"/>
      <c r="Z796" s="40" t="s">
        <v>910</v>
      </c>
      <c r="AA796" s="49">
        <f t="shared" si="115"/>
        <v>0</v>
      </c>
      <c r="AB796" s="71">
        <f t="shared" si="116"/>
        <v>0.80</v>
      </c>
      <c r="AC796" s="49">
        <f t="shared" si="117"/>
        <v>0</v>
      </c>
      <c r="AD796" s="50">
        <f t="shared" si="118"/>
        <v>0</v>
      </c>
      <c r="AE796" s="50">
        <f t="shared" si="119"/>
        <v>0</v>
      </c>
      <c r="AF796" s="50">
        <f t="shared" si="120"/>
        <v>0</v>
      </c>
      <c r="AG796" s="199">
        <f t="shared" si="121"/>
        <v>0</v>
      </c>
      <c r="AH796" s="187"/>
      <c r="AI796" s="185" t="s">
        <v>1458</v>
      </c>
      <c r="AJ796" s="185"/>
      <c r="AK796" s="277">
        <f t="shared" si="114"/>
        <v>4102.33</v>
      </c>
      <c r="AL796" s="25">
        <f>(SUMIFS('T1 2019 Pipeline Data Lagasco'!$O:$O,'T1 2019 Pipeline Data Lagasco'!$A:$A,'Dec 31 2018 OFFS'!$AI796,'T1 2019 Pipeline Data Lagasco'!$Q:$Q,'Dec 31 2018 OFFS'!$AK796,'T1 2019 Pipeline Data Lagasco'!$E:$E,'Dec 31 2018 OFFS'!$U796,'T1 2019 Pipeline Data Lagasco'!$G:$G,'Dec 31 2018 OFFS'!$W796))/(MAX(COUNTIFS('T1 2019 Pipeline Data Lagasco'!$A:$A,'Dec 31 2018 OFFS'!$AI796,'T1 2019 Pipeline Data Lagasco'!$Q:$Q,'Dec 31 2018 OFFS'!$AK796,'T1 2019 Pipeline Data Lagasco'!$E:$E,'Dec 31 2018 OFFS'!$U796,'T1 2019 Pipeline Data Lagasco'!$G:$G,'Dec 31 2018 OFFS'!$W796),1))</f>
        <v>0</v>
      </c>
      <c r="AM796" s="274">
        <f t="shared" si="122"/>
        <v>0</v>
      </c>
    </row>
    <row r="797" spans="1:39" ht="12.7">
      <c r="A797" s="193" t="s">
        <v>909</v>
      </c>
      <c r="B797" s="40" t="s">
        <v>918</v>
      </c>
      <c r="C797" s="40" t="s">
        <v>1266</v>
      </c>
      <c r="D797" s="40" t="s">
        <v>336</v>
      </c>
      <c r="E797" s="40" t="s">
        <v>1054</v>
      </c>
      <c r="F797" s="40" t="s">
        <v>1051</v>
      </c>
      <c r="G797" s="41" t="s">
        <v>371</v>
      </c>
      <c r="H797" s="42">
        <v>42</v>
      </c>
      <c r="I797" s="43">
        <v>23</v>
      </c>
      <c r="J797" s="44">
        <v>56.76</v>
      </c>
      <c r="K797" s="45">
        <v>80</v>
      </c>
      <c r="L797" s="43">
        <v>38</v>
      </c>
      <c r="M797" s="46">
        <v>41.52</v>
      </c>
      <c r="N797" s="41" t="s">
        <v>372</v>
      </c>
      <c r="O797" s="42">
        <v>42</v>
      </c>
      <c r="P797" s="43">
        <v>22</v>
      </c>
      <c r="Q797" s="44">
        <v>46.80</v>
      </c>
      <c r="R797" s="45">
        <v>80</v>
      </c>
      <c r="S797" s="43">
        <v>39</v>
      </c>
      <c r="T797" s="46">
        <v>11.30</v>
      </c>
      <c r="U797" s="40">
        <v>2</v>
      </c>
      <c r="V797" s="47">
        <v>7426.1808873</v>
      </c>
      <c r="W797" s="48">
        <v>1983</v>
      </c>
      <c r="X797" s="40"/>
      <c r="Y797" s="52"/>
      <c r="Z797" s="40" t="s">
        <v>910</v>
      </c>
      <c r="AA797" s="49">
        <f t="shared" si="115"/>
        <v>0</v>
      </c>
      <c r="AB797" s="71">
        <f t="shared" si="116"/>
        <v>0.80</v>
      </c>
      <c r="AC797" s="49">
        <f t="shared" si="117"/>
        <v>0</v>
      </c>
      <c r="AD797" s="50">
        <f t="shared" si="118"/>
        <v>0</v>
      </c>
      <c r="AE797" s="50">
        <f t="shared" si="119"/>
        <v>0</v>
      </c>
      <c r="AF797" s="50">
        <f t="shared" si="120"/>
        <v>0</v>
      </c>
      <c r="AG797" s="199">
        <f t="shared" si="121"/>
        <v>0</v>
      </c>
      <c r="AH797" s="187"/>
      <c r="AI797" s="185" t="s">
        <v>1458</v>
      </c>
      <c r="AJ797" s="185"/>
      <c r="AK797" s="277">
        <f t="shared" si="114"/>
        <v>7426.18</v>
      </c>
      <c r="AL797" s="25">
        <f>(SUMIFS('T1 2019 Pipeline Data Lagasco'!$O:$O,'T1 2019 Pipeline Data Lagasco'!$A:$A,'Dec 31 2018 OFFS'!$AI797,'T1 2019 Pipeline Data Lagasco'!$Q:$Q,'Dec 31 2018 OFFS'!$AK797,'T1 2019 Pipeline Data Lagasco'!$E:$E,'Dec 31 2018 OFFS'!$U797,'T1 2019 Pipeline Data Lagasco'!$G:$G,'Dec 31 2018 OFFS'!$W797))/(MAX(COUNTIFS('T1 2019 Pipeline Data Lagasco'!$A:$A,'Dec 31 2018 OFFS'!$AI797,'T1 2019 Pipeline Data Lagasco'!$Q:$Q,'Dec 31 2018 OFFS'!$AK797,'T1 2019 Pipeline Data Lagasco'!$E:$E,'Dec 31 2018 OFFS'!$U797,'T1 2019 Pipeline Data Lagasco'!$G:$G,'Dec 31 2018 OFFS'!$W797),1))</f>
        <v>0</v>
      </c>
      <c r="AM797" s="274">
        <f t="shared" si="122"/>
        <v>0</v>
      </c>
    </row>
    <row r="798" spans="1:39" ht="12.7">
      <c r="A798" s="193" t="s">
        <v>909</v>
      </c>
      <c r="B798" s="40" t="s">
        <v>918</v>
      </c>
      <c r="C798" s="40" t="s">
        <v>1266</v>
      </c>
      <c r="D798" s="40" t="s">
        <v>336</v>
      </c>
      <c r="E798" s="40" t="s">
        <v>1054</v>
      </c>
      <c r="F798" s="40" t="s">
        <v>1051</v>
      </c>
      <c r="G798" s="41" t="s">
        <v>371</v>
      </c>
      <c r="H798" s="42">
        <v>42</v>
      </c>
      <c r="I798" s="43">
        <v>23</v>
      </c>
      <c r="J798" s="44">
        <v>56.76</v>
      </c>
      <c r="K798" s="45">
        <v>80</v>
      </c>
      <c r="L798" s="43">
        <v>38</v>
      </c>
      <c r="M798" s="46">
        <v>41.52</v>
      </c>
      <c r="N798" s="40" t="s">
        <v>1306</v>
      </c>
      <c r="O798" s="42">
        <v>42</v>
      </c>
      <c r="P798" s="43">
        <v>23</v>
      </c>
      <c r="Q798" s="44">
        <v>44.40</v>
      </c>
      <c r="R798" s="45">
        <v>80</v>
      </c>
      <c r="S798" s="43">
        <v>37</v>
      </c>
      <c r="T798" s="46">
        <v>35.159999999999997</v>
      </c>
      <c r="U798" s="40">
        <v>6</v>
      </c>
      <c r="V798" s="47">
        <v>5133.85811904</v>
      </c>
      <c r="W798" s="48">
        <v>1983</v>
      </c>
      <c r="X798" s="40"/>
      <c r="Y798" s="52"/>
      <c r="Z798" s="40" t="s">
        <v>910</v>
      </c>
      <c r="AA798" s="49">
        <f t="shared" si="115"/>
        <v>0</v>
      </c>
      <c r="AB798" s="71">
        <f t="shared" si="116"/>
        <v>0.80</v>
      </c>
      <c r="AC798" s="49">
        <f t="shared" si="117"/>
        <v>0</v>
      </c>
      <c r="AD798" s="50">
        <f t="shared" si="118"/>
        <v>0</v>
      </c>
      <c r="AE798" s="50">
        <f t="shared" si="119"/>
        <v>0</v>
      </c>
      <c r="AF798" s="50">
        <f t="shared" si="120"/>
        <v>0</v>
      </c>
      <c r="AG798" s="199">
        <f t="shared" si="121"/>
        <v>0</v>
      </c>
      <c r="AH798" s="187"/>
      <c r="AI798" s="185" t="s">
        <v>1458</v>
      </c>
      <c r="AJ798" s="185"/>
      <c r="AK798" s="277">
        <f t="shared" si="114"/>
        <v>5133.8599999999997</v>
      </c>
      <c r="AL798" s="25">
        <f>(SUMIFS('T1 2019 Pipeline Data Lagasco'!$O:$O,'T1 2019 Pipeline Data Lagasco'!$A:$A,'Dec 31 2018 OFFS'!$AI798,'T1 2019 Pipeline Data Lagasco'!$Q:$Q,'Dec 31 2018 OFFS'!$AK798,'T1 2019 Pipeline Data Lagasco'!$E:$E,'Dec 31 2018 OFFS'!$U798,'T1 2019 Pipeline Data Lagasco'!$G:$G,'Dec 31 2018 OFFS'!$W798))/(MAX(COUNTIFS('T1 2019 Pipeline Data Lagasco'!$A:$A,'Dec 31 2018 OFFS'!$AI798,'T1 2019 Pipeline Data Lagasco'!$Q:$Q,'Dec 31 2018 OFFS'!$AK798,'T1 2019 Pipeline Data Lagasco'!$E:$E,'Dec 31 2018 OFFS'!$U798,'T1 2019 Pipeline Data Lagasco'!$G:$G,'Dec 31 2018 OFFS'!$W798),1))</f>
        <v>0</v>
      </c>
      <c r="AM798" s="274">
        <f t="shared" si="122"/>
        <v>0</v>
      </c>
    </row>
    <row r="799" spans="1:39" ht="12.7">
      <c r="A799" s="193" t="s">
        <v>909</v>
      </c>
      <c r="B799" s="40" t="s">
        <v>918</v>
      </c>
      <c r="C799" s="40" t="s">
        <v>1266</v>
      </c>
      <c r="D799" s="40" t="s">
        <v>336</v>
      </c>
      <c r="E799" s="40" t="s">
        <v>1054</v>
      </c>
      <c r="F799" s="139" t="s">
        <v>1051</v>
      </c>
      <c r="G799" s="41" t="s">
        <v>1306</v>
      </c>
      <c r="H799" s="42">
        <v>42</v>
      </c>
      <c r="I799" s="43">
        <v>23</v>
      </c>
      <c r="J799" s="44">
        <v>44.40</v>
      </c>
      <c r="K799" s="45">
        <v>80</v>
      </c>
      <c r="L799" s="43">
        <v>37</v>
      </c>
      <c r="M799" s="46">
        <v>35.159999999999997</v>
      </c>
      <c r="N799" s="41" t="s">
        <v>516</v>
      </c>
      <c r="O799" s="42">
        <v>42</v>
      </c>
      <c r="P799" s="43">
        <v>23</v>
      </c>
      <c r="Q799" s="44">
        <v>1.56</v>
      </c>
      <c r="R799" s="45">
        <v>80</v>
      </c>
      <c r="S799" s="43">
        <v>37</v>
      </c>
      <c r="T799" s="46">
        <v>28.26</v>
      </c>
      <c r="U799" s="40">
        <v>4</v>
      </c>
      <c r="V799" s="47">
        <v>4367.4539417599999</v>
      </c>
      <c r="W799" s="48">
        <v>1983</v>
      </c>
      <c r="X799" s="40"/>
      <c r="Y799" s="52"/>
      <c r="Z799" s="40" t="s">
        <v>910</v>
      </c>
      <c r="AA799" s="49">
        <f t="shared" si="115"/>
        <v>0</v>
      </c>
      <c r="AB799" s="71">
        <f t="shared" si="116"/>
        <v>0.80</v>
      </c>
      <c r="AC799" s="49">
        <f t="shared" si="117"/>
        <v>0</v>
      </c>
      <c r="AD799" s="50">
        <f t="shared" si="118"/>
        <v>0</v>
      </c>
      <c r="AE799" s="50">
        <f t="shared" si="119"/>
        <v>0</v>
      </c>
      <c r="AF799" s="50">
        <f t="shared" si="120"/>
        <v>0</v>
      </c>
      <c r="AG799" s="199">
        <f t="shared" si="121"/>
        <v>0</v>
      </c>
      <c r="AH799" s="187"/>
      <c r="AI799" s="185" t="s">
        <v>1458</v>
      </c>
      <c r="AJ799" s="185"/>
      <c r="AK799" s="277">
        <f t="shared" si="114"/>
        <v>4367.45</v>
      </c>
      <c r="AL799" s="25">
        <f>(SUMIFS('T1 2019 Pipeline Data Lagasco'!$O:$O,'T1 2019 Pipeline Data Lagasco'!$A:$A,'Dec 31 2018 OFFS'!$AI799,'T1 2019 Pipeline Data Lagasco'!$Q:$Q,'Dec 31 2018 OFFS'!$AK799,'T1 2019 Pipeline Data Lagasco'!$E:$E,'Dec 31 2018 OFFS'!$U799,'T1 2019 Pipeline Data Lagasco'!$G:$G,'Dec 31 2018 OFFS'!$W799))/(MAX(COUNTIFS('T1 2019 Pipeline Data Lagasco'!$A:$A,'Dec 31 2018 OFFS'!$AI799,'T1 2019 Pipeline Data Lagasco'!$Q:$Q,'Dec 31 2018 OFFS'!$AK799,'T1 2019 Pipeline Data Lagasco'!$E:$E,'Dec 31 2018 OFFS'!$U799,'T1 2019 Pipeline Data Lagasco'!$G:$G,'Dec 31 2018 OFFS'!$W799),1))</f>
        <v>0</v>
      </c>
      <c r="AM799" s="274">
        <f t="shared" si="122"/>
        <v>0</v>
      </c>
    </row>
    <row r="800" spans="1:39" ht="12.7">
      <c r="A800" s="193" t="s">
        <v>909</v>
      </c>
      <c r="B800" s="40" t="s">
        <v>918</v>
      </c>
      <c r="C800" s="40" t="s">
        <v>1266</v>
      </c>
      <c r="D800" s="40" t="s">
        <v>336</v>
      </c>
      <c r="E800" s="40" t="s">
        <v>1054</v>
      </c>
      <c r="F800" s="40" t="s">
        <v>1051</v>
      </c>
      <c r="G800" s="41" t="s">
        <v>515</v>
      </c>
      <c r="H800" s="42">
        <v>42</v>
      </c>
      <c r="I800" s="43">
        <v>23</v>
      </c>
      <c r="J800" s="44">
        <v>44.40</v>
      </c>
      <c r="K800" s="45">
        <v>80</v>
      </c>
      <c r="L800" s="43">
        <v>37</v>
      </c>
      <c r="M800" s="46">
        <v>35.159999999999997</v>
      </c>
      <c r="N800" s="41" t="s">
        <v>523</v>
      </c>
      <c r="O800" s="42">
        <v>42</v>
      </c>
      <c r="P800" s="43">
        <v>23</v>
      </c>
      <c r="Q800" s="44">
        <v>54.72</v>
      </c>
      <c r="R800" s="45">
        <v>80</v>
      </c>
      <c r="S800" s="43">
        <v>36</v>
      </c>
      <c r="T800" s="46">
        <v>19.20</v>
      </c>
      <c r="U800" s="40">
        <v>6</v>
      </c>
      <c r="V800" s="47">
        <v>5794.36</v>
      </c>
      <c r="W800" s="48">
        <v>1983</v>
      </c>
      <c r="X800" s="40"/>
      <c r="Y800" s="52"/>
      <c r="Z800" s="40" t="s">
        <v>910</v>
      </c>
      <c r="AA800" s="49">
        <f t="shared" si="115"/>
        <v>0</v>
      </c>
      <c r="AB800" s="71">
        <f t="shared" si="116"/>
        <v>0.80</v>
      </c>
      <c r="AC800" s="49">
        <f t="shared" si="117"/>
        <v>0</v>
      </c>
      <c r="AD800" s="50">
        <f t="shared" si="118"/>
        <v>0</v>
      </c>
      <c r="AE800" s="50">
        <f t="shared" si="119"/>
        <v>0</v>
      </c>
      <c r="AF800" s="50">
        <f t="shared" si="120"/>
        <v>0</v>
      </c>
      <c r="AG800" s="199">
        <f t="shared" si="121"/>
        <v>0</v>
      </c>
      <c r="AH800" s="187"/>
      <c r="AI800" s="185" t="s">
        <v>1458</v>
      </c>
      <c r="AJ800" s="185"/>
      <c r="AK800" s="277">
        <f t="shared" si="114"/>
        <v>5794.36</v>
      </c>
      <c r="AL800" s="25">
        <f>(SUMIFS('T1 2019 Pipeline Data Lagasco'!$O:$O,'T1 2019 Pipeline Data Lagasco'!$A:$A,'Dec 31 2018 OFFS'!$AI800,'T1 2019 Pipeline Data Lagasco'!$Q:$Q,'Dec 31 2018 OFFS'!$AK800,'T1 2019 Pipeline Data Lagasco'!$E:$E,'Dec 31 2018 OFFS'!$U800,'T1 2019 Pipeline Data Lagasco'!$G:$G,'Dec 31 2018 OFFS'!$W800))/(MAX(COUNTIFS('T1 2019 Pipeline Data Lagasco'!$A:$A,'Dec 31 2018 OFFS'!$AI800,'T1 2019 Pipeline Data Lagasco'!$Q:$Q,'Dec 31 2018 OFFS'!$AK800,'T1 2019 Pipeline Data Lagasco'!$E:$E,'Dec 31 2018 OFFS'!$U800,'T1 2019 Pipeline Data Lagasco'!$G:$G,'Dec 31 2018 OFFS'!$W800),1))</f>
        <v>0</v>
      </c>
      <c r="AM800" s="274">
        <f t="shared" si="122"/>
        <v>0</v>
      </c>
    </row>
    <row r="801" spans="1:39" ht="12.7">
      <c r="A801" s="193" t="s">
        <v>909</v>
      </c>
      <c r="B801" s="40" t="s">
        <v>918</v>
      </c>
      <c r="C801" s="40" t="s">
        <v>1266</v>
      </c>
      <c r="D801" s="40" t="s">
        <v>336</v>
      </c>
      <c r="E801" s="40" t="s">
        <v>1054</v>
      </c>
      <c r="F801" s="40"/>
      <c r="G801" s="41" t="s">
        <v>372</v>
      </c>
      <c r="H801" s="42">
        <v>42</v>
      </c>
      <c r="I801" s="43">
        <v>22</v>
      </c>
      <c r="J801" s="44">
        <v>48.60</v>
      </c>
      <c r="K801" s="45">
        <v>80</v>
      </c>
      <c r="L801" s="43">
        <v>39</v>
      </c>
      <c r="M801" s="46">
        <v>11.30</v>
      </c>
      <c r="N801" s="41" t="s">
        <v>369</v>
      </c>
      <c r="O801" s="42">
        <v>42</v>
      </c>
      <c r="P801" s="43">
        <v>22</v>
      </c>
      <c r="Q801" s="44">
        <v>47.17</v>
      </c>
      <c r="R801" s="45">
        <v>80</v>
      </c>
      <c r="S801" s="43">
        <v>40</v>
      </c>
      <c r="T801" s="46">
        <v>26.22</v>
      </c>
      <c r="U801" s="40">
        <v>3</v>
      </c>
      <c r="V801" s="47">
        <v>5682</v>
      </c>
      <c r="W801" s="48">
        <v>2006</v>
      </c>
      <c r="X801" s="40"/>
      <c r="Y801" s="52"/>
      <c r="Z801" s="40" t="s">
        <v>910</v>
      </c>
      <c r="AA801" s="49">
        <f t="shared" si="115"/>
        <v>134038.38</v>
      </c>
      <c r="AB801" s="71">
        <f t="shared" si="116"/>
        <v>0.52</v>
      </c>
      <c r="AC801" s="49">
        <f t="shared" si="117"/>
        <v>64338.42</v>
      </c>
      <c r="AD801" s="50">
        <f t="shared" si="118"/>
        <v>0</v>
      </c>
      <c r="AE801" s="50">
        <f t="shared" si="119"/>
        <v>0</v>
      </c>
      <c r="AF801" s="50">
        <f t="shared" si="120"/>
        <v>64338.42</v>
      </c>
      <c r="AG801" s="199">
        <f t="shared" si="121"/>
        <v>64338</v>
      </c>
      <c r="AH801" s="187"/>
      <c r="AI801" s="185" t="s">
        <v>1458</v>
      </c>
      <c r="AJ801" s="185"/>
      <c r="AK801" s="277">
        <f t="shared" si="114"/>
        <v>5682</v>
      </c>
      <c r="AL801" s="25">
        <f>(SUMIFS('T1 2019 Pipeline Data Lagasco'!$O:$O,'T1 2019 Pipeline Data Lagasco'!$A:$A,'Dec 31 2018 OFFS'!$AI801,'T1 2019 Pipeline Data Lagasco'!$Q:$Q,'Dec 31 2018 OFFS'!$AK801,'T1 2019 Pipeline Data Lagasco'!$E:$E,'Dec 31 2018 OFFS'!$U801,'T1 2019 Pipeline Data Lagasco'!$G:$G,'Dec 31 2018 OFFS'!$W801))/(MAX(COUNTIFS('T1 2019 Pipeline Data Lagasco'!$A:$A,'Dec 31 2018 OFFS'!$AI801,'T1 2019 Pipeline Data Lagasco'!$Q:$Q,'Dec 31 2018 OFFS'!$AK801,'T1 2019 Pipeline Data Lagasco'!$E:$E,'Dec 31 2018 OFFS'!$U801,'T1 2019 Pipeline Data Lagasco'!$G:$G,'Dec 31 2018 OFFS'!$W801),1))</f>
        <v>64338</v>
      </c>
      <c r="AM801" s="274">
        <f t="shared" si="122"/>
        <v>0</v>
      </c>
    </row>
    <row r="802" spans="1:39" ht="12.7">
      <c r="A802" s="193" t="s">
        <v>909</v>
      </c>
      <c r="B802" s="40" t="s">
        <v>918</v>
      </c>
      <c r="C802" s="40" t="s">
        <v>1266</v>
      </c>
      <c r="D802" s="40" t="s">
        <v>336</v>
      </c>
      <c r="E802" s="40" t="s">
        <v>1054</v>
      </c>
      <c r="F802" s="40"/>
      <c r="G802" s="41" t="s">
        <v>372</v>
      </c>
      <c r="H802" s="42">
        <v>42</v>
      </c>
      <c r="I802" s="43">
        <v>22</v>
      </c>
      <c r="J802" s="44">
        <v>48.60</v>
      </c>
      <c r="K802" s="45">
        <v>80</v>
      </c>
      <c r="L802" s="43">
        <v>39</v>
      </c>
      <c r="M802" s="46">
        <v>11.30</v>
      </c>
      <c r="N802" s="41" t="s">
        <v>516</v>
      </c>
      <c r="O802" s="42">
        <v>42</v>
      </c>
      <c r="P802" s="43">
        <v>23</v>
      </c>
      <c r="Q802" s="44">
        <v>1.56</v>
      </c>
      <c r="R802" s="45">
        <v>80</v>
      </c>
      <c r="S802" s="43">
        <v>37</v>
      </c>
      <c r="T802" s="46">
        <v>28.26</v>
      </c>
      <c r="U802" s="40">
        <v>3</v>
      </c>
      <c r="V802" s="47">
        <v>7250</v>
      </c>
      <c r="W802" s="48">
        <v>2002</v>
      </c>
      <c r="X802" s="40"/>
      <c r="Y802" s="52"/>
      <c r="Z802" s="40" t="s">
        <v>910</v>
      </c>
      <c r="AA802" s="49">
        <f t="shared" si="115"/>
        <v>171027.50</v>
      </c>
      <c r="AB802" s="71">
        <f t="shared" si="116"/>
        <v>0.56999999999999995</v>
      </c>
      <c r="AC802" s="49">
        <f t="shared" si="117"/>
        <v>73541.83</v>
      </c>
      <c r="AD802" s="50">
        <f t="shared" si="118"/>
        <v>0</v>
      </c>
      <c r="AE802" s="50">
        <f t="shared" si="119"/>
        <v>0</v>
      </c>
      <c r="AF802" s="50">
        <f t="shared" si="120"/>
        <v>73541.83</v>
      </c>
      <c r="AG802" s="199">
        <f t="shared" si="121"/>
        <v>73541</v>
      </c>
      <c r="AH802" s="187"/>
      <c r="AI802" s="185" t="s">
        <v>1458</v>
      </c>
      <c r="AJ802" s="185"/>
      <c r="AK802" s="282">
        <f t="shared" si="114"/>
        <v>7250</v>
      </c>
      <c r="AL802" s="321">
        <f>(SUMIFS('T1 2019 Pipeline Data Lagasco'!$O:$O,'T1 2019 Pipeline Data Lagasco'!$A:$A,'Dec 31 2018 OFFS'!$AI802,'T1 2019 Pipeline Data Lagasco'!$Q:$Q,'Dec 31 2018 OFFS'!$AK802,'T1 2019 Pipeline Data Lagasco'!$E:$E,'Dec 31 2018 OFFS'!$U802,'T1 2019 Pipeline Data Lagasco'!$G:$G,'Dec 31 2018 OFFS'!$W802))/(MAX(COUNTIFS('T1 2019 Pipeline Data Lagasco'!$A:$A,'Dec 31 2018 OFFS'!$AI802,'T1 2019 Pipeline Data Lagasco'!$Q:$Q,'Dec 31 2018 OFFS'!$AK802,'T1 2019 Pipeline Data Lagasco'!$E:$E,'Dec 31 2018 OFFS'!$U802,'T1 2019 Pipeline Data Lagasco'!$G:$G,'Dec 31 2018 OFFS'!$W802),1))*2</f>
        <v>73541</v>
      </c>
      <c r="AM802" s="274">
        <f t="shared" si="122"/>
        <v>0</v>
      </c>
    </row>
    <row r="803" spans="1:39" ht="12.7">
      <c r="A803" s="193" t="s">
        <v>909</v>
      </c>
      <c r="B803" s="40" t="s">
        <v>918</v>
      </c>
      <c r="C803" s="40" t="s">
        <v>1266</v>
      </c>
      <c r="D803" s="40" t="s">
        <v>336</v>
      </c>
      <c r="E803" s="40" t="s">
        <v>1054</v>
      </c>
      <c r="F803" s="40"/>
      <c r="G803" s="41" t="s">
        <v>372</v>
      </c>
      <c r="H803" s="42">
        <v>42</v>
      </c>
      <c r="I803" s="43">
        <v>22</v>
      </c>
      <c r="J803" s="44">
        <v>48.60</v>
      </c>
      <c r="K803" s="45">
        <v>80</v>
      </c>
      <c r="L803" s="43">
        <v>39</v>
      </c>
      <c r="M803" s="46">
        <v>11.30</v>
      </c>
      <c r="N803" s="41" t="s">
        <v>516</v>
      </c>
      <c r="O803" s="42">
        <v>42</v>
      </c>
      <c r="P803" s="43">
        <v>23</v>
      </c>
      <c r="Q803" s="44">
        <v>1.56</v>
      </c>
      <c r="R803" s="45">
        <v>80</v>
      </c>
      <c r="S803" s="43">
        <v>37</v>
      </c>
      <c r="T803" s="46">
        <v>28.26</v>
      </c>
      <c r="U803" s="40">
        <v>3</v>
      </c>
      <c r="V803" s="47">
        <v>533</v>
      </c>
      <c r="W803" s="48">
        <v>2008</v>
      </c>
      <c r="X803" s="40"/>
      <c r="Y803" s="52"/>
      <c r="Z803" s="40" t="s">
        <v>910</v>
      </c>
      <c r="AA803" s="49">
        <f t="shared" si="115"/>
        <v>12573.47</v>
      </c>
      <c r="AB803" s="71">
        <f t="shared" si="116"/>
        <v>0.49</v>
      </c>
      <c r="AC803" s="49">
        <f t="shared" si="117"/>
        <v>6412.47</v>
      </c>
      <c r="AD803" s="50">
        <f t="shared" si="118"/>
        <v>0</v>
      </c>
      <c r="AE803" s="50">
        <f t="shared" si="119"/>
        <v>0</v>
      </c>
      <c r="AF803" s="50">
        <f t="shared" si="120"/>
        <v>6412.47</v>
      </c>
      <c r="AG803" s="199">
        <f t="shared" si="121"/>
        <v>6412</v>
      </c>
      <c r="AH803" s="187"/>
      <c r="AI803" s="185" t="s">
        <v>1458</v>
      </c>
      <c r="AJ803" s="185"/>
      <c r="AK803" s="277">
        <f t="shared" si="114"/>
        <v>533</v>
      </c>
      <c r="AL803" s="25">
        <f>(SUMIFS('T1 2019 Pipeline Data Lagasco'!$O:$O,'T1 2019 Pipeline Data Lagasco'!$A:$A,'Dec 31 2018 OFFS'!$AI803,'T1 2019 Pipeline Data Lagasco'!$Q:$Q,'Dec 31 2018 OFFS'!$AK803,'T1 2019 Pipeline Data Lagasco'!$E:$E,'Dec 31 2018 OFFS'!$U803,'T1 2019 Pipeline Data Lagasco'!$G:$G,'Dec 31 2018 OFFS'!$W803))/(MAX(COUNTIFS('T1 2019 Pipeline Data Lagasco'!$A:$A,'Dec 31 2018 OFFS'!$AI803,'T1 2019 Pipeline Data Lagasco'!$Q:$Q,'Dec 31 2018 OFFS'!$AK803,'T1 2019 Pipeline Data Lagasco'!$E:$E,'Dec 31 2018 OFFS'!$U803,'T1 2019 Pipeline Data Lagasco'!$G:$G,'Dec 31 2018 OFFS'!$W803),1))</f>
        <v>6412</v>
      </c>
      <c r="AM803" s="274">
        <f t="shared" si="122"/>
        <v>0</v>
      </c>
    </row>
    <row r="804" spans="1:39" ht="12.7">
      <c r="A804" s="193" t="s">
        <v>909</v>
      </c>
      <c r="B804" s="40" t="s">
        <v>918</v>
      </c>
      <c r="C804" s="40" t="s">
        <v>1266</v>
      </c>
      <c r="D804" s="40" t="s">
        <v>336</v>
      </c>
      <c r="E804" s="40" t="s">
        <v>1054</v>
      </c>
      <c r="F804" s="139" t="s">
        <v>1051</v>
      </c>
      <c r="G804" s="41" t="s">
        <v>373</v>
      </c>
      <c r="H804" s="42">
        <v>42</v>
      </c>
      <c r="I804" s="43">
        <v>20</v>
      </c>
      <c r="J804" s="44">
        <v>4.0199999999999996</v>
      </c>
      <c r="K804" s="45">
        <v>80</v>
      </c>
      <c r="L804" s="43">
        <v>36</v>
      </c>
      <c r="M804" s="46">
        <v>13.08</v>
      </c>
      <c r="N804" s="41" t="s">
        <v>374</v>
      </c>
      <c r="O804" s="42">
        <v>42</v>
      </c>
      <c r="P804" s="43">
        <v>19</v>
      </c>
      <c r="Q804" s="44">
        <v>29.52</v>
      </c>
      <c r="R804" s="45">
        <v>80</v>
      </c>
      <c r="S804" s="43">
        <v>35</v>
      </c>
      <c r="T804" s="46">
        <v>39.18</v>
      </c>
      <c r="U804" s="40">
        <v>2</v>
      </c>
      <c r="V804" s="47">
        <v>4322.0471189279997</v>
      </c>
      <c r="W804" s="48">
        <v>1982</v>
      </c>
      <c r="X804" s="40"/>
      <c r="Y804" s="52"/>
      <c r="Z804" s="40" t="s">
        <v>910</v>
      </c>
      <c r="AA804" s="49">
        <f t="shared" si="115"/>
        <v>0</v>
      </c>
      <c r="AB804" s="71">
        <f t="shared" si="116"/>
        <v>0.80</v>
      </c>
      <c r="AC804" s="49">
        <f t="shared" si="117"/>
        <v>0</v>
      </c>
      <c r="AD804" s="50">
        <f t="shared" si="118"/>
        <v>0</v>
      </c>
      <c r="AE804" s="50">
        <f t="shared" si="119"/>
        <v>0</v>
      </c>
      <c r="AF804" s="50">
        <f t="shared" si="120"/>
        <v>0</v>
      </c>
      <c r="AG804" s="199">
        <f t="shared" si="121"/>
        <v>0</v>
      </c>
      <c r="AH804" s="187"/>
      <c r="AI804" s="185" t="s">
        <v>1458</v>
      </c>
      <c r="AJ804" s="185"/>
      <c r="AK804" s="277">
        <f t="shared" si="114"/>
        <v>4322.05</v>
      </c>
      <c r="AL804" s="25">
        <f>(SUMIFS('T1 2019 Pipeline Data Lagasco'!$O:$O,'T1 2019 Pipeline Data Lagasco'!$A:$A,'Dec 31 2018 OFFS'!$AI804,'T1 2019 Pipeline Data Lagasco'!$Q:$Q,'Dec 31 2018 OFFS'!$AK804,'T1 2019 Pipeline Data Lagasco'!$E:$E,'Dec 31 2018 OFFS'!$U804,'T1 2019 Pipeline Data Lagasco'!$G:$G,'Dec 31 2018 OFFS'!$W804))/(MAX(COUNTIFS('T1 2019 Pipeline Data Lagasco'!$A:$A,'Dec 31 2018 OFFS'!$AI804,'T1 2019 Pipeline Data Lagasco'!$Q:$Q,'Dec 31 2018 OFFS'!$AK804,'T1 2019 Pipeline Data Lagasco'!$E:$E,'Dec 31 2018 OFFS'!$U804,'T1 2019 Pipeline Data Lagasco'!$G:$G,'Dec 31 2018 OFFS'!$W804),1))</f>
        <v>0</v>
      </c>
      <c r="AM804" s="274">
        <f t="shared" si="122"/>
        <v>0</v>
      </c>
    </row>
    <row r="805" spans="1:39" ht="12.7">
      <c r="A805" s="200" t="s">
        <v>909</v>
      </c>
      <c r="B805" s="201" t="s">
        <v>918</v>
      </c>
      <c r="C805" s="201" t="s">
        <v>1266</v>
      </c>
      <c r="D805" s="201" t="s">
        <v>336</v>
      </c>
      <c r="E805" s="201" t="s">
        <v>1054</v>
      </c>
      <c r="F805" s="202" t="s">
        <v>1051</v>
      </c>
      <c r="G805" s="208" t="s">
        <v>375</v>
      </c>
      <c r="H805" s="203">
        <v>42</v>
      </c>
      <c r="I805" s="204">
        <v>20</v>
      </c>
      <c r="J805" s="205">
        <v>12.12</v>
      </c>
      <c r="K805" s="206">
        <v>80</v>
      </c>
      <c r="L805" s="204">
        <v>37</v>
      </c>
      <c r="M805" s="207">
        <v>9.7799999999999994</v>
      </c>
      <c r="N805" s="208" t="s">
        <v>376</v>
      </c>
      <c r="O805" s="203">
        <v>42</v>
      </c>
      <c r="P805" s="204">
        <v>21</v>
      </c>
      <c r="Q805" s="205">
        <v>5.16</v>
      </c>
      <c r="R805" s="206">
        <v>80</v>
      </c>
      <c r="S805" s="204">
        <v>36</v>
      </c>
      <c r="T805" s="207">
        <f>0.631*60</f>
        <v>37.86</v>
      </c>
      <c r="U805" s="201">
        <v>2</v>
      </c>
      <c r="V805" s="209">
        <v>5879.9210895599999</v>
      </c>
      <c r="W805" s="210">
        <v>1982</v>
      </c>
      <c r="X805" s="201"/>
      <c r="Y805" s="52"/>
      <c r="Z805" s="201" t="s">
        <v>910</v>
      </c>
      <c r="AA805" s="211">
        <f t="shared" si="115"/>
        <v>0</v>
      </c>
      <c r="AB805" s="212">
        <f t="shared" si="116"/>
        <v>0.80</v>
      </c>
      <c r="AC805" s="211">
        <f t="shared" si="117"/>
        <v>0</v>
      </c>
      <c r="AD805" s="213">
        <f t="shared" si="118"/>
        <v>0</v>
      </c>
      <c r="AE805" s="213">
        <f t="shared" si="119"/>
        <v>0</v>
      </c>
      <c r="AF805" s="213">
        <f t="shared" si="120"/>
        <v>0</v>
      </c>
      <c r="AG805" s="214">
        <f t="shared" si="121"/>
        <v>0</v>
      </c>
      <c r="AH805" s="215"/>
      <c r="AI805" s="216" t="s">
        <v>1458</v>
      </c>
      <c r="AJ805" s="216" t="s">
        <v>1560</v>
      </c>
      <c r="AK805" s="283">
        <f t="shared" si="114"/>
        <v>5879.92</v>
      </c>
      <c r="AL805" s="25">
        <f>(SUMIFS('T1 2019 Pipeline Data Lagasco'!$O:$O,'T1 2019 Pipeline Data Lagasco'!$A:$A,'Dec 31 2018 OFFS'!$AI805,'T1 2019 Pipeline Data Lagasco'!$Q:$Q,'Dec 31 2018 OFFS'!$AK805,'T1 2019 Pipeline Data Lagasco'!$E:$E,'Dec 31 2018 OFFS'!$U805,'T1 2019 Pipeline Data Lagasco'!$G:$G,'Dec 31 2018 OFFS'!$W805))/(MAX(COUNTIFS('T1 2019 Pipeline Data Lagasco'!$A:$A,'Dec 31 2018 OFFS'!$AI805,'T1 2019 Pipeline Data Lagasco'!$Q:$Q,'Dec 31 2018 OFFS'!$AK805,'T1 2019 Pipeline Data Lagasco'!$E:$E,'Dec 31 2018 OFFS'!$U805,'T1 2019 Pipeline Data Lagasco'!$G:$G,'Dec 31 2018 OFFS'!$W805),1))</f>
        <v>0</v>
      </c>
      <c r="AM805" s="285">
        <f t="shared" si="122"/>
        <v>0</v>
      </c>
    </row>
    <row r="806" spans="1:39" ht="12.7">
      <c r="A806" s="193" t="s">
        <v>909</v>
      </c>
      <c r="B806" s="40" t="s">
        <v>918</v>
      </c>
      <c r="C806" s="40" t="s">
        <v>1266</v>
      </c>
      <c r="D806" s="40" t="s">
        <v>336</v>
      </c>
      <c r="E806" s="40" t="s">
        <v>1054</v>
      </c>
      <c r="F806" s="40" t="s">
        <v>1051</v>
      </c>
      <c r="G806" s="41" t="s">
        <v>375</v>
      </c>
      <c r="H806" s="42">
        <v>42</v>
      </c>
      <c r="I806" s="43">
        <v>20</v>
      </c>
      <c r="J806" s="44">
        <v>12.12</v>
      </c>
      <c r="K806" s="45">
        <v>80</v>
      </c>
      <c r="L806" s="43">
        <v>37</v>
      </c>
      <c r="M806" s="46">
        <v>9.7799999999999994</v>
      </c>
      <c r="N806" s="41" t="s">
        <v>377</v>
      </c>
      <c r="O806" s="42">
        <v>42</v>
      </c>
      <c r="P806" s="43">
        <v>20</v>
      </c>
      <c r="Q806" s="44">
        <v>9.9600000000000009</v>
      </c>
      <c r="R806" s="45">
        <v>80</v>
      </c>
      <c r="S806" s="43">
        <v>37</v>
      </c>
      <c r="T806" s="46">
        <v>9.3000000000000007</v>
      </c>
      <c r="U806" s="40">
        <v>2</v>
      </c>
      <c r="V806" s="47">
        <v>221.59</v>
      </c>
      <c r="W806" s="48">
        <v>1982</v>
      </c>
      <c r="X806" s="40"/>
      <c r="Y806" s="52"/>
      <c r="Z806" s="40" t="s">
        <v>910</v>
      </c>
      <c r="AA806" s="49">
        <f t="shared" si="115"/>
        <v>0</v>
      </c>
      <c r="AB806" s="71">
        <f t="shared" si="116"/>
        <v>0.80</v>
      </c>
      <c r="AC806" s="49">
        <f t="shared" si="117"/>
        <v>0</v>
      </c>
      <c r="AD806" s="50">
        <f t="shared" si="118"/>
        <v>0</v>
      </c>
      <c r="AE806" s="50">
        <f t="shared" si="119"/>
        <v>0</v>
      </c>
      <c r="AF806" s="50">
        <f t="shared" si="120"/>
        <v>0</v>
      </c>
      <c r="AG806" s="199">
        <f t="shared" si="121"/>
        <v>0</v>
      </c>
      <c r="AH806" s="187"/>
      <c r="AI806" s="185" t="s">
        <v>1458</v>
      </c>
      <c r="AJ806" s="185"/>
      <c r="AK806" s="277">
        <f t="shared" si="114"/>
        <v>221.59</v>
      </c>
      <c r="AL806" s="25">
        <f>(SUMIFS('T1 2019 Pipeline Data Lagasco'!$O:$O,'T1 2019 Pipeline Data Lagasco'!$A:$A,'Dec 31 2018 OFFS'!$AI806,'T1 2019 Pipeline Data Lagasco'!$Q:$Q,'Dec 31 2018 OFFS'!$AK806,'T1 2019 Pipeline Data Lagasco'!$E:$E,'Dec 31 2018 OFFS'!$U806,'T1 2019 Pipeline Data Lagasco'!$G:$G,'Dec 31 2018 OFFS'!$W806))/(MAX(COUNTIFS('T1 2019 Pipeline Data Lagasco'!$A:$A,'Dec 31 2018 OFFS'!$AI806,'T1 2019 Pipeline Data Lagasco'!$Q:$Q,'Dec 31 2018 OFFS'!$AK806,'T1 2019 Pipeline Data Lagasco'!$E:$E,'Dec 31 2018 OFFS'!$U806,'T1 2019 Pipeline Data Lagasco'!$G:$G,'Dec 31 2018 OFFS'!$W806),1))</f>
        <v>0</v>
      </c>
      <c r="AM806" s="274">
        <f t="shared" si="122"/>
        <v>0</v>
      </c>
    </row>
    <row r="807" spans="1:39" ht="12.7">
      <c r="A807" s="193" t="s">
        <v>909</v>
      </c>
      <c r="B807" s="40" t="s">
        <v>918</v>
      </c>
      <c r="C807" s="40" t="s">
        <v>1266</v>
      </c>
      <c r="D807" s="40" t="s">
        <v>336</v>
      </c>
      <c r="E807" s="40" t="s">
        <v>1054</v>
      </c>
      <c r="F807" s="139" t="s">
        <v>1051</v>
      </c>
      <c r="G807" s="41" t="s">
        <v>375</v>
      </c>
      <c r="H807" s="42">
        <v>42</v>
      </c>
      <c r="I807" s="43">
        <v>20</v>
      </c>
      <c r="J807" s="44">
        <v>12.12</v>
      </c>
      <c r="K807" s="45">
        <v>80</v>
      </c>
      <c r="L807" s="43">
        <v>37</v>
      </c>
      <c r="M807" s="46">
        <v>9.7799999999999994</v>
      </c>
      <c r="N807" s="41" t="s">
        <v>373</v>
      </c>
      <c r="O807" s="42">
        <v>42</v>
      </c>
      <c r="P807" s="43">
        <v>20</v>
      </c>
      <c r="Q807" s="44">
        <v>4.0199999999999996</v>
      </c>
      <c r="R807" s="45">
        <v>80</v>
      </c>
      <c r="S807" s="43">
        <v>36</v>
      </c>
      <c r="T807" s="46">
        <v>13.08</v>
      </c>
      <c r="U807" s="40">
        <v>4</v>
      </c>
      <c r="V807" s="47">
        <v>4336.6468560379999</v>
      </c>
      <c r="W807" s="48">
        <v>1981</v>
      </c>
      <c r="X807" s="40"/>
      <c r="Y807" s="52"/>
      <c r="Z807" s="40" t="s">
        <v>910</v>
      </c>
      <c r="AA807" s="49">
        <f t="shared" si="115"/>
        <v>0</v>
      </c>
      <c r="AB807" s="71">
        <f t="shared" si="116"/>
        <v>0.80</v>
      </c>
      <c r="AC807" s="49">
        <f t="shared" si="117"/>
        <v>0</v>
      </c>
      <c r="AD807" s="50">
        <f t="shared" si="118"/>
        <v>0</v>
      </c>
      <c r="AE807" s="50">
        <f t="shared" si="119"/>
        <v>0</v>
      </c>
      <c r="AF807" s="50">
        <f t="shared" si="120"/>
        <v>0</v>
      </c>
      <c r="AG807" s="199">
        <f t="shared" si="121"/>
        <v>0</v>
      </c>
      <c r="AH807" s="187"/>
      <c r="AI807" s="185" t="s">
        <v>1458</v>
      </c>
      <c r="AJ807" s="185"/>
      <c r="AK807" s="277">
        <f t="shared" si="114"/>
        <v>4336.6499999999996</v>
      </c>
      <c r="AL807" s="25">
        <f>(SUMIFS('T1 2019 Pipeline Data Lagasco'!$O:$O,'T1 2019 Pipeline Data Lagasco'!$A:$A,'Dec 31 2018 OFFS'!$AI807,'T1 2019 Pipeline Data Lagasco'!$Q:$Q,'Dec 31 2018 OFFS'!$AK807,'T1 2019 Pipeline Data Lagasco'!$E:$E,'Dec 31 2018 OFFS'!$U807,'T1 2019 Pipeline Data Lagasco'!$G:$G,'Dec 31 2018 OFFS'!$W807))/(MAX(COUNTIFS('T1 2019 Pipeline Data Lagasco'!$A:$A,'Dec 31 2018 OFFS'!$AI807,'T1 2019 Pipeline Data Lagasco'!$Q:$Q,'Dec 31 2018 OFFS'!$AK807,'T1 2019 Pipeline Data Lagasco'!$E:$E,'Dec 31 2018 OFFS'!$U807,'T1 2019 Pipeline Data Lagasco'!$G:$G,'Dec 31 2018 OFFS'!$W807),1))</f>
        <v>0</v>
      </c>
      <c r="AM807" s="274">
        <f t="shared" si="122"/>
        <v>0</v>
      </c>
    </row>
    <row r="808" spans="1:39" ht="12.7">
      <c r="A808" s="200" t="s">
        <v>909</v>
      </c>
      <c r="B808" s="201" t="s">
        <v>918</v>
      </c>
      <c r="C808" s="201" t="s">
        <v>1266</v>
      </c>
      <c r="D808" s="201" t="s">
        <v>336</v>
      </c>
      <c r="E808" s="201" t="s">
        <v>1054</v>
      </c>
      <c r="F808" s="202" t="s">
        <v>1051</v>
      </c>
      <c r="G808" s="208" t="s">
        <v>517</v>
      </c>
      <c r="H808" s="203">
        <v>42</v>
      </c>
      <c r="I808" s="204">
        <v>20</v>
      </c>
      <c r="J808" s="205">
        <v>30.36</v>
      </c>
      <c r="K808" s="206">
        <v>80</v>
      </c>
      <c r="L808" s="204">
        <v>39</v>
      </c>
      <c r="M808" s="207">
        <v>14.34</v>
      </c>
      <c r="N808" s="208" t="s">
        <v>375</v>
      </c>
      <c r="O808" s="203">
        <v>42</v>
      </c>
      <c r="P808" s="204">
        <v>20</v>
      </c>
      <c r="Q808" s="205">
        <v>12.12</v>
      </c>
      <c r="R808" s="206">
        <v>80</v>
      </c>
      <c r="S808" s="204">
        <v>37</v>
      </c>
      <c r="T808" s="207">
        <v>9.7799999999999994</v>
      </c>
      <c r="U808" s="201">
        <v>4</v>
      </c>
      <c r="V808" s="209">
        <v>9534.9734771479998</v>
      </c>
      <c r="W808" s="210">
        <v>1981</v>
      </c>
      <c r="X808" s="201"/>
      <c r="Y808" s="52"/>
      <c r="Z808" s="201" t="s">
        <v>910</v>
      </c>
      <c r="AA808" s="211">
        <f t="shared" si="115"/>
        <v>0</v>
      </c>
      <c r="AB808" s="212">
        <f t="shared" si="116"/>
        <v>0.80</v>
      </c>
      <c r="AC808" s="211">
        <f t="shared" si="117"/>
        <v>0</v>
      </c>
      <c r="AD808" s="213">
        <f t="shared" si="118"/>
        <v>0</v>
      </c>
      <c r="AE808" s="213">
        <f t="shared" si="119"/>
        <v>0</v>
      </c>
      <c r="AF808" s="213">
        <f t="shared" si="120"/>
        <v>0</v>
      </c>
      <c r="AG808" s="214">
        <f t="shared" si="121"/>
        <v>0</v>
      </c>
      <c r="AH808" s="215"/>
      <c r="AI808" s="216" t="s">
        <v>1458</v>
      </c>
      <c r="AJ808" s="216" t="s">
        <v>1560</v>
      </c>
      <c r="AK808" s="283">
        <f t="shared" si="114"/>
        <v>9534.9699999999993</v>
      </c>
      <c r="AL808" s="25">
        <f>(SUMIFS('T1 2019 Pipeline Data Lagasco'!$O:$O,'T1 2019 Pipeline Data Lagasco'!$A:$A,'Dec 31 2018 OFFS'!$AI808,'T1 2019 Pipeline Data Lagasco'!$Q:$Q,'Dec 31 2018 OFFS'!$AK808,'T1 2019 Pipeline Data Lagasco'!$E:$E,'Dec 31 2018 OFFS'!$U808,'T1 2019 Pipeline Data Lagasco'!$G:$G,'Dec 31 2018 OFFS'!$W808))/(MAX(COUNTIFS('T1 2019 Pipeline Data Lagasco'!$A:$A,'Dec 31 2018 OFFS'!$AI808,'T1 2019 Pipeline Data Lagasco'!$Q:$Q,'Dec 31 2018 OFFS'!$AK808,'T1 2019 Pipeline Data Lagasco'!$E:$E,'Dec 31 2018 OFFS'!$U808,'T1 2019 Pipeline Data Lagasco'!$G:$G,'Dec 31 2018 OFFS'!$W808),1))</f>
        <v>0</v>
      </c>
      <c r="AM808" s="285">
        <f t="shared" si="122"/>
        <v>0</v>
      </c>
    </row>
    <row r="809" spans="1:39" ht="12.7">
      <c r="A809" s="193" t="s">
        <v>909</v>
      </c>
      <c r="B809" s="40" t="s">
        <v>918</v>
      </c>
      <c r="C809" s="40" t="s">
        <v>1266</v>
      </c>
      <c r="D809" s="40" t="s">
        <v>336</v>
      </c>
      <c r="E809" s="40" t="s">
        <v>1054</v>
      </c>
      <c r="F809" s="139" t="s">
        <v>1381</v>
      </c>
      <c r="G809" s="41" t="s">
        <v>517</v>
      </c>
      <c r="H809" s="42">
        <v>42</v>
      </c>
      <c r="I809" s="43">
        <v>20</v>
      </c>
      <c r="J809" s="44">
        <v>30.36</v>
      </c>
      <c r="K809" s="45">
        <v>80</v>
      </c>
      <c r="L809" s="43">
        <v>39</v>
      </c>
      <c r="M809" s="46">
        <v>14.34</v>
      </c>
      <c r="N809" s="155" t="s">
        <v>372</v>
      </c>
      <c r="O809" s="42">
        <v>42</v>
      </c>
      <c r="P809" s="43">
        <v>20</v>
      </c>
      <c r="Q809" s="44">
        <v>12.12</v>
      </c>
      <c r="R809" s="45">
        <v>80</v>
      </c>
      <c r="S809" s="43">
        <v>37</v>
      </c>
      <c r="T809" s="46">
        <v>9.7799999999999994</v>
      </c>
      <c r="U809" s="40">
        <v>3</v>
      </c>
      <c r="V809" s="280">
        <v>13850</v>
      </c>
      <c r="W809" s="48">
        <v>2014</v>
      </c>
      <c r="X809" s="40"/>
      <c r="Y809" s="52"/>
      <c r="Z809" s="40" t="s">
        <v>910</v>
      </c>
      <c r="AA809" s="49">
        <f t="shared" si="115"/>
        <v>326721.50</v>
      </c>
      <c r="AB809" s="71">
        <f t="shared" si="116"/>
        <v>0.15</v>
      </c>
      <c r="AC809" s="49">
        <f t="shared" si="117"/>
        <v>277713.28000000003</v>
      </c>
      <c r="AD809" s="50">
        <f t="shared" si="118"/>
        <v>0</v>
      </c>
      <c r="AE809" s="50">
        <f t="shared" si="119"/>
        <v>0</v>
      </c>
      <c r="AF809" s="50">
        <f t="shared" si="120"/>
        <v>277713.28000000003</v>
      </c>
      <c r="AG809" s="199">
        <f t="shared" si="121"/>
        <v>277713</v>
      </c>
      <c r="AH809" s="187"/>
      <c r="AI809" s="185" t="s">
        <v>1458</v>
      </c>
      <c r="AJ809" s="185"/>
      <c r="AK809" s="277">
        <f t="shared" si="114"/>
        <v>13850</v>
      </c>
      <c r="AL809" s="25">
        <f>(SUMIFS('T1 2019 Pipeline Data Lagasco'!$O:$O,'T1 2019 Pipeline Data Lagasco'!$A:$A,'Dec 31 2018 OFFS'!$AI809,'T1 2019 Pipeline Data Lagasco'!$Q:$Q,'Dec 31 2018 OFFS'!$AK809,'T1 2019 Pipeline Data Lagasco'!$E:$E,'Dec 31 2018 OFFS'!$U809,'T1 2019 Pipeline Data Lagasco'!$G:$G,'Dec 31 2018 OFFS'!$W809))/(MAX(COUNTIFS('T1 2019 Pipeline Data Lagasco'!$A:$A,'Dec 31 2018 OFFS'!$AI809,'T1 2019 Pipeline Data Lagasco'!$Q:$Q,'Dec 31 2018 OFFS'!$AK809,'T1 2019 Pipeline Data Lagasco'!$E:$E,'Dec 31 2018 OFFS'!$U809,'T1 2019 Pipeline Data Lagasco'!$G:$G,'Dec 31 2018 OFFS'!$W809),1))</f>
        <v>277713</v>
      </c>
      <c r="AM809" s="274">
        <f t="shared" si="122"/>
        <v>0</v>
      </c>
    </row>
    <row r="810" spans="1:39" ht="12.7">
      <c r="A810" s="193" t="s">
        <v>909</v>
      </c>
      <c r="B810" s="40" t="s">
        <v>918</v>
      </c>
      <c r="C810" s="40" t="s">
        <v>1266</v>
      </c>
      <c r="D810" s="40" t="s">
        <v>336</v>
      </c>
      <c r="E810" s="40" t="s">
        <v>1054</v>
      </c>
      <c r="F810" s="40"/>
      <c r="G810" s="41" t="s">
        <v>378</v>
      </c>
      <c r="H810" s="42">
        <v>42</v>
      </c>
      <c r="I810" s="43">
        <v>24</v>
      </c>
      <c r="J810" s="44">
        <v>17.132000000000001</v>
      </c>
      <c r="K810" s="45">
        <v>80</v>
      </c>
      <c r="L810" s="43">
        <v>40</v>
      </c>
      <c r="M810" s="46">
        <v>7.2130000000000001</v>
      </c>
      <c r="N810" s="41" t="s">
        <v>379</v>
      </c>
      <c r="O810" s="42">
        <v>42</v>
      </c>
      <c r="P810" s="43">
        <v>24</v>
      </c>
      <c r="Q810" s="44">
        <v>42.951999999999998</v>
      </c>
      <c r="R810" s="45">
        <v>80</v>
      </c>
      <c r="S810" s="43">
        <v>39</v>
      </c>
      <c r="T810" s="46">
        <v>6.2060000000000004</v>
      </c>
      <c r="U810" s="40">
        <v>2</v>
      </c>
      <c r="V810" s="47">
        <v>5270.3738631180004</v>
      </c>
      <c r="W810" s="48">
        <v>1986</v>
      </c>
      <c r="X810" s="40"/>
      <c r="Y810" s="52"/>
      <c r="Z810" s="40" t="s">
        <v>910</v>
      </c>
      <c r="AA810" s="49">
        <f t="shared" si="115"/>
        <v>85590.871537036321</v>
      </c>
      <c r="AB810" s="71">
        <f t="shared" si="116"/>
        <v>0.79</v>
      </c>
      <c r="AC810" s="49">
        <f t="shared" si="117"/>
        <v>17974.080000000002</v>
      </c>
      <c r="AD810" s="50">
        <f t="shared" si="118"/>
        <v>0</v>
      </c>
      <c r="AE810" s="50">
        <f t="shared" si="119"/>
        <v>0</v>
      </c>
      <c r="AF810" s="50">
        <f t="shared" si="120"/>
        <v>17974.080000000002</v>
      </c>
      <c r="AG810" s="199">
        <f t="shared" si="121"/>
        <v>17974</v>
      </c>
      <c r="AH810" s="187"/>
      <c r="AI810" s="185" t="s">
        <v>1458</v>
      </c>
      <c r="AJ810" s="185"/>
      <c r="AK810" s="277">
        <f t="shared" si="114"/>
        <v>5270.37</v>
      </c>
      <c r="AL810" s="25">
        <f>(SUMIFS('T1 2019 Pipeline Data Lagasco'!$O:$O,'T1 2019 Pipeline Data Lagasco'!$A:$A,'Dec 31 2018 OFFS'!$AI810,'T1 2019 Pipeline Data Lagasco'!$Q:$Q,'Dec 31 2018 OFFS'!$AK810,'T1 2019 Pipeline Data Lagasco'!$E:$E,'Dec 31 2018 OFFS'!$U810,'T1 2019 Pipeline Data Lagasco'!$G:$G,'Dec 31 2018 OFFS'!$W810))/(MAX(COUNTIFS('T1 2019 Pipeline Data Lagasco'!$A:$A,'Dec 31 2018 OFFS'!$AI810,'T1 2019 Pipeline Data Lagasco'!$Q:$Q,'Dec 31 2018 OFFS'!$AK810,'T1 2019 Pipeline Data Lagasco'!$E:$E,'Dec 31 2018 OFFS'!$U810,'T1 2019 Pipeline Data Lagasco'!$G:$G,'Dec 31 2018 OFFS'!$W810),1))</f>
        <v>17974</v>
      </c>
      <c r="AM810" s="274">
        <f t="shared" si="122"/>
        <v>0</v>
      </c>
    </row>
    <row r="811" spans="1:39" ht="12.7">
      <c r="A811" s="193" t="s">
        <v>909</v>
      </c>
      <c r="B811" s="40" t="s">
        <v>918</v>
      </c>
      <c r="C811" s="40" t="s">
        <v>1266</v>
      </c>
      <c r="D811" s="40" t="s">
        <v>336</v>
      </c>
      <c r="E811" s="40" t="s">
        <v>1054</v>
      </c>
      <c r="F811" s="40" t="s">
        <v>1051</v>
      </c>
      <c r="G811" s="41" t="s">
        <v>378</v>
      </c>
      <c r="H811" s="42">
        <v>42</v>
      </c>
      <c r="I811" s="43">
        <v>24</v>
      </c>
      <c r="J811" s="44">
        <v>17.132000000000001</v>
      </c>
      <c r="K811" s="45">
        <v>80</v>
      </c>
      <c r="L811" s="43">
        <v>40</v>
      </c>
      <c r="M811" s="46">
        <v>7.2130000000000001</v>
      </c>
      <c r="N811" s="41" t="s">
        <v>368</v>
      </c>
      <c r="O811" s="42">
        <v>42</v>
      </c>
      <c r="P811" s="43">
        <v>23</v>
      </c>
      <c r="Q811" s="44">
        <v>30.72</v>
      </c>
      <c r="R811" s="45">
        <v>80</v>
      </c>
      <c r="S811" s="43">
        <v>39</v>
      </c>
      <c r="T811" s="46">
        <v>45.78</v>
      </c>
      <c r="U811" s="40">
        <v>2</v>
      </c>
      <c r="V811" s="47">
        <v>4965.8463128819994</v>
      </c>
      <c r="W811" s="48">
        <v>1974</v>
      </c>
      <c r="X811" s="40"/>
      <c r="Y811" s="52"/>
      <c r="Z811" s="40" t="s">
        <v>910</v>
      </c>
      <c r="AA811" s="49">
        <f t="shared" si="115"/>
        <v>0</v>
      </c>
      <c r="AB811" s="71">
        <f t="shared" si="116"/>
        <v>0.80</v>
      </c>
      <c r="AC811" s="49">
        <f t="shared" si="117"/>
        <v>0</v>
      </c>
      <c r="AD811" s="50">
        <f t="shared" si="118"/>
        <v>0</v>
      </c>
      <c r="AE811" s="50">
        <f t="shared" si="119"/>
        <v>0</v>
      </c>
      <c r="AF811" s="50">
        <f t="shared" si="120"/>
        <v>0</v>
      </c>
      <c r="AG811" s="199">
        <f t="shared" si="121"/>
        <v>0</v>
      </c>
      <c r="AH811" s="187"/>
      <c r="AI811" s="185" t="s">
        <v>1458</v>
      </c>
      <c r="AJ811" s="185"/>
      <c r="AK811" s="277">
        <f t="shared" si="114"/>
        <v>4965.8500000000004</v>
      </c>
      <c r="AL811" s="25">
        <f>(SUMIFS('T1 2019 Pipeline Data Lagasco'!$O:$O,'T1 2019 Pipeline Data Lagasco'!$A:$A,'Dec 31 2018 OFFS'!$AI811,'T1 2019 Pipeline Data Lagasco'!$Q:$Q,'Dec 31 2018 OFFS'!$AK811,'T1 2019 Pipeline Data Lagasco'!$E:$E,'Dec 31 2018 OFFS'!$U811,'T1 2019 Pipeline Data Lagasco'!$G:$G,'Dec 31 2018 OFFS'!$W811))/(MAX(COUNTIFS('T1 2019 Pipeline Data Lagasco'!$A:$A,'Dec 31 2018 OFFS'!$AI811,'T1 2019 Pipeline Data Lagasco'!$Q:$Q,'Dec 31 2018 OFFS'!$AK811,'T1 2019 Pipeline Data Lagasco'!$E:$E,'Dec 31 2018 OFFS'!$U811,'T1 2019 Pipeline Data Lagasco'!$G:$G,'Dec 31 2018 OFFS'!$W811),1))</f>
        <v>0</v>
      </c>
      <c r="AM811" s="274">
        <f t="shared" si="122"/>
        <v>0</v>
      </c>
    </row>
    <row r="812" spans="1:39" ht="12.7">
      <c r="A812" s="193" t="s">
        <v>909</v>
      </c>
      <c r="B812" s="40" t="s">
        <v>918</v>
      </c>
      <c r="C812" s="40" t="s">
        <v>1266</v>
      </c>
      <c r="D812" s="40" t="s">
        <v>336</v>
      </c>
      <c r="E812" s="40" t="s">
        <v>1054</v>
      </c>
      <c r="F812" s="40"/>
      <c r="G812" s="41" t="s">
        <v>378</v>
      </c>
      <c r="H812" s="42">
        <v>42</v>
      </c>
      <c r="I812" s="43">
        <v>24</v>
      </c>
      <c r="J812" s="44">
        <v>17.132000000000001</v>
      </c>
      <c r="K812" s="45">
        <v>80</v>
      </c>
      <c r="L812" s="43">
        <v>40</v>
      </c>
      <c r="M812" s="46">
        <v>7.2130000000000001</v>
      </c>
      <c r="N812" s="41" t="s">
        <v>380</v>
      </c>
      <c r="O812" s="42">
        <v>42</v>
      </c>
      <c r="P812" s="43">
        <v>23</v>
      </c>
      <c r="Q812" s="44">
        <v>57.241</v>
      </c>
      <c r="R812" s="45">
        <v>80</v>
      </c>
      <c r="S812" s="43">
        <v>40</v>
      </c>
      <c r="T812" s="46">
        <v>33.091000000000001</v>
      </c>
      <c r="U812" s="40">
        <v>2</v>
      </c>
      <c r="V812" s="47">
        <v>2797.1127798879997</v>
      </c>
      <c r="W812" s="48">
        <v>1980</v>
      </c>
      <c r="X812" s="40"/>
      <c r="Y812" s="52">
        <v>1</v>
      </c>
      <c r="Z812" s="40" t="s">
        <v>910</v>
      </c>
      <c r="AA812" s="49">
        <f t="shared" si="115"/>
        <v>45425.111545381114</v>
      </c>
      <c r="AB812" s="71">
        <f t="shared" si="116"/>
        <v>0.80</v>
      </c>
      <c r="AC812" s="49">
        <f t="shared" si="117"/>
        <v>9085.02</v>
      </c>
      <c r="AD812" s="50">
        <f t="shared" si="118"/>
        <v>0</v>
      </c>
      <c r="AE812" s="50">
        <f t="shared" si="119"/>
        <v>0</v>
      </c>
      <c r="AF812" s="50">
        <f t="shared" si="120"/>
        <v>9085.02</v>
      </c>
      <c r="AG812" s="199">
        <f t="shared" si="121"/>
        <v>9085</v>
      </c>
      <c r="AH812" s="187"/>
      <c r="AI812" s="185" t="s">
        <v>1458</v>
      </c>
      <c r="AJ812" s="185"/>
      <c r="AK812" s="277">
        <f t="shared" si="114"/>
        <v>2797.11</v>
      </c>
      <c r="AL812" s="25">
        <f>(SUMIFS('T1 2019 Pipeline Data Lagasco'!$O:$O,'T1 2019 Pipeline Data Lagasco'!$A:$A,'Dec 31 2018 OFFS'!$AI812,'T1 2019 Pipeline Data Lagasco'!$Q:$Q,'Dec 31 2018 OFFS'!$AK812,'T1 2019 Pipeline Data Lagasco'!$E:$E,'Dec 31 2018 OFFS'!$U812,'T1 2019 Pipeline Data Lagasco'!$G:$G,'Dec 31 2018 OFFS'!$W812))/(MAX(COUNTIFS('T1 2019 Pipeline Data Lagasco'!$A:$A,'Dec 31 2018 OFFS'!$AI812,'T1 2019 Pipeline Data Lagasco'!$Q:$Q,'Dec 31 2018 OFFS'!$AK812,'T1 2019 Pipeline Data Lagasco'!$E:$E,'Dec 31 2018 OFFS'!$U812,'T1 2019 Pipeline Data Lagasco'!$G:$G,'Dec 31 2018 OFFS'!$W812),1))</f>
        <v>9085</v>
      </c>
      <c r="AM812" s="274">
        <f t="shared" si="122"/>
        <v>0</v>
      </c>
    </row>
    <row r="813" spans="1:39" ht="12.7">
      <c r="A813" s="193" t="s">
        <v>909</v>
      </c>
      <c r="B813" s="40" t="s">
        <v>918</v>
      </c>
      <c r="C813" s="40" t="s">
        <v>1266</v>
      </c>
      <c r="D813" s="40" t="s">
        <v>336</v>
      </c>
      <c r="E813" s="40" t="s">
        <v>1054</v>
      </c>
      <c r="F813" s="139" t="s">
        <v>1051</v>
      </c>
      <c r="G813" s="41" t="s">
        <v>378</v>
      </c>
      <c r="H813" s="42">
        <v>42</v>
      </c>
      <c r="I813" s="43">
        <v>24</v>
      </c>
      <c r="J813" s="44">
        <v>17.132000000000001</v>
      </c>
      <c r="K813" s="45">
        <v>80</v>
      </c>
      <c r="L813" s="43">
        <v>40</v>
      </c>
      <c r="M813" s="46">
        <v>7.2130000000000001</v>
      </c>
      <c r="N813" s="41" t="s">
        <v>371</v>
      </c>
      <c r="O813" s="42">
        <v>42</v>
      </c>
      <c r="P813" s="43">
        <v>23</v>
      </c>
      <c r="Q813" s="44">
        <v>56.76</v>
      </c>
      <c r="R813" s="45">
        <v>80</v>
      </c>
      <c r="S813" s="43">
        <v>38</v>
      </c>
      <c r="T813" s="46">
        <v>41.52</v>
      </c>
      <c r="U813" s="40">
        <v>6</v>
      </c>
      <c r="V813" s="47">
        <v>6751.8042664099994</v>
      </c>
      <c r="W813" s="48">
        <v>1983</v>
      </c>
      <c r="X813" s="40"/>
      <c r="Y813" s="52"/>
      <c r="Z813" s="40" t="s">
        <v>910</v>
      </c>
      <c r="AA813" s="49">
        <f t="shared" si="115"/>
        <v>0</v>
      </c>
      <c r="AB813" s="71">
        <f t="shared" si="116"/>
        <v>0.80</v>
      </c>
      <c r="AC813" s="49">
        <f t="shared" si="117"/>
        <v>0</v>
      </c>
      <c r="AD813" s="50">
        <f t="shared" si="118"/>
        <v>0</v>
      </c>
      <c r="AE813" s="50">
        <f t="shared" si="119"/>
        <v>0</v>
      </c>
      <c r="AF813" s="50">
        <f t="shared" si="120"/>
        <v>0</v>
      </c>
      <c r="AG813" s="199">
        <f t="shared" si="121"/>
        <v>0</v>
      </c>
      <c r="AH813" s="187"/>
      <c r="AI813" s="185" t="s">
        <v>1458</v>
      </c>
      <c r="AJ813" s="185"/>
      <c r="AK813" s="277">
        <f t="shared" si="114"/>
        <v>6751.80</v>
      </c>
      <c r="AL813" s="25">
        <f>(SUMIFS('T1 2019 Pipeline Data Lagasco'!$O:$O,'T1 2019 Pipeline Data Lagasco'!$A:$A,'Dec 31 2018 OFFS'!$AI813,'T1 2019 Pipeline Data Lagasco'!$Q:$Q,'Dec 31 2018 OFFS'!$AK813,'T1 2019 Pipeline Data Lagasco'!$E:$E,'Dec 31 2018 OFFS'!$U813,'T1 2019 Pipeline Data Lagasco'!$G:$G,'Dec 31 2018 OFFS'!$W813))/(MAX(COUNTIFS('T1 2019 Pipeline Data Lagasco'!$A:$A,'Dec 31 2018 OFFS'!$AI813,'T1 2019 Pipeline Data Lagasco'!$Q:$Q,'Dec 31 2018 OFFS'!$AK813,'T1 2019 Pipeline Data Lagasco'!$E:$E,'Dec 31 2018 OFFS'!$U813,'T1 2019 Pipeline Data Lagasco'!$G:$G,'Dec 31 2018 OFFS'!$W813),1))</f>
        <v>0</v>
      </c>
      <c r="AM813" s="274">
        <f t="shared" si="122"/>
        <v>0</v>
      </c>
    </row>
    <row r="814" spans="1:39" ht="12.7">
      <c r="A814" s="193" t="s">
        <v>909</v>
      </c>
      <c r="B814" s="40" t="s">
        <v>918</v>
      </c>
      <c r="C814" s="40" t="s">
        <v>1266</v>
      </c>
      <c r="D814" s="40" t="s">
        <v>336</v>
      </c>
      <c r="E814" s="40" t="s">
        <v>1054</v>
      </c>
      <c r="F814" s="40" t="s">
        <v>1051</v>
      </c>
      <c r="G814" s="41" t="s">
        <v>381</v>
      </c>
      <c r="H814" s="42">
        <v>42</v>
      </c>
      <c r="I814" s="43">
        <v>24</v>
      </c>
      <c r="J814" s="44">
        <v>33.546999999999997</v>
      </c>
      <c r="K814" s="45">
        <v>80</v>
      </c>
      <c r="L814" s="43">
        <v>41</v>
      </c>
      <c r="M814" s="46">
        <v>14.811999999999999</v>
      </c>
      <c r="N814" s="41" t="s">
        <v>382</v>
      </c>
      <c r="O814" s="42">
        <v>42</v>
      </c>
      <c r="P814" s="43">
        <v>24</v>
      </c>
      <c r="Q814" s="44">
        <v>18.484000000000002</v>
      </c>
      <c r="R814" s="45">
        <v>80</v>
      </c>
      <c r="S814" s="43">
        <v>41</v>
      </c>
      <c r="T814" s="46">
        <v>20.404</v>
      </c>
      <c r="U814" s="40">
        <v>3</v>
      </c>
      <c r="V814" s="47">
        <v>1577</v>
      </c>
      <c r="W814" s="48">
        <v>2002</v>
      </c>
      <c r="X814" s="40"/>
      <c r="Y814" s="52"/>
      <c r="Z814" s="40" t="s">
        <v>910</v>
      </c>
      <c r="AA814" s="49">
        <f t="shared" si="115"/>
        <v>0</v>
      </c>
      <c r="AB814" s="71">
        <f t="shared" si="116"/>
        <v>0.56999999999999995</v>
      </c>
      <c r="AC814" s="49">
        <f t="shared" si="117"/>
        <v>0</v>
      </c>
      <c r="AD814" s="50">
        <f t="shared" si="118"/>
        <v>0</v>
      </c>
      <c r="AE814" s="50">
        <f t="shared" si="119"/>
        <v>0</v>
      </c>
      <c r="AF814" s="50">
        <f t="shared" si="120"/>
        <v>0</v>
      </c>
      <c r="AG814" s="199">
        <f t="shared" si="121"/>
        <v>0</v>
      </c>
      <c r="AH814" s="187"/>
      <c r="AI814" s="185" t="s">
        <v>1458</v>
      </c>
      <c r="AJ814" s="185"/>
      <c r="AK814" s="277">
        <f t="shared" si="114"/>
        <v>1577</v>
      </c>
      <c r="AL814" s="25">
        <f>(SUMIFS('T1 2019 Pipeline Data Lagasco'!$O:$O,'T1 2019 Pipeline Data Lagasco'!$A:$A,'Dec 31 2018 OFFS'!$AI814,'T1 2019 Pipeline Data Lagasco'!$Q:$Q,'Dec 31 2018 OFFS'!$AK814,'T1 2019 Pipeline Data Lagasco'!$E:$E,'Dec 31 2018 OFFS'!$U814,'T1 2019 Pipeline Data Lagasco'!$G:$G,'Dec 31 2018 OFFS'!$W814))/(MAX(COUNTIFS('T1 2019 Pipeline Data Lagasco'!$A:$A,'Dec 31 2018 OFFS'!$AI814,'T1 2019 Pipeline Data Lagasco'!$Q:$Q,'Dec 31 2018 OFFS'!$AK814,'T1 2019 Pipeline Data Lagasco'!$E:$E,'Dec 31 2018 OFFS'!$U814,'T1 2019 Pipeline Data Lagasco'!$G:$G,'Dec 31 2018 OFFS'!$W814),1))</f>
        <v>0</v>
      </c>
      <c r="AM814" s="274">
        <f t="shared" si="122"/>
        <v>0</v>
      </c>
    </row>
    <row r="815" spans="1:39" ht="12.7">
      <c r="A815" s="193" t="s">
        <v>909</v>
      </c>
      <c r="B815" s="40" t="s">
        <v>918</v>
      </c>
      <c r="C815" s="40" t="s">
        <v>1266</v>
      </c>
      <c r="D815" s="40" t="s">
        <v>336</v>
      </c>
      <c r="E815" s="40" t="s">
        <v>1054</v>
      </c>
      <c r="F815" s="40" t="s">
        <v>1051</v>
      </c>
      <c r="G815" s="41" t="s">
        <v>382</v>
      </c>
      <c r="H815" s="42">
        <v>42</v>
      </c>
      <c r="I815" s="43">
        <v>24</v>
      </c>
      <c r="J815" s="44">
        <v>18.484000000000002</v>
      </c>
      <c r="K815" s="45">
        <v>80</v>
      </c>
      <c r="L815" s="43">
        <v>41</v>
      </c>
      <c r="M815" s="46">
        <v>20.404</v>
      </c>
      <c r="N815" s="41" t="s">
        <v>383</v>
      </c>
      <c r="O815" s="42">
        <v>42</v>
      </c>
      <c r="P815" s="43">
        <v>25</v>
      </c>
      <c r="Q815" s="44" t="s">
        <v>384</v>
      </c>
      <c r="R815" s="45">
        <v>80</v>
      </c>
      <c r="S815" s="43">
        <v>41</v>
      </c>
      <c r="T815" s="46">
        <v>6.96</v>
      </c>
      <c r="U815" s="40">
        <v>2</v>
      </c>
      <c r="V815" s="47">
        <v>7008.7596395459996</v>
      </c>
      <c r="W815" s="48">
        <v>1968</v>
      </c>
      <c r="X815" s="40"/>
      <c r="Y815" s="52"/>
      <c r="Z815" s="40" t="s">
        <v>910</v>
      </c>
      <c r="AA815" s="49">
        <f t="shared" si="115"/>
        <v>0</v>
      </c>
      <c r="AB815" s="71">
        <f t="shared" si="116"/>
        <v>0.80</v>
      </c>
      <c r="AC815" s="49">
        <f t="shared" si="117"/>
        <v>0</v>
      </c>
      <c r="AD815" s="50">
        <f t="shared" si="118"/>
        <v>0</v>
      </c>
      <c r="AE815" s="50">
        <f t="shared" si="119"/>
        <v>0</v>
      </c>
      <c r="AF815" s="50">
        <f t="shared" si="120"/>
        <v>0</v>
      </c>
      <c r="AG815" s="199">
        <f t="shared" si="121"/>
        <v>0</v>
      </c>
      <c r="AH815" s="187"/>
      <c r="AI815" s="185" t="s">
        <v>1458</v>
      </c>
      <c r="AJ815" s="185"/>
      <c r="AK815" s="277">
        <f t="shared" si="114"/>
        <v>7008.76</v>
      </c>
      <c r="AL815" s="25">
        <f>(SUMIFS('T1 2019 Pipeline Data Lagasco'!$O:$O,'T1 2019 Pipeline Data Lagasco'!$A:$A,'Dec 31 2018 OFFS'!$AI815,'T1 2019 Pipeline Data Lagasco'!$Q:$Q,'Dec 31 2018 OFFS'!$AK815,'T1 2019 Pipeline Data Lagasco'!$E:$E,'Dec 31 2018 OFFS'!$U815,'T1 2019 Pipeline Data Lagasco'!$G:$G,'Dec 31 2018 OFFS'!$W815))/(MAX(COUNTIFS('T1 2019 Pipeline Data Lagasco'!$A:$A,'Dec 31 2018 OFFS'!$AI815,'T1 2019 Pipeline Data Lagasco'!$Q:$Q,'Dec 31 2018 OFFS'!$AK815,'T1 2019 Pipeline Data Lagasco'!$E:$E,'Dec 31 2018 OFFS'!$U815,'T1 2019 Pipeline Data Lagasco'!$G:$G,'Dec 31 2018 OFFS'!$W815),1))</f>
        <v>0</v>
      </c>
      <c r="AM815" s="274">
        <f t="shared" si="122"/>
        <v>0</v>
      </c>
    </row>
    <row r="816" spans="1:39" ht="12.7">
      <c r="A816" s="193" t="s">
        <v>909</v>
      </c>
      <c r="B816" s="40" t="s">
        <v>918</v>
      </c>
      <c r="C816" s="40" t="s">
        <v>1266</v>
      </c>
      <c r="D816" s="40" t="s">
        <v>336</v>
      </c>
      <c r="E816" s="40" t="s">
        <v>1054</v>
      </c>
      <c r="F816" s="40" t="s">
        <v>1051</v>
      </c>
      <c r="G816" s="41" t="s">
        <v>382</v>
      </c>
      <c r="H816" s="42">
        <v>42</v>
      </c>
      <c r="I816" s="43">
        <v>24</v>
      </c>
      <c r="J816" s="44">
        <v>18.484000000000002</v>
      </c>
      <c r="K816" s="45">
        <v>80</v>
      </c>
      <c r="L816" s="43">
        <v>41</v>
      </c>
      <c r="M816" s="46">
        <v>20.404</v>
      </c>
      <c r="N816" s="41" t="s">
        <v>389</v>
      </c>
      <c r="O816" s="42">
        <v>42</v>
      </c>
      <c r="P816" s="43">
        <v>23</v>
      </c>
      <c r="Q816" s="44">
        <v>15.84</v>
      </c>
      <c r="R816" s="45">
        <v>80</v>
      </c>
      <c r="S816" s="43">
        <v>42</v>
      </c>
      <c r="T816" s="46">
        <v>6.66</v>
      </c>
      <c r="U816" s="40">
        <v>3</v>
      </c>
      <c r="V816" s="47">
        <v>7250</v>
      </c>
      <c r="W816" s="48">
        <v>2002</v>
      </c>
      <c r="X816" s="40"/>
      <c r="Y816" s="52"/>
      <c r="Z816" s="40" t="s">
        <v>910</v>
      </c>
      <c r="AA816" s="49">
        <f t="shared" si="115"/>
        <v>0</v>
      </c>
      <c r="AB816" s="71">
        <f t="shared" si="116"/>
        <v>0.56999999999999995</v>
      </c>
      <c r="AC816" s="49">
        <f t="shared" si="117"/>
        <v>0</v>
      </c>
      <c r="AD816" s="50">
        <f t="shared" si="118"/>
        <v>0</v>
      </c>
      <c r="AE816" s="50">
        <f t="shared" si="119"/>
        <v>0</v>
      </c>
      <c r="AF816" s="50">
        <f t="shared" si="120"/>
        <v>0</v>
      </c>
      <c r="AG816" s="199">
        <f t="shared" si="121"/>
        <v>0</v>
      </c>
      <c r="AH816" s="187"/>
      <c r="AI816" s="185" t="s">
        <v>1458</v>
      </c>
      <c r="AJ816" s="185"/>
      <c r="AK816" s="282">
        <f t="shared" si="114"/>
        <v>7250</v>
      </c>
      <c r="AL816" s="321">
        <f>(SUMIFS('T1 2019 Pipeline Data Lagasco'!$O:$O,'T1 2019 Pipeline Data Lagasco'!$A:$A,'Dec 31 2018 OFFS'!$AI816,'T1 2019 Pipeline Data Lagasco'!$Q:$Q,'Dec 31 2018 OFFS'!$AK816,'T1 2019 Pipeline Data Lagasco'!$E:$E,'Dec 31 2018 OFFS'!$U816,'T1 2019 Pipeline Data Lagasco'!$G:$G,'Dec 31 2018 OFFS'!$W816))/(MAX(COUNTIFS('T1 2019 Pipeline Data Lagasco'!$A:$A,'Dec 31 2018 OFFS'!$AI816,'T1 2019 Pipeline Data Lagasco'!$Q:$Q,'Dec 31 2018 OFFS'!$AK816,'T1 2019 Pipeline Data Lagasco'!$E:$E,'Dec 31 2018 OFFS'!$U816,'T1 2019 Pipeline Data Lagasco'!$G:$G,'Dec 31 2018 OFFS'!$W816),1))*0</f>
        <v>0</v>
      </c>
      <c r="AM816" s="274">
        <f t="shared" si="122"/>
        <v>0</v>
      </c>
    </row>
    <row r="817" spans="1:39" ht="12.7">
      <c r="A817" s="193" t="s">
        <v>909</v>
      </c>
      <c r="B817" s="40" t="s">
        <v>918</v>
      </c>
      <c r="C817" s="40" t="s">
        <v>1266</v>
      </c>
      <c r="D817" s="40" t="s">
        <v>336</v>
      </c>
      <c r="E817" s="40" t="s">
        <v>1054</v>
      </c>
      <c r="F817" s="40" t="s">
        <v>1051</v>
      </c>
      <c r="G817" s="41" t="s">
        <v>382</v>
      </c>
      <c r="H817" s="42">
        <v>42</v>
      </c>
      <c r="I817" s="43">
        <v>24</v>
      </c>
      <c r="J817" s="44">
        <v>18.484000000000002</v>
      </c>
      <c r="K817" s="45">
        <v>80</v>
      </c>
      <c r="L817" s="43">
        <v>41</v>
      </c>
      <c r="M817" s="46">
        <v>20.404</v>
      </c>
      <c r="N817" s="41" t="s">
        <v>386</v>
      </c>
      <c r="O817" s="42">
        <v>42</v>
      </c>
      <c r="P817" s="43">
        <v>23</v>
      </c>
      <c r="Q817" s="44">
        <v>13.80</v>
      </c>
      <c r="R817" s="45">
        <v>80</v>
      </c>
      <c r="S817" s="43">
        <v>40</v>
      </c>
      <c r="T817" s="46">
        <v>47.82</v>
      </c>
      <c r="U817" s="40">
        <v>2</v>
      </c>
      <c r="V817" s="47">
        <v>6989.4354931240005</v>
      </c>
      <c r="W817" s="48">
        <v>1974</v>
      </c>
      <c r="X817" s="40"/>
      <c r="Y817" s="52"/>
      <c r="Z817" s="40" t="s">
        <v>910</v>
      </c>
      <c r="AA817" s="49">
        <f t="shared" si="115"/>
        <v>0</v>
      </c>
      <c r="AB817" s="71">
        <f t="shared" si="116"/>
        <v>0.80</v>
      </c>
      <c r="AC817" s="49">
        <f t="shared" si="117"/>
        <v>0</v>
      </c>
      <c r="AD817" s="50">
        <f t="shared" si="118"/>
        <v>0</v>
      </c>
      <c r="AE817" s="50">
        <f t="shared" si="119"/>
        <v>0</v>
      </c>
      <c r="AF817" s="50">
        <f t="shared" si="120"/>
        <v>0</v>
      </c>
      <c r="AG817" s="199">
        <f t="shared" si="121"/>
        <v>0</v>
      </c>
      <c r="AH817" s="187"/>
      <c r="AI817" s="185" t="s">
        <v>1458</v>
      </c>
      <c r="AJ817" s="185"/>
      <c r="AK817" s="277">
        <f t="shared" si="114"/>
        <v>6989.44</v>
      </c>
      <c r="AL817" s="25">
        <f>(SUMIFS('T1 2019 Pipeline Data Lagasco'!$O:$O,'T1 2019 Pipeline Data Lagasco'!$A:$A,'Dec 31 2018 OFFS'!$AI817,'T1 2019 Pipeline Data Lagasco'!$Q:$Q,'Dec 31 2018 OFFS'!$AK817,'T1 2019 Pipeline Data Lagasco'!$E:$E,'Dec 31 2018 OFFS'!$U817,'T1 2019 Pipeline Data Lagasco'!$G:$G,'Dec 31 2018 OFFS'!$W817))/(MAX(COUNTIFS('T1 2019 Pipeline Data Lagasco'!$A:$A,'Dec 31 2018 OFFS'!$AI817,'T1 2019 Pipeline Data Lagasco'!$Q:$Q,'Dec 31 2018 OFFS'!$AK817,'T1 2019 Pipeline Data Lagasco'!$E:$E,'Dec 31 2018 OFFS'!$U817,'T1 2019 Pipeline Data Lagasco'!$G:$G,'Dec 31 2018 OFFS'!$W817),1))</f>
        <v>0</v>
      </c>
      <c r="AM817" s="274">
        <f t="shared" si="122"/>
        <v>0</v>
      </c>
    </row>
    <row r="818" spans="1:39" ht="12.7">
      <c r="A818" s="193" t="s">
        <v>909</v>
      </c>
      <c r="B818" s="40" t="s">
        <v>918</v>
      </c>
      <c r="C818" s="40" t="s">
        <v>1266</v>
      </c>
      <c r="D818" s="40" t="s">
        <v>336</v>
      </c>
      <c r="E818" s="40" t="s">
        <v>1054</v>
      </c>
      <c r="F818" s="139" t="s">
        <v>1051</v>
      </c>
      <c r="G818" s="41" t="s">
        <v>382</v>
      </c>
      <c r="H818" s="42">
        <v>42</v>
      </c>
      <c r="I818" s="43">
        <v>24</v>
      </c>
      <c r="J818" s="44">
        <v>18.484000000000002</v>
      </c>
      <c r="K818" s="45">
        <v>80</v>
      </c>
      <c r="L818" s="43">
        <v>41</v>
      </c>
      <c r="M818" s="46">
        <v>20.404</v>
      </c>
      <c r="N818" s="40" t="s">
        <v>378</v>
      </c>
      <c r="O818" s="42">
        <v>42</v>
      </c>
      <c r="P818" s="43">
        <v>24</v>
      </c>
      <c r="Q818" s="44">
        <v>17.132000000000001</v>
      </c>
      <c r="R818" s="45">
        <v>80</v>
      </c>
      <c r="S818" s="43">
        <v>40</v>
      </c>
      <c r="T818" s="46">
        <v>7.2130000000000001</v>
      </c>
      <c r="U818" s="40">
        <v>4</v>
      </c>
      <c r="V818" s="47">
        <v>5492.6507595680005</v>
      </c>
      <c r="W818" s="48">
        <v>1968</v>
      </c>
      <c r="X818" s="40"/>
      <c r="Y818" s="52"/>
      <c r="Z818" s="40" t="s">
        <v>910</v>
      </c>
      <c r="AA818" s="49">
        <f t="shared" si="115"/>
        <v>0</v>
      </c>
      <c r="AB818" s="71">
        <f t="shared" si="116"/>
        <v>0.80</v>
      </c>
      <c r="AC818" s="49">
        <f t="shared" si="117"/>
        <v>0</v>
      </c>
      <c r="AD818" s="50">
        <f t="shared" si="118"/>
        <v>0</v>
      </c>
      <c r="AE818" s="50">
        <f t="shared" si="119"/>
        <v>0</v>
      </c>
      <c r="AF818" s="50">
        <f t="shared" si="120"/>
        <v>0</v>
      </c>
      <c r="AG818" s="199">
        <f t="shared" si="121"/>
        <v>0</v>
      </c>
      <c r="AH818" s="187"/>
      <c r="AI818" s="185" t="s">
        <v>1458</v>
      </c>
      <c r="AJ818" s="185"/>
      <c r="AK818" s="277">
        <f t="shared" si="114"/>
        <v>5492.65</v>
      </c>
      <c r="AL818" s="25">
        <f>(SUMIFS('T1 2019 Pipeline Data Lagasco'!$O:$O,'T1 2019 Pipeline Data Lagasco'!$A:$A,'Dec 31 2018 OFFS'!$AI818,'T1 2019 Pipeline Data Lagasco'!$Q:$Q,'Dec 31 2018 OFFS'!$AK818,'T1 2019 Pipeline Data Lagasco'!$E:$E,'Dec 31 2018 OFFS'!$U818,'T1 2019 Pipeline Data Lagasco'!$G:$G,'Dec 31 2018 OFFS'!$W818))/(MAX(COUNTIFS('T1 2019 Pipeline Data Lagasco'!$A:$A,'Dec 31 2018 OFFS'!$AI818,'T1 2019 Pipeline Data Lagasco'!$Q:$Q,'Dec 31 2018 OFFS'!$AK818,'T1 2019 Pipeline Data Lagasco'!$E:$E,'Dec 31 2018 OFFS'!$U818,'T1 2019 Pipeline Data Lagasco'!$G:$G,'Dec 31 2018 OFFS'!$W818),1))</f>
        <v>0</v>
      </c>
      <c r="AM818" s="274">
        <f t="shared" si="122"/>
        <v>0</v>
      </c>
    </row>
    <row r="819" spans="1:39" ht="12.7">
      <c r="A819" s="193" t="s">
        <v>909</v>
      </c>
      <c r="B819" s="40" t="s">
        <v>918</v>
      </c>
      <c r="C819" s="40" t="s">
        <v>1266</v>
      </c>
      <c r="D819" s="40" t="s">
        <v>336</v>
      </c>
      <c r="E819" s="40" t="s">
        <v>1054</v>
      </c>
      <c r="F819" s="40" t="s">
        <v>1051</v>
      </c>
      <c r="G819" s="40" t="s">
        <v>518</v>
      </c>
      <c r="H819" s="42">
        <v>42</v>
      </c>
      <c r="I819" s="43">
        <v>24</v>
      </c>
      <c r="J819" s="44">
        <v>41.84</v>
      </c>
      <c r="K819" s="45">
        <v>80</v>
      </c>
      <c r="L819" s="43">
        <v>43</v>
      </c>
      <c r="M819" s="46">
        <v>42.47</v>
      </c>
      <c r="N819" s="41" t="s">
        <v>382</v>
      </c>
      <c r="O819" s="42">
        <v>42</v>
      </c>
      <c r="P819" s="43">
        <v>24</v>
      </c>
      <c r="Q819" s="44">
        <v>18.484000000000002</v>
      </c>
      <c r="R819" s="45">
        <v>80</v>
      </c>
      <c r="S819" s="43">
        <v>41</v>
      </c>
      <c r="T819" s="46">
        <v>20.404</v>
      </c>
      <c r="U819" s="40">
        <v>4</v>
      </c>
      <c r="V819" s="47">
        <v>10916.535116928</v>
      </c>
      <c r="W819" s="48">
        <v>1968</v>
      </c>
      <c r="X819" s="40"/>
      <c r="Y819" s="52"/>
      <c r="Z819" s="40" t="s">
        <v>910</v>
      </c>
      <c r="AA819" s="49">
        <f t="shared" si="115"/>
        <v>0</v>
      </c>
      <c r="AB819" s="71">
        <f t="shared" si="116"/>
        <v>0.80</v>
      </c>
      <c r="AC819" s="49">
        <f t="shared" si="117"/>
        <v>0</v>
      </c>
      <c r="AD819" s="50">
        <f t="shared" si="118"/>
        <v>0</v>
      </c>
      <c r="AE819" s="50">
        <f t="shared" si="119"/>
        <v>0</v>
      </c>
      <c r="AF819" s="50">
        <f t="shared" si="120"/>
        <v>0</v>
      </c>
      <c r="AG819" s="199">
        <f t="shared" si="121"/>
        <v>0</v>
      </c>
      <c r="AH819" s="187"/>
      <c r="AI819" s="185" t="s">
        <v>1458</v>
      </c>
      <c r="AJ819" s="185"/>
      <c r="AK819" s="277">
        <f t="shared" si="114"/>
        <v>10916.54</v>
      </c>
      <c r="AL819" s="25">
        <f>(SUMIFS('T1 2019 Pipeline Data Lagasco'!$O:$O,'T1 2019 Pipeline Data Lagasco'!$A:$A,'Dec 31 2018 OFFS'!$AI819,'T1 2019 Pipeline Data Lagasco'!$Q:$Q,'Dec 31 2018 OFFS'!$AK819,'T1 2019 Pipeline Data Lagasco'!$E:$E,'Dec 31 2018 OFFS'!$U819,'T1 2019 Pipeline Data Lagasco'!$G:$G,'Dec 31 2018 OFFS'!$W819))/(MAX(COUNTIFS('T1 2019 Pipeline Data Lagasco'!$A:$A,'Dec 31 2018 OFFS'!$AI819,'T1 2019 Pipeline Data Lagasco'!$Q:$Q,'Dec 31 2018 OFFS'!$AK819,'T1 2019 Pipeline Data Lagasco'!$E:$E,'Dec 31 2018 OFFS'!$U819,'T1 2019 Pipeline Data Lagasco'!$G:$G,'Dec 31 2018 OFFS'!$W819),1))</f>
        <v>0</v>
      </c>
      <c r="AM819" s="274">
        <f t="shared" si="122"/>
        <v>0</v>
      </c>
    </row>
    <row r="820" spans="1:39" ht="12.7">
      <c r="A820" s="193" t="s">
        <v>909</v>
      </c>
      <c r="B820" s="40" t="s">
        <v>918</v>
      </c>
      <c r="C820" s="40" t="s">
        <v>1266</v>
      </c>
      <c r="D820" s="40" t="s">
        <v>336</v>
      </c>
      <c r="E820" s="40" t="s">
        <v>1054</v>
      </c>
      <c r="F820" s="40"/>
      <c r="G820" s="40" t="s">
        <v>1316</v>
      </c>
      <c r="H820" s="42" t="s">
        <v>78</v>
      </c>
      <c r="I820" s="43">
        <v>23</v>
      </c>
      <c r="J820" s="44">
        <v>12</v>
      </c>
      <c r="K820" s="45" t="s">
        <v>1010</v>
      </c>
      <c r="L820" s="43">
        <v>42</v>
      </c>
      <c r="M820" s="46">
        <v>48</v>
      </c>
      <c r="N820" s="41" t="s">
        <v>387</v>
      </c>
      <c r="O820" s="42">
        <v>42</v>
      </c>
      <c r="P820" s="43">
        <v>23</v>
      </c>
      <c r="Q820" s="44">
        <v>8.34</v>
      </c>
      <c r="R820" s="45">
        <v>80</v>
      </c>
      <c r="S820" s="43">
        <v>42</v>
      </c>
      <c r="T820" s="46">
        <v>54.12</v>
      </c>
      <c r="U820" s="40">
        <v>3</v>
      </c>
      <c r="V820" s="47">
        <v>3831</v>
      </c>
      <c r="W820" s="48">
        <v>2008</v>
      </c>
      <c r="X820" s="40"/>
      <c r="Y820" s="52"/>
      <c r="Z820" s="40" t="s">
        <v>910</v>
      </c>
      <c r="AA820" s="49">
        <f t="shared" si="115"/>
        <v>90373.29</v>
      </c>
      <c r="AB820" s="71">
        <f t="shared" si="116"/>
        <v>0.49</v>
      </c>
      <c r="AC820" s="49">
        <f t="shared" si="117"/>
        <v>46090.38</v>
      </c>
      <c r="AD820" s="50">
        <f t="shared" si="118"/>
        <v>0</v>
      </c>
      <c r="AE820" s="50">
        <f t="shared" si="119"/>
        <v>0</v>
      </c>
      <c r="AF820" s="50">
        <f t="shared" si="120"/>
        <v>46090.38</v>
      </c>
      <c r="AG820" s="199">
        <f t="shared" si="121"/>
        <v>46090</v>
      </c>
      <c r="AH820" s="187"/>
      <c r="AI820" s="185" t="s">
        <v>1458</v>
      </c>
      <c r="AJ820" s="185"/>
      <c r="AK820" s="277">
        <f t="shared" si="114"/>
        <v>3831</v>
      </c>
      <c r="AL820" s="25">
        <f>(SUMIFS('T1 2019 Pipeline Data Lagasco'!$O:$O,'T1 2019 Pipeline Data Lagasco'!$A:$A,'Dec 31 2018 OFFS'!$AI820,'T1 2019 Pipeline Data Lagasco'!$Q:$Q,'Dec 31 2018 OFFS'!$AK820,'T1 2019 Pipeline Data Lagasco'!$E:$E,'Dec 31 2018 OFFS'!$U820,'T1 2019 Pipeline Data Lagasco'!$G:$G,'Dec 31 2018 OFFS'!$W820))/(MAX(COUNTIFS('T1 2019 Pipeline Data Lagasco'!$A:$A,'Dec 31 2018 OFFS'!$AI820,'T1 2019 Pipeline Data Lagasco'!$Q:$Q,'Dec 31 2018 OFFS'!$AK820,'T1 2019 Pipeline Data Lagasco'!$E:$E,'Dec 31 2018 OFFS'!$U820,'T1 2019 Pipeline Data Lagasco'!$G:$G,'Dec 31 2018 OFFS'!$W820),1))</f>
        <v>46090</v>
      </c>
      <c r="AM820" s="274">
        <f t="shared" si="122"/>
        <v>0</v>
      </c>
    </row>
    <row r="821" spans="1:39" ht="12.7">
      <c r="A821" s="193" t="s">
        <v>909</v>
      </c>
      <c r="B821" s="40" t="s">
        <v>918</v>
      </c>
      <c r="C821" s="40" t="s">
        <v>1266</v>
      </c>
      <c r="D821" s="40" t="s">
        <v>336</v>
      </c>
      <c r="E821" s="40" t="s">
        <v>1054</v>
      </c>
      <c r="F821" s="40"/>
      <c r="G821" s="41" t="s">
        <v>387</v>
      </c>
      <c r="H821" s="42">
        <v>42</v>
      </c>
      <c r="I821" s="43">
        <v>23</v>
      </c>
      <c r="J821" s="44">
        <v>8.34</v>
      </c>
      <c r="K821" s="45">
        <v>80</v>
      </c>
      <c r="L821" s="43">
        <v>42</v>
      </c>
      <c r="M821" s="46">
        <v>54.12</v>
      </c>
      <c r="N821" s="41" t="s">
        <v>389</v>
      </c>
      <c r="O821" s="42">
        <v>42</v>
      </c>
      <c r="P821" s="43">
        <v>23</v>
      </c>
      <c r="Q821" s="44">
        <v>15.84</v>
      </c>
      <c r="R821" s="45">
        <v>80</v>
      </c>
      <c r="S821" s="43">
        <v>42</v>
      </c>
      <c r="T821" s="46">
        <v>6.66</v>
      </c>
      <c r="U821" s="40">
        <v>3</v>
      </c>
      <c r="V821" s="47">
        <v>3697</v>
      </c>
      <c r="W821" s="48">
        <v>1995</v>
      </c>
      <c r="X821" s="40"/>
      <c r="Y821" s="52"/>
      <c r="Z821" s="40" t="s">
        <v>910</v>
      </c>
      <c r="AA821" s="49">
        <f t="shared" si="115"/>
        <v>87212.23</v>
      </c>
      <c r="AB821" s="71">
        <f t="shared" si="116"/>
        <v>0.67</v>
      </c>
      <c r="AC821" s="49">
        <f t="shared" si="117"/>
        <v>28780.04</v>
      </c>
      <c r="AD821" s="50">
        <f t="shared" si="118"/>
        <v>0</v>
      </c>
      <c r="AE821" s="50">
        <f t="shared" si="119"/>
        <v>0</v>
      </c>
      <c r="AF821" s="50">
        <f t="shared" si="120"/>
        <v>28780.04</v>
      </c>
      <c r="AG821" s="199">
        <f t="shared" si="121"/>
        <v>28780</v>
      </c>
      <c r="AH821" s="187"/>
      <c r="AI821" s="185" t="s">
        <v>1458</v>
      </c>
      <c r="AJ821" s="185"/>
      <c r="AK821" s="277">
        <f t="shared" si="114"/>
        <v>3697</v>
      </c>
      <c r="AL821" s="25">
        <f>(SUMIFS('T1 2019 Pipeline Data Lagasco'!$O:$O,'T1 2019 Pipeline Data Lagasco'!$A:$A,'Dec 31 2018 OFFS'!$AI821,'T1 2019 Pipeline Data Lagasco'!$Q:$Q,'Dec 31 2018 OFFS'!$AK821,'T1 2019 Pipeline Data Lagasco'!$E:$E,'Dec 31 2018 OFFS'!$U821,'T1 2019 Pipeline Data Lagasco'!$G:$G,'Dec 31 2018 OFFS'!$W821))/(MAX(COUNTIFS('T1 2019 Pipeline Data Lagasco'!$A:$A,'Dec 31 2018 OFFS'!$AI821,'T1 2019 Pipeline Data Lagasco'!$Q:$Q,'Dec 31 2018 OFFS'!$AK821,'T1 2019 Pipeline Data Lagasco'!$E:$E,'Dec 31 2018 OFFS'!$U821,'T1 2019 Pipeline Data Lagasco'!$G:$G,'Dec 31 2018 OFFS'!$W821),1))</f>
        <v>28780</v>
      </c>
      <c r="AM821" s="274">
        <f t="shared" si="122"/>
        <v>0</v>
      </c>
    </row>
    <row r="822" spans="1:39" ht="12.7">
      <c r="A822" s="193" t="s">
        <v>909</v>
      </c>
      <c r="B822" s="40" t="s">
        <v>918</v>
      </c>
      <c r="C822" s="40" t="s">
        <v>1266</v>
      </c>
      <c r="D822" s="40" t="s">
        <v>336</v>
      </c>
      <c r="E822" s="40" t="s">
        <v>1054</v>
      </c>
      <c r="F822" s="40" t="s">
        <v>1051</v>
      </c>
      <c r="G822" s="41" t="s">
        <v>387</v>
      </c>
      <c r="H822" s="42">
        <v>42</v>
      </c>
      <c r="I822" s="43">
        <v>23</v>
      </c>
      <c r="J822" s="44">
        <v>8.34</v>
      </c>
      <c r="K822" s="45">
        <v>80</v>
      </c>
      <c r="L822" s="43">
        <v>42</v>
      </c>
      <c r="M822" s="46">
        <v>54.12</v>
      </c>
      <c r="N822" s="40" t="s">
        <v>388</v>
      </c>
      <c r="O822" s="42">
        <v>42</v>
      </c>
      <c r="P822" s="43">
        <v>22</v>
      </c>
      <c r="Q822" s="44">
        <v>39.340000000000003</v>
      </c>
      <c r="R822" s="45">
        <v>80</v>
      </c>
      <c r="S822" s="43">
        <v>43</v>
      </c>
      <c r="T822" s="46">
        <v>50.04</v>
      </c>
      <c r="U822" s="40">
        <v>2</v>
      </c>
      <c r="V822" s="47">
        <v>5121.6205865859993</v>
      </c>
      <c r="W822" s="48">
        <v>1980</v>
      </c>
      <c r="X822" s="40"/>
      <c r="Y822" s="52"/>
      <c r="Z822" s="40" t="s">
        <v>910</v>
      </c>
      <c r="AA822" s="49">
        <f t="shared" si="115"/>
        <v>0</v>
      </c>
      <c r="AB822" s="71">
        <f t="shared" si="116"/>
        <v>0.80</v>
      </c>
      <c r="AC822" s="49">
        <f t="shared" si="117"/>
        <v>0</v>
      </c>
      <c r="AD822" s="50">
        <f t="shared" si="118"/>
        <v>0</v>
      </c>
      <c r="AE822" s="50">
        <f t="shared" si="119"/>
        <v>0</v>
      </c>
      <c r="AF822" s="50">
        <f t="shared" si="120"/>
        <v>0</v>
      </c>
      <c r="AG822" s="199">
        <f t="shared" si="121"/>
        <v>0</v>
      </c>
      <c r="AH822" s="187"/>
      <c r="AI822" s="185" t="s">
        <v>1458</v>
      </c>
      <c r="AJ822" s="185"/>
      <c r="AK822" s="277">
        <f t="shared" si="114"/>
        <v>5121.62</v>
      </c>
      <c r="AL822" s="25">
        <f>(SUMIFS('T1 2019 Pipeline Data Lagasco'!$O:$O,'T1 2019 Pipeline Data Lagasco'!$A:$A,'Dec 31 2018 OFFS'!$AI822,'T1 2019 Pipeline Data Lagasco'!$Q:$Q,'Dec 31 2018 OFFS'!$AK822,'T1 2019 Pipeline Data Lagasco'!$E:$E,'Dec 31 2018 OFFS'!$U822,'T1 2019 Pipeline Data Lagasco'!$G:$G,'Dec 31 2018 OFFS'!$W822))/(MAX(COUNTIFS('T1 2019 Pipeline Data Lagasco'!$A:$A,'Dec 31 2018 OFFS'!$AI822,'T1 2019 Pipeline Data Lagasco'!$Q:$Q,'Dec 31 2018 OFFS'!$AK822,'T1 2019 Pipeline Data Lagasco'!$E:$E,'Dec 31 2018 OFFS'!$U822,'T1 2019 Pipeline Data Lagasco'!$G:$G,'Dec 31 2018 OFFS'!$W822),1))</f>
        <v>0</v>
      </c>
      <c r="AM822" s="274">
        <f t="shared" si="122"/>
        <v>0</v>
      </c>
    </row>
    <row r="823" spans="1:39" ht="12.7">
      <c r="A823" s="193" t="s">
        <v>909</v>
      </c>
      <c r="B823" s="40" t="s">
        <v>918</v>
      </c>
      <c r="C823" s="40" t="s">
        <v>1266</v>
      </c>
      <c r="D823" s="40" t="s">
        <v>336</v>
      </c>
      <c r="E823" s="40" t="s">
        <v>1054</v>
      </c>
      <c r="F823" s="40" t="s">
        <v>1051</v>
      </c>
      <c r="G823" s="41" t="s">
        <v>385</v>
      </c>
      <c r="H823" s="42">
        <v>42</v>
      </c>
      <c r="I823" s="43">
        <v>23</v>
      </c>
      <c r="J823" s="44">
        <v>54.18</v>
      </c>
      <c r="K823" s="45">
        <v>80</v>
      </c>
      <c r="L823" s="43">
        <v>41</v>
      </c>
      <c r="M823" s="46">
        <v>19.98</v>
      </c>
      <c r="N823" s="40" t="s">
        <v>1300</v>
      </c>
      <c r="O823" s="42" t="s">
        <v>78</v>
      </c>
      <c r="P823" s="43">
        <v>23</v>
      </c>
      <c r="Q823" s="44">
        <v>15.250999999999999</v>
      </c>
      <c r="R823" s="45" t="s">
        <v>1010</v>
      </c>
      <c r="S823" s="43">
        <v>42</v>
      </c>
      <c r="T823" s="46">
        <v>6.0679999999999996</v>
      </c>
      <c r="U823" s="40">
        <v>2</v>
      </c>
      <c r="V823" s="47">
        <v>5227.99</v>
      </c>
      <c r="W823" s="48">
        <v>1980</v>
      </c>
      <c r="X823" s="40"/>
      <c r="Y823" s="52"/>
      <c r="Z823" s="40" t="s">
        <v>910</v>
      </c>
      <c r="AA823" s="49">
        <f t="shared" si="115"/>
        <v>0</v>
      </c>
      <c r="AB823" s="71">
        <f t="shared" si="116"/>
        <v>0.80</v>
      </c>
      <c r="AC823" s="49">
        <f t="shared" si="117"/>
        <v>0</v>
      </c>
      <c r="AD823" s="50">
        <f t="shared" si="118"/>
        <v>0</v>
      </c>
      <c r="AE823" s="50">
        <f t="shared" si="119"/>
        <v>0</v>
      </c>
      <c r="AF823" s="50">
        <f t="shared" si="120"/>
        <v>0</v>
      </c>
      <c r="AG823" s="199">
        <f t="shared" si="121"/>
        <v>0</v>
      </c>
      <c r="AH823" s="187"/>
      <c r="AI823" s="185" t="s">
        <v>1458</v>
      </c>
      <c r="AJ823" s="185"/>
      <c r="AK823" s="277">
        <f t="shared" si="114"/>
        <v>5227.99</v>
      </c>
      <c r="AL823" s="25">
        <f>(SUMIFS('T1 2019 Pipeline Data Lagasco'!$O:$O,'T1 2019 Pipeline Data Lagasco'!$A:$A,'Dec 31 2018 OFFS'!$AI823,'T1 2019 Pipeline Data Lagasco'!$Q:$Q,'Dec 31 2018 OFFS'!$AK823,'T1 2019 Pipeline Data Lagasco'!$E:$E,'Dec 31 2018 OFFS'!$U823,'T1 2019 Pipeline Data Lagasco'!$G:$G,'Dec 31 2018 OFFS'!$W823))/(MAX(COUNTIFS('T1 2019 Pipeline Data Lagasco'!$A:$A,'Dec 31 2018 OFFS'!$AI823,'T1 2019 Pipeline Data Lagasco'!$Q:$Q,'Dec 31 2018 OFFS'!$AK823,'T1 2019 Pipeline Data Lagasco'!$E:$E,'Dec 31 2018 OFFS'!$U823,'T1 2019 Pipeline Data Lagasco'!$G:$G,'Dec 31 2018 OFFS'!$W823),1))</f>
        <v>0</v>
      </c>
      <c r="AM823" s="274">
        <f t="shared" si="122"/>
        <v>0</v>
      </c>
    </row>
    <row r="824" spans="1:39" ht="12.7">
      <c r="A824" s="193" t="s">
        <v>909</v>
      </c>
      <c r="B824" s="40" t="s">
        <v>918</v>
      </c>
      <c r="C824" s="40" t="s">
        <v>1266</v>
      </c>
      <c r="D824" s="40" t="s">
        <v>336</v>
      </c>
      <c r="E824" s="40" t="s">
        <v>1054</v>
      </c>
      <c r="F824" s="40"/>
      <c r="G824" s="41" t="s">
        <v>389</v>
      </c>
      <c r="H824" s="42" t="s">
        <v>78</v>
      </c>
      <c r="I824" s="43">
        <v>23</v>
      </c>
      <c r="J824" s="44">
        <v>15.250999999999999</v>
      </c>
      <c r="K824" s="45" t="s">
        <v>1010</v>
      </c>
      <c r="L824" s="43">
        <v>42</v>
      </c>
      <c r="M824" s="46">
        <v>6.0679999999999996</v>
      </c>
      <c r="N824" s="40" t="s">
        <v>386</v>
      </c>
      <c r="O824" s="42">
        <v>42</v>
      </c>
      <c r="P824" s="43">
        <v>23</v>
      </c>
      <c r="Q824" s="44">
        <v>13.80</v>
      </c>
      <c r="R824" s="45">
        <v>80</v>
      </c>
      <c r="S824" s="43">
        <v>40</v>
      </c>
      <c r="T824" s="46">
        <v>47.82</v>
      </c>
      <c r="U824" s="40">
        <v>3</v>
      </c>
      <c r="V824" s="47">
        <v>5925</v>
      </c>
      <c r="W824" s="48">
        <v>2008</v>
      </c>
      <c r="X824" s="40"/>
      <c r="Y824" s="52"/>
      <c r="Z824" s="40" t="s">
        <v>910</v>
      </c>
      <c r="AA824" s="49">
        <f t="shared" si="115"/>
        <v>139770.75</v>
      </c>
      <c r="AB824" s="71">
        <f t="shared" si="116"/>
        <v>0.49</v>
      </c>
      <c r="AC824" s="49">
        <f t="shared" si="117"/>
        <v>71283.08</v>
      </c>
      <c r="AD824" s="50">
        <f t="shared" si="118"/>
        <v>0</v>
      </c>
      <c r="AE824" s="50">
        <f t="shared" si="119"/>
        <v>0</v>
      </c>
      <c r="AF824" s="50">
        <f t="shared" si="120"/>
        <v>71283.08</v>
      </c>
      <c r="AG824" s="199">
        <f t="shared" si="121"/>
        <v>71283</v>
      </c>
      <c r="AH824" s="187"/>
      <c r="AI824" s="185" t="s">
        <v>1458</v>
      </c>
      <c r="AJ824" s="185"/>
      <c r="AK824" s="277">
        <f t="shared" si="114"/>
        <v>5925</v>
      </c>
      <c r="AL824" s="25">
        <f>(SUMIFS('T1 2019 Pipeline Data Lagasco'!$O:$O,'T1 2019 Pipeline Data Lagasco'!$A:$A,'Dec 31 2018 OFFS'!$AI824,'T1 2019 Pipeline Data Lagasco'!$Q:$Q,'Dec 31 2018 OFFS'!$AK824,'T1 2019 Pipeline Data Lagasco'!$E:$E,'Dec 31 2018 OFFS'!$U824,'T1 2019 Pipeline Data Lagasco'!$G:$G,'Dec 31 2018 OFFS'!$W824))/(MAX(COUNTIFS('T1 2019 Pipeline Data Lagasco'!$A:$A,'Dec 31 2018 OFFS'!$AI824,'T1 2019 Pipeline Data Lagasco'!$Q:$Q,'Dec 31 2018 OFFS'!$AK824,'T1 2019 Pipeline Data Lagasco'!$E:$E,'Dec 31 2018 OFFS'!$U824,'T1 2019 Pipeline Data Lagasco'!$G:$G,'Dec 31 2018 OFFS'!$W824),1))</f>
        <v>71283</v>
      </c>
      <c r="AM824" s="274">
        <f t="shared" si="122"/>
        <v>0</v>
      </c>
    </row>
    <row r="825" spans="1:39" ht="12.7">
      <c r="A825" s="193" t="s">
        <v>909</v>
      </c>
      <c r="B825" s="40" t="s">
        <v>918</v>
      </c>
      <c r="C825" s="40" t="s">
        <v>1266</v>
      </c>
      <c r="D825" s="40" t="s">
        <v>336</v>
      </c>
      <c r="E825" s="40" t="s">
        <v>1054</v>
      </c>
      <c r="F825" s="40"/>
      <c r="G825" s="41" t="s">
        <v>386</v>
      </c>
      <c r="H825" s="42">
        <v>42</v>
      </c>
      <c r="I825" s="43">
        <v>23</v>
      </c>
      <c r="J825" s="44">
        <v>13.80</v>
      </c>
      <c r="K825" s="45">
        <v>80</v>
      </c>
      <c r="L825" s="43">
        <v>40</v>
      </c>
      <c r="M825" s="46">
        <v>47.82</v>
      </c>
      <c r="N825" s="40" t="s">
        <v>380</v>
      </c>
      <c r="O825" s="40" t="s">
        <v>78</v>
      </c>
      <c r="P825" s="40">
        <v>23</v>
      </c>
      <c r="Q825" s="40">
        <v>57.12</v>
      </c>
      <c r="R825" s="40" t="s">
        <v>1010</v>
      </c>
      <c r="S825" s="40">
        <v>40</v>
      </c>
      <c r="T825" s="40">
        <v>33.18</v>
      </c>
      <c r="U825" s="40">
        <v>3</v>
      </c>
      <c r="V825" s="47">
        <v>4480</v>
      </c>
      <c r="W825" s="48">
        <v>2008</v>
      </c>
      <c r="X825" s="40"/>
      <c r="Y825" s="52"/>
      <c r="Z825" s="40" t="s">
        <v>910</v>
      </c>
      <c r="AA825" s="49">
        <f t="shared" si="115"/>
        <v>105683.20</v>
      </c>
      <c r="AB825" s="71">
        <f t="shared" si="116"/>
        <v>0.49</v>
      </c>
      <c r="AC825" s="49">
        <f t="shared" si="117"/>
        <v>53898.43</v>
      </c>
      <c r="AD825" s="50">
        <f t="shared" si="118"/>
        <v>0</v>
      </c>
      <c r="AE825" s="50">
        <f t="shared" si="119"/>
        <v>0</v>
      </c>
      <c r="AF825" s="50">
        <f t="shared" si="120"/>
        <v>53898.43</v>
      </c>
      <c r="AG825" s="199">
        <f t="shared" si="121"/>
        <v>53898</v>
      </c>
      <c r="AH825" s="187"/>
      <c r="AI825" s="185" t="s">
        <v>1458</v>
      </c>
      <c r="AJ825" s="185"/>
      <c r="AK825" s="277">
        <f t="shared" si="114"/>
        <v>4480</v>
      </c>
      <c r="AL825" s="25">
        <f>(SUMIFS('T1 2019 Pipeline Data Lagasco'!$O:$O,'T1 2019 Pipeline Data Lagasco'!$A:$A,'Dec 31 2018 OFFS'!$AI825,'T1 2019 Pipeline Data Lagasco'!$Q:$Q,'Dec 31 2018 OFFS'!$AK825,'T1 2019 Pipeline Data Lagasco'!$E:$E,'Dec 31 2018 OFFS'!$U825,'T1 2019 Pipeline Data Lagasco'!$G:$G,'Dec 31 2018 OFFS'!$W825))/(MAX(COUNTIFS('T1 2019 Pipeline Data Lagasco'!$A:$A,'Dec 31 2018 OFFS'!$AI825,'T1 2019 Pipeline Data Lagasco'!$Q:$Q,'Dec 31 2018 OFFS'!$AK825,'T1 2019 Pipeline Data Lagasco'!$E:$E,'Dec 31 2018 OFFS'!$U825,'T1 2019 Pipeline Data Lagasco'!$G:$G,'Dec 31 2018 OFFS'!$W825),1))</f>
        <v>53898</v>
      </c>
      <c r="AM825" s="274">
        <f t="shared" si="122"/>
        <v>0</v>
      </c>
    </row>
    <row r="826" spans="1:39" ht="12.7">
      <c r="A826" s="193" t="s">
        <v>909</v>
      </c>
      <c r="B826" s="40" t="s">
        <v>918</v>
      </c>
      <c r="C826" s="40" t="s">
        <v>1266</v>
      </c>
      <c r="D826" s="40" t="s">
        <v>336</v>
      </c>
      <c r="E826" s="40" t="s">
        <v>1054</v>
      </c>
      <c r="F826" s="40"/>
      <c r="G826" s="41" t="s">
        <v>386</v>
      </c>
      <c r="H826" s="42">
        <v>42</v>
      </c>
      <c r="I826" s="43">
        <v>23</v>
      </c>
      <c r="J826" s="44">
        <v>13.80</v>
      </c>
      <c r="K826" s="45">
        <v>80</v>
      </c>
      <c r="L826" s="43">
        <v>40</v>
      </c>
      <c r="M826" s="46">
        <v>47.82</v>
      </c>
      <c r="N826" s="41" t="s">
        <v>369</v>
      </c>
      <c r="O826" s="42">
        <v>42</v>
      </c>
      <c r="P826" s="43">
        <v>22</v>
      </c>
      <c r="Q826" s="44">
        <v>46.618000000000002</v>
      </c>
      <c r="R826" s="45">
        <v>80</v>
      </c>
      <c r="S826" s="43">
        <v>40</v>
      </c>
      <c r="T826" s="46">
        <v>26.620999999999999</v>
      </c>
      <c r="U826" s="40">
        <v>3</v>
      </c>
      <c r="V826" s="47">
        <v>3127</v>
      </c>
      <c r="W826" s="48">
        <v>1995</v>
      </c>
      <c r="X826" s="40"/>
      <c r="Y826" s="52"/>
      <c r="Z826" s="40" t="s">
        <v>910</v>
      </c>
      <c r="AA826" s="49">
        <f t="shared" si="115"/>
        <v>73765.929999999993</v>
      </c>
      <c r="AB826" s="71">
        <f t="shared" si="116"/>
        <v>0.67</v>
      </c>
      <c r="AC826" s="49">
        <f t="shared" si="117"/>
        <v>24342.76</v>
      </c>
      <c r="AD826" s="50">
        <f t="shared" si="118"/>
        <v>0</v>
      </c>
      <c r="AE826" s="50">
        <f t="shared" si="119"/>
        <v>0</v>
      </c>
      <c r="AF826" s="50">
        <f t="shared" si="120"/>
        <v>24342.76</v>
      </c>
      <c r="AG826" s="199">
        <f t="shared" si="121"/>
        <v>24342</v>
      </c>
      <c r="AH826" s="187"/>
      <c r="AI826" s="185" t="s">
        <v>1458</v>
      </c>
      <c r="AJ826" s="185"/>
      <c r="AK826" s="277">
        <f t="shared" si="114"/>
        <v>3127</v>
      </c>
      <c r="AL826" s="25">
        <f>(SUMIFS('T1 2019 Pipeline Data Lagasco'!$O:$O,'T1 2019 Pipeline Data Lagasco'!$A:$A,'Dec 31 2018 OFFS'!$AI826,'T1 2019 Pipeline Data Lagasco'!$Q:$Q,'Dec 31 2018 OFFS'!$AK826,'T1 2019 Pipeline Data Lagasco'!$E:$E,'Dec 31 2018 OFFS'!$U826,'T1 2019 Pipeline Data Lagasco'!$G:$G,'Dec 31 2018 OFFS'!$W826))/(MAX(COUNTIFS('T1 2019 Pipeline Data Lagasco'!$A:$A,'Dec 31 2018 OFFS'!$AI826,'T1 2019 Pipeline Data Lagasco'!$Q:$Q,'Dec 31 2018 OFFS'!$AK826,'T1 2019 Pipeline Data Lagasco'!$E:$E,'Dec 31 2018 OFFS'!$U826,'T1 2019 Pipeline Data Lagasco'!$G:$G,'Dec 31 2018 OFFS'!$W826),1))</f>
        <v>24342</v>
      </c>
      <c r="AM826" s="274">
        <f t="shared" si="122"/>
        <v>0</v>
      </c>
    </row>
    <row r="827" spans="1:39" ht="12.7">
      <c r="A827" s="193" t="s">
        <v>909</v>
      </c>
      <c r="B827" s="40" t="s">
        <v>918</v>
      </c>
      <c r="C827" s="40" t="s">
        <v>1266</v>
      </c>
      <c r="D827" s="40" t="s">
        <v>336</v>
      </c>
      <c r="E827" s="40" t="s">
        <v>1054</v>
      </c>
      <c r="F827" s="40"/>
      <c r="G827" s="41" t="s">
        <v>386</v>
      </c>
      <c r="H827" s="42">
        <v>42</v>
      </c>
      <c r="I827" s="43">
        <v>23</v>
      </c>
      <c r="J827" s="44">
        <v>13.80</v>
      </c>
      <c r="K827" s="45">
        <v>80</v>
      </c>
      <c r="L827" s="43">
        <v>40</v>
      </c>
      <c r="M827" s="46">
        <v>47.82</v>
      </c>
      <c r="N827" s="40" t="s">
        <v>390</v>
      </c>
      <c r="O827" s="42">
        <v>42</v>
      </c>
      <c r="P827" s="43">
        <v>22</v>
      </c>
      <c r="Q827" s="44">
        <v>29.70</v>
      </c>
      <c r="R827" s="45">
        <v>80</v>
      </c>
      <c r="S827" s="43">
        <v>41</v>
      </c>
      <c r="T827" s="46">
        <v>36.90</v>
      </c>
      <c r="U827" s="40">
        <v>2</v>
      </c>
      <c r="V827" s="47">
        <v>5787.6638743839994</v>
      </c>
      <c r="W827" s="48">
        <v>1979</v>
      </c>
      <c r="X827" s="40"/>
      <c r="Y827" s="52"/>
      <c r="Z827" s="40" t="s">
        <v>910</v>
      </c>
      <c r="AA827" s="49">
        <f t="shared" si="115"/>
        <v>93991.661319996143</v>
      </c>
      <c r="AB827" s="71">
        <f t="shared" si="116"/>
        <v>0.80</v>
      </c>
      <c r="AC827" s="49">
        <f t="shared" si="117"/>
        <v>18798.330000000002</v>
      </c>
      <c r="AD827" s="50">
        <f t="shared" si="118"/>
        <v>0</v>
      </c>
      <c r="AE827" s="50">
        <f t="shared" si="119"/>
        <v>0</v>
      </c>
      <c r="AF827" s="50">
        <f t="shared" si="120"/>
        <v>18798.330000000002</v>
      </c>
      <c r="AG827" s="199">
        <f t="shared" si="121"/>
        <v>18798</v>
      </c>
      <c r="AH827" s="187"/>
      <c r="AI827" s="185" t="s">
        <v>1458</v>
      </c>
      <c r="AJ827" s="185"/>
      <c r="AK827" s="277">
        <f t="shared" si="114"/>
        <v>5787.66</v>
      </c>
      <c r="AL827" s="25">
        <f>(SUMIFS('T1 2019 Pipeline Data Lagasco'!$O:$O,'T1 2019 Pipeline Data Lagasco'!$A:$A,'Dec 31 2018 OFFS'!$AI827,'T1 2019 Pipeline Data Lagasco'!$Q:$Q,'Dec 31 2018 OFFS'!$AK827,'T1 2019 Pipeline Data Lagasco'!$E:$E,'Dec 31 2018 OFFS'!$U827,'T1 2019 Pipeline Data Lagasco'!$G:$G,'Dec 31 2018 OFFS'!$W827))/(MAX(COUNTIFS('T1 2019 Pipeline Data Lagasco'!$A:$A,'Dec 31 2018 OFFS'!$AI827,'T1 2019 Pipeline Data Lagasco'!$Q:$Q,'Dec 31 2018 OFFS'!$AK827,'T1 2019 Pipeline Data Lagasco'!$E:$E,'Dec 31 2018 OFFS'!$U827,'T1 2019 Pipeline Data Lagasco'!$G:$G,'Dec 31 2018 OFFS'!$W827),1))</f>
        <v>18798</v>
      </c>
      <c r="AM827" s="274">
        <f t="shared" si="122"/>
        <v>0</v>
      </c>
    </row>
    <row r="828" spans="1:39" ht="12.7">
      <c r="A828" s="193" t="s">
        <v>909</v>
      </c>
      <c r="B828" s="40" t="s">
        <v>918</v>
      </c>
      <c r="C828" s="40" t="s">
        <v>1266</v>
      </c>
      <c r="D828" s="40" t="s">
        <v>336</v>
      </c>
      <c r="E828" s="40" t="s">
        <v>1054</v>
      </c>
      <c r="F828" s="40" t="s">
        <v>1051</v>
      </c>
      <c r="G828" s="40" t="s">
        <v>391</v>
      </c>
      <c r="H828" s="42">
        <v>42</v>
      </c>
      <c r="I828" s="43">
        <v>21</v>
      </c>
      <c r="J828" s="44">
        <v>41.988999999999997</v>
      </c>
      <c r="K828" s="45">
        <v>80</v>
      </c>
      <c r="L828" s="43">
        <v>43</v>
      </c>
      <c r="M828" s="46">
        <v>46.88</v>
      </c>
      <c r="N828" s="41" t="s">
        <v>392</v>
      </c>
      <c r="O828" s="42">
        <v>42</v>
      </c>
      <c r="P828" s="43">
        <v>21</v>
      </c>
      <c r="Q828" s="44">
        <v>40.319000000000003</v>
      </c>
      <c r="R828" s="45">
        <v>80</v>
      </c>
      <c r="S828" s="43">
        <v>43</v>
      </c>
      <c r="T828" s="46">
        <v>39.701000000000001</v>
      </c>
      <c r="U828" s="40">
        <v>2</v>
      </c>
      <c r="V828" s="47">
        <v>564.82937996800001</v>
      </c>
      <c r="W828" s="48">
        <v>1981</v>
      </c>
      <c r="X828" s="40"/>
      <c r="Y828" s="52"/>
      <c r="Z828" s="40" t="s">
        <v>910</v>
      </c>
      <c r="AA828" s="49">
        <f t="shared" si="115"/>
        <v>0</v>
      </c>
      <c r="AB828" s="71">
        <f t="shared" si="116"/>
        <v>0.80</v>
      </c>
      <c r="AC828" s="49">
        <f t="shared" si="117"/>
        <v>0</v>
      </c>
      <c r="AD828" s="50">
        <f t="shared" si="118"/>
        <v>0</v>
      </c>
      <c r="AE828" s="50">
        <f t="shared" si="119"/>
        <v>0</v>
      </c>
      <c r="AF828" s="50">
        <f t="shared" si="120"/>
        <v>0</v>
      </c>
      <c r="AG828" s="199">
        <f t="shared" si="121"/>
        <v>0</v>
      </c>
      <c r="AH828" s="187"/>
      <c r="AI828" s="185" t="s">
        <v>1458</v>
      </c>
      <c r="AJ828" s="185"/>
      <c r="AK828" s="277">
        <f t="shared" si="114"/>
        <v>564.83000000000004</v>
      </c>
      <c r="AL828" s="25">
        <f>(SUMIFS('T1 2019 Pipeline Data Lagasco'!$O:$O,'T1 2019 Pipeline Data Lagasco'!$A:$A,'Dec 31 2018 OFFS'!$AI828,'T1 2019 Pipeline Data Lagasco'!$Q:$Q,'Dec 31 2018 OFFS'!$AK828,'T1 2019 Pipeline Data Lagasco'!$E:$E,'Dec 31 2018 OFFS'!$U828,'T1 2019 Pipeline Data Lagasco'!$G:$G,'Dec 31 2018 OFFS'!$W828))/(MAX(COUNTIFS('T1 2019 Pipeline Data Lagasco'!$A:$A,'Dec 31 2018 OFFS'!$AI828,'T1 2019 Pipeline Data Lagasco'!$Q:$Q,'Dec 31 2018 OFFS'!$AK828,'T1 2019 Pipeline Data Lagasco'!$E:$E,'Dec 31 2018 OFFS'!$U828,'T1 2019 Pipeline Data Lagasco'!$G:$G,'Dec 31 2018 OFFS'!$W828),1))</f>
        <v>0</v>
      </c>
      <c r="AM828" s="274">
        <f t="shared" si="122"/>
        <v>0</v>
      </c>
    </row>
    <row r="829" spans="1:39" ht="12.7">
      <c r="A829" s="200" t="s">
        <v>909</v>
      </c>
      <c r="B829" s="201" t="s">
        <v>918</v>
      </c>
      <c r="C829" s="201" t="s">
        <v>1266</v>
      </c>
      <c r="D829" s="201" t="s">
        <v>336</v>
      </c>
      <c r="E829" s="201" t="s">
        <v>1054</v>
      </c>
      <c r="F829" s="202" t="s">
        <v>1051</v>
      </c>
      <c r="G829" s="201" t="s">
        <v>519</v>
      </c>
      <c r="H829" s="203">
        <v>42</v>
      </c>
      <c r="I829" s="204">
        <v>21</v>
      </c>
      <c r="J829" s="205">
        <v>30.57</v>
      </c>
      <c r="K829" s="206">
        <v>80</v>
      </c>
      <c r="L829" s="204">
        <v>43</v>
      </c>
      <c r="M829" s="207">
        <v>55.94</v>
      </c>
      <c r="N829" s="208" t="s">
        <v>520</v>
      </c>
      <c r="O829" s="203">
        <v>42</v>
      </c>
      <c r="P829" s="204">
        <v>21</v>
      </c>
      <c r="Q829" s="205">
        <v>25.62</v>
      </c>
      <c r="R829" s="206">
        <v>80</v>
      </c>
      <c r="S829" s="204">
        <v>42</v>
      </c>
      <c r="T829" s="207">
        <v>14.22</v>
      </c>
      <c r="U829" s="201">
        <v>4</v>
      </c>
      <c r="V829" s="209">
        <v>7653.3462350519985</v>
      </c>
      <c r="W829" s="210">
        <v>1981</v>
      </c>
      <c r="X829" s="201"/>
      <c r="Y829" s="52"/>
      <c r="Z829" s="201" t="s">
        <v>910</v>
      </c>
      <c r="AA829" s="211">
        <f t="shared" si="115"/>
        <v>0</v>
      </c>
      <c r="AB829" s="212">
        <f t="shared" si="116"/>
        <v>0.80</v>
      </c>
      <c r="AC829" s="211">
        <f t="shared" si="117"/>
        <v>0</v>
      </c>
      <c r="AD829" s="213">
        <f t="shared" si="118"/>
        <v>0</v>
      </c>
      <c r="AE829" s="213">
        <f t="shared" si="119"/>
        <v>0</v>
      </c>
      <c r="AF829" s="213">
        <f t="shared" si="120"/>
        <v>0</v>
      </c>
      <c r="AG829" s="214">
        <f t="shared" si="121"/>
        <v>0</v>
      </c>
      <c r="AH829" s="215"/>
      <c r="AI829" s="216" t="s">
        <v>1458</v>
      </c>
      <c r="AJ829" s="216" t="s">
        <v>1560</v>
      </c>
      <c r="AK829" s="283">
        <f t="shared" si="114"/>
        <v>7653.35</v>
      </c>
      <c r="AL829" s="25">
        <f>(SUMIFS('T1 2019 Pipeline Data Lagasco'!$O:$O,'T1 2019 Pipeline Data Lagasco'!$A:$A,'Dec 31 2018 OFFS'!$AI829,'T1 2019 Pipeline Data Lagasco'!$Q:$Q,'Dec 31 2018 OFFS'!$AK829,'T1 2019 Pipeline Data Lagasco'!$E:$E,'Dec 31 2018 OFFS'!$U829,'T1 2019 Pipeline Data Lagasco'!$G:$G,'Dec 31 2018 OFFS'!$W829))/(MAX(COUNTIFS('T1 2019 Pipeline Data Lagasco'!$A:$A,'Dec 31 2018 OFFS'!$AI829,'T1 2019 Pipeline Data Lagasco'!$Q:$Q,'Dec 31 2018 OFFS'!$AK829,'T1 2019 Pipeline Data Lagasco'!$E:$E,'Dec 31 2018 OFFS'!$U829,'T1 2019 Pipeline Data Lagasco'!$G:$G,'Dec 31 2018 OFFS'!$W829),1))</f>
        <v>0</v>
      </c>
      <c r="AM829" s="285">
        <f t="shared" si="122"/>
        <v>0</v>
      </c>
    </row>
    <row r="830" spans="1:39" ht="12.7">
      <c r="A830" s="200" t="s">
        <v>909</v>
      </c>
      <c r="B830" s="201" t="s">
        <v>918</v>
      </c>
      <c r="C830" s="201" t="s">
        <v>1266</v>
      </c>
      <c r="D830" s="201" t="s">
        <v>336</v>
      </c>
      <c r="E830" s="201" t="s">
        <v>1054</v>
      </c>
      <c r="F830" s="202" t="s">
        <v>1051</v>
      </c>
      <c r="G830" s="208" t="s">
        <v>520</v>
      </c>
      <c r="H830" s="203">
        <v>42</v>
      </c>
      <c r="I830" s="204">
        <v>21</v>
      </c>
      <c r="J830" s="205">
        <v>25.62</v>
      </c>
      <c r="K830" s="206">
        <v>80</v>
      </c>
      <c r="L830" s="204">
        <v>42</v>
      </c>
      <c r="M830" s="207">
        <v>14.22</v>
      </c>
      <c r="N830" s="208" t="s">
        <v>521</v>
      </c>
      <c r="O830" s="203">
        <v>42</v>
      </c>
      <c r="P830" s="204">
        <v>20</v>
      </c>
      <c r="Q830" s="205">
        <v>35.880000000000003</v>
      </c>
      <c r="R830" s="206">
        <v>80</v>
      </c>
      <c r="S830" s="204">
        <v>40</v>
      </c>
      <c r="T830" s="207">
        <v>20.88</v>
      </c>
      <c r="U830" s="201">
        <v>4</v>
      </c>
      <c r="V830" s="209">
        <v>9888.2871152099997</v>
      </c>
      <c r="W830" s="210">
        <v>1981</v>
      </c>
      <c r="X830" s="201"/>
      <c r="Y830" s="52"/>
      <c r="Z830" s="201" t="s">
        <v>910</v>
      </c>
      <c r="AA830" s="211">
        <f t="shared" si="115"/>
        <v>0</v>
      </c>
      <c r="AB830" s="212">
        <f t="shared" si="116"/>
        <v>0.80</v>
      </c>
      <c r="AC830" s="211">
        <f t="shared" si="117"/>
        <v>0</v>
      </c>
      <c r="AD830" s="213">
        <f t="shared" si="118"/>
        <v>0</v>
      </c>
      <c r="AE830" s="213">
        <f t="shared" si="119"/>
        <v>0</v>
      </c>
      <c r="AF830" s="213">
        <f t="shared" si="120"/>
        <v>0</v>
      </c>
      <c r="AG830" s="214">
        <f t="shared" si="121"/>
        <v>0</v>
      </c>
      <c r="AH830" s="215"/>
      <c r="AI830" s="216" t="s">
        <v>1458</v>
      </c>
      <c r="AJ830" s="216" t="s">
        <v>1560</v>
      </c>
      <c r="AK830" s="283">
        <f t="shared" si="114"/>
        <v>9888.2900000000009</v>
      </c>
      <c r="AL830" s="25">
        <f>(SUMIFS('T1 2019 Pipeline Data Lagasco'!$O:$O,'T1 2019 Pipeline Data Lagasco'!$A:$A,'Dec 31 2018 OFFS'!$AI830,'T1 2019 Pipeline Data Lagasco'!$Q:$Q,'Dec 31 2018 OFFS'!$AK830,'T1 2019 Pipeline Data Lagasco'!$E:$E,'Dec 31 2018 OFFS'!$U830,'T1 2019 Pipeline Data Lagasco'!$G:$G,'Dec 31 2018 OFFS'!$W830))/(MAX(COUNTIFS('T1 2019 Pipeline Data Lagasco'!$A:$A,'Dec 31 2018 OFFS'!$AI830,'T1 2019 Pipeline Data Lagasco'!$Q:$Q,'Dec 31 2018 OFFS'!$AK830,'T1 2019 Pipeline Data Lagasco'!$E:$E,'Dec 31 2018 OFFS'!$U830,'T1 2019 Pipeline Data Lagasco'!$G:$G,'Dec 31 2018 OFFS'!$W830),1))</f>
        <v>0</v>
      </c>
      <c r="AM830" s="285">
        <f t="shared" si="122"/>
        <v>0</v>
      </c>
    </row>
    <row r="831" spans="1:39" ht="12.7">
      <c r="A831" s="200" t="s">
        <v>909</v>
      </c>
      <c r="B831" s="201" t="s">
        <v>918</v>
      </c>
      <c r="C831" s="201" t="s">
        <v>1266</v>
      </c>
      <c r="D831" s="201" t="s">
        <v>336</v>
      </c>
      <c r="E831" s="201" t="s">
        <v>1054</v>
      </c>
      <c r="F831" s="202" t="s">
        <v>1051</v>
      </c>
      <c r="G831" s="208" t="s">
        <v>393</v>
      </c>
      <c r="H831" s="203">
        <v>42</v>
      </c>
      <c r="I831" s="204">
        <v>20</v>
      </c>
      <c r="J831" s="205">
        <v>35.045</v>
      </c>
      <c r="K831" s="206">
        <v>80</v>
      </c>
      <c r="L831" s="204">
        <v>40</v>
      </c>
      <c r="M831" s="207">
        <v>19.90</v>
      </c>
      <c r="N831" s="208" t="s">
        <v>394</v>
      </c>
      <c r="O831" s="203">
        <v>42</v>
      </c>
      <c r="P831" s="204">
        <v>19</v>
      </c>
      <c r="Q831" s="205">
        <v>54.84</v>
      </c>
      <c r="R831" s="206">
        <v>80</v>
      </c>
      <c r="S831" s="204">
        <v>39</v>
      </c>
      <c r="T831" s="207">
        <v>50.28</v>
      </c>
      <c r="U831" s="201">
        <v>2</v>
      </c>
      <c r="V831" s="209">
        <v>4638.1232252600003</v>
      </c>
      <c r="W831" s="210">
        <v>1981</v>
      </c>
      <c r="X831" s="201"/>
      <c r="Y831" s="52"/>
      <c r="Z831" s="201" t="s">
        <v>910</v>
      </c>
      <c r="AA831" s="211">
        <f t="shared" si="115"/>
        <v>0</v>
      </c>
      <c r="AB831" s="212">
        <f t="shared" si="116"/>
        <v>0.80</v>
      </c>
      <c r="AC831" s="211">
        <f t="shared" si="117"/>
        <v>0</v>
      </c>
      <c r="AD831" s="213">
        <f t="shared" si="118"/>
        <v>0</v>
      </c>
      <c r="AE831" s="213">
        <f t="shared" si="119"/>
        <v>0</v>
      </c>
      <c r="AF831" s="213">
        <f t="shared" si="120"/>
        <v>0</v>
      </c>
      <c r="AG831" s="214">
        <f t="shared" si="121"/>
        <v>0</v>
      </c>
      <c r="AH831" s="215"/>
      <c r="AI831" s="216" t="s">
        <v>1458</v>
      </c>
      <c r="AJ831" s="216" t="s">
        <v>1560</v>
      </c>
      <c r="AK831" s="283">
        <f t="shared" si="114"/>
        <v>4638.12</v>
      </c>
      <c r="AL831" s="25">
        <f>(SUMIFS('T1 2019 Pipeline Data Lagasco'!$O:$O,'T1 2019 Pipeline Data Lagasco'!$A:$A,'Dec 31 2018 OFFS'!$AI831,'T1 2019 Pipeline Data Lagasco'!$Q:$Q,'Dec 31 2018 OFFS'!$AK831,'T1 2019 Pipeline Data Lagasco'!$E:$E,'Dec 31 2018 OFFS'!$U831,'T1 2019 Pipeline Data Lagasco'!$G:$G,'Dec 31 2018 OFFS'!$W831))/(MAX(COUNTIFS('T1 2019 Pipeline Data Lagasco'!$A:$A,'Dec 31 2018 OFFS'!$AI831,'T1 2019 Pipeline Data Lagasco'!$Q:$Q,'Dec 31 2018 OFFS'!$AK831,'T1 2019 Pipeline Data Lagasco'!$E:$E,'Dec 31 2018 OFFS'!$U831,'T1 2019 Pipeline Data Lagasco'!$G:$G,'Dec 31 2018 OFFS'!$W831),1))</f>
        <v>0</v>
      </c>
      <c r="AM831" s="285">
        <f t="shared" si="122"/>
        <v>0</v>
      </c>
    </row>
    <row r="832" spans="1:39" ht="12.7">
      <c r="A832" s="193" t="s">
        <v>909</v>
      </c>
      <c r="B832" s="139" t="s">
        <v>918</v>
      </c>
      <c r="C832" s="139" t="s">
        <v>1266</v>
      </c>
      <c r="D832" s="40" t="s">
        <v>336</v>
      </c>
      <c r="E832" s="40" t="s">
        <v>1054</v>
      </c>
      <c r="F832" s="139" t="s">
        <v>1381</v>
      </c>
      <c r="G832" s="155" t="s">
        <v>394</v>
      </c>
      <c r="H832" s="42">
        <v>42</v>
      </c>
      <c r="I832" s="43">
        <v>20</v>
      </c>
      <c r="J832" s="44">
        <v>35.045</v>
      </c>
      <c r="K832" s="45">
        <v>80</v>
      </c>
      <c r="L832" s="43">
        <v>40</v>
      </c>
      <c r="M832" s="46">
        <v>19.90</v>
      </c>
      <c r="N832" s="155" t="s">
        <v>517</v>
      </c>
      <c r="O832" s="42">
        <v>42</v>
      </c>
      <c r="P832" s="43">
        <v>19</v>
      </c>
      <c r="Q832" s="44">
        <v>54.84</v>
      </c>
      <c r="R832" s="45">
        <v>80</v>
      </c>
      <c r="S832" s="43">
        <v>39</v>
      </c>
      <c r="T832" s="46">
        <v>50.28</v>
      </c>
      <c r="U832" s="40">
        <v>3</v>
      </c>
      <c r="V832" s="280">
        <v>4494</v>
      </c>
      <c r="W832" s="48">
        <v>2014</v>
      </c>
      <c r="X832" s="40"/>
      <c r="Y832" s="52"/>
      <c r="Z832" s="40" t="s">
        <v>910</v>
      </c>
      <c r="AA832" s="49">
        <f t="shared" si="115"/>
        <v>106013.46</v>
      </c>
      <c r="AB832" s="71">
        <f t="shared" si="116"/>
        <v>0.15</v>
      </c>
      <c r="AC832" s="49">
        <f t="shared" si="117"/>
        <v>90111.44</v>
      </c>
      <c r="AD832" s="50">
        <f t="shared" si="118"/>
        <v>0</v>
      </c>
      <c r="AE832" s="50">
        <f t="shared" si="119"/>
        <v>0</v>
      </c>
      <c r="AF832" s="50">
        <f t="shared" si="120"/>
        <v>90111.44</v>
      </c>
      <c r="AG832" s="199">
        <f t="shared" si="121"/>
        <v>90111</v>
      </c>
      <c r="AH832" s="187"/>
      <c r="AI832" s="185" t="s">
        <v>1458</v>
      </c>
      <c r="AJ832" s="185"/>
      <c r="AK832" s="277">
        <f t="shared" si="114"/>
        <v>4494</v>
      </c>
      <c r="AL832" s="25">
        <f>(SUMIFS('T1 2019 Pipeline Data Lagasco'!$O:$O,'T1 2019 Pipeline Data Lagasco'!$A:$A,'Dec 31 2018 OFFS'!$AI832,'T1 2019 Pipeline Data Lagasco'!$Q:$Q,'Dec 31 2018 OFFS'!$AK832,'T1 2019 Pipeline Data Lagasco'!$E:$E,'Dec 31 2018 OFFS'!$U832,'T1 2019 Pipeline Data Lagasco'!$G:$G,'Dec 31 2018 OFFS'!$W832))/(MAX(COUNTIFS('T1 2019 Pipeline Data Lagasco'!$A:$A,'Dec 31 2018 OFFS'!$AI832,'T1 2019 Pipeline Data Lagasco'!$Q:$Q,'Dec 31 2018 OFFS'!$AK832,'T1 2019 Pipeline Data Lagasco'!$E:$E,'Dec 31 2018 OFFS'!$U832,'T1 2019 Pipeline Data Lagasco'!$G:$G,'Dec 31 2018 OFFS'!$W832),1))</f>
        <v>90111</v>
      </c>
      <c r="AM832" s="274">
        <f t="shared" si="122"/>
        <v>0</v>
      </c>
    </row>
    <row r="833" spans="1:39" ht="12.7">
      <c r="A833" s="193" t="s">
        <v>909</v>
      </c>
      <c r="B833" s="40" t="s">
        <v>918</v>
      </c>
      <c r="C833" s="40" t="s">
        <v>1266</v>
      </c>
      <c r="D833" s="40" t="s">
        <v>336</v>
      </c>
      <c r="E833" s="40" t="s">
        <v>1054</v>
      </c>
      <c r="F833" s="40" t="s">
        <v>1051</v>
      </c>
      <c r="G833" s="41" t="s">
        <v>521</v>
      </c>
      <c r="H833" s="42">
        <v>42</v>
      </c>
      <c r="I833" s="43">
        <v>20</v>
      </c>
      <c r="J833" s="44">
        <v>35.880000000000003</v>
      </c>
      <c r="K833" s="45">
        <v>80</v>
      </c>
      <c r="L833" s="43">
        <v>40</v>
      </c>
      <c r="M833" s="46">
        <v>20.88</v>
      </c>
      <c r="N833" s="41" t="s">
        <v>393</v>
      </c>
      <c r="O833" s="42">
        <v>42</v>
      </c>
      <c r="P833" s="43">
        <v>20</v>
      </c>
      <c r="Q833" s="44">
        <v>35.045</v>
      </c>
      <c r="R833" s="45">
        <v>80</v>
      </c>
      <c r="S833" s="43">
        <v>40</v>
      </c>
      <c r="T833" s="46">
        <v>19.90</v>
      </c>
      <c r="U833" s="48">
        <v>2</v>
      </c>
      <c r="V833" s="47">
        <v>112.07</v>
      </c>
      <c r="W833" s="48">
        <v>1981</v>
      </c>
      <c r="X833" s="40"/>
      <c r="Y833" s="52"/>
      <c r="Z833" s="40" t="s">
        <v>910</v>
      </c>
      <c r="AA833" s="49">
        <f t="shared" si="115"/>
        <v>0</v>
      </c>
      <c r="AB833" s="71">
        <f t="shared" si="116"/>
        <v>0.80</v>
      </c>
      <c r="AC833" s="49">
        <f t="shared" si="117"/>
        <v>0</v>
      </c>
      <c r="AD833" s="50">
        <f t="shared" si="118"/>
        <v>0</v>
      </c>
      <c r="AE833" s="50">
        <f t="shared" si="119"/>
        <v>0</v>
      </c>
      <c r="AF833" s="50">
        <f t="shared" si="120"/>
        <v>0</v>
      </c>
      <c r="AG833" s="199">
        <f t="shared" si="121"/>
        <v>0</v>
      </c>
      <c r="AH833" s="187"/>
      <c r="AI833" s="185" t="s">
        <v>1458</v>
      </c>
      <c r="AJ833" s="185"/>
      <c r="AK833" s="277">
        <f t="shared" si="114"/>
        <v>112.07</v>
      </c>
      <c r="AL833" s="25">
        <f>(SUMIFS('T1 2019 Pipeline Data Lagasco'!$O:$O,'T1 2019 Pipeline Data Lagasco'!$A:$A,'Dec 31 2018 OFFS'!$AI833,'T1 2019 Pipeline Data Lagasco'!$Q:$Q,'Dec 31 2018 OFFS'!$AK833,'T1 2019 Pipeline Data Lagasco'!$E:$E,'Dec 31 2018 OFFS'!$U833,'T1 2019 Pipeline Data Lagasco'!$G:$G,'Dec 31 2018 OFFS'!$W833))/(MAX(COUNTIFS('T1 2019 Pipeline Data Lagasco'!$A:$A,'Dec 31 2018 OFFS'!$AI833,'T1 2019 Pipeline Data Lagasco'!$Q:$Q,'Dec 31 2018 OFFS'!$AK833,'T1 2019 Pipeline Data Lagasco'!$E:$E,'Dec 31 2018 OFFS'!$U833,'T1 2019 Pipeline Data Lagasco'!$G:$G,'Dec 31 2018 OFFS'!$W833),1))</f>
        <v>0</v>
      </c>
      <c r="AM833" s="274">
        <f t="shared" si="122"/>
        <v>0</v>
      </c>
    </row>
    <row r="834" spans="1:39" ht="12.7">
      <c r="A834" s="200" t="s">
        <v>909</v>
      </c>
      <c r="B834" s="201" t="s">
        <v>918</v>
      </c>
      <c r="C834" s="201" t="s">
        <v>1266</v>
      </c>
      <c r="D834" s="201" t="s">
        <v>336</v>
      </c>
      <c r="E834" s="201" t="s">
        <v>1054</v>
      </c>
      <c r="F834" s="202" t="s">
        <v>1051</v>
      </c>
      <c r="G834" s="208" t="s">
        <v>521</v>
      </c>
      <c r="H834" s="203">
        <v>42</v>
      </c>
      <c r="I834" s="204">
        <v>20</v>
      </c>
      <c r="J834" s="205">
        <v>35.880000000000003</v>
      </c>
      <c r="K834" s="206">
        <v>80</v>
      </c>
      <c r="L834" s="204">
        <v>40</v>
      </c>
      <c r="M834" s="207">
        <v>20.88</v>
      </c>
      <c r="N834" s="208" t="s">
        <v>517</v>
      </c>
      <c r="O834" s="203">
        <v>42</v>
      </c>
      <c r="P834" s="204">
        <v>20</v>
      </c>
      <c r="Q834" s="205">
        <v>30.36</v>
      </c>
      <c r="R834" s="206">
        <v>80</v>
      </c>
      <c r="S834" s="204">
        <v>39</v>
      </c>
      <c r="T834" s="207">
        <v>14.34</v>
      </c>
      <c r="U834" s="210">
        <v>4</v>
      </c>
      <c r="V834" s="209">
        <v>5028.0510354899998</v>
      </c>
      <c r="W834" s="210">
        <v>1982</v>
      </c>
      <c r="X834" s="201"/>
      <c r="Y834" s="52"/>
      <c r="Z834" s="201" t="s">
        <v>910</v>
      </c>
      <c r="AA834" s="211">
        <f t="shared" si="115"/>
        <v>0</v>
      </c>
      <c r="AB834" s="212">
        <f t="shared" si="116"/>
        <v>0.80</v>
      </c>
      <c r="AC834" s="211">
        <f t="shared" si="117"/>
        <v>0</v>
      </c>
      <c r="AD834" s="213">
        <f t="shared" si="118"/>
        <v>0</v>
      </c>
      <c r="AE834" s="213">
        <f t="shared" si="119"/>
        <v>0</v>
      </c>
      <c r="AF834" s="213">
        <f t="shared" si="120"/>
        <v>0</v>
      </c>
      <c r="AG834" s="214">
        <f t="shared" si="121"/>
        <v>0</v>
      </c>
      <c r="AH834" s="215"/>
      <c r="AI834" s="216" t="s">
        <v>1458</v>
      </c>
      <c r="AJ834" s="216" t="s">
        <v>1560</v>
      </c>
      <c r="AK834" s="283">
        <f t="shared" si="114"/>
        <v>5028.05</v>
      </c>
      <c r="AL834" s="25">
        <f>(SUMIFS('T1 2019 Pipeline Data Lagasco'!$O:$O,'T1 2019 Pipeline Data Lagasco'!$A:$A,'Dec 31 2018 OFFS'!$AI834,'T1 2019 Pipeline Data Lagasco'!$Q:$Q,'Dec 31 2018 OFFS'!$AK834,'T1 2019 Pipeline Data Lagasco'!$E:$E,'Dec 31 2018 OFFS'!$U834,'T1 2019 Pipeline Data Lagasco'!$G:$G,'Dec 31 2018 OFFS'!$W834))/(MAX(COUNTIFS('T1 2019 Pipeline Data Lagasco'!$A:$A,'Dec 31 2018 OFFS'!$AI834,'T1 2019 Pipeline Data Lagasco'!$Q:$Q,'Dec 31 2018 OFFS'!$AK834,'T1 2019 Pipeline Data Lagasco'!$E:$E,'Dec 31 2018 OFFS'!$U834,'T1 2019 Pipeline Data Lagasco'!$G:$G,'Dec 31 2018 OFFS'!$W834),1))</f>
        <v>0</v>
      </c>
      <c r="AM834" s="285">
        <f t="shared" si="122"/>
        <v>0</v>
      </c>
    </row>
    <row r="835" spans="1:39" ht="12.7">
      <c r="A835" s="193" t="s">
        <v>909</v>
      </c>
      <c r="B835" s="40" t="s">
        <v>918</v>
      </c>
      <c r="C835" s="40" t="s">
        <v>1266</v>
      </c>
      <c r="D835" s="40" t="s">
        <v>336</v>
      </c>
      <c r="E835" s="40" t="s">
        <v>1055</v>
      </c>
      <c r="F835" s="40"/>
      <c r="G835" s="41" t="s">
        <v>395</v>
      </c>
      <c r="H835" s="42">
        <v>42</v>
      </c>
      <c r="I835" s="43">
        <v>38</v>
      </c>
      <c r="J835" s="44">
        <v>23.40</v>
      </c>
      <c r="K835" s="45">
        <v>80</v>
      </c>
      <c r="L835" s="43">
        <v>15</v>
      </c>
      <c r="M835" s="46">
        <v>23.88</v>
      </c>
      <c r="N835" s="40" t="s">
        <v>396</v>
      </c>
      <c r="O835" s="42">
        <v>42</v>
      </c>
      <c r="P835" s="43">
        <v>38</v>
      </c>
      <c r="Q835" s="44">
        <v>32.68</v>
      </c>
      <c r="R835" s="45">
        <v>80</v>
      </c>
      <c r="S835" s="43">
        <v>15</v>
      </c>
      <c r="T835" s="46">
        <v>41.97</v>
      </c>
      <c r="U835" s="40">
        <v>2</v>
      </c>
      <c r="V835" s="47">
        <v>1646.4566452319998</v>
      </c>
      <c r="W835" s="48">
        <v>1988</v>
      </c>
      <c r="X835" s="40"/>
      <c r="Y835" s="52" t="s">
        <v>1081</v>
      </c>
      <c r="Z835" s="40" t="s">
        <v>910</v>
      </c>
      <c r="AA835" s="49">
        <f t="shared" si="115"/>
        <v>26738.455918567674</v>
      </c>
      <c r="AB835" s="71">
        <f t="shared" si="116"/>
        <v>0.76</v>
      </c>
      <c r="AC835" s="49">
        <f t="shared" si="117"/>
        <v>6417.23</v>
      </c>
      <c r="AD835" s="50">
        <f t="shared" si="118"/>
        <v>0</v>
      </c>
      <c r="AE835" s="50">
        <f t="shared" si="119"/>
        <v>0</v>
      </c>
      <c r="AF835" s="50">
        <f t="shared" si="120"/>
        <v>6417.23</v>
      </c>
      <c r="AG835" s="199">
        <f t="shared" si="121"/>
        <v>6417</v>
      </c>
      <c r="AH835" s="187"/>
      <c r="AI835" s="185" t="s">
        <v>1458</v>
      </c>
      <c r="AJ835" s="185"/>
      <c r="AK835" s="277">
        <f t="shared" si="123" ref="AK835:AK898">ROUND(V835,2)</f>
        <v>1646.46</v>
      </c>
      <c r="AL835" s="25">
        <f>(SUMIFS('T1 2019 Pipeline Data Lagasco'!$O:$O,'T1 2019 Pipeline Data Lagasco'!$A:$A,'Dec 31 2018 OFFS'!$AI835,'T1 2019 Pipeline Data Lagasco'!$Q:$Q,'Dec 31 2018 OFFS'!$AK835,'T1 2019 Pipeline Data Lagasco'!$E:$E,'Dec 31 2018 OFFS'!$U835,'T1 2019 Pipeline Data Lagasco'!$G:$G,'Dec 31 2018 OFFS'!$W835))/(MAX(COUNTIFS('T1 2019 Pipeline Data Lagasco'!$A:$A,'Dec 31 2018 OFFS'!$AI835,'T1 2019 Pipeline Data Lagasco'!$Q:$Q,'Dec 31 2018 OFFS'!$AK835,'T1 2019 Pipeline Data Lagasco'!$E:$E,'Dec 31 2018 OFFS'!$U835,'T1 2019 Pipeline Data Lagasco'!$G:$G,'Dec 31 2018 OFFS'!$W835),1))</f>
        <v>6417</v>
      </c>
      <c r="AM835" s="274">
        <f t="shared" si="122"/>
        <v>0</v>
      </c>
    </row>
    <row r="836" spans="1:39" ht="12.7">
      <c r="A836" s="193" t="s">
        <v>909</v>
      </c>
      <c r="B836" s="40" t="s">
        <v>918</v>
      </c>
      <c r="C836" s="40" t="s">
        <v>1266</v>
      </c>
      <c r="D836" s="40" t="s">
        <v>336</v>
      </c>
      <c r="E836" s="40" t="s">
        <v>1055</v>
      </c>
      <c r="F836" s="40"/>
      <c r="G836" s="41" t="s">
        <v>395</v>
      </c>
      <c r="H836" s="42">
        <v>42</v>
      </c>
      <c r="I836" s="43">
        <v>38</v>
      </c>
      <c r="J836" s="44">
        <v>23.40</v>
      </c>
      <c r="K836" s="45">
        <v>80</v>
      </c>
      <c r="L836" s="43">
        <v>15</v>
      </c>
      <c r="M836" s="46">
        <v>23.88</v>
      </c>
      <c r="N836" s="40" t="s">
        <v>397</v>
      </c>
      <c r="O836" s="42">
        <v>42</v>
      </c>
      <c r="P836" s="43">
        <v>37</v>
      </c>
      <c r="Q836" s="44">
        <v>49.38</v>
      </c>
      <c r="R836" s="45">
        <v>80</v>
      </c>
      <c r="S836" s="43">
        <v>15</v>
      </c>
      <c r="T836" s="46">
        <v>38.22</v>
      </c>
      <c r="U836" s="40">
        <v>2</v>
      </c>
      <c r="V836" s="47">
        <v>3607.0208929159999</v>
      </c>
      <c r="W836" s="48">
        <v>1988</v>
      </c>
      <c r="X836" s="40"/>
      <c r="Y836" s="52" t="s">
        <v>1081</v>
      </c>
      <c r="Z836" s="40" t="s">
        <v>910</v>
      </c>
      <c r="AA836" s="49">
        <f t="shared" si="124" ref="AA836:AA899">IF(F836="ABAND",0,(IF(Z836="steel",VLOOKUP(U836,steelrates,2,FALSE)*V836,VLOOKUP(U836,plasticrates,2,FALSE)*V836)))</f>
        <v>58578.019300955835</v>
      </c>
      <c r="AB836" s="71">
        <f t="shared" si="125" ref="AB836:AB899">IF(W836=0,0,(VLOOKUP(W836,depreciation,2)))</f>
        <v>0.76</v>
      </c>
      <c r="AC836" s="49">
        <f t="shared" si="126" ref="AC836:AC899">ROUND(+AA836-(+AA836*AB836),2)</f>
        <v>14058.72</v>
      </c>
      <c r="AD836" s="50">
        <f t="shared" si="127" ref="AD836:AD899">(IF(X836="LOOP",AC836*0.25,0))</f>
        <v>0</v>
      </c>
      <c r="AE836" s="50">
        <f t="shared" si="128" ref="AE836:AE899">(IF(F836="SUSP",AC836*0.2,0))</f>
        <v>0</v>
      </c>
      <c r="AF836" s="50">
        <f t="shared" si="129" ref="AF836:AF899">+AC836-AD836-AE836</f>
        <v>14058.72</v>
      </c>
      <c r="AG836" s="199">
        <f t="shared" si="130" ref="AG836:AG899">ROUNDDOWN(AF836,0)</f>
        <v>14058</v>
      </c>
      <c r="AH836" s="187"/>
      <c r="AI836" s="185" t="s">
        <v>1458</v>
      </c>
      <c r="AJ836" s="185"/>
      <c r="AK836" s="277">
        <f t="shared" si="123"/>
        <v>3607.02</v>
      </c>
      <c r="AL836" s="25">
        <f>(SUMIFS('T1 2019 Pipeline Data Lagasco'!$O:$O,'T1 2019 Pipeline Data Lagasco'!$A:$A,'Dec 31 2018 OFFS'!$AI836,'T1 2019 Pipeline Data Lagasco'!$Q:$Q,'Dec 31 2018 OFFS'!$AK836,'T1 2019 Pipeline Data Lagasco'!$E:$E,'Dec 31 2018 OFFS'!$U836,'T1 2019 Pipeline Data Lagasco'!$G:$G,'Dec 31 2018 OFFS'!$W836))/(MAX(COUNTIFS('T1 2019 Pipeline Data Lagasco'!$A:$A,'Dec 31 2018 OFFS'!$AI836,'T1 2019 Pipeline Data Lagasco'!$Q:$Q,'Dec 31 2018 OFFS'!$AK836,'T1 2019 Pipeline Data Lagasco'!$E:$E,'Dec 31 2018 OFFS'!$U836,'T1 2019 Pipeline Data Lagasco'!$G:$G,'Dec 31 2018 OFFS'!$W836),1))</f>
        <v>14058</v>
      </c>
      <c r="AM836" s="274">
        <f t="shared" si="131" ref="AM836:AM899">AG836-AL836</f>
        <v>0</v>
      </c>
    </row>
    <row r="837" spans="1:39" ht="12.7">
      <c r="A837" s="193" t="s">
        <v>909</v>
      </c>
      <c r="B837" s="40" t="s">
        <v>918</v>
      </c>
      <c r="C837" s="40" t="s">
        <v>1266</v>
      </c>
      <c r="D837" s="40" t="s">
        <v>336</v>
      </c>
      <c r="E837" s="40" t="s">
        <v>1055</v>
      </c>
      <c r="F837" s="40"/>
      <c r="G837" s="41" t="s">
        <v>395</v>
      </c>
      <c r="H837" s="42">
        <v>42</v>
      </c>
      <c r="I837" s="43">
        <v>38</v>
      </c>
      <c r="J837" s="44">
        <v>23.40</v>
      </c>
      <c r="K837" s="45">
        <v>80</v>
      </c>
      <c r="L837" s="43">
        <v>15</v>
      </c>
      <c r="M837" s="46">
        <v>23.88</v>
      </c>
      <c r="N837" s="40" t="s">
        <v>398</v>
      </c>
      <c r="O837" s="42">
        <v>42</v>
      </c>
      <c r="P837" s="43">
        <v>38</v>
      </c>
      <c r="Q837" s="44">
        <v>13.62</v>
      </c>
      <c r="R837" s="45">
        <v>80</v>
      </c>
      <c r="S837" s="43">
        <v>16</v>
      </c>
      <c r="T837" s="46">
        <v>33.299999999999997</v>
      </c>
      <c r="U837" s="40">
        <v>2</v>
      </c>
      <c r="V837" s="47">
        <v>5282.4473535819998</v>
      </c>
      <c r="W837" s="48">
        <v>1988</v>
      </c>
      <c r="X837" s="40"/>
      <c r="Y837" s="52" t="s">
        <v>1081</v>
      </c>
      <c r="Z837" s="40" t="s">
        <v>910</v>
      </c>
      <c r="AA837" s="49">
        <f t="shared" si="124"/>
        <v>85786.945022171669</v>
      </c>
      <c r="AB837" s="71">
        <f t="shared" si="125"/>
        <v>0.76</v>
      </c>
      <c r="AC837" s="49">
        <f t="shared" si="126"/>
        <v>20588.87</v>
      </c>
      <c r="AD837" s="50">
        <f t="shared" si="127"/>
        <v>0</v>
      </c>
      <c r="AE837" s="50">
        <f t="shared" si="128"/>
        <v>0</v>
      </c>
      <c r="AF837" s="50">
        <f t="shared" si="129"/>
        <v>20588.87</v>
      </c>
      <c r="AG837" s="199">
        <f t="shared" si="130"/>
        <v>20588</v>
      </c>
      <c r="AH837" s="187"/>
      <c r="AI837" s="185" t="s">
        <v>1458</v>
      </c>
      <c r="AJ837" s="185"/>
      <c r="AK837" s="277">
        <f t="shared" si="123"/>
        <v>5282.45</v>
      </c>
      <c r="AL837" s="25">
        <f>(SUMIFS('T1 2019 Pipeline Data Lagasco'!$O:$O,'T1 2019 Pipeline Data Lagasco'!$A:$A,'Dec 31 2018 OFFS'!$AI837,'T1 2019 Pipeline Data Lagasco'!$Q:$Q,'Dec 31 2018 OFFS'!$AK837,'T1 2019 Pipeline Data Lagasco'!$E:$E,'Dec 31 2018 OFFS'!$U837,'T1 2019 Pipeline Data Lagasco'!$G:$G,'Dec 31 2018 OFFS'!$W837))/(MAX(COUNTIFS('T1 2019 Pipeline Data Lagasco'!$A:$A,'Dec 31 2018 OFFS'!$AI837,'T1 2019 Pipeline Data Lagasco'!$Q:$Q,'Dec 31 2018 OFFS'!$AK837,'T1 2019 Pipeline Data Lagasco'!$E:$E,'Dec 31 2018 OFFS'!$U837,'T1 2019 Pipeline Data Lagasco'!$G:$G,'Dec 31 2018 OFFS'!$W837),1))</f>
        <v>20588</v>
      </c>
      <c r="AM837" s="274">
        <f t="shared" si="131"/>
        <v>0</v>
      </c>
    </row>
    <row r="838" spans="1:39" ht="12.7">
      <c r="A838" s="193" t="s">
        <v>909</v>
      </c>
      <c r="B838" s="40" t="s">
        <v>918</v>
      </c>
      <c r="C838" s="40" t="s">
        <v>1266</v>
      </c>
      <c r="D838" s="40" t="s">
        <v>336</v>
      </c>
      <c r="E838" s="40" t="s">
        <v>1055</v>
      </c>
      <c r="F838" s="40" t="s">
        <v>1051</v>
      </c>
      <c r="G838" s="41" t="s">
        <v>440</v>
      </c>
      <c r="H838" s="42">
        <v>42</v>
      </c>
      <c r="I838" s="43">
        <v>36</v>
      </c>
      <c r="J838" s="44">
        <v>40.98</v>
      </c>
      <c r="K838" s="45">
        <v>80</v>
      </c>
      <c r="L838" s="43">
        <v>15</v>
      </c>
      <c r="M838" s="46">
        <v>10.98</v>
      </c>
      <c r="N838" s="41" t="s">
        <v>399</v>
      </c>
      <c r="O838" s="42">
        <v>42</v>
      </c>
      <c r="P838" s="43">
        <v>36</v>
      </c>
      <c r="Q838" s="44">
        <v>43.595</v>
      </c>
      <c r="R838" s="45">
        <v>80</v>
      </c>
      <c r="S838" s="43">
        <v>15</v>
      </c>
      <c r="T838" s="46">
        <v>58.298000000000002</v>
      </c>
      <c r="U838" s="40">
        <v>2</v>
      </c>
      <c r="V838" s="47">
        <v>3548.23</v>
      </c>
      <c r="W838" s="48">
        <v>1991</v>
      </c>
      <c r="X838" s="40"/>
      <c r="Y838" s="52"/>
      <c r="Z838" s="40" t="s">
        <v>910</v>
      </c>
      <c r="AA838" s="49">
        <f t="shared" si="124"/>
        <v>0</v>
      </c>
      <c r="AB838" s="71">
        <f t="shared" si="125"/>
        <v>0.72</v>
      </c>
      <c r="AC838" s="49">
        <f t="shared" si="126"/>
        <v>0</v>
      </c>
      <c r="AD838" s="50">
        <f t="shared" si="127"/>
        <v>0</v>
      </c>
      <c r="AE838" s="50">
        <f t="shared" si="128"/>
        <v>0</v>
      </c>
      <c r="AF838" s="50">
        <f t="shared" si="129"/>
        <v>0</v>
      </c>
      <c r="AG838" s="199">
        <f t="shared" si="130"/>
        <v>0</v>
      </c>
      <c r="AH838" s="187"/>
      <c r="AI838" s="185" t="s">
        <v>1458</v>
      </c>
      <c r="AJ838" s="185"/>
      <c r="AK838" s="277">
        <f t="shared" si="123"/>
        <v>3548.23</v>
      </c>
      <c r="AL838" s="25">
        <f>(SUMIFS('T1 2019 Pipeline Data Lagasco'!$O:$O,'T1 2019 Pipeline Data Lagasco'!$A:$A,'Dec 31 2018 OFFS'!$AI838,'T1 2019 Pipeline Data Lagasco'!$Q:$Q,'Dec 31 2018 OFFS'!$AK838,'T1 2019 Pipeline Data Lagasco'!$E:$E,'Dec 31 2018 OFFS'!$U838,'T1 2019 Pipeline Data Lagasco'!$G:$G,'Dec 31 2018 OFFS'!$W838))/(MAX(COUNTIFS('T1 2019 Pipeline Data Lagasco'!$A:$A,'Dec 31 2018 OFFS'!$AI838,'T1 2019 Pipeline Data Lagasco'!$Q:$Q,'Dec 31 2018 OFFS'!$AK838,'T1 2019 Pipeline Data Lagasco'!$E:$E,'Dec 31 2018 OFFS'!$U838,'T1 2019 Pipeline Data Lagasco'!$G:$G,'Dec 31 2018 OFFS'!$W838),1))</f>
        <v>0</v>
      </c>
      <c r="AM838" s="274">
        <f t="shared" si="131"/>
        <v>0</v>
      </c>
    </row>
    <row r="839" spans="1:39" ht="12.7">
      <c r="A839" s="193" t="s">
        <v>909</v>
      </c>
      <c r="B839" s="40" t="s">
        <v>918</v>
      </c>
      <c r="C839" s="40" t="s">
        <v>1266</v>
      </c>
      <c r="D839" s="40" t="s">
        <v>336</v>
      </c>
      <c r="E839" s="40" t="s">
        <v>1055</v>
      </c>
      <c r="F839" s="40" t="s">
        <v>1051</v>
      </c>
      <c r="G839" s="41" t="s">
        <v>399</v>
      </c>
      <c r="H839" s="42">
        <v>42</v>
      </c>
      <c r="I839" s="43">
        <v>36</v>
      </c>
      <c r="J839" s="44">
        <v>43.595</v>
      </c>
      <c r="K839" s="45">
        <v>80</v>
      </c>
      <c r="L839" s="43">
        <v>15</v>
      </c>
      <c r="M839" s="46">
        <v>58.298000000000002</v>
      </c>
      <c r="N839" s="41" t="s">
        <v>400</v>
      </c>
      <c r="O839" s="42">
        <v>42</v>
      </c>
      <c r="P839" s="43">
        <v>36</v>
      </c>
      <c r="Q839" s="44">
        <v>44.22</v>
      </c>
      <c r="R839" s="45">
        <v>80</v>
      </c>
      <c r="S839" s="43">
        <v>16</v>
      </c>
      <c r="T839" s="46">
        <v>44.22</v>
      </c>
      <c r="U839" s="40">
        <v>2</v>
      </c>
      <c r="V839" s="47">
        <v>3434.51</v>
      </c>
      <c r="W839" s="48">
        <v>1983</v>
      </c>
      <c r="X839" s="40"/>
      <c r="Y839" s="52"/>
      <c r="Z839" s="40" t="s">
        <v>910</v>
      </c>
      <c r="AA839" s="49">
        <f t="shared" si="124"/>
        <v>0</v>
      </c>
      <c r="AB839" s="71">
        <f t="shared" si="125"/>
        <v>0.80</v>
      </c>
      <c r="AC839" s="49">
        <f t="shared" si="126"/>
        <v>0</v>
      </c>
      <c r="AD839" s="50">
        <f t="shared" si="127"/>
        <v>0</v>
      </c>
      <c r="AE839" s="50">
        <f t="shared" si="128"/>
        <v>0</v>
      </c>
      <c r="AF839" s="50">
        <f t="shared" si="129"/>
        <v>0</v>
      </c>
      <c r="AG839" s="199">
        <f t="shared" si="130"/>
        <v>0</v>
      </c>
      <c r="AH839" s="187"/>
      <c r="AI839" s="185" t="s">
        <v>1458</v>
      </c>
      <c r="AJ839" s="185"/>
      <c r="AK839" s="277">
        <f t="shared" si="123"/>
        <v>3434.51</v>
      </c>
      <c r="AL839" s="25">
        <f>(SUMIFS('T1 2019 Pipeline Data Lagasco'!$O:$O,'T1 2019 Pipeline Data Lagasco'!$A:$A,'Dec 31 2018 OFFS'!$AI839,'T1 2019 Pipeline Data Lagasco'!$Q:$Q,'Dec 31 2018 OFFS'!$AK839,'T1 2019 Pipeline Data Lagasco'!$E:$E,'Dec 31 2018 OFFS'!$U839,'T1 2019 Pipeline Data Lagasco'!$G:$G,'Dec 31 2018 OFFS'!$W839))/(MAX(COUNTIFS('T1 2019 Pipeline Data Lagasco'!$A:$A,'Dec 31 2018 OFFS'!$AI839,'T1 2019 Pipeline Data Lagasco'!$Q:$Q,'Dec 31 2018 OFFS'!$AK839,'T1 2019 Pipeline Data Lagasco'!$E:$E,'Dec 31 2018 OFFS'!$U839,'T1 2019 Pipeline Data Lagasco'!$G:$G,'Dec 31 2018 OFFS'!$W839),1))</f>
        <v>0</v>
      </c>
      <c r="AM839" s="274">
        <f t="shared" si="131"/>
        <v>0</v>
      </c>
    </row>
    <row r="840" spans="1:39" ht="12.7">
      <c r="A840" s="193" t="s">
        <v>909</v>
      </c>
      <c r="B840" s="40" t="s">
        <v>918</v>
      </c>
      <c r="C840" s="40" t="s">
        <v>1266</v>
      </c>
      <c r="D840" s="40" t="s">
        <v>336</v>
      </c>
      <c r="E840" s="40" t="s">
        <v>1055</v>
      </c>
      <c r="F840" s="40"/>
      <c r="G840" s="41" t="s">
        <v>401</v>
      </c>
      <c r="H840" s="42">
        <v>42</v>
      </c>
      <c r="I840" s="43">
        <v>38</v>
      </c>
      <c r="J840" s="44">
        <v>27.18</v>
      </c>
      <c r="K840" s="45">
        <v>80</v>
      </c>
      <c r="L840" s="43">
        <v>14</v>
      </c>
      <c r="M840" s="46">
        <v>38.40</v>
      </c>
      <c r="N840" s="40" t="s">
        <v>395</v>
      </c>
      <c r="O840" s="42">
        <v>42</v>
      </c>
      <c r="P840" s="43">
        <v>38</v>
      </c>
      <c r="Q840" s="44">
        <v>23.40</v>
      </c>
      <c r="R840" s="45">
        <v>80</v>
      </c>
      <c r="S840" s="43">
        <v>15</v>
      </c>
      <c r="T840" s="46">
        <v>23.88</v>
      </c>
      <c r="U840" s="40">
        <v>2</v>
      </c>
      <c r="V840" s="47">
        <v>3420.8004258680003</v>
      </c>
      <c r="W840" s="48">
        <v>1991</v>
      </c>
      <c r="X840" s="40"/>
      <c r="Y840" s="52" t="s">
        <v>1081</v>
      </c>
      <c r="Z840" s="40" t="s">
        <v>910</v>
      </c>
      <c r="AA840" s="49">
        <f t="shared" si="124"/>
        <v>55553.798916096319</v>
      </c>
      <c r="AB840" s="71">
        <f t="shared" si="125"/>
        <v>0.72</v>
      </c>
      <c r="AC840" s="49">
        <f t="shared" si="126"/>
        <v>15555.06</v>
      </c>
      <c r="AD840" s="50">
        <f t="shared" si="127"/>
        <v>0</v>
      </c>
      <c r="AE840" s="50">
        <f t="shared" si="128"/>
        <v>0</v>
      </c>
      <c r="AF840" s="50">
        <f t="shared" si="129"/>
        <v>15555.06</v>
      </c>
      <c r="AG840" s="199">
        <f t="shared" si="130"/>
        <v>15555</v>
      </c>
      <c r="AH840" s="187"/>
      <c r="AI840" s="185" t="s">
        <v>1458</v>
      </c>
      <c r="AJ840" s="185"/>
      <c r="AK840" s="277">
        <f t="shared" si="123"/>
        <v>3420.80</v>
      </c>
      <c r="AL840" s="25">
        <f>(SUMIFS('T1 2019 Pipeline Data Lagasco'!$O:$O,'T1 2019 Pipeline Data Lagasco'!$A:$A,'Dec 31 2018 OFFS'!$AI840,'T1 2019 Pipeline Data Lagasco'!$Q:$Q,'Dec 31 2018 OFFS'!$AK840,'T1 2019 Pipeline Data Lagasco'!$E:$E,'Dec 31 2018 OFFS'!$U840,'T1 2019 Pipeline Data Lagasco'!$G:$G,'Dec 31 2018 OFFS'!$W840))/(MAX(COUNTIFS('T1 2019 Pipeline Data Lagasco'!$A:$A,'Dec 31 2018 OFFS'!$AI840,'T1 2019 Pipeline Data Lagasco'!$Q:$Q,'Dec 31 2018 OFFS'!$AK840,'T1 2019 Pipeline Data Lagasco'!$E:$E,'Dec 31 2018 OFFS'!$U840,'T1 2019 Pipeline Data Lagasco'!$G:$G,'Dec 31 2018 OFFS'!$W840),1))</f>
        <v>15555</v>
      </c>
      <c r="AM840" s="274">
        <f t="shared" si="131"/>
        <v>0</v>
      </c>
    </row>
    <row r="841" spans="1:39" ht="12.7">
      <c r="A841" s="193" t="s">
        <v>909</v>
      </c>
      <c r="B841" s="40" t="s">
        <v>918</v>
      </c>
      <c r="C841" s="40" t="s">
        <v>1266</v>
      </c>
      <c r="D841" s="40" t="s">
        <v>336</v>
      </c>
      <c r="E841" s="40" t="s">
        <v>1055</v>
      </c>
      <c r="F841" s="40"/>
      <c r="G841" s="41" t="s">
        <v>401</v>
      </c>
      <c r="H841" s="42">
        <v>42</v>
      </c>
      <c r="I841" s="43">
        <v>38</v>
      </c>
      <c r="J841" s="44">
        <v>27.18</v>
      </c>
      <c r="K841" s="45">
        <v>80</v>
      </c>
      <c r="L841" s="43">
        <v>14</v>
      </c>
      <c r="M841" s="46">
        <v>38.40</v>
      </c>
      <c r="N841" s="40" t="s">
        <v>426</v>
      </c>
      <c r="O841" s="42">
        <v>42</v>
      </c>
      <c r="P841" s="43">
        <v>38</v>
      </c>
      <c r="Q841" s="44">
        <v>46.39</v>
      </c>
      <c r="R841" s="45">
        <v>80</v>
      </c>
      <c r="S841" s="43">
        <v>14</v>
      </c>
      <c r="T841" s="46">
        <v>50.11</v>
      </c>
      <c r="U841" s="40">
        <v>3</v>
      </c>
      <c r="V841" s="47">
        <v>2132.6442951939998</v>
      </c>
      <c r="W841" s="48">
        <v>1991</v>
      </c>
      <c r="X841" s="40"/>
      <c r="Y841" s="52" t="s">
        <v>1081</v>
      </c>
      <c r="Z841" s="40" t="s">
        <v>910</v>
      </c>
      <c r="AA841" s="49">
        <f t="shared" si="124"/>
        <v>50309.078923626454</v>
      </c>
      <c r="AB841" s="71">
        <f t="shared" si="125"/>
        <v>0.72</v>
      </c>
      <c r="AC841" s="49">
        <f t="shared" si="126"/>
        <v>14086.54</v>
      </c>
      <c r="AD841" s="50">
        <f t="shared" si="127"/>
        <v>0</v>
      </c>
      <c r="AE841" s="50">
        <f t="shared" si="128"/>
        <v>0</v>
      </c>
      <c r="AF841" s="50">
        <f t="shared" si="129"/>
        <v>14086.54</v>
      </c>
      <c r="AG841" s="199">
        <f t="shared" si="130"/>
        <v>14086</v>
      </c>
      <c r="AH841" s="187"/>
      <c r="AI841" s="185" t="s">
        <v>1458</v>
      </c>
      <c r="AJ841" s="185"/>
      <c r="AK841" s="277">
        <f t="shared" si="123"/>
        <v>2132.64</v>
      </c>
      <c r="AL841" s="25">
        <f>(SUMIFS('T1 2019 Pipeline Data Lagasco'!$O:$O,'T1 2019 Pipeline Data Lagasco'!$A:$A,'Dec 31 2018 OFFS'!$AI841,'T1 2019 Pipeline Data Lagasco'!$Q:$Q,'Dec 31 2018 OFFS'!$AK841,'T1 2019 Pipeline Data Lagasco'!$E:$E,'Dec 31 2018 OFFS'!$U841,'T1 2019 Pipeline Data Lagasco'!$G:$G,'Dec 31 2018 OFFS'!$W841))/(MAX(COUNTIFS('T1 2019 Pipeline Data Lagasco'!$A:$A,'Dec 31 2018 OFFS'!$AI841,'T1 2019 Pipeline Data Lagasco'!$Q:$Q,'Dec 31 2018 OFFS'!$AK841,'T1 2019 Pipeline Data Lagasco'!$E:$E,'Dec 31 2018 OFFS'!$U841,'T1 2019 Pipeline Data Lagasco'!$G:$G,'Dec 31 2018 OFFS'!$W841),1))</f>
        <v>14086</v>
      </c>
      <c r="AM841" s="274">
        <f t="shared" si="131"/>
        <v>0</v>
      </c>
    </row>
    <row r="842" spans="1:39" ht="12.7">
      <c r="A842" s="193" t="s">
        <v>909</v>
      </c>
      <c r="B842" s="40" t="s">
        <v>918</v>
      </c>
      <c r="C842" s="40" t="s">
        <v>1266</v>
      </c>
      <c r="D842" s="40" t="s">
        <v>336</v>
      </c>
      <c r="E842" s="40" t="s">
        <v>1055</v>
      </c>
      <c r="F842" s="40"/>
      <c r="G842" s="41" t="s">
        <v>427</v>
      </c>
      <c r="H842" s="42">
        <v>42</v>
      </c>
      <c r="I842" s="43">
        <v>38</v>
      </c>
      <c r="J842" s="44">
        <v>1.02</v>
      </c>
      <c r="K842" s="45">
        <v>80</v>
      </c>
      <c r="L842" s="43">
        <v>14</v>
      </c>
      <c r="M842" s="46">
        <v>28.98</v>
      </c>
      <c r="N842" s="41" t="s">
        <v>401</v>
      </c>
      <c r="O842" s="42">
        <v>42</v>
      </c>
      <c r="P842" s="43">
        <v>38</v>
      </c>
      <c r="Q842" s="44">
        <v>27.18</v>
      </c>
      <c r="R842" s="45">
        <v>80</v>
      </c>
      <c r="S842" s="43">
        <v>14</v>
      </c>
      <c r="T842" s="46">
        <v>38.40</v>
      </c>
      <c r="U842" s="40">
        <v>3</v>
      </c>
      <c r="V842" s="47">
        <v>2740.3542513479997</v>
      </c>
      <c r="W842" s="48">
        <v>1990</v>
      </c>
      <c r="X842" s="40"/>
      <c r="Y842" s="52" t="s">
        <v>1081</v>
      </c>
      <c r="Z842" s="40" t="s">
        <v>910</v>
      </c>
      <c r="AA842" s="49">
        <f t="shared" si="124"/>
        <v>64644.956789299315</v>
      </c>
      <c r="AB842" s="71">
        <f t="shared" si="125"/>
        <v>0.73</v>
      </c>
      <c r="AC842" s="49">
        <f t="shared" si="126"/>
        <v>17454.14</v>
      </c>
      <c r="AD842" s="50">
        <f t="shared" si="127"/>
        <v>0</v>
      </c>
      <c r="AE842" s="50">
        <f t="shared" si="128"/>
        <v>0</v>
      </c>
      <c r="AF842" s="50">
        <f t="shared" si="129"/>
        <v>17454.14</v>
      </c>
      <c r="AG842" s="199">
        <f t="shared" si="130"/>
        <v>17454</v>
      </c>
      <c r="AH842" s="187"/>
      <c r="AI842" s="185" t="s">
        <v>1458</v>
      </c>
      <c r="AJ842" s="185"/>
      <c r="AK842" s="277">
        <f t="shared" si="123"/>
        <v>2740.35</v>
      </c>
      <c r="AL842" s="25">
        <f>(SUMIFS('T1 2019 Pipeline Data Lagasco'!$O:$O,'T1 2019 Pipeline Data Lagasco'!$A:$A,'Dec 31 2018 OFFS'!$AI842,'T1 2019 Pipeline Data Lagasco'!$Q:$Q,'Dec 31 2018 OFFS'!$AK842,'T1 2019 Pipeline Data Lagasco'!$E:$E,'Dec 31 2018 OFFS'!$U842,'T1 2019 Pipeline Data Lagasco'!$G:$G,'Dec 31 2018 OFFS'!$W842))/(MAX(COUNTIFS('T1 2019 Pipeline Data Lagasco'!$A:$A,'Dec 31 2018 OFFS'!$AI842,'T1 2019 Pipeline Data Lagasco'!$Q:$Q,'Dec 31 2018 OFFS'!$AK842,'T1 2019 Pipeline Data Lagasco'!$E:$E,'Dec 31 2018 OFFS'!$U842,'T1 2019 Pipeline Data Lagasco'!$G:$G,'Dec 31 2018 OFFS'!$W842),1))</f>
        <v>17454</v>
      </c>
      <c r="AM842" s="274">
        <f t="shared" si="131"/>
        <v>0</v>
      </c>
    </row>
    <row r="843" spans="1:39" ht="12.7">
      <c r="A843" s="193" t="s">
        <v>909</v>
      </c>
      <c r="B843" s="40" t="s">
        <v>918</v>
      </c>
      <c r="C843" s="40" t="s">
        <v>1266</v>
      </c>
      <c r="D843" s="40" t="s">
        <v>336</v>
      </c>
      <c r="E843" s="40" t="s">
        <v>1055</v>
      </c>
      <c r="F843" s="40" t="s">
        <v>1051</v>
      </c>
      <c r="G843" s="41" t="s">
        <v>427</v>
      </c>
      <c r="H843" s="42">
        <v>42</v>
      </c>
      <c r="I843" s="43">
        <v>38</v>
      </c>
      <c r="J843" s="44">
        <v>1.02</v>
      </c>
      <c r="K843" s="45">
        <v>80</v>
      </c>
      <c r="L843" s="43">
        <v>14</v>
      </c>
      <c r="M843" s="46">
        <v>28.98</v>
      </c>
      <c r="N843" s="41" t="s">
        <v>428</v>
      </c>
      <c r="O843" s="42">
        <v>42</v>
      </c>
      <c r="P843" s="43">
        <v>38</v>
      </c>
      <c r="Q843" s="44">
        <v>4.9800000000000004</v>
      </c>
      <c r="R843" s="45">
        <v>80</v>
      </c>
      <c r="S843" s="43">
        <v>13</v>
      </c>
      <c r="T843" s="46">
        <v>46.98</v>
      </c>
      <c r="U843" s="40">
        <v>3</v>
      </c>
      <c r="V843" s="47">
        <v>3165.06</v>
      </c>
      <c r="W843" s="48">
        <v>1967</v>
      </c>
      <c r="X843" s="40"/>
      <c r="Y843" s="52"/>
      <c r="Z843" s="40" t="s">
        <v>910</v>
      </c>
      <c r="AA843" s="49">
        <f t="shared" si="124"/>
        <v>0</v>
      </c>
      <c r="AB843" s="71">
        <f t="shared" si="125"/>
        <v>0.80</v>
      </c>
      <c r="AC843" s="49">
        <f t="shared" si="126"/>
        <v>0</v>
      </c>
      <c r="AD843" s="50">
        <f t="shared" si="127"/>
        <v>0</v>
      </c>
      <c r="AE843" s="50">
        <f t="shared" si="128"/>
        <v>0</v>
      </c>
      <c r="AF843" s="50">
        <f t="shared" si="129"/>
        <v>0</v>
      </c>
      <c r="AG843" s="199">
        <f t="shared" si="130"/>
        <v>0</v>
      </c>
      <c r="AH843" s="187"/>
      <c r="AI843" s="185" t="s">
        <v>1458</v>
      </c>
      <c r="AJ843" s="185"/>
      <c r="AK843" s="277">
        <f t="shared" si="123"/>
        <v>3165.06</v>
      </c>
      <c r="AL843" s="25">
        <f>(SUMIFS('T1 2019 Pipeline Data Lagasco'!$O:$O,'T1 2019 Pipeline Data Lagasco'!$A:$A,'Dec 31 2018 OFFS'!$AI843,'T1 2019 Pipeline Data Lagasco'!$Q:$Q,'Dec 31 2018 OFFS'!$AK843,'T1 2019 Pipeline Data Lagasco'!$E:$E,'Dec 31 2018 OFFS'!$U843,'T1 2019 Pipeline Data Lagasco'!$G:$G,'Dec 31 2018 OFFS'!$W843))/(MAX(COUNTIFS('T1 2019 Pipeline Data Lagasco'!$A:$A,'Dec 31 2018 OFFS'!$AI843,'T1 2019 Pipeline Data Lagasco'!$Q:$Q,'Dec 31 2018 OFFS'!$AK843,'T1 2019 Pipeline Data Lagasco'!$E:$E,'Dec 31 2018 OFFS'!$U843,'T1 2019 Pipeline Data Lagasco'!$G:$G,'Dec 31 2018 OFFS'!$W843),1))</f>
        <v>0</v>
      </c>
      <c r="AM843" s="274">
        <f t="shared" si="131"/>
        <v>0</v>
      </c>
    </row>
    <row r="844" spans="1:39" ht="12.7">
      <c r="A844" s="193" t="s">
        <v>909</v>
      </c>
      <c r="B844" s="40" t="s">
        <v>918</v>
      </c>
      <c r="C844" s="40" t="s">
        <v>1266</v>
      </c>
      <c r="D844" s="40" t="s">
        <v>336</v>
      </c>
      <c r="E844" s="40" t="s">
        <v>293</v>
      </c>
      <c r="F844" s="40" t="s">
        <v>1051</v>
      </c>
      <c r="G844" s="41" t="s">
        <v>428</v>
      </c>
      <c r="H844" s="42">
        <v>42</v>
      </c>
      <c r="I844" s="43">
        <v>38</v>
      </c>
      <c r="J844" s="44">
        <v>4.9800000000000004</v>
      </c>
      <c r="K844" s="45">
        <v>80</v>
      </c>
      <c r="L844" s="43">
        <v>13</v>
      </c>
      <c r="M844" s="46">
        <v>46.98</v>
      </c>
      <c r="N844" s="51" t="s">
        <v>429</v>
      </c>
      <c r="O844" s="42">
        <v>42</v>
      </c>
      <c r="P844" s="43">
        <v>38</v>
      </c>
      <c r="Q844" s="44">
        <v>23.40</v>
      </c>
      <c r="R844" s="45">
        <v>80</v>
      </c>
      <c r="S844" s="43">
        <v>13</v>
      </c>
      <c r="T844" s="46">
        <v>24.48</v>
      </c>
      <c r="U844" s="40">
        <v>3</v>
      </c>
      <c r="V844" s="47">
        <v>2511.19</v>
      </c>
      <c r="W844" s="48">
        <v>1967</v>
      </c>
      <c r="X844" s="40"/>
      <c r="Y844" s="52"/>
      <c r="Z844" s="40" t="s">
        <v>910</v>
      </c>
      <c r="AA844" s="49">
        <f t="shared" si="124"/>
        <v>0</v>
      </c>
      <c r="AB844" s="71">
        <f t="shared" si="125"/>
        <v>0.80</v>
      </c>
      <c r="AC844" s="49">
        <f t="shared" si="126"/>
        <v>0</v>
      </c>
      <c r="AD844" s="50">
        <f t="shared" si="127"/>
        <v>0</v>
      </c>
      <c r="AE844" s="50">
        <f t="shared" si="128"/>
        <v>0</v>
      </c>
      <c r="AF844" s="50">
        <f t="shared" si="129"/>
        <v>0</v>
      </c>
      <c r="AG844" s="199">
        <f t="shared" si="130"/>
        <v>0</v>
      </c>
      <c r="AH844" s="187"/>
      <c r="AI844" s="185" t="s">
        <v>1458</v>
      </c>
      <c r="AJ844" s="185"/>
      <c r="AK844" s="277">
        <f t="shared" si="123"/>
        <v>2511.19</v>
      </c>
      <c r="AL844" s="25">
        <f>(SUMIFS('T1 2019 Pipeline Data Lagasco'!$O:$O,'T1 2019 Pipeline Data Lagasco'!$A:$A,'Dec 31 2018 OFFS'!$AI844,'T1 2019 Pipeline Data Lagasco'!$Q:$Q,'Dec 31 2018 OFFS'!$AK844,'T1 2019 Pipeline Data Lagasco'!$E:$E,'Dec 31 2018 OFFS'!$U844,'T1 2019 Pipeline Data Lagasco'!$G:$G,'Dec 31 2018 OFFS'!$W844))/(MAX(COUNTIFS('T1 2019 Pipeline Data Lagasco'!$A:$A,'Dec 31 2018 OFFS'!$AI844,'T1 2019 Pipeline Data Lagasco'!$Q:$Q,'Dec 31 2018 OFFS'!$AK844,'T1 2019 Pipeline Data Lagasco'!$E:$E,'Dec 31 2018 OFFS'!$U844,'T1 2019 Pipeline Data Lagasco'!$G:$G,'Dec 31 2018 OFFS'!$W844),1))</f>
        <v>0</v>
      </c>
      <c r="AM844" s="274">
        <f t="shared" si="131"/>
        <v>0</v>
      </c>
    </row>
    <row r="845" spans="1:39" ht="12.7">
      <c r="A845" s="193" t="s">
        <v>909</v>
      </c>
      <c r="B845" s="40" t="s">
        <v>918</v>
      </c>
      <c r="C845" s="40" t="s">
        <v>1266</v>
      </c>
      <c r="D845" s="40" t="s">
        <v>336</v>
      </c>
      <c r="E845" s="40" t="s">
        <v>324</v>
      </c>
      <c r="F845" s="40" t="s">
        <v>1051</v>
      </c>
      <c r="G845" s="41" t="s">
        <v>433</v>
      </c>
      <c r="H845" s="42">
        <v>42</v>
      </c>
      <c r="I845" s="43">
        <v>37</v>
      </c>
      <c r="J845" s="44">
        <v>43.92</v>
      </c>
      <c r="K845" s="45">
        <v>80</v>
      </c>
      <c r="L845" s="43">
        <v>12</v>
      </c>
      <c r="M845" s="46">
        <v>44.40</v>
      </c>
      <c r="N845" s="41" t="s">
        <v>430</v>
      </c>
      <c r="O845" s="42">
        <v>42</v>
      </c>
      <c r="P845" s="43">
        <v>38</v>
      </c>
      <c r="Q845" s="44">
        <v>16.079999999999998</v>
      </c>
      <c r="R845" s="45">
        <v>80</v>
      </c>
      <c r="S845" s="43">
        <v>11</v>
      </c>
      <c r="T845" s="46">
        <v>44.82</v>
      </c>
      <c r="U845" s="40">
        <v>3</v>
      </c>
      <c r="V845" s="47">
        <v>5516.90</v>
      </c>
      <c r="W845" s="48">
        <v>1967</v>
      </c>
      <c r="X845" s="40"/>
      <c r="Y845" s="52"/>
      <c r="Z845" s="40" t="s">
        <v>910</v>
      </c>
      <c r="AA845" s="49">
        <f t="shared" si="124"/>
        <v>0</v>
      </c>
      <c r="AB845" s="71">
        <f t="shared" si="125"/>
        <v>0.80</v>
      </c>
      <c r="AC845" s="49">
        <f t="shared" si="126"/>
        <v>0</v>
      </c>
      <c r="AD845" s="50">
        <f t="shared" si="127"/>
        <v>0</v>
      </c>
      <c r="AE845" s="50">
        <f t="shared" si="128"/>
        <v>0</v>
      </c>
      <c r="AF845" s="50">
        <f t="shared" si="129"/>
        <v>0</v>
      </c>
      <c r="AG845" s="199">
        <f t="shared" si="130"/>
        <v>0</v>
      </c>
      <c r="AH845" s="187"/>
      <c r="AI845" s="185" t="s">
        <v>1458</v>
      </c>
      <c r="AJ845" s="185"/>
      <c r="AK845" s="277">
        <f t="shared" si="123"/>
        <v>5516.90</v>
      </c>
      <c r="AL845" s="25">
        <f>(SUMIFS('T1 2019 Pipeline Data Lagasco'!$O:$O,'T1 2019 Pipeline Data Lagasco'!$A:$A,'Dec 31 2018 OFFS'!$AI845,'T1 2019 Pipeline Data Lagasco'!$Q:$Q,'Dec 31 2018 OFFS'!$AK845,'T1 2019 Pipeline Data Lagasco'!$E:$E,'Dec 31 2018 OFFS'!$U845,'T1 2019 Pipeline Data Lagasco'!$G:$G,'Dec 31 2018 OFFS'!$W845))/(MAX(COUNTIFS('T1 2019 Pipeline Data Lagasco'!$A:$A,'Dec 31 2018 OFFS'!$AI845,'T1 2019 Pipeline Data Lagasco'!$Q:$Q,'Dec 31 2018 OFFS'!$AK845,'T1 2019 Pipeline Data Lagasco'!$E:$E,'Dec 31 2018 OFFS'!$U845,'T1 2019 Pipeline Data Lagasco'!$G:$G,'Dec 31 2018 OFFS'!$W845),1))</f>
        <v>0</v>
      </c>
      <c r="AM845" s="274">
        <f t="shared" si="131"/>
        <v>0</v>
      </c>
    </row>
    <row r="846" spans="1:39" ht="12.7">
      <c r="A846" s="193" t="s">
        <v>909</v>
      </c>
      <c r="B846" s="40" t="s">
        <v>918</v>
      </c>
      <c r="C846" s="40" t="s">
        <v>1266</v>
      </c>
      <c r="D846" s="40" t="s">
        <v>336</v>
      </c>
      <c r="E846" s="40" t="s">
        <v>1055</v>
      </c>
      <c r="F846" s="40" t="s">
        <v>1051</v>
      </c>
      <c r="G846" s="41" t="s">
        <v>432</v>
      </c>
      <c r="H846" s="42">
        <v>42</v>
      </c>
      <c r="I846" s="43">
        <v>37</v>
      </c>
      <c r="J846" s="44">
        <v>37.020000000000003</v>
      </c>
      <c r="K846" s="45">
        <v>80</v>
      </c>
      <c r="L846" s="43">
        <v>13</v>
      </c>
      <c r="M846" s="46">
        <v>40.020000000000003</v>
      </c>
      <c r="N846" s="41" t="s">
        <v>431</v>
      </c>
      <c r="O846" s="42">
        <v>42</v>
      </c>
      <c r="P846" s="43">
        <v>37</v>
      </c>
      <c r="Q846" s="44">
        <v>13.80</v>
      </c>
      <c r="R846" s="45">
        <v>80</v>
      </c>
      <c r="S846" s="43">
        <v>13</v>
      </c>
      <c r="T846" s="46">
        <v>17.70</v>
      </c>
      <c r="U846" s="40">
        <v>3</v>
      </c>
      <c r="V846" s="47">
        <v>2882.81</v>
      </c>
      <c r="W846" s="48">
        <v>1967</v>
      </c>
      <c r="X846" s="40"/>
      <c r="Y846" s="52"/>
      <c r="Z846" s="40" t="s">
        <v>910</v>
      </c>
      <c r="AA846" s="49">
        <f t="shared" si="124"/>
        <v>0</v>
      </c>
      <c r="AB846" s="71">
        <f t="shared" si="125"/>
        <v>0.80</v>
      </c>
      <c r="AC846" s="49">
        <f t="shared" si="126"/>
        <v>0</v>
      </c>
      <c r="AD846" s="50">
        <f t="shared" si="127"/>
        <v>0</v>
      </c>
      <c r="AE846" s="50">
        <f t="shared" si="128"/>
        <v>0</v>
      </c>
      <c r="AF846" s="50">
        <f t="shared" si="129"/>
        <v>0</v>
      </c>
      <c r="AG846" s="199">
        <f t="shared" si="130"/>
        <v>0</v>
      </c>
      <c r="AH846" s="187"/>
      <c r="AI846" s="185" t="s">
        <v>1458</v>
      </c>
      <c r="AJ846" s="185"/>
      <c r="AK846" s="277">
        <f t="shared" si="123"/>
        <v>2882.81</v>
      </c>
      <c r="AL846" s="25">
        <f>(SUMIFS('T1 2019 Pipeline Data Lagasco'!$O:$O,'T1 2019 Pipeline Data Lagasco'!$A:$A,'Dec 31 2018 OFFS'!$AI846,'T1 2019 Pipeline Data Lagasco'!$Q:$Q,'Dec 31 2018 OFFS'!$AK846,'T1 2019 Pipeline Data Lagasco'!$E:$E,'Dec 31 2018 OFFS'!$U846,'T1 2019 Pipeline Data Lagasco'!$G:$G,'Dec 31 2018 OFFS'!$W846))/(MAX(COUNTIFS('T1 2019 Pipeline Data Lagasco'!$A:$A,'Dec 31 2018 OFFS'!$AI846,'T1 2019 Pipeline Data Lagasco'!$Q:$Q,'Dec 31 2018 OFFS'!$AK846,'T1 2019 Pipeline Data Lagasco'!$E:$E,'Dec 31 2018 OFFS'!$U846,'T1 2019 Pipeline Data Lagasco'!$G:$G,'Dec 31 2018 OFFS'!$W846),1))</f>
        <v>0</v>
      </c>
      <c r="AM846" s="274">
        <f t="shared" si="131"/>
        <v>0</v>
      </c>
    </row>
    <row r="847" spans="1:39" ht="12.7">
      <c r="A847" s="193" t="s">
        <v>909</v>
      </c>
      <c r="B847" s="40" t="s">
        <v>918</v>
      </c>
      <c r="C847" s="40" t="s">
        <v>1266</v>
      </c>
      <c r="D847" s="40" t="s">
        <v>336</v>
      </c>
      <c r="E847" s="40" t="s">
        <v>1055</v>
      </c>
      <c r="F847" s="139" t="s">
        <v>1051</v>
      </c>
      <c r="G847" s="41" t="s">
        <v>432</v>
      </c>
      <c r="H847" s="42">
        <v>42</v>
      </c>
      <c r="I847" s="43">
        <v>37</v>
      </c>
      <c r="J847" s="44">
        <v>37.020000000000003</v>
      </c>
      <c r="K847" s="45">
        <v>80</v>
      </c>
      <c r="L847" s="43">
        <v>13</v>
      </c>
      <c r="M847" s="46">
        <v>40.020000000000003</v>
      </c>
      <c r="N847" s="41" t="s">
        <v>433</v>
      </c>
      <c r="O847" s="42">
        <v>42</v>
      </c>
      <c r="P847" s="43">
        <v>37</v>
      </c>
      <c r="Q847" s="44">
        <v>43.92</v>
      </c>
      <c r="R847" s="45">
        <v>80</v>
      </c>
      <c r="S847" s="43">
        <v>12</v>
      </c>
      <c r="T847" s="46">
        <v>44.40</v>
      </c>
      <c r="U847" s="40">
        <v>3</v>
      </c>
      <c r="V847" s="47">
        <v>4216.3384605720003</v>
      </c>
      <c r="W847" s="48">
        <v>1967</v>
      </c>
      <c r="X847" s="40"/>
      <c r="Y847" s="52" t="s">
        <v>1081</v>
      </c>
      <c r="Z847" s="40" t="s">
        <v>910</v>
      </c>
      <c r="AA847" s="49">
        <f t="shared" si="124"/>
        <v>0</v>
      </c>
      <c r="AB847" s="71">
        <f t="shared" si="125"/>
        <v>0.80</v>
      </c>
      <c r="AC847" s="49">
        <f t="shared" si="126"/>
        <v>0</v>
      </c>
      <c r="AD847" s="50">
        <f t="shared" si="127"/>
        <v>0</v>
      </c>
      <c r="AE847" s="50">
        <f t="shared" si="128"/>
        <v>0</v>
      </c>
      <c r="AF847" s="50">
        <f t="shared" si="129"/>
        <v>0</v>
      </c>
      <c r="AG847" s="199">
        <f t="shared" si="130"/>
        <v>0</v>
      </c>
      <c r="AH847" s="187"/>
      <c r="AI847" s="185" t="s">
        <v>1458</v>
      </c>
      <c r="AJ847" s="185"/>
      <c r="AK847" s="277">
        <f t="shared" si="123"/>
        <v>4216.34</v>
      </c>
      <c r="AL847" s="25">
        <f>(SUMIFS('T1 2019 Pipeline Data Lagasco'!$O:$O,'T1 2019 Pipeline Data Lagasco'!$A:$A,'Dec 31 2018 OFFS'!$AI847,'T1 2019 Pipeline Data Lagasco'!$Q:$Q,'Dec 31 2018 OFFS'!$AK847,'T1 2019 Pipeline Data Lagasco'!$E:$E,'Dec 31 2018 OFFS'!$U847,'T1 2019 Pipeline Data Lagasco'!$G:$G,'Dec 31 2018 OFFS'!$W847))/(MAX(COUNTIFS('T1 2019 Pipeline Data Lagasco'!$A:$A,'Dec 31 2018 OFFS'!$AI847,'T1 2019 Pipeline Data Lagasco'!$Q:$Q,'Dec 31 2018 OFFS'!$AK847,'T1 2019 Pipeline Data Lagasco'!$E:$E,'Dec 31 2018 OFFS'!$U847,'T1 2019 Pipeline Data Lagasco'!$G:$G,'Dec 31 2018 OFFS'!$W847),1))</f>
        <v>0</v>
      </c>
      <c r="AM847" s="274">
        <f t="shared" si="131"/>
        <v>0</v>
      </c>
    </row>
    <row r="848" spans="1:39" ht="12.7">
      <c r="A848" s="193" t="s">
        <v>909</v>
      </c>
      <c r="B848" s="40" t="s">
        <v>918</v>
      </c>
      <c r="C848" s="40" t="s">
        <v>1266</v>
      </c>
      <c r="D848" s="40" t="s">
        <v>336</v>
      </c>
      <c r="E848" s="40" t="s">
        <v>1055</v>
      </c>
      <c r="F848" s="40"/>
      <c r="G848" s="41" t="s">
        <v>434</v>
      </c>
      <c r="H848" s="42">
        <v>42</v>
      </c>
      <c r="I848" s="43">
        <v>37</v>
      </c>
      <c r="J848" s="44">
        <v>14.40</v>
      </c>
      <c r="K848" s="45">
        <v>80</v>
      </c>
      <c r="L848" s="43">
        <v>13</v>
      </c>
      <c r="M848" s="46">
        <v>54.24</v>
      </c>
      <c r="N848" s="41" t="s">
        <v>435</v>
      </c>
      <c r="O848" s="42">
        <v>42</v>
      </c>
      <c r="P848" s="43">
        <v>37</v>
      </c>
      <c r="Q848" s="44">
        <v>37.200000000000003</v>
      </c>
      <c r="R848" s="45">
        <v>80</v>
      </c>
      <c r="S848" s="43">
        <v>14</v>
      </c>
      <c r="T848" s="46">
        <v>18.78</v>
      </c>
      <c r="U848" s="40">
        <v>3</v>
      </c>
      <c r="V848" s="47">
        <v>2948.523536658</v>
      </c>
      <c r="W848" s="48">
        <v>1967</v>
      </c>
      <c r="X848" s="40"/>
      <c r="Y848" s="52" t="s">
        <v>1081</v>
      </c>
      <c r="Z848" s="40" t="s">
        <v>910</v>
      </c>
      <c r="AA848" s="49">
        <f t="shared" si="124"/>
        <v>69555.670229762225</v>
      </c>
      <c r="AB848" s="71">
        <f t="shared" si="125"/>
        <v>0.80</v>
      </c>
      <c r="AC848" s="49">
        <f t="shared" si="126"/>
        <v>13911.13</v>
      </c>
      <c r="AD848" s="50">
        <f t="shared" si="127"/>
        <v>0</v>
      </c>
      <c r="AE848" s="50">
        <f t="shared" si="128"/>
        <v>0</v>
      </c>
      <c r="AF848" s="50">
        <f t="shared" si="129"/>
        <v>13911.13</v>
      </c>
      <c r="AG848" s="199">
        <f t="shared" si="130"/>
        <v>13911</v>
      </c>
      <c r="AH848" s="187"/>
      <c r="AI848" s="185" t="s">
        <v>1458</v>
      </c>
      <c r="AJ848" s="185"/>
      <c r="AK848" s="277">
        <f t="shared" si="123"/>
        <v>2948.52</v>
      </c>
      <c r="AL848" s="25">
        <f>(SUMIFS('T1 2019 Pipeline Data Lagasco'!$O:$O,'T1 2019 Pipeline Data Lagasco'!$A:$A,'Dec 31 2018 OFFS'!$AI848,'T1 2019 Pipeline Data Lagasco'!$Q:$Q,'Dec 31 2018 OFFS'!$AK848,'T1 2019 Pipeline Data Lagasco'!$E:$E,'Dec 31 2018 OFFS'!$U848,'T1 2019 Pipeline Data Lagasco'!$G:$G,'Dec 31 2018 OFFS'!$W848))/(MAX(COUNTIFS('T1 2019 Pipeline Data Lagasco'!$A:$A,'Dec 31 2018 OFFS'!$AI848,'T1 2019 Pipeline Data Lagasco'!$Q:$Q,'Dec 31 2018 OFFS'!$AK848,'T1 2019 Pipeline Data Lagasco'!$E:$E,'Dec 31 2018 OFFS'!$U848,'T1 2019 Pipeline Data Lagasco'!$G:$G,'Dec 31 2018 OFFS'!$W848),1))</f>
        <v>13911</v>
      </c>
      <c r="AM848" s="274">
        <f t="shared" si="131"/>
        <v>0</v>
      </c>
    </row>
    <row r="849" spans="1:39" ht="12.7">
      <c r="A849" s="193" t="s">
        <v>909</v>
      </c>
      <c r="B849" s="40" t="s">
        <v>918</v>
      </c>
      <c r="C849" s="40" t="s">
        <v>1266</v>
      </c>
      <c r="D849" s="40" t="s">
        <v>336</v>
      </c>
      <c r="E849" s="40" t="s">
        <v>1055</v>
      </c>
      <c r="F849" s="40"/>
      <c r="G849" s="41" t="s">
        <v>435</v>
      </c>
      <c r="H849" s="42">
        <v>42</v>
      </c>
      <c r="I849" s="43">
        <v>37</v>
      </c>
      <c r="J849" s="44">
        <v>37.200000000000003</v>
      </c>
      <c r="K849" s="45">
        <v>80</v>
      </c>
      <c r="L849" s="43">
        <v>14</v>
      </c>
      <c r="M849" s="46">
        <v>18.78</v>
      </c>
      <c r="N849" s="41" t="s">
        <v>427</v>
      </c>
      <c r="O849" s="42">
        <v>42</v>
      </c>
      <c r="P849" s="43">
        <v>38</v>
      </c>
      <c r="Q849" s="44">
        <v>1.02</v>
      </c>
      <c r="R849" s="45">
        <v>80</v>
      </c>
      <c r="S849" s="43">
        <v>14</v>
      </c>
      <c r="T849" s="46">
        <v>28.98</v>
      </c>
      <c r="U849" s="40">
        <v>3</v>
      </c>
      <c r="V849" s="47">
        <v>2529.1337850239997</v>
      </c>
      <c r="W849" s="48">
        <v>1990</v>
      </c>
      <c r="X849" s="40"/>
      <c r="Y849" s="52" t="s">
        <v>1081</v>
      </c>
      <c r="Z849" s="40" t="s">
        <v>910</v>
      </c>
      <c r="AA849" s="49">
        <f t="shared" si="124"/>
        <v>59662.26598871615</v>
      </c>
      <c r="AB849" s="71">
        <f t="shared" si="125"/>
        <v>0.73</v>
      </c>
      <c r="AC849" s="49">
        <f t="shared" si="126"/>
        <v>16108.81</v>
      </c>
      <c r="AD849" s="50">
        <f t="shared" si="127"/>
        <v>0</v>
      </c>
      <c r="AE849" s="50">
        <f t="shared" si="128"/>
        <v>0</v>
      </c>
      <c r="AF849" s="50">
        <f t="shared" si="129"/>
        <v>16108.81</v>
      </c>
      <c r="AG849" s="199">
        <f t="shared" si="130"/>
        <v>16108</v>
      </c>
      <c r="AH849" s="187"/>
      <c r="AI849" s="185" t="s">
        <v>1458</v>
      </c>
      <c r="AJ849" s="185"/>
      <c r="AK849" s="277">
        <f t="shared" si="123"/>
        <v>2529.13</v>
      </c>
      <c r="AL849" s="25">
        <f>(SUMIFS('T1 2019 Pipeline Data Lagasco'!$O:$O,'T1 2019 Pipeline Data Lagasco'!$A:$A,'Dec 31 2018 OFFS'!$AI849,'T1 2019 Pipeline Data Lagasco'!$Q:$Q,'Dec 31 2018 OFFS'!$AK849,'T1 2019 Pipeline Data Lagasco'!$E:$E,'Dec 31 2018 OFFS'!$U849,'T1 2019 Pipeline Data Lagasco'!$G:$G,'Dec 31 2018 OFFS'!$W849))/(MAX(COUNTIFS('T1 2019 Pipeline Data Lagasco'!$A:$A,'Dec 31 2018 OFFS'!$AI849,'T1 2019 Pipeline Data Lagasco'!$Q:$Q,'Dec 31 2018 OFFS'!$AK849,'T1 2019 Pipeline Data Lagasco'!$E:$E,'Dec 31 2018 OFFS'!$U849,'T1 2019 Pipeline Data Lagasco'!$G:$G,'Dec 31 2018 OFFS'!$W849),1))</f>
        <v>16108</v>
      </c>
      <c r="AM849" s="274">
        <f t="shared" si="131"/>
        <v>0</v>
      </c>
    </row>
    <row r="850" spans="1:39" ht="12.7">
      <c r="A850" s="193" t="s">
        <v>909</v>
      </c>
      <c r="B850" s="40" t="s">
        <v>918</v>
      </c>
      <c r="C850" s="40" t="s">
        <v>1266</v>
      </c>
      <c r="D850" s="40" t="s">
        <v>336</v>
      </c>
      <c r="E850" s="40" t="s">
        <v>1055</v>
      </c>
      <c r="F850" s="139" t="s">
        <v>1051</v>
      </c>
      <c r="G850" s="41" t="s">
        <v>435</v>
      </c>
      <c r="H850" s="42">
        <v>42</v>
      </c>
      <c r="I850" s="43">
        <v>37</v>
      </c>
      <c r="J850" s="44">
        <v>37.200000000000003</v>
      </c>
      <c r="K850" s="45">
        <v>80</v>
      </c>
      <c r="L850" s="43">
        <v>14</v>
      </c>
      <c r="M850" s="46">
        <v>18.78</v>
      </c>
      <c r="N850" s="41" t="s">
        <v>432</v>
      </c>
      <c r="O850" s="42">
        <v>42</v>
      </c>
      <c r="P850" s="43">
        <v>37</v>
      </c>
      <c r="Q850" s="44">
        <v>37.020000000000003</v>
      </c>
      <c r="R850" s="45">
        <v>80</v>
      </c>
      <c r="S850" s="43">
        <v>13</v>
      </c>
      <c r="T850" s="46">
        <v>40.020000000000003</v>
      </c>
      <c r="U850" s="40">
        <v>3</v>
      </c>
      <c r="V850" s="47">
        <v>2897.736136554</v>
      </c>
      <c r="W850" s="48">
        <v>1967</v>
      </c>
      <c r="X850" s="40"/>
      <c r="Y850" s="52" t="s">
        <v>1081</v>
      </c>
      <c r="Z850" s="40" t="s">
        <v>910</v>
      </c>
      <c r="AA850" s="49">
        <f t="shared" si="124"/>
        <v>0</v>
      </c>
      <c r="AB850" s="71">
        <f t="shared" si="125"/>
        <v>0.80</v>
      </c>
      <c r="AC850" s="49">
        <f t="shared" si="126"/>
        <v>0</v>
      </c>
      <c r="AD850" s="50">
        <f t="shared" si="127"/>
        <v>0</v>
      </c>
      <c r="AE850" s="50">
        <f t="shared" si="128"/>
        <v>0</v>
      </c>
      <c r="AF850" s="50">
        <f t="shared" si="129"/>
        <v>0</v>
      </c>
      <c r="AG850" s="199">
        <f t="shared" si="130"/>
        <v>0</v>
      </c>
      <c r="AH850" s="187"/>
      <c r="AI850" s="185" t="s">
        <v>1458</v>
      </c>
      <c r="AJ850" s="185"/>
      <c r="AK850" s="277">
        <f t="shared" si="123"/>
        <v>2897.74</v>
      </c>
      <c r="AL850" s="25">
        <f>(SUMIFS('T1 2019 Pipeline Data Lagasco'!$O:$O,'T1 2019 Pipeline Data Lagasco'!$A:$A,'Dec 31 2018 OFFS'!$AI850,'T1 2019 Pipeline Data Lagasco'!$Q:$Q,'Dec 31 2018 OFFS'!$AK850,'T1 2019 Pipeline Data Lagasco'!$E:$E,'Dec 31 2018 OFFS'!$U850,'T1 2019 Pipeline Data Lagasco'!$G:$G,'Dec 31 2018 OFFS'!$W850))/(MAX(COUNTIFS('T1 2019 Pipeline Data Lagasco'!$A:$A,'Dec 31 2018 OFFS'!$AI850,'T1 2019 Pipeline Data Lagasco'!$Q:$Q,'Dec 31 2018 OFFS'!$AK850,'T1 2019 Pipeline Data Lagasco'!$E:$E,'Dec 31 2018 OFFS'!$U850,'T1 2019 Pipeline Data Lagasco'!$G:$G,'Dec 31 2018 OFFS'!$W850),1))</f>
        <v>0</v>
      </c>
      <c r="AM850" s="274">
        <f t="shared" si="131"/>
        <v>0</v>
      </c>
    </row>
    <row r="851" spans="1:39" ht="12.7">
      <c r="A851" s="193" t="s">
        <v>909</v>
      </c>
      <c r="B851" s="40" t="s">
        <v>918</v>
      </c>
      <c r="C851" s="40" t="s">
        <v>1266</v>
      </c>
      <c r="D851" s="40" t="s">
        <v>336</v>
      </c>
      <c r="E851" s="40" t="s">
        <v>1055</v>
      </c>
      <c r="F851" s="40" t="s">
        <v>1051</v>
      </c>
      <c r="G851" s="41" t="s">
        <v>435</v>
      </c>
      <c r="H851" s="42">
        <v>42</v>
      </c>
      <c r="I851" s="43">
        <v>37</v>
      </c>
      <c r="J851" s="44">
        <v>37.200000000000003</v>
      </c>
      <c r="K851" s="45">
        <v>80</v>
      </c>
      <c r="L851" s="43">
        <v>14</v>
      </c>
      <c r="M851" s="46">
        <v>18.78</v>
      </c>
      <c r="N851" s="41" t="s">
        <v>436</v>
      </c>
      <c r="O851" s="42">
        <v>42</v>
      </c>
      <c r="P851" s="43">
        <v>37</v>
      </c>
      <c r="Q851" s="44">
        <v>37.979999999999997</v>
      </c>
      <c r="R851" s="45">
        <v>80</v>
      </c>
      <c r="S851" s="43">
        <v>14</v>
      </c>
      <c r="T851" s="46">
        <v>55.62</v>
      </c>
      <c r="U851" s="40">
        <v>3</v>
      </c>
      <c r="V851" s="47">
        <v>2755.25</v>
      </c>
      <c r="W851" s="48">
        <v>1967</v>
      </c>
      <c r="X851" s="40"/>
      <c r="Y851" s="52"/>
      <c r="Z851" s="40" t="s">
        <v>910</v>
      </c>
      <c r="AA851" s="49">
        <f t="shared" si="124"/>
        <v>0</v>
      </c>
      <c r="AB851" s="71">
        <f t="shared" si="125"/>
        <v>0.80</v>
      </c>
      <c r="AC851" s="49">
        <f t="shared" si="126"/>
        <v>0</v>
      </c>
      <c r="AD851" s="50">
        <f t="shared" si="127"/>
        <v>0</v>
      </c>
      <c r="AE851" s="50">
        <f t="shared" si="128"/>
        <v>0</v>
      </c>
      <c r="AF851" s="50">
        <f t="shared" si="129"/>
        <v>0</v>
      </c>
      <c r="AG851" s="199">
        <f t="shared" si="130"/>
        <v>0</v>
      </c>
      <c r="AH851" s="187"/>
      <c r="AI851" s="185" t="s">
        <v>1458</v>
      </c>
      <c r="AJ851" s="185"/>
      <c r="AK851" s="277">
        <f t="shared" si="123"/>
        <v>2755.25</v>
      </c>
      <c r="AL851" s="25">
        <f>(SUMIFS('T1 2019 Pipeline Data Lagasco'!$O:$O,'T1 2019 Pipeline Data Lagasco'!$A:$A,'Dec 31 2018 OFFS'!$AI851,'T1 2019 Pipeline Data Lagasco'!$Q:$Q,'Dec 31 2018 OFFS'!$AK851,'T1 2019 Pipeline Data Lagasco'!$E:$E,'Dec 31 2018 OFFS'!$U851,'T1 2019 Pipeline Data Lagasco'!$G:$G,'Dec 31 2018 OFFS'!$W851))/(MAX(COUNTIFS('T1 2019 Pipeline Data Lagasco'!$A:$A,'Dec 31 2018 OFFS'!$AI851,'T1 2019 Pipeline Data Lagasco'!$Q:$Q,'Dec 31 2018 OFFS'!$AK851,'T1 2019 Pipeline Data Lagasco'!$E:$E,'Dec 31 2018 OFFS'!$U851,'T1 2019 Pipeline Data Lagasco'!$G:$G,'Dec 31 2018 OFFS'!$W851),1))</f>
        <v>0</v>
      </c>
      <c r="AM851" s="274">
        <f t="shared" si="131"/>
        <v>0</v>
      </c>
    </row>
    <row r="852" spans="1:39" ht="12.7">
      <c r="A852" s="193" t="s">
        <v>909</v>
      </c>
      <c r="B852" s="40" t="s">
        <v>918</v>
      </c>
      <c r="C852" s="40" t="s">
        <v>1266</v>
      </c>
      <c r="D852" s="40" t="s">
        <v>336</v>
      </c>
      <c r="E852" s="40" t="s">
        <v>1055</v>
      </c>
      <c r="F852" s="40" t="s">
        <v>1051</v>
      </c>
      <c r="G852" s="41" t="s">
        <v>436</v>
      </c>
      <c r="H852" s="42">
        <v>42</v>
      </c>
      <c r="I852" s="43">
        <v>37</v>
      </c>
      <c r="J852" s="44">
        <v>37.979999999999997</v>
      </c>
      <c r="K852" s="45">
        <v>80</v>
      </c>
      <c r="L852" s="43">
        <v>14</v>
      </c>
      <c r="M852" s="46">
        <v>55.62</v>
      </c>
      <c r="N852" s="51" t="s">
        <v>437</v>
      </c>
      <c r="O852" s="42">
        <v>42</v>
      </c>
      <c r="P852" s="43">
        <v>37</v>
      </c>
      <c r="Q852" s="44">
        <v>13.896000000000001</v>
      </c>
      <c r="R852" s="45">
        <v>80</v>
      </c>
      <c r="S852" s="43">
        <v>15</v>
      </c>
      <c r="T852" s="46">
        <v>40.801000000000002</v>
      </c>
      <c r="U852" s="40">
        <v>3</v>
      </c>
      <c r="V852" s="47">
        <v>4165.91</v>
      </c>
      <c r="W852" s="48">
        <v>1976</v>
      </c>
      <c r="X852" s="40"/>
      <c r="Y852" s="52"/>
      <c r="Z852" s="40" t="s">
        <v>910</v>
      </c>
      <c r="AA852" s="49">
        <f t="shared" si="124"/>
        <v>0</v>
      </c>
      <c r="AB852" s="71">
        <f t="shared" si="125"/>
        <v>0.80</v>
      </c>
      <c r="AC852" s="49">
        <f t="shared" si="126"/>
        <v>0</v>
      </c>
      <c r="AD852" s="50">
        <f t="shared" si="127"/>
        <v>0</v>
      </c>
      <c r="AE852" s="50">
        <f t="shared" si="128"/>
        <v>0</v>
      </c>
      <c r="AF852" s="50">
        <f t="shared" si="129"/>
        <v>0</v>
      </c>
      <c r="AG852" s="199">
        <f t="shared" si="130"/>
        <v>0</v>
      </c>
      <c r="AH852" s="187"/>
      <c r="AI852" s="185" t="s">
        <v>1458</v>
      </c>
      <c r="AJ852" s="185"/>
      <c r="AK852" s="277">
        <f t="shared" si="123"/>
        <v>4165.91</v>
      </c>
      <c r="AL852" s="25">
        <f>(SUMIFS('T1 2019 Pipeline Data Lagasco'!$O:$O,'T1 2019 Pipeline Data Lagasco'!$A:$A,'Dec 31 2018 OFFS'!$AI852,'T1 2019 Pipeline Data Lagasco'!$Q:$Q,'Dec 31 2018 OFFS'!$AK852,'T1 2019 Pipeline Data Lagasco'!$E:$E,'Dec 31 2018 OFFS'!$U852,'T1 2019 Pipeline Data Lagasco'!$G:$G,'Dec 31 2018 OFFS'!$W852))/(MAX(COUNTIFS('T1 2019 Pipeline Data Lagasco'!$A:$A,'Dec 31 2018 OFFS'!$AI852,'T1 2019 Pipeline Data Lagasco'!$Q:$Q,'Dec 31 2018 OFFS'!$AK852,'T1 2019 Pipeline Data Lagasco'!$E:$E,'Dec 31 2018 OFFS'!$U852,'T1 2019 Pipeline Data Lagasco'!$G:$G,'Dec 31 2018 OFFS'!$W852),1))</f>
        <v>0</v>
      </c>
      <c r="AM852" s="274">
        <f t="shared" si="131"/>
        <v>0</v>
      </c>
    </row>
    <row r="853" spans="1:39" ht="12.7">
      <c r="A853" s="193" t="s">
        <v>909</v>
      </c>
      <c r="B853" s="40" t="s">
        <v>918</v>
      </c>
      <c r="C853" s="40" t="s">
        <v>1266</v>
      </c>
      <c r="D853" s="40" t="s">
        <v>336</v>
      </c>
      <c r="E853" s="40" t="s">
        <v>1055</v>
      </c>
      <c r="F853" s="40" t="s">
        <v>1051</v>
      </c>
      <c r="G853" s="41" t="s">
        <v>436</v>
      </c>
      <c r="H853" s="42">
        <v>42</v>
      </c>
      <c r="I853" s="43">
        <v>37</v>
      </c>
      <c r="J853" s="44">
        <v>37.979999999999997</v>
      </c>
      <c r="K853" s="45">
        <v>80</v>
      </c>
      <c r="L853" s="43">
        <v>14</v>
      </c>
      <c r="M853" s="46">
        <v>55.62</v>
      </c>
      <c r="N853" s="51" t="s">
        <v>438</v>
      </c>
      <c r="O853" s="42">
        <v>42</v>
      </c>
      <c r="P853" s="43">
        <v>37</v>
      </c>
      <c r="Q853" s="44">
        <v>13.38</v>
      </c>
      <c r="R853" s="45">
        <v>80</v>
      </c>
      <c r="S853" s="43">
        <v>15</v>
      </c>
      <c r="T853" s="46">
        <v>6</v>
      </c>
      <c r="U853" s="40">
        <v>3</v>
      </c>
      <c r="V853" s="47">
        <v>2608.5300000000002</v>
      </c>
      <c r="W853" s="48">
        <v>1975</v>
      </c>
      <c r="X853" s="40"/>
      <c r="Y853" s="52"/>
      <c r="Z853" s="40" t="s">
        <v>910</v>
      </c>
      <c r="AA853" s="49">
        <f t="shared" si="124"/>
        <v>0</v>
      </c>
      <c r="AB853" s="71">
        <f t="shared" si="125"/>
        <v>0.80</v>
      </c>
      <c r="AC853" s="49">
        <f t="shared" si="126"/>
        <v>0</v>
      </c>
      <c r="AD853" s="50">
        <f t="shared" si="127"/>
        <v>0</v>
      </c>
      <c r="AE853" s="50">
        <f t="shared" si="128"/>
        <v>0</v>
      </c>
      <c r="AF853" s="50">
        <f t="shared" si="129"/>
        <v>0</v>
      </c>
      <c r="AG853" s="199">
        <f t="shared" si="130"/>
        <v>0</v>
      </c>
      <c r="AH853" s="187"/>
      <c r="AI853" s="185" t="s">
        <v>1458</v>
      </c>
      <c r="AJ853" s="185"/>
      <c r="AK853" s="277">
        <f t="shared" si="123"/>
        <v>2608.5300000000002</v>
      </c>
      <c r="AL853" s="25">
        <f>(SUMIFS('T1 2019 Pipeline Data Lagasco'!$O:$O,'T1 2019 Pipeline Data Lagasco'!$A:$A,'Dec 31 2018 OFFS'!$AI853,'T1 2019 Pipeline Data Lagasco'!$Q:$Q,'Dec 31 2018 OFFS'!$AK853,'T1 2019 Pipeline Data Lagasco'!$E:$E,'Dec 31 2018 OFFS'!$U853,'T1 2019 Pipeline Data Lagasco'!$G:$G,'Dec 31 2018 OFFS'!$W853))/(MAX(COUNTIFS('T1 2019 Pipeline Data Lagasco'!$A:$A,'Dec 31 2018 OFFS'!$AI853,'T1 2019 Pipeline Data Lagasco'!$Q:$Q,'Dec 31 2018 OFFS'!$AK853,'T1 2019 Pipeline Data Lagasco'!$E:$E,'Dec 31 2018 OFFS'!$U853,'T1 2019 Pipeline Data Lagasco'!$G:$G,'Dec 31 2018 OFFS'!$W853),1))</f>
        <v>0</v>
      </c>
      <c r="AM853" s="274">
        <f t="shared" si="131"/>
        <v>0</v>
      </c>
    </row>
    <row r="854" spans="1:39" ht="12.7">
      <c r="A854" s="193" t="s">
        <v>909</v>
      </c>
      <c r="B854" s="40" t="s">
        <v>918</v>
      </c>
      <c r="C854" s="40" t="s">
        <v>1266</v>
      </c>
      <c r="D854" s="40" t="s">
        <v>336</v>
      </c>
      <c r="E854" s="40" t="s">
        <v>1055</v>
      </c>
      <c r="F854" s="40" t="s">
        <v>1051</v>
      </c>
      <c r="G854" s="41" t="s">
        <v>439</v>
      </c>
      <c r="H854" s="42">
        <v>42</v>
      </c>
      <c r="I854" s="43">
        <v>36</v>
      </c>
      <c r="J854" s="44">
        <v>51.30</v>
      </c>
      <c r="K854" s="45">
        <v>80</v>
      </c>
      <c r="L854" s="43">
        <v>14</v>
      </c>
      <c r="M854" s="46">
        <v>29.28</v>
      </c>
      <c r="N854" s="41" t="s">
        <v>440</v>
      </c>
      <c r="O854" s="42">
        <v>42</v>
      </c>
      <c r="P854" s="43">
        <v>36</v>
      </c>
      <c r="Q854" s="44">
        <v>40.98</v>
      </c>
      <c r="R854" s="45">
        <v>80</v>
      </c>
      <c r="S854" s="43">
        <v>15</v>
      </c>
      <c r="T854" s="46">
        <v>10.98</v>
      </c>
      <c r="U854" s="40">
        <v>3</v>
      </c>
      <c r="V854" s="47">
        <v>3288.55</v>
      </c>
      <c r="W854" s="48">
        <v>1967</v>
      </c>
      <c r="X854" s="40"/>
      <c r="Y854" s="52" t="s">
        <v>1081</v>
      </c>
      <c r="Z854" s="40" t="s">
        <v>910</v>
      </c>
      <c r="AA854" s="49">
        <f t="shared" si="124"/>
        <v>0</v>
      </c>
      <c r="AB854" s="71">
        <f t="shared" si="125"/>
        <v>0.80</v>
      </c>
      <c r="AC854" s="49">
        <f t="shared" si="126"/>
        <v>0</v>
      </c>
      <c r="AD854" s="50">
        <f t="shared" si="127"/>
        <v>0</v>
      </c>
      <c r="AE854" s="50">
        <f t="shared" si="128"/>
        <v>0</v>
      </c>
      <c r="AF854" s="50">
        <f t="shared" si="129"/>
        <v>0</v>
      </c>
      <c r="AG854" s="199">
        <f t="shared" si="130"/>
        <v>0</v>
      </c>
      <c r="AH854" s="187"/>
      <c r="AI854" s="185" t="s">
        <v>1458</v>
      </c>
      <c r="AJ854" s="185"/>
      <c r="AK854" s="277">
        <f t="shared" si="123"/>
        <v>3288.55</v>
      </c>
      <c r="AL854" s="25">
        <f>(SUMIFS('T1 2019 Pipeline Data Lagasco'!$O:$O,'T1 2019 Pipeline Data Lagasco'!$A:$A,'Dec 31 2018 OFFS'!$AI854,'T1 2019 Pipeline Data Lagasco'!$Q:$Q,'Dec 31 2018 OFFS'!$AK854,'T1 2019 Pipeline Data Lagasco'!$E:$E,'Dec 31 2018 OFFS'!$U854,'T1 2019 Pipeline Data Lagasco'!$G:$G,'Dec 31 2018 OFFS'!$W854))/(MAX(COUNTIFS('T1 2019 Pipeline Data Lagasco'!$A:$A,'Dec 31 2018 OFFS'!$AI854,'T1 2019 Pipeline Data Lagasco'!$Q:$Q,'Dec 31 2018 OFFS'!$AK854,'T1 2019 Pipeline Data Lagasco'!$E:$E,'Dec 31 2018 OFFS'!$U854,'T1 2019 Pipeline Data Lagasco'!$G:$G,'Dec 31 2018 OFFS'!$W854),1))</f>
        <v>0</v>
      </c>
      <c r="AM854" s="274">
        <f t="shared" si="131"/>
        <v>0</v>
      </c>
    </row>
    <row r="855" spans="1:39" ht="12.7">
      <c r="A855" s="193" t="s">
        <v>909</v>
      </c>
      <c r="B855" s="40" t="s">
        <v>918</v>
      </c>
      <c r="C855" s="40" t="s">
        <v>1266</v>
      </c>
      <c r="D855" s="40" t="s">
        <v>336</v>
      </c>
      <c r="E855" s="40" t="s">
        <v>1055</v>
      </c>
      <c r="F855" s="40"/>
      <c r="G855" s="41" t="s">
        <v>441</v>
      </c>
      <c r="H855" s="42">
        <v>42</v>
      </c>
      <c r="I855" s="43">
        <v>36</v>
      </c>
      <c r="J855" s="44">
        <v>36.78</v>
      </c>
      <c r="K855" s="45">
        <v>80</v>
      </c>
      <c r="L855" s="43">
        <v>13</v>
      </c>
      <c r="M855" s="46">
        <v>45.12</v>
      </c>
      <c r="N855" s="41" t="s">
        <v>439</v>
      </c>
      <c r="O855" s="42">
        <v>42</v>
      </c>
      <c r="P855" s="43">
        <v>36</v>
      </c>
      <c r="Q855" s="44">
        <v>51.30</v>
      </c>
      <c r="R855" s="45">
        <v>80</v>
      </c>
      <c r="S855" s="43">
        <v>14</v>
      </c>
      <c r="T855" s="46">
        <v>29.28</v>
      </c>
      <c r="U855" s="40">
        <v>3</v>
      </c>
      <c r="V855" s="47">
        <v>3614.5668244559997</v>
      </c>
      <c r="W855" s="48">
        <v>1990</v>
      </c>
      <c r="X855" s="40"/>
      <c r="Y855" s="52" t="s">
        <v>1081</v>
      </c>
      <c r="Z855" s="40" t="s">
        <v>910</v>
      </c>
      <c r="AA855" s="49">
        <f t="shared" si="124"/>
        <v>85267.631388917027</v>
      </c>
      <c r="AB855" s="71">
        <f t="shared" si="125"/>
        <v>0.73</v>
      </c>
      <c r="AC855" s="49">
        <f t="shared" si="126"/>
        <v>23022.26</v>
      </c>
      <c r="AD855" s="50">
        <f t="shared" si="127"/>
        <v>0</v>
      </c>
      <c r="AE855" s="50">
        <f t="shared" si="128"/>
        <v>0</v>
      </c>
      <c r="AF855" s="50">
        <f t="shared" si="129"/>
        <v>23022.26</v>
      </c>
      <c r="AG855" s="199">
        <f t="shared" si="130"/>
        <v>23022</v>
      </c>
      <c r="AH855" s="187"/>
      <c r="AI855" s="185" t="s">
        <v>1458</v>
      </c>
      <c r="AJ855" s="185"/>
      <c r="AK855" s="277">
        <f t="shared" si="123"/>
        <v>3614.57</v>
      </c>
      <c r="AL855" s="25">
        <f>(SUMIFS('T1 2019 Pipeline Data Lagasco'!$O:$O,'T1 2019 Pipeline Data Lagasco'!$A:$A,'Dec 31 2018 OFFS'!$AI855,'T1 2019 Pipeline Data Lagasco'!$Q:$Q,'Dec 31 2018 OFFS'!$AK855,'T1 2019 Pipeline Data Lagasco'!$E:$E,'Dec 31 2018 OFFS'!$U855,'T1 2019 Pipeline Data Lagasco'!$G:$G,'Dec 31 2018 OFFS'!$W855))/(MAX(COUNTIFS('T1 2019 Pipeline Data Lagasco'!$A:$A,'Dec 31 2018 OFFS'!$AI855,'T1 2019 Pipeline Data Lagasco'!$Q:$Q,'Dec 31 2018 OFFS'!$AK855,'T1 2019 Pipeline Data Lagasco'!$E:$E,'Dec 31 2018 OFFS'!$U855,'T1 2019 Pipeline Data Lagasco'!$G:$G,'Dec 31 2018 OFFS'!$W855),1))</f>
        <v>23022</v>
      </c>
      <c r="AM855" s="274">
        <f t="shared" si="131"/>
        <v>0</v>
      </c>
    </row>
    <row r="856" spans="1:39" ht="12.7">
      <c r="A856" s="193" t="s">
        <v>909</v>
      </c>
      <c r="B856" s="40" t="s">
        <v>918</v>
      </c>
      <c r="C856" s="40" t="s">
        <v>1266</v>
      </c>
      <c r="D856" s="40" t="s">
        <v>336</v>
      </c>
      <c r="E856" s="40" t="s">
        <v>1055</v>
      </c>
      <c r="F856" s="40" t="s">
        <v>1051</v>
      </c>
      <c r="G856" s="41" t="s">
        <v>442</v>
      </c>
      <c r="H856" s="42">
        <v>42</v>
      </c>
      <c r="I856" s="43">
        <v>36</v>
      </c>
      <c r="J856" s="44">
        <v>37.979999999999997</v>
      </c>
      <c r="K856" s="45">
        <v>80</v>
      </c>
      <c r="L856" s="43">
        <v>13</v>
      </c>
      <c r="M856" s="46">
        <v>34.020000000000003</v>
      </c>
      <c r="N856" s="41" t="s">
        <v>402</v>
      </c>
      <c r="O856" s="42">
        <v>42</v>
      </c>
      <c r="P856" s="43">
        <v>36</v>
      </c>
      <c r="Q856" s="44">
        <v>42.997</v>
      </c>
      <c r="R856" s="45">
        <v>80</v>
      </c>
      <c r="S856" s="43">
        <v>13</v>
      </c>
      <c r="T856" s="46">
        <v>0.80200000000000005</v>
      </c>
      <c r="U856" s="40">
        <v>2</v>
      </c>
      <c r="V856" s="47">
        <v>2535.40</v>
      </c>
      <c r="W856" s="48">
        <v>1967</v>
      </c>
      <c r="X856" s="40"/>
      <c r="Y856" s="52"/>
      <c r="Z856" s="40" t="s">
        <v>910</v>
      </c>
      <c r="AA856" s="49">
        <f t="shared" si="124"/>
        <v>0</v>
      </c>
      <c r="AB856" s="71">
        <f t="shared" si="125"/>
        <v>0.80</v>
      </c>
      <c r="AC856" s="49">
        <f t="shared" si="126"/>
        <v>0</v>
      </c>
      <c r="AD856" s="50">
        <f t="shared" si="127"/>
        <v>0</v>
      </c>
      <c r="AE856" s="50">
        <f t="shared" si="128"/>
        <v>0</v>
      </c>
      <c r="AF856" s="50">
        <f t="shared" si="129"/>
        <v>0</v>
      </c>
      <c r="AG856" s="199">
        <f t="shared" si="130"/>
        <v>0</v>
      </c>
      <c r="AH856" s="187"/>
      <c r="AI856" s="185" t="s">
        <v>1458</v>
      </c>
      <c r="AJ856" s="185"/>
      <c r="AK856" s="277">
        <f t="shared" si="123"/>
        <v>2535.40</v>
      </c>
      <c r="AL856" s="25">
        <f>(SUMIFS('T1 2019 Pipeline Data Lagasco'!$O:$O,'T1 2019 Pipeline Data Lagasco'!$A:$A,'Dec 31 2018 OFFS'!$AI856,'T1 2019 Pipeline Data Lagasco'!$Q:$Q,'Dec 31 2018 OFFS'!$AK856,'T1 2019 Pipeline Data Lagasco'!$E:$E,'Dec 31 2018 OFFS'!$U856,'T1 2019 Pipeline Data Lagasco'!$G:$G,'Dec 31 2018 OFFS'!$W856))/(MAX(COUNTIFS('T1 2019 Pipeline Data Lagasco'!$A:$A,'Dec 31 2018 OFFS'!$AI856,'T1 2019 Pipeline Data Lagasco'!$Q:$Q,'Dec 31 2018 OFFS'!$AK856,'T1 2019 Pipeline Data Lagasco'!$E:$E,'Dec 31 2018 OFFS'!$U856,'T1 2019 Pipeline Data Lagasco'!$G:$G,'Dec 31 2018 OFFS'!$W856),1))</f>
        <v>0</v>
      </c>
      <c r="AM856" s="274">
        <f t="shared" si="131"/>
        <v>0</v>
      </c>
    </row>
    <row r="857" spans="1:39" ht="12.7">
      <c r="A857" s="193" t="s">
        <v>909</v>
      </c>
      <c r="B857" s="40" t="s">
        <v>918</v>
      </c>
      <c r="C857" s="40" t="s">
        <v>1266</v>
      </c>
      <c r="D857" s="40" t="s">
        <v>336</v>
      </c>
      <c r="E857" s="40" t="s">
        <v>1055</v>
      </c>
      <c r="F857" s="40"/>
      <c r="G857" s="41" t="s">
        <v>442</v>
      </c>
      <c r="H857" s="42">
        <v>42</v>
      </c>
      <c r="I857" s="43">
        <v>36</v>
      </c>
      <c r="J857" s="44">
        <v>37.979999999999997</v>
      </c>
      <c r="K857" s="45">
        <v>80</v>
      </c>
      <c r="L857" s="43">
        <v>13</v>
      </c>
      <c r="M857" s="46">
        <v>34.020000000000003</v>
      </c>
      <c r="N857" s="41" t="s">
        <v>441</v>
      </c>
      <c r="O857" s="42">
        <v>42</v>
      </c>
      <c r="P857" s="43">
        <v>36</v>
      </c>
      <c r="Q857" s="44">
        <v>36.78</v>
      </c>
      <c r="R857" s="45">
        <v>80</v>
      </c>
      <c r="S857" s="43">
        <v>13</v>
      </c>
      <c r="T857" s="46">
        <v>45.12</v>
      </c>
      <c r="U857" s="40">
        <v>3</v>
      </c>
      <c r="V857" s="47">
        <v>838.91073685999993</v>
      </c>
      <c r="W857" s="48">
        <v>1967</v>
      </c>
      <c r="X857" s="40"/>
      <c r="Y857" s="52" t="s">
        <v>1081</v>
      </c>
      <c r="Z857" s="40" t="s">
        <v>910</v>
      </c>
      <c r="AA857" s="49">
        <f t="shared" si="124"/>
        <v>19789.904282527397</v>
      </c>
      <c r="AB857" s="71">
        <f t="shared" si="125"/>
        <v>0.80</v>
      </c>
      <c r="AC857" s="49">
        <f t="shared" si="126"/>
        <v>3957.98</v>
      </c>
      <c r="AD857" s="50">
        <f t="shared" si="127"/>
        <v>0</v>
      </c>
      <c r="AE857" s="50">
        <f t="shared" si="128"/>
        <v>0</v>
      </c>
      <c r="AF857" s="50">
        <f t="shared" si="129"/>
        <v>3957.98</v>
      </c>
      <c r="AG857" s="199">
        <f t="shared" si="130"/>
        <v>3957</v>
      </c>
      <c r="AH857" s="187"/>
      <c r="AI857" s="185" t="s">
        <v>1458</v>
      </c>
      <c r="AJ857" s="185"/>
      <c r="AK857" s="277">
        <f t="shared" si="123"/>
        <v>838.91</v>
      </c>
      <c r="AL857" s="25">
        <f>(SUMIFS('T1 2019 Pipeline Data Lagasco'!$O:$O,'T1 2019 Pipeline Data Lagasco'!$A:$A,'Dec 31 2018 OFFS'!$AI857,'T1 2019 Pipeline Data Lagasco'!$Q:$Q,'Dec 31 2018 OFFS'!$AK857,'T1 2019 Pipeline Data Lagasco'!$E:$E,'Dec 31 2018 OFFS'!$U857,'T1 2019 Pipeline Data Lagasco'!$G:$G,'Dec 31 2018 OFFS'!$W857))/(MAX(COUNTIFS('T1 2019 Pipeline Data Lagasco'!$A:$A,'Dec 31 2018 OFFS'!$AI857,'T1 2019 Pipeline Data Lagasco'!$Q:$Q,'Dec 31 2018 OFFS'!$AK857,'T1 2019 Pipeline Data Lagasco'!$E:$E,'Dec 31 2018 OFFS'!$U857,'T1 2019 Pipeline Data Lagasco'!$G:$G,'Dec 31 2018 OFFS'!$W857),1))</f>
        <v>3957</v>
      </c>
      <c r="AM857" s="274">
        <f t="shared" si="131"/>
        <v>0</v>
      </c>
    </row>
    <row r="858" spans="1:39" ht="12.7">
      <c r="A858" s="193" t="s">
        <v>909</v>
      </c>
      <c r="B858" s="40" t="s">
        <v>918</v>
      </c>
      <c r="C858" s="40" t="s">
        <v>1266</v>
      </c>
      <c r="D858" s="40" t="s">
        <v>336</v>
      </c>
      <c r="E858" s="40" t="s">
        <v>1055</v>
      </c>
      <c r="F858" s="40"/>
      <c r="G858" s="41" t="s">
        <v>442</v>
      </c>
      <c r="H858" s="42">
        <v>42</v>
      </c>
      <c r="I858" s="43">
        <v>36</v>
      </c>
      <c r="J858" s="44">
        <v>37.979999999999997</v>
      </c>
      <c r="K858" s="45">
        <v>80</v>
      </c>
      <c r="L858" s="43">
        <v>13</v>
      </c>
      <c r="M858" s="46">
        <v>34.020000000000003</v>
      </c>
      <c r="N858" s="41" t="s">
        <v>434</v>
      </c>
      <c r="O858" s="42">
        <v>42</v>
      </c>
      <c r="P858" s="43">
        <v>37</v>
      </c>
      <c r="Q858" s="44">
        <v>14.40</v>
      </c>
      <c r="R858" s="45">
        <v>80</v>
      </c>
      <c r="S858" s="43">
        <v>13</v>
      </c>
      <c r="T858" s="46">
        <v>54.24</v>
      </c>
      <c r="U858" s="40">
        <v>3</v>
      </c>
      <c r="V858" s="47">
        <v>3985.0064462740002</v>
      </c>
      <c r="W858" s="48">
        <v>1967</v>
      </c>
      <c r="X858" s="40"/>
      <c r="Y858" s="52" t="s">
        <v>1081</v>
      </c>
      <c r="Z858" s="40" t="s">
        <v>910</v>
      </c>
      <c r="AA858" s="49">
        <f t="shared" si="124"/>
        <v>94006.302067603669</v>
      </c>
      <c r="AB858" s="71">
        <f t="shared" si="125"/>
        <v>0.80</v>
      </c>
      <c r="AC858" s="49">
        <f t="shared" si="126"/>
        <v>18801.259999999998</v>
      </c>
      <c r="AD858" s="50">
        <f t="shared" si="127"/>
        <v>0</v>
      </c>
      <c r="AE858" s="50">
        <f t="shared" si="128"/>
        <v>0</v>
      </c>
      <c r="AF858" s="50">
        <f t="shared" si="129"/>
        <v>18801.259999999998</v>
      </c>
      <c r="AG858" s="199">
        <f t="shared" si="130"/>
        <v>18801</v>
      </c>
      <c r="AH858" s="187"/>
      <c r="AI858" s="185" t="s">
        <v>1458</v>
      </c>
      <c r="AJ858" s="185"/>
      <c r="AK858" s="277">
        <f t="shared" si="123"/>
        <v>3985.01</v>
      </c>
      <c r="AL858" s="25">
        <f>(SUMIFS('T1 2019 Pipeline Data Lagasco'!$O:$O,'T1 2019 Pipeline Data Lagasco'!$A:$A,'Dec 31 2018 OFFS'!$AI858,'T1 2019 Pipeline Data Lagasco'!$Q:$Q,'Dec 31 2018 OFFS'!$AK858,'T1 2019 Pipeline Data Lagasco'!$E:$E,'Dec 31 2018 OFFS'!$U858,'T1 2019 Pipeline Data Lagasco'!$G:$G,'Dec 31 2018 OFFS'!$W858))/(MAX(COUNTIFS('T1 2019 Pipeline Data Lagasco'!$A:$A,'Dec 31 2018 OFFS'!$AI858,'T1 2019 Pipeline Data Lagasco'!$Q:$Q,'Dec 31 2018 OFFS'!$AK858,'T1 2019 Pipeline Data Lagasco'!$E:$E,'Dec 31 2018 OFFS'!$U858,'T1 2019 Pipeline Data Lagasco'!$G:$G,'Dec 31 2018 OFFS'!$W858),1))</f>
        <v>18801</v>
      </c>
      <c r="AM858" s="274">
        <f t="shared" si="131"/>
        <v>0</v>
      </c>
    </row>
    <row r="859" spans="1:39" ht="12.7">
      <c r="A859" s="193" t="s">
        <v>909</v>
      </c>
      <c r="B859" s="40" t="s">
        <v>918</v>
      </c>
      <c r="C859" s="40" t="s">
        <v>1266</v>
      </c>
      <c r="D859" s="40" t="s">
        <v>336</v>
      </c>
      <c r="E859" s="40" t="s">
        <v>1055</v>
      </c>
      <c r="F859" s="40" t="s">
        <v>1051</v>
      </c>
      <c r="G859" s="41" t="s">
        <v>442</v>
      </c>
      <c r="H859" s="42">
        <v>42</v>
      </c>
      <c r="I859" s="43">
        <v>36</v>
      </c>
      <c r="J859" s="44">
        <v>37.979999999999997</v>
      </c>
      <c r="K859" s="45">
        <v>80</v>
      </c>
      <c r="L859" s="43">
        <v>13</v>
      </c>
      <c r="M859" s="46">
        <v>34.020000000000003</v>
      </c>
      <c r="N859" s="40" t="s">
        <v>443</v>
      </c>
      <c r="O859" s="42">
        <v>42</v>
      </c>
      <c r="P859" s="43">
        <v>36</v>
      </c>
      <c r="Q859" s="44">
        <v>10.78</v>
      </c>
      <c r="R859" s="45">
        <v>80</v>
      </c>
      <c r="S859" s="43">
        <v>13</v>
      </c>
      <c r="T859" s="46">
        <v>14.25</v>
      </c>
      <c r="U859" s="40">
        <v>3</v>
      </c>
      <c r="V859" s="47">
        <v>3125.43</v>
      </c>
      <c r="W859" s="48">
        <v>1967</v>
      </c>
      <c r="X859" s="40"/>
      <c r="Y859" s="52"/>
      <c r="Z859" s="40" t="s">
        <v>910</v>
      </c>
      <c r="AA859" s="49">
        <f t="shared" si="124"/>
        <v>0</v>
      </c>
      <c r="AB859" s="71">
        <f t="shared" si="125"/>
        <v>0.80</v>
      </c>
      <c r="AC859" s="49">
        <f t="shared" si="126"/>
        <v>0</v>
      </c>
      <c r="AD859" s="50">
        <f t="shared" si="127"/>
        <v>0</v>
      </c>
      <c r="AE859" s="50">
        <f t="shared" si="128"/>
        <v>0</v>
      </c>
      <c r="AF859" s="50">
        <f t="shared" si="129"/>
        <v>0</v>
      </c>
      <c r="AG859" s="199">
        <f t="shared" si="130"/>
        <v>0</v>
      </c>
      <c r="AH859" s="187"/>
      <c r="AI859" s="185" t="s">
        <v>1458</v>
      </c>
      <c r="AJ859" s="185"/>
      <c r="AK859" s="277">
        <f t="shared" si="123"/>
        <v>3125.43</v>
      </c>
      <c r="AL859" s="25">
        <f>(SUMIFS('T1 2019 Pipeline Data Lagasco'!$O:$O,'T1 2019 Pipeline Data Lagasco'!$A:$A,'Dec 31 2018 OFFS'!$AI859,'T1 2019 Pipeline Data Lagasco'!$Q:$Q,'Dec 31 2018 OFFS'!$AK859,'T1 2019 Pipeline Data Lagasco'!$E:$E,'Dec 31 2018 OFFS'!$U859,'T1 2019 Pipeline Data Lagasco'!$G:$G,'Dec 31 2018 OFFS'!$W859))/(MAX(COUNTIFS('T1 2019 Pipeline Data Lagasco'!$A:$A,'Dec 31 2018 OFFS'!$AI859,'T1 2019 Pipeline Data Lagasco'!$Q:$Q,'Dec 31 2018 OFFS'!$AK859,'T1 2019 Pipeline Data Lagasco'!$E:$E,'Dec 31 2018 OFFS'!$U859,'T1 2019 Pipeline Data Lagasco'!$G:$G,'Dec 31 2018 OFFS'!$W859),1))</f>
        <v>0</v>
      </c>
      <c r="AM859" s="274">
        <f t="shared" si="131"/>
        <v>0</v>
      </c>
    </row>
    <row r="860" spans="1:39" ht="12.7">
      <c r="A860" s="193" t="s">
        <v>909</v>
      </c>
      <c r="B860" s="40" t="s">
        <v>918</v>
      </c>
      <c r="C860" s="40" t="s">
        <v>1266</v>
      </c>
      <c r="D860" s="40" t="s">
        <v>336</v>
      </c>
      <c r="E860" s="40" t="s">
        <v>1055</v>
      </c>
      <c r="F860" s="40" t="s">
        <v>1051</v>
      </c>
      <c r="G860" s="40" t="s">
        <v>443</v>
      </c>
      <c r="H860" s="42">
        <v>42</v>
      </c>
      <c r="I860" s="43">
        <v>36</v>
      </c>
      <c r="J860" s="44">
        <v>10.78</v>
      </c>
      <c r="K860" s="45">
        <v>80</v>
      </c>
      <c r="L860" s="43">
        <v>13</v>
      </c>
      <c r="M860" s="46">
        <v>14.25</v>
      </c>
      <c r="N860" s="41" t="s">
        <v>444</v>
      </c>
      <c r="O860" s="42">
        <v>42</v>
      </c>
      <c r="P860" s="43">
        <v>36</v>
      </c>
      <c r="Q860" s="44">
        <v>15</v>
      </c>
      <c r="R860" s="45">
        <v>80</v>
      </c>
      <c r="S860" s="43">
        <v>12</v>
      </c>
      <c r="T860" s="46">
        <v>19.02</v>
      </c>
      <c r="U860" s="40">
        <v>3</v>
      </c>
      <c r="V860" s="47">
        <v>4152.5600000000004</v>
      </c>
      <c r="W860" s="48">
        <v>1967</v>
      </c>
      <c r="X860" s="40"/>
      <c r="Y860" s="52"/>
      <c r="Z860" s="40" t="s">
        <v>910</v>
      </c>
      <c r="AA860" s="49">
        <f t="shared" si="124"/>
        <v>0</v>
      </c>
      <c r="AB860" s="71">
        <f t="shared" si="125"/>
        <v>0.80</v>
      </c>
      <c r="AC860" s="49">
        <f t="shared" si="126"/>
        <v>0</v>
      </c>
      <c r="AD860" s="50">
        <f t="shared" si="127"/>
        <v>0</v>
      </c>
      <c r="AE860" s="50">
        <f t="shared" si="128"/>
        <v>0</v>
      </c>
      <c r="AF860" s="50">
        <f t="shared" si="129"/>
        <v>0</v>
      </c>
      <c r="AG860" s="199">
        <f t="shared" si="130"/>
        <v>0</v>
      </c>
      <c r="AH860" s="187"/>
      <c r="AI860" s="185" t="s">
        <v>1458</v>
      </c>
      <c r="AJ860" s="185"/>
      <c r="AK860" s="277">
        <f t="shared" si="123"/>
        <v>4152.5600000000004</v>
      </c>
      <c r="AL860" s="25">
        <f>(SUMIFS('T1 2019 Pipeline Data Lagasco'!$O:$O,'T1 2019 Pipeline Data Lagasco'!$A:$A,'Dec 31 2018 OFFS'!$AI860,'T1 2019 Pipeline Data Lagasco'!$Q:$Q,'Dec 31 2018 OFFS'!$AK860,'T1 2019 Pipeline Data Lagasco'!$E:$E,'Dec 31 2018 OFFS'!$U860,'T1 2019 Pipeline Data Lagasco'!$G:$G,'Dec 31 2018 OFFS'!$W860))/(MAX(COUNTIFS('T1 2019 Pipeline Data Lagasco'!$A:$A,'Dec 31 2018 OFFS'!$AI860,'T1 2019 Pipeline Data Lagasco'!$Q:$Q,'Dec 31 2018 OFFS'!$AK860,'T1 2019 Pipeline Data Lagasco'!$E:$E,'Dec 31 2018 OFFS'!$U860,'T1 2019 Pipeline Data Lagasco'!$G:$G,'Dec 31 2018 OFFS'!$W860),1))</f>
        <v>0</v>
      </c>
      <c r="AM860" s="274">
        <f t="shared" si="131"/>
        <v>0</v>
      </c>
    </row>
    <row r="861" spans="1:39" ht="12.7">
      <c r="A861" s="193" t="s">
        <v>909</v>
      </c>
      <c r="B861" s="40" t="s">
        <v>918</v>
      </c>
      <c r="C861" s="40" t="s">
        <v>1266</v>
      </c>
      <c r="D861" s="40" t="s">
        <v>336</v>
      </c>
      <c r="E861" s="40" t="s">
        <v>324</v>
      </c>
      <c r="F861" s="40" t="s">
        <v>1051</v>
      </c>
      <c r="G861" s="41" t="s">
        <v>451</v>
      </c>
      <c r="H861" s="42">
        <v>42</v>
      </c>
      <c r="I861" s="43">
        <v>36</v>
      </c>
      <c r="J861" s="44">
        <v>41.296999999999997</v>
      </c>
      <c r="K861" s="45">
        <v>80</v>
      </c>
      <c r="L861" s="43">
        <v>10</v>
      </c>
      <c r="M861" s="46">
        <v>45.097999999999999</v>
      </c>
      <c r="N861" s="41" t="s">
        <v>445</v>
      </c>
      <c r="O861" s="42">
        <v>42</v>
      </c>
      <c r="P861" s="43">
        <v>37</v>
      </c>
      <c r="Q861" s="44">
        <v>17.52</v>
      </c>
      <c r="R861" s="45">
        <v>80</v>
      </c>
      <c r="S861" s="43">
        <v>10</v>
      </c>
      <c r="T861" s="46">
        <v>14.52</v>
      </c>
      <c r="U861" s="40">
        <v>3</v>
      </c>
      <c r="V861" s="47">
        <v>4321.5221845599999</v>
      </c>
      <c r="W861" s="48">
        <v>1983</v>
      </c>
      <c r="X861" s="40"/>
      <c r="Y861" s="52"/>
      <c r="Z861" s="40" t="s">
        <v>910</v>
      </c>
      <c r="AA861" s="49">
        <f t="shared" si="124"/>
        <v>0</v>
      </c>
      <c r="AB861" s="71">
        <f t="shared" si="125"/>
        <v>0.80</v>
      </c>
      <c r="AC861" s="49">
        <f t="shared" si="126"/>
        <v>0</v>
      </c>
      <c r="AD861" s="50">
        <f t="shared" si="127"/>
        <v>0</v>
      </c>
      <c r="AE861" s="50">
        <f t="shared" si="128"/>
        <v>0</v>
      </c>
      <c r="AF861" s="50">
        <f t="shared" si="129"/>
        <v>0</v>
      </c>
      <c r="AG861" s="199">
        <f t="shared" si="130"/>
        <v>0</v>
      </c>
      <c r="AH861" s="187"/>
      <c r="AI861" s="185" t="s">
        <v>1458</v>
      </c>
      <c r="AJ861" s="185"/>
      <c r="AK861" s="277">
        <f t="shared" si="123"/>
        <v>4321.5200000000004</v>
      </c>
      <c r="AL861" s="25">
        <f>(SUMIFS('T1 2019 Pipeline Data Lagasco'!$O:$O,'T1 2019 Pipeline Data Lagasco'!$A:$A,'Dec 31 2018 OFFS'!$AI861,'T1 2019 Pipeline Data Lagasco'!$Q:$Q,'Dec 31 2018 OFFS'!$AK861,'T1 2019 Pipeline Data Lagasco'!$E:$E,'Dec 31 2018 OFFS'!$U861,'T1 2019 Pipeline Data Lagasco'!$G:$G,'Dec 31 2018 OFFS'!$W861))/(MAX(COUNTIFS('T1 2019 Pipeline Data Lagasco'!$A:$A,'Dec 31 2018 OFFS'!$AI861,'T1 2019 Pipeline Data Lagasco'!$Q:$Q,'Dec 31 2018 OFFS'!$AK861,'T1 2019 Pipeline Data Lagasco'!$E:$E,'Dec 31 2018 OFFS'!$U861,'T1 2019 Pipeline Data Lagasco'!$G:$G,'Dec 31 2018 OFFS'!$W861),1))</f>
        <v>0</v>
      </c>
      <c r="AM861" s="274">
        <f t="shared" si="131"/>
        <v>0</v>
      </c>
    </row>
    <row r="862" spans="1:39" ht="12.7">
      <c r="A862" s="193" t="s">
        <v>909</v>
      </c>
      <c r="B862" s="40" t="s">
        <v>918</v>
      </c>
      <c r="C862" s="40" t="s">
        <v>1266</v>
      </c>
      <c r="D862" s="40" t="s">
        <v>336</v>
      </c>
      <c r="E862" s="40" t="s">
        <v>447</v>
      </c>
      <c r="F862" s="40" t="s">
        <v>1051</v>
      </c>
      <c r="G862" s="41" t="s">
        <v>452</v>
      </c>
      <c r="H862" s="42">
        <v>42</v>
      </c>
      <c r="I862" s="43">
        <v>36</v>
      </c>
      <c r="J862" s="44">
        <v>8.0030000000000001</v>
      </c>
      <c r="K862" s="45">
        <v>80</v>
      </c>
      <c r="L862" s="43">
        <v>11</v>
      </c>
      <c r="M862" s="46">
        <v>0.0070000000000000001</v>
      </c>
      <c r="N862" s="41" t="s">
        <v>446</v>
      </c>
      <c r="O862" s="42">
        <v>42</v>
      </c>
      <c r="P862" s="43">
        <v>37</v>
      </c>
      <c r="Q862" s="44">
        <v>3.12</v>
      </c>
      <c r="R862" s="45">
        <v>80</v>
      </c>
      <c r="S862" s="43">
        <v>11</v>
      </c>
      <c r="T862" s="46">
        <v>0.72</v>
      </c>
      <c r="U862" s="40">
        <v>3</v>
      </c>
      <c r="V862" s="47">
        <v>5580.18</v>
      </c>
      <c r="W862" s="48">
        <v>1965</v>
      </c>
      <c r="X862" s="40"/>
      <c r="Y862" s="52"/>
      <c r="Z862" s="40" t="s">
        <v>910</v>
      </c>
      <c r="AA862" s="49">
        <f t="shared" si="124"/>
        <v>0</v>
      </c>
      <c r="AB862" s="71">
        <f t="shared" si="125"/>
        <v>0.80</v>
      </c>
      <c r="AC862" s="49">
        <f t="shared" si="126"/>
        <v>0</v>
      </c>
      <c r="AD862" s="50">
        <f t="shared" si="127"/>
        <v>0</v>
      </c>
      <c r="AE862" s="50">
        <f t="shared" si="128"/>
        <v>0</v>
      </c>
      <c r="AF862" s="50">
        <f t="shared" si="129"/>
        <v>0</v>
      </c>
      <c r="AG862" s="199">
        <f t="shared" si="130"/>
        <v>0</v>
      </c>
      <c r="AH862" s="187"/>
      <c r="AI862" s="185" t="s">
        <v>1458</v>
      </c>
      <c r="AJ862" s="185"/>
      <c r="AK862" s="277">
        <f t="shared" si="123"/>
        <v>5580.18</v>
      </c>
      <c r="AL862" s="25">
        <f>(SUMIFS('T1 2019 Pipeline Data Lagasco'!$O:$O,'T1 2019 Pipeline Data Lagasco'!$A:$A,'Dec 31 2018 OFFS'!$AI862,'T1 2019 Pipeline Data Lagasco'!$Q:$Q,'Dec 31 2018 OFFS'!$AK862,'T1 2019 Pipeline Data Lagasco'!$E:$E,'Dec 31 2018 OFFS'!$U862,'T1 2019 Pipeline Data Lagasco'!$G:$G,'Dec 31 2018 OFFS'!$W862))/(MAX(COUNTIFS('T1 2019 Pipeline Data Lagasco'!$A:$A,'Dec 31 2018 OFFS'!$AI862,'T1 2019 Pipeline Data Lagasco'!$Q:$Q,'Dec 31 2018 OFFS'!$AK862,'T1 2019 Pipeline Data Lagasco'!$E:$E,'Dec 31 2018 OFFS'!$U862,'T1 2019 Pipeline Data Lagasco'!$G:$G,'Dec 31 2018 OFFS'!$W862),1))</f>
        <v>0</v>
      </c>
      <c r="AM862" s="274">
        <f t="shared" si="131"/>
        <v>0</v>
      </c>
    </row>
    <row r="863" spans="1:39" ht="12.7">
      <c r="A863" s="193" t="s">
        <v>909</v>
      </c>
      <c r="B863" s="40" t="s">
        <v>918</v>
      </c>
      <c r="C863" s="40" t="s">
        <v>1266</v>
      </c>
      <c r="D863" s="40" t="s">
        <v>336</v>
      </c>
      <c r="E863" s="40" t="s">
        <v>447</v>
      </c>
      <c r="F863" s="40" t="s">
        <v>1051</v>
      </c>
      <c r="G863" s="41" t="s">
        <v>450</v>
      </c>
      <c r="H863" s="42">
        <v>42</v>
      </c>
      <c r="I863" s="43">
        <v>36</v>
      </c>
      <c r="J863" s="44">
        <v>8.8000000000000007</v>
      </c>
      <c r="K863" s="45">
        <v>80</v>
      </c>
      <c r="L863" s="43">
        <v>10</v>
      </c>
      <c r="M863" s="46">
        <v>59.52</v>
      </c>
      <c r="N863" s="40" t="s">
        <v>448</v>
      </c>
      <c r="O863" s="42">
        <v>42</v>
      </c>
      <c r="P863" s="43">
        <v>35</v>
      </c>
      <c r="Q863" s="44">
        <v>16.02</v>
      </c>
      <c r="R863" s="45">
        <v>80</v>
      </c>
      <c r="S863" s="43">
        <v>12</v>
      </c>
      <c r="T863" s="46">
        <v>4.0199999999999996</v>
      </c>
      <c r="U863" s="40">
        <v>3</v>
      </c>
      <c r="V863" s="47">
        <v>7199.05</v>
      </c>
      <c r="W863" s="48">
        <v>1965</v>
      </c>
      <c r="X863" s="40"/>
      <c r="Y863" s="52"/>
      <c r="Z863" s="40" t="s">
        <v>910</v>
      </c>
      <c r="AA863" s="49">
        <f t="shared" si="124"/>
        <v>0</v>
      </c>
      <c r="AB863" s="71">
        <f t="shared" si="125"/>
        <v>0.80</v>
      </c>
      <c r="AC863" s="49">
        <f t="shared" si="126"/>
        <v>0</v>
      </c>
      <c r="AD863" s="50">
        <f t="shared" si="127"/>
        <v>0</v>
      </c>
      <c r="AE863" s="50">
        <f t="shared" si="128"/>
        <v>0</v>
      </c>
      <c r="AF863" s="50">
        <f t="shared" si="129"/>
        <v>0</v>
      </c>
      <c r="AG863" s="199">
        <f t="shared" si="130"/>
        <v>0</v>
      </c>
      <c r="AH863" s="187"/>
      <c r="AI863" s="185" t="s">
        <v>1458</v>
      </c>
      <c r="AJ863" s="185"/>
      <c r="AK863" s="277">
        <f t="shared" si="123"/>
        <v>7199.05</v>
      </c>
      <c r="AL863" s="25">
        <f>(SUMIFS('T1 2019 Pipeline Data Lagasco'!$O:$O,'T1 2019 Pipeline Data Lagasco'!$A:$A,'Dec 31 2018 OFFS'!$AI863,'T1 2019 Pipeline Data Lagasco'!$Q:$Q,'Dec 31 2018 OFFS'!$AK863,'T1 2019 Pipeline Data Lagasco'!$E:$E,'Dec 31 2018 OFFS'!$U863,'T1 2019 Pipeline Data Lagasco'!$G:$G,'Dec 31 2018 OFFS'!$W863))/(MAX(COUNTIFS('T1 2019 Pipeline Data Lagasco'!$A:$A,'Dec 31 2018 OFFS'!$AI863,'T1 2019 Pipeline Data Lagasco'!$Q:$Q,'Dec 31 2018 OFFS'!$AK863,'T1 2019 Pipeline Data Lagasco'!$E:$E,'Dec 31 2018 OFFS'!$U863,'T1 2019 Pipeline Data Lagasco'!$G:$G,'Dec 31 2018 OFFS'!$W863),1))</f>
        <v>0</v>
      </c>
      <c r="AM863" s="274">
        <f t="shared" si="131"/>
        <v>0</v>
      </c>
    </row>
    <row r="864" spans="1:39" ht="12.7">
      <c r="A864" s="193" t="s">
        <v>909</v>
      </c>
      <c r="B864" s="40" t="s">
        <v>918</v>
      </c>
      <c r="C864" s="40" t="s">
        <v>1266</v>
      </c>
      <c r="D864" s="40" t="s">
        <v>336</v>
      </c>
      <c r="E864" s="40" t="s">
        <v>324</v>
      </c>
      <c r="F864" s="40" t="s">
        <v>1051</v>
      </c>
      <c r="G864" s="41" t="s">
        <v>450</v>
      </c>
      <c r="H864" s="42">
        <v>42</v>
      </c>
      <c r="I864" s="43">
        <v>36</v>
      </c>
      <c r="J864" s="44">
        <v>8.8000000000000007</v>
      </c>
      <c r="K864" s="45">
        <v>80</v>
      </c>
      <c r="L864" s="43">
        <v>10</v>
      </c>
      <c r="M864" s="46">
        <v>59.52</v>
      </c>
      <c r="N864" s="40" t="s">
        <v>449</v>
      </c>
      <c r="O864" s="42">
        <v>42</v>
      </c>
      <c r="P864" s="43">
        <v>35</v>
      </c>
      <c r="Q864" s="44">
        <f>0.75*60</f>
        <v>45</v>
      </c>
      <c r="R864" s="45">
        <v>80</v>
      </c>
      <c r="S864" s="43">
        <v>9</v>
      </c>
      <c r="T864" s="46">
        <f>0.733*60</f>
        <v>43.98</v>
      </c>
      <c r="U864" s="40">
        <v>3</v>
      </c>
      <c r="V864" s="47">
        <v>6142.26</v>
      </c>
      <c r="W864" s="48">
        <v>1991</v>
      </c>
      <c r="X864" s="40"/>
      <c r="Y864" s="52"/>
      <c r="Z864" s="40" t="s">
        <v>910</v>
      </c>
      <c r="AA864" s="49">
        <f t="shared" si="124"/>
        <v>0</v>
      </c>
      <c r="AB864" s="71">
        <f t="shared" si="125"/>
        <v>0.72</v>
      </c>
      <c r="AC864" s="49">
        <f t="shared" si="126"/>
        <v>0</v>
      </c>
      <c r="AD864" s="50">
        <f t="shared" si="127"/>
        <v>0</v>
      </c>
      <c r="AE864" s="50">
        <f t="shared" si="128"/>
        <v>0</v>
      </c>
      <c r="AF864" s="50">
        <f t="shared" si="129"/>
        <v>0</v>
      </c>
      <c r="AG864" s="199">
        <f t="shared" si="130"/>
        <v>0</v>
      </c>
      <c r="AH864" s="187"/>
      <c r="AI864" s="185" t="s">
        <v>1458</v>
      </c>
      <c r="AJ864" s="185"/>
      <c r="AK864" s="277">
        <f t="shared" si="123"/>
        <v>6142.26</v>
      </c>
      <c r="AL864" s="25">
        <f>(SUMIFS('T1 2019 Pipeline Data Lagasco'!$O:$O,'T1 2019 Pipeline Data Lagasco'!$A:$A,'Dec 31 2018 OFFS'!$AI864,'T1 2019 Pipeline Data Lagasco'!$Q:$Q,'Dec 31 2018 OFFS'!$AK864,'T1 2019 Pipeline Data Lagasco'!$E:$E,'Dec 31 2018 OFFS'!$U864,'T1 2019 Pipeline Data Lagasco'!$G:$G,'Dec 31 2018 OFFS'!$W864))/(MAX(COUNTIFS('T1 2019 Pipeline Data Lagasco'!$A:$A,'Dec 31 2018 OFFS'!$AI864,'T1 2019 Pipeline Data Lagasco'!$Q:$Q,'Dec 31 2018 OFFS'!$AK864,'T1 2019 Pipeline Data Lagasco'!$E:$E,'Dec 31 2018 OFFS'!$U864,'T1 2019 Pipeline Data Lagasco'!$G:$G,'Dec 31 2018 OFFS'!$W864),1))</f>
        <v>0</v>
      </c>
      <c r="AM864" s="274">
        <f t="shared" si="131"/>
        <v>0</v>
      </c>
    </row>
    <row r="865" spans="1:39" ht="12.7">
      <c r="A865" s="193" t="s">
        <v>909</v>
      </c>
      <c r="B865" s="40" t="s">
        <v>918</v>
      </c>
      <c r="C865" s="40" t="s">
        <v>1266</v>
      </c>
      <c r="D865" s="40" t="s">
        <v>336</v>
      </c>
      <c r="E865" s="40" t="s">
        <v>324</v>
      </c>
      <c r="F865" s="40" t="s">
        <v>1051</v>
      </c>
      <c r="G865" s="41" t="s">
        <v>450</v>
      </c>
      <c r="H865" s="42">
        <v>42</v>
      </c>
      <c r="I865" s="43">
        <v>36</v>
      </c>
      <c r="J865" s="44">
        <v>8.8000000000000007</v>
      </c>
      <c r="K865" s="45">
        <v>80</v>
      </c>
      <c r="L865" s="43">
        <v>10</v>
      </c>
      <c r="M865" s="46">
        <v>59.52</v>
      </c>
      <c r="N865" s="40" t="s">
        <v>451</v>
      </c>
      <c r="O865" s="42">
        <v>42</v>
      </c>
      <c r="P865" s="43">
        <v>36</v>
      </c>
      <c r="Q865" s="44">
        <v>41.296999999999997</v>
      </c>
      <c r="R865" s="45">
        <v>80</v>
      </c>
      <c r="S865" s="43">
        <v>10</v>
      </c>
      <c r="T865" s="46">
        <v>45.097999999999999</v>
      </c>
      <c r="U865" s="40">
        <v>3</v>
      </c>
      <c r="V865" s="47">
        <v>3462.2046241439998</v>
      </c>
      <c r="W865" s="48">
        <v>1965</v>
      </c>
      <c r="X865" s="40"/>
      <c r="Y865" s="52" t="s">
        <v>1081</v>
      </c>
      <c r="Z865" s="40" t="s">
        <v>910</v>
      </c>
      <c r="AA865" s="49">
        <f t="shared" si="124"/>
        <v>0</v>
      </c>
      <c r="AB865" s="71">
        <f t="shared" si="125"/>
        <v>0.80</v>
      </c>
      <c r="AC865" s="49">
        <f t="shared" si="126"/>
        <v>0</v>
      </c>
      <c r="AD865" s="50">
        <f t="shared" si="127"/>
        <v>0</v>
      </c>
      <c r="AE865" s="50">
        <f t="shared" si="128"/>
        <v>0</v>
      </c>
      <c r="AF865" s="50">
        <f t="shared" si="129"/>
        <v>0</v>
      </c>
      <c r="AG865" s="199">
        <f t="shared" si="130"/>
        <v>0</v>
      </c>
      <c r="AH865" s="187"/>
      <c r="AI865" s="185" t="s">
        <v>1458</v>
      </c>
      <c r="AJ865" s="185"/>
      <c r="AK865" s="277">
        <f t="shared" si="123"/>
        <v>3462.20</v>
      </c>
      <c r="AL865" s="25">
        <f>(SUMIFS('T1 2019 Pipeline Data Lagasco'!$O:$O,'T1 2019 Pipeline Data Lagasco'!$A:$A,'Dec 31 2018 OFFS'!$AI865,'T1 2019 Pipeline Data Lagasco'!$Q:$Q,'Dec 31 2018 OFFS'!$AK865,'T1 2019 Pipeline Data Lagasco'!$E:$E,'Dec 31 2018 OFFS'!$U865,'T1 2019 Pipeline Data Lagasco'!$G:$G,'Dec 31 2018 OFFS'!$W865))/(MAX(COUNTIFS('T1 2019 Pipeline Data Lagasco'!$A:$A,'Dec 31 2018 OFFS'!$AI865,'T1 2019 Pipeline Data Lagasco'!$Q:$Q,'Dec 31 2018 OFFS'!$AK865,'T1 2019 Pipeline Data Lagasco'!$E:$E,'Dec 31 2018 OFFS'!$U865,'T1 2019 Pipeline Data Lagasco'!$G:$G,'Dec 31 2018 OFFS'!$W865),1))</f>
        <v>0</v>
      </c>
      <c r="AM865" s="274">
        <f t="shared" si="131"/>
        <v>0</v>
      </c>
    </row>
    <row r="866" spans="1:39" ht="12.7">
      <c r="A866" s="193" t="s">
        <v>909</v>
      </c>
      <c r="B866" s="40" t="s">
        <v>918</v>
      </c>
      <c r="C866" s="40" t="s">
        <v>1266</v>
      </c>
      <c r="D866" s="40" t="s">
        <v>336</v>
      </c>
      <c r="E866" s="40" t="s">
        <v>324</v>
      </c>
      <c r="F866" s="139" t="s">
        <v>1051</v>
      </c>
      <c r="G866" s="41" t="s">
        <v>450</v>
      </c>
      <c r="H866" s="42">
        <v>42</v>
      </c>
      <c r="I866" s="43">
        <v>36</v>
      </c>
      <c r="J866" s="44">
        <v>8.8000000000000007</v>
      </c>
      <c r="K866" s="45">
        <v>80</v>
      </c>
      <c r="L866" s="43">
        <v>10</v>
      </c>
      <c r="M866" s="46">
        <v>59.52</v>
      </c>
      <c r="N866" s="40" t="s">
        <v>452</v>
      </c>
      <c r="O866" s="42">
        <v>42</v>
      </c>
      <c r="P866" s="43">
        <v>36</v>
      </c>
      <c r="Q866" s="44">
        <v>8.0030000000000001</v>
      </c>
      <c r="R866" s="45">
        <v>80</v>
      </c>
      <c r="S866" s="43">
        <v>11</v>
      </c>
      <c r="T866" s="46">
        <v>0.0070000000000000001</v>
      </c>
      <c r="U866" s="40">
        <v>3</v>
      </c>
      <c r="V866" s="47">
        <v>88.517057804000004</v>
      </c>
      <c r="W866" s="48">
        <v>1965</v>
      </c>
      <c r="X866" s="40"/>
      <c r="Y866" s="52" t="s">
        <v>1081</v>
      </c>
      <c r="Z866" s="40" t="s">
        <v>910</v>
      </c>
      <c r="AA866" s="49">
        <f t="shared" si="124"/>
        <v>0</v>
      </c>
      <c r="AB866" s="71">
        <f t="shared" si="125"/>
        <v>0.80</v>
      </c>
      <c r="AC866" s="49">
        <f t="shared" si="126"/>
        <v>0</v>
      </c>
      <c r="AD866" s="50">
        <f t="shared" si="127"/>
        <v>0</v>
      </c>
      <c r="AE866" s="50">
        <f t="shared" si="128"/>
        <v>0</v>
      </c>
      <c r="AF866" s="50">
        <f t="shared" si="129"/>
        <v>0</v>
      </c>
      <c r="AG866" s="199">
        <f t="shared" si="130"/>
        <v>0</v>
      </c>
      <c r="AH866" s="187"/>
      <c r="AI866" s="185" t="s">
        <v>1458</v>
      </c>
      <c r="AJ866" s="185"/>
      <c r="AK866" s="277">
        <f t="shared" si="123"/>
        <v>88.52</v>
      </c>
      <c r="AL866" s="25">
        <f>(SUMIFS('T1 2019 Pipeline Data Lagasco'!$O:$O,'T1 2019 Pipeline Data Lagasco'!$A:$A,'Dec 31 2018 OFFS'!$AI866,'T1 2019 Pipeline Data Lagasco'!$Q:$Q,'Dec 31 2018 OFFS'!$AK866,'T1 2019 Pipeline Data Lagasco'!$E:$E,'Dec 31 2018 OFFS'!$U866,'T1 2019 Pipeline Data Lagasco'!$G:$G,'Dec 31 2018 OFFS'!$W866))/(MAX(COUNTIFS('T1 2019 Pipeline Data Lagasco'!$A:$A,'Dec 31 2018 OFFS'!$AI866,'T1 2019 Pipeline Data Lagasco'!$Q:$Q,'Dec 31 2018 OFFS'!$AK866,'T1 2019 Pipeline Data Lagasco'!$E:$E,'Dec 31 2018 OFFS'!$U866,'T1 2019 Pipeline Data Lagasco'!$G:$G,'Dec 31 2018 OFFS'!$W866),1))</f>
        <v>0</v>
      </c>
      <c r="AM866" s="274">
        <f t="shared" si="131"/>
        <v>0</v>
      </c>
    </row>
    <row r="867" spans="1:39" ht="12.7">
      <c r="A867" s="193" t="s">
        <v>909</v>
      </c>
      <c r="B867" s="40" t="s">
        <v>918</v>
      </c>
      <c r="C867" s="40" t="s">
        <v>1266</v>
      </c>
      <c r="D867" s="40" t="s">
        <v>336</v>
      </c>
      <c r="E867" s="40" t="s">
        <v>324</v>
      </c>
      <c r="F867" s="40" t="s">
        <v>1051</v>
      </c>
      <c r="G867" s="41" t="s">
        <v>450</v>
      </c>
      <c r="H867" s="42">
        <v>42</v>
      </c>
      <c r="I867" s="43">
        <v>36</v>
      </c>
      <c r="J867" s="44">
        <v>8.8000000000000007</v>
      </c>
      <c r="K867" s="45">
        <v>80</v>
      </c>
      <c r="L867" s="43">
        <v>10</v>
      </c>
      <c r="M867" s="46">
        <v>59.52</v>
      </c>
      <c r="N867" s="40" t="s">
        <v>442</v>
      </c>
      <c r="O867" s="42">
        <v>42</v>
      </c>
      <c r="P867" s="43">
        <v>36</v>
      </c>
      <c r="Q867" s="44">
        <v>37.979999999999997</v>
      </c>
      <c r="R867" s="45">
        <v>80</v>
      </c>
      <c r="S867" s="43">
        <v>13</v>
      </c>
      <c r="T867" s="46">
        <v>34.020000000000003</v>
      </c>
      <c r="U867" s="40">
        <v>3</v>
      </c>
      <c r="V867" s="47">
        <v>11925.852672999999</v>
      </c>
      <c r="W867" s="48">
        <v>1965</v>
      </c>
      <c r="X867" s="40"/>
      <c r="Y867" s="52" t="s">
        <v>1081</v>
      </c>
      <c r="Z867" s="40" t="s">
        <v>910</v>
      </c>
      <c r="AA867" s="49">
        <f t="shared" si="124"/>
        <v>0</v>
      </c>
      <c r="AB867" s="71">
        <f t="shared" si="125"/>
        <v>0.80</v>
      </c>
      <c r="AC867" s="49">
        <f t="shared" si="126"/>
        <v>0</v>
      </c>
      <c r="AD867" s="50">
        <f t="shared" si="127"/>
        <v>0</v>
      </c>
      <c r="AE867" s="50">
        <f t="shared" si="128"/>
        <v>0</v>
      </c>
      <c r="AF867" s="50">
        <f t="shared" si="129"/>
        <v>0</v>
      </c>
      <c r="AG867" s="199">
        <f t="shared" si="130"/>
        <v>0</v>
      </c>
      <c r="AH867" s="187"/>
      <c r="AI867" s="185" t="s">
        <v>1458</v>
      </c>
      <c r="AJ867" s="185"/>
      <c r="AK867" s="277">
        <f t="shared" si="123"/>
        <v>11925.85</v>
      </c>
      <c r="AL867" s="25">
        <f>(SUMIFS('T1 2019 Pipeline Data Lagasco'!$O:$O,'T1 2019 Pipeline Data Lagasco'!$A:$A,'Dec 31 2018 OFFS'!$AI867,'T1 2019 Pipeline Data Lagasco'!$Q:$Q,'Dec 31 2018 OFFS'!$AK867,'T1 2019 Pipeline Data Lagasco'!$E:$E,'Dec 31 2018 OFFS'!$U867,'T1 2019 Pipeline Data Lagasco'!$G:$G,'Dec 31 2018 OFFS'!$W867))/(MAX(COUNTIFS('T1 2019 Pipeline Data Lagasco'!$A:$A,'Dec 31 2018 OFFS'!$AI867,'T1 2019 Pipeline Data Lagasco'!$Q:$Q,'Dec 31 2018 OFFS'!$AK867,'T1 2019 Pipeline Data Lagasco'!$E:$E,'Dec 31 2018 OFFS'!$U867,'T1 2019 Pipeline Data Lagasco'!$G:$G,'Dec 31 2018 OFFS'!$W867),1))</f>
        <v>0</v>
      </c>
      <c r="AM867" s="274">
        <f t="shared" si="131"/>
        <v>0</v>
      </c>
    </row>
    <row r="868" spans="1:39" ht="12.7">
      <c r="A868" s="193" t="s">
        <v>909</v>
      </c>
      <c r="B868" s="40" t="s">
        <v>918</v>
      </c>
      <c r="C868" s="40" t="s">
        <v>1266</v>
      </c>
      <c r="D868" s="40" t="s">
        <v>336</v>
      </c>
      <c r="E868" s="40" t="s">
        <v>324</v>
      </c>
      <c r="F868" s="40"/>
      <c r="G868" s="41" t="s">
        <v>450</v>
      </c>
      <c r="H868" s="42">
        <v>42</v>
      </c>
      <c r="I868" s="43">
        <v>36</v>
      </c>
      <c r="J868" s="44">
        <v>8.8000000000000007</v>
      </c>
      <c r="K868" s="45">
        <v>80</v>
      </c>
      <c r="L868" s="43">
        <v>10</v>
      </c>
      <c r="M868" s="46">
        <v>59.52</v>
      </c>
      <c r="N868" s="40" t="s">
        <v>1297</v>
      </c>
      <c r="O868" s="42">
        <v>42</v>
      </c>
      <c r="P868" s="43">
        <v>36</v>
      </c>
      <c r="Q868" s="44">
        <v>18.30</v>
      </c>
      <c r="R868" s="45">
        <v>80</v>
      </c>
      <c r="S868" s="43">
        <v>11</v>
      </c>
      <c r="T868" s="46">
        <v>46.50</v>
      </c>
      <c r="U868" s="40">
        <v>3</v>
      </c>
      <c r="V868" s="47">
        <v>3649.85</v>
      </c>
      <c r="W868" s="48">
        <v>1965</v>
      </c>
      <c r="X868" s="40"/>
      <c r="Y868" s="52" t="s">
        <v>1081</v>
      </c>
      <c r="Z868" s="40" t="s">
        <v>910</v>
      </c>
      <c r="AA868" s="49">
        <f t="shared" si="124"/>
        <v>86099.96149999999</v>
      </c>
      <c r="AB868" s="71">
        <f t="shared" si="125"/>
        <v>0.80</v>
      </c>
      <c r="AC868" s="49">
        <f t="shared" si="126"/>
        <v>17219.990000000002</v>
      </c>
      <c r="AD868" s="50">
        <f t="shared" si="127"/>
        <v>0</v>
      </c>
      <c r="AE868" s="50">
        <f t="shared" si="128"/>
        <v>0</v>
      </c>
      <c r="AF868" s="50">
        <f t="shared" si="129"/>
        <v>17219.990000000002</v>
      </c>
      <c r="AG868" s="199">
        <f t="shared" si="130"/>
        <v>17219</v>
      </c>
      <c r="AH868" s="187"/>
      <c r="AI868" s="185" t="s">
        <v>1458</v>
      </c>
      <c r="AJ868" s="185"/>
      <c r="AK868" s="277">
        <f t="shared" si="123"/>
        <v>3649.85</v>
      </c>
      <c r="AL868" s="25">
        <f>(SUMIFS('T1 2019 Pipeline Data Lagasco'!$O:$O,'T1 2019 Pipeline Data Lagasco'!$A:$A,'Dec 31 2018 OFFS'!$AI868,'T1 2019 Pipeline Data Lagasco'!$Q:$Q,'Dec 31 2018 OFFS'!$AK868,'T1 2019 Pipeline Data Lagasco'!$E:$E,'Dec 31 2018 OFFS'!$U868,'T1 2019 Pipeline Data Lagasco'!$G:$G,'Dec 31 2018 OFFS'!$W868))/(MAX(COUNTIFS('T1 2019 Pipeline Data Lagasco'!$A:$A,'Dec 31 2018 OFFS'!$AI868,'T1 2019 Pipeline Data Lagasco'!$Q:$Q,'Dec 31 2018 OFFS'!$AK868,'T1 2019 Pipeline Data Lagasco'!$E:$E,'Dec 31 2018 OFFS'!$U868,'T1 2019 Pipeline Data Lagasco'!$G:$G,'Dec 31 2018 OFFS'!$W868),1))</f>
        <v>17219</v>
      </c>
      <c r="AM868" s="274">
        <f t="shared" si="131"/>
        <v>0</v>
      </c>
    </row>
    <row r="869" spans="1:39" ht="12.7">
      <c r="A869" s="193" t="s">
        <v>909</v>
      </c>
      <c r="B869" s="40" t="s">
        <v>918</v>
      </c>
      <c r="C869" s="40" t="s">
        <v>1266</v>
      </c>
      <c r="D869" s="40" t="s">
        <v>336</v>
      </c>
      <c r="E869" s="40" t="s">
        <v>324</v>
      </c>
      <c r="F869" s="40"/>
      <c r="G869" s="41" t="s">
        <v>1297</v>
      </c>
      <c r="H869" s="42">
        <v>42</v>
      </c>
      <c r="I869" s="43">
        <v>36</v>
      </c>
      <c r="J869" s="44">
        <v>18.30</v>
      </c>
      <c r="K869" s="45">
        <v>80</v>
      </c>
      <c r="L869" s="43">
        <v>11</v>
      </c>
      <c r="M869" s="46">
        <v>46.50</v>
      </c>
      <c r="N869" s="40" t="s">
        <v>1296</v>
      </c>
      <c r="O869" s="42">
        <v>42</v>
      </c>
      <c r="P869" s="43">
        <v>36</v>
      </c>
      <c r="Q869" s="44">
        <v>29.76</v>
      </c>
      <c r="R869" s="45">
        <v>80</v>
      </c>
      <c r="S869" s="43">
        <v>12</v>
      </c>
      <c r="T869" s="46">
        <v>42.30</v>
      </c>
      <c r="U869" s="40">
        <v>3</v>
      </c>
      <c r="V869" s="47">
        <v>4300</v>
      </c>
      <c r="W869" s="48">
        <v>1982</v>
      </c>
      <c r="X869" s="40"/>
      <c r="Y869" s="52" t="s">
        <v>1081</v>
      </c>
      <c r="Z869" s="40" t="s">
        <v>910</v>
      </c>
      <c r="AA869" s="49">
        <f t="shared" si="124"/>
        <v>101437</v>
      </c>
      <c r="AB869" s="71">
        <f t="shared" si="125"/>
        <v>0.80</v>
      </c>
      <c r="AC869" s="49">
        <f t="shared" si="126"/>
        <v>20287.40</v>
      </c>
      <c r="AD869" s="50">
        <f t="shared" si="127"/>
        <v>0</v>
      </c>
      <c r="AE869" s="50">
        <f t="shared" si="128"/>
        <v>0</v>
      </c>
      <c r="AF869" s="50">
        <f t="shared" si="129"/>
        <v>20287.40</v>
      </c>
      <c r="AG869" s="199">
        <f t="shared" si="130"/>
        <v>20287</v>
      </c>
      <c r="AH869" s="187"/>
      <c r="AI869" s="185" t="s">
        <v>1458</v>
      </c>
      <c r="AJ869" s="185"/>
      <c r="AK869" s="277">
        <f t="shared" si="123"/>
        <v>4300</v>
      </c>
      <c r="AL869" s="25">
        <f>(SUMIFS('T1 2019 Pipeline Data Lagasco'!$O:$O,'T1 2019 Pipeline Data Lagasco'!$A:$A,'Dec 31 2018 OFFS'!$AI869,'T1 2019 Pipeline Data Lagasco'!$Q:$Q,'Dec 31 2018 OFFS'!$AK869,'T1 2019 Pipeline Data Lagasco'!$E:$E,'Dec 31 2018 OFFS'!$U869,'T1 2019 Pipeline Data Lagasco'!$G:$G,'Dec 31 2018 OFFS'!$W869))/(MAX(COUNTIFS('T1 2019 Pipeline Data Lagasco'!$A:$A,'Dec 31 2018 OFFS'!$AI869,'T1 2019 Pipeline Data Lagasco'!$Q:$Q,'Dec 31 2018 OFFS'!$AK869,'T1 2019 Pipeline Data Lagasco'!$E:$E,'Dec 31 2018 OFFS'!$U869,'T1 2019 Pipeline Data Lagasco'!$G:$G,'Dec 31 2018 OFFS'!$W869),1))</f>
        <v>20287</v>
      </c>
      <c r="AM869" s="274">
        <f t="shared" si="131"/>
        <v>0</v>
      </c>
    </row>
    <row r="870" spans="1:39" ht="12.7">
      <c r="A870" s="193" t="s">
        <v>909</v>
      </c>
      <c r="B870" s="40" t="s">
        <v>918</v>
      </c>
      <c r="C870" s="40" t="s">
        <v>1266</v>
      </c>
      <c r="D870" s="40" t="s">
        <v>336</v>
      </c>
      <c r="E870" s="40" t="s">
        <v>324</v>
      </c>
      <c r="F870" s="40"/>
      <c r="G870" s="41" t="s">
        <v>1296</v>
      </c>
      <c r="H870" s="42">
        <v>42</v>
      </c>
      <c r="I870" s="43">
        <v>36</v>
      </c>
      <c r="J870" s="44">
        <v>29.76</v>
      </c>
      <c r="K870" s="45">
        <v>80</v>
      </c>
      <c r="L870" s="43">
        <v>12</v>
      </c>
      <c r="M870" s="46">
        <v>42.30</v>
      </c>
      <c r="N870" s="40" t="s">
        <v>442</v>
      </c>
      <c r="O870" s="42">
        <v>42</v>
      </c>
      <c r="P870" s="43">
        <v>36</v>
      </c>
      <c r="Q870" s="44">
        <v>37.979999999999997</v>
      </c>
      <c r="R870" s="45">
        <v>80</v>
      </c>
      <c r="S870" s="43">
        <v>13</v>
      </c>
      <c r="T870" s="46">
        <v>34.020000000000003</v>
      </c>
      <c r="U870" s="40">
        <v>3</v>
      </c>
      <c r="V870" s="47">
        <v>3976</v>
      </c>
      <c r="W870" s="48">
        <v>1982</v>
      </c>
      <c r="X870" s="40"/>
      <c r="Y870" s="52" t="s">
        <v>1081</v>
      </c>
      <c r="Z870" s="40" t="s">
        <v>910</v>
      </c>
      <c r="AA870" s="49">
        <f t="shared" si="124"/>
        <v>93793.84</v>
      </c>
      <c r="AB870" s="71">
        <f t="shared" si="125"/>
        <v>0.80</v>
      </c>
      <c r="AC870" s="49">
        <f t="shared" si="126"/>
        <v>18758.77</v>
      </c>
      <c r="AD870" s="50">
        <f t="shared" si="127"/>
        <v>0</v>
      </c>
      <c r="AE870" s="50">
        <f t="shared" si="128"/>
        <v>0</v>
      </c>
      <c r="AF870" s="50">
        <f t="shared" si="129"/>
        <v>18758.77</v>
      </c>
      <c r="AG870" s="199">
        <f t="shared" si="130"/>
        <v>18758</v>
      </c>
      <c r="AH870" s="187"/>
      <c r="AI870" s="185" t="s">
        <v>1458</v>
      </c>
      <c r="AJ870" s="185"/>
      <c r="AK870" s="277">
        <f t="shared" si="123"/>
        <v>3976</v>
      </c>
      <c r="AL870" s="25">
        <f>(SUMIFS('T1 2019 Pipeline Data Lagasco'!$O:$O,'T1 2019 Pipeline Data Lagasco'!$A:$A,'Dec 31 2018 OFFS'!$AI870,'T1 2019 Pipeline Data Lagasco'!$Q:$Q,'Dec 31 2018 OFFS'!$AK870,'T1 2019 Pipeline Data Lagasco'!$E:$E,'Dec 31 2018 OFFS'!$U870,'T1 2019 Pipeline Data Lagasco'!$G:$G,'Dec 31 2018 OFFS'!$W870))/(MAX(COUNTIFS('T1 2019 Pipeline Data Lagasco'!$A:$A,'Dec 31 2018 OFFS'!$AI870,'T1 2019 Pipeline Data Lagasco'!$Q:$Q,'Dec 31 2018 OFFS'!$AK870,'T1 2019 Pipeline Data Lagasco'!$E:$E,'Dec 31 2018 OFFS'!$U870,'T1 2019 Pipeline Data Lagasco'!$G:$G,'Dec 31 2018 OFFS'!$W870),1))</f>
        <v>18758</v>
      </c>
      <c r="AM870" s="274">
        <f t="shared" si="131"/>
        <v>0</v>
      </c>
    </row>
    <row r="871" spans="1:39" ht="12.7">
      <c r="A871" s="193" t="s">
        <v>909</v>
      </c>
      <c r="B871" s="40" t="s">
        <v>918</v>
      </c>
      <c r="C871" s="40" t="s">
        <v>1266</v>
      </c>
      <c r="D871" s="40" t="s">
        <v>336</v>
      </c>
      <c r="E871" s="40" t="s">
        <v>447</v>
      </c>
      <c r="F871" s="40" t="s">
        <v>1051</v>
      </c>
      <c r="G871" s="41" t="s">
        <v>454</v>
      </c>
      <c r="H871" s="42">
        <v>42</v>
      </c>
      <c r="I871" s="43">
        <v>35</v>
      </c>
      <c r="J871" s="44">
        <v>13.08</v>
      </c>
      <c r="K871" s="45">
        <v>80</v>
      </c>
      <c r="L871" s="43">
        <v>10</v>
      </c>
      <c r="M871" s="46">
        <v>54.90</v>
      </c>
      <c r="N871" s="40" t="s">
        <v>453</v>
      </c>
      <c r="O871" s="42">
        <v>42</v>
      </c>
      <c r="P871" s="43">
        <v>35</v>
      </c>
      <c r="Q871" s="44">
        <f>0.165*60</f>
        <v>9.90</v>
      </c>
      <c r="R871" s="45">
        <v>80</v>
      </c>
      <c r="S871" s="43">
        <v>9</v>
      </c>
      <c r="T871" s="46">
        <f>0.769*60</f>
        <v>46.14</v>
      </c>
      <c r="U871" s="40">
        <v>3</v>
      </c>
      <c r="V871" s="47">
        <v>5153.8999999999996</v>
      </c>
      <c r="W871" s="48">
        <v>1965</v>
      </c>
      <c r="X871" s="40"/>
      <c r="Y871" s="52"/>
      <c r="Z871" s="40" t="s">
        <v>910</v>
      </c>
      <c r="AA871" s="49">
        <f t="shared" si="124"/>
        <v>0</v>
      </c>
      <c r="AB871" s="71">
        <f t="shared" si="125"/>
        <v>0.80</v>
      </c>
      <c r="AC871" s="49">
        <f t="shared" si="126"/>
        <v>0</v>
      </c>
      <c r="AD871" s="50">
        <f t="shared" si="127"/>
        <v>0</v>
      </c>
      <c r="AE871" s="50">
        <f t="shared" si="128"/>
        <v>0</v>
      </c>
      <c r="AF871" s="50">
        <f t="shared" si="129"/>
        <v>0</v>
      </c>
      <c r="AG871" s="199">
        <f t="shared" si="130"/>
        <v>0</v>
      </c>
      <c r="AH871" s="187"/>
      <c r="AI871" s="185" t="s">
        <v>1458</v>
      </c>
      <c r="AJ871" s="185"/>
      <c r="AK871" s="277">
        <f t="shared" si="123"/>
        <v>5153.8999999999996</v>
      </c>
      <c r="AL871" s="25">
        <f>(SUMIFS('T1 2019 Pipeline Data Lagasco'!$O:$O,'T1 2019 Pipeline Data Lagasco'!$A:$A,'Dec 31 2018 OFFS'!$AI871,'T1 2019 Pipeline Data Lagasco'!$Q:$Q,'Dec 31 2018 OFFS'!$AK871,'T1 2019 Pipeline Data Lagasco'!$E:$E,'Dec 31 2018 OFFS'!$U871,'T1 2019 Pipeline Data Lagasco'!$G:$G,'Dec 31 2018 OFFS'!$W871))/(MAX(COUNTIFS('T1 2019 Pipeline Data Lagasco'!$A:$A,'Dec 31 2018 OFFS'!$AI871,'T1 2019 Pipeline Data Lagasco'!$Q:$Q,'Dec 31 2018 OFFS'!$AK871,'T1 2019 Pipeline Data Lagasco'!$E:$E,'Dec 31 2018 OFFS'!$U871,'T1 2019 Pipeline Data Lagasco'!$G:$G,'Dec 31 2018 OFFS'!$W871),1))</f>
        <v>0</v>
      </c>
      <c r="AM871" s="274">
        <f t="shared" si="131"/>
        <v>0</v>
      </c>
    </row>
    <row r="872" spans="1:39" ht="12.7">
      <c r="A872" s="193" t="s">
        <v>909</v>
      </c>
      <c r="B872" s="40" t="s">
        <v>918</v>
      </c>
      <c r="C872" s="40" t="s">
        <v>1266</v>
      </c>
      <c r="D872" s="40" t="s">
        <v>336</v>
      </c>
      <c r="E872" s="40" t="s">
        <v>447</v>
      </c>
      <c r="F872" s="40" t="s">
        <v>1051</v>
      </c>
      <c r="G872" s="41" t="s">
        <v>455</v>
      </c>
      <c r="H872" s="42">
        <v>42</v>
      </c>
      <c r="I872" s="43">
        <v>35</v>
      </c>
      <c r="J872" s="44">
        <v>13.17</v>
      </c>
      <c r="K872" s="45">
        <v>80</v>
      </c>
      <c r="L872" s="43">
        <v>11</v>
      </c>
      <c r="M872" s="46">
        <v>22.427</v>
      </c>
      <c r="N872" s="40" t="s">
        <v>454</v>
      </c>
      <c r="O872" s="42">
        <v>42</v>
      </c>
      <c r="P872" s="43">
        <v>35</v>
      </c>
      <c r="Q872" s="44">
        <v>13.08</v>
      </c>
      <c r="R872" s="45">
        <v>80</v>
      </c>
      <c r="S872" s="43">
        <v>10</v>
      </c>
      <c r="T872" s="46">
        <v>54.90</v>
      </c>
      <c r="U872" s="40">
        <v>3</v>
      </c>
      <c r="V872" s="47">
        <v>2059.25</v>
      </c>
      <c r="W872" s="48">
        <v>1965</v>
      </c>
      <c r="X872" s="40"/>
      <c r="Y872" s="52"/>
      <c r="Z872" s="40" t="s">
        <v>910</v>
      </c>
      <c r="AA872" s="49">
        <f t="shared" si="124"/>
        <v>0</v>
      </c>
      <c r="AB872" s="71">
        <f t="shared" si="125"/>
        <v>0.80</v>
      </c>
      <c r="AC872" s="49">
        <f t="shared" si="126"/>
        <v>0</v>
      </c>
      <c r="AD872" s="50">
        <f t="shared" si="127"/>
        <v>0</v>
      </c>
      <c r="AE872" s="50">
        <f t="shared" si="128"/>
        <v>0</v>
      </c>
      <c r="AF872" s="50">
        <f t="shared" si="129"/>
        <v>0</v>
      </c>
      <c r="AG872" s="199">
        <f t="shared" si="130"/>
        <v>0</v>
      </c>
      <c r="AH872" s="187"/>
      <c r="AI872" s="185" t="s">
        <v>1458</v>
      </c>
      <c r="AJ872" s="185"/>
      <c r="AK872" s="277">
        <f t="shared" si="123"/>
        <v>2059.25</v>
      </c>
      <c r="AL872" s="25">
        <f>(SUMIFS('T1 2019 Pipeline Data Lagasco'!$O:$O,'T1 2019 Pipeline Data Lagasco'!$A:$A,'Dec 31 2018 OFFS'!$AI872,'T1 2019 Pipeline Data Lagasco'!$Q:$Q,'Dec 31 2018 OFFS'!$AK872,'T1 2019 Pipeline Data Lagasco'!$E:$E,'Dec 31 2018 OFFS'!$U872,'T1 2019 Pipeline Data Lagasco'!$G:$G,'Dec 31 2018 OFFS'!$W872))/(MAX(COUNTIFS('T1 2019 Pipeline Data Lagasco'!$A:$A,'Dec 31 2018 OFFS'!$AI872,'T1 2019 Pipeline Data Lagasco'!$Q:$Q,'Dec 31 2018 OFFS'!$AK872,'T1 2019 Pipeline Data Lagasco'!$E:$E,'Dec 31 2018 OFFS'!$U872,'T1 2019 Pipeline Data Lagasco'!$G:$G,'Dec 31 2018 OFFS'!$W872),1))</f>
        <v>0</v>
      </c>
      <c r="AM872" s="274">
        <f t="shared" si="131"/>
        <v>0</v>
      </c>
    </row>
    <row r="873" spans="1:39" ht="12.7">
      <c r="A873" s="193" t="s">
        <v>909</v>
      </c>
      <c r="B873" s="40" t="s">
        <v>918</v>
      </c>
      <c r="C873" s="40" t="s">
        <v>1266</v>
      </c>
      <c r="D873" s="40" t="s">
        <v>336</v>
      </c>
      <c r="E873" s="40" t="s">
        <v>447</v>
      </c>
      <c r="F873" s="40" t="s">
        <v>1051</v>
      </c>
      <c r="G873" s="41" t="s">
        <v>448</v>
      </c>
      <c r="H873" s="42">
        <v>42</v>
      </c>
      <c r="I873" s="43">
        <v>35</v>
      </c>
      <c r="J873" s="44">
        <v>16.02</v>
      </c>
      <c r="K873" s="45">
        <v>80</v>
      </c>
      <c r="L873" s="43">
        <v>12</v>
      </c>
      <c r="M873" s="46">
        <v>4.0199999999999996</v>
      </c>
      <c r="N873" s="40" t="s">
        <v>455</v>
      </c>
      <c r="O873" s="42">
        <v>42</v>
      </c>
      <c r="P873" s="43">
        <v>35</v>
      </c>
      <c r="Q873" s="44">
        <v>13.17</v>
      </c>
      <c r="R873" s="45">
        <v>80</v>
      </c>
      <c r="S873" s="43">
        <v>11</v>
      </c>
      <c r="T873" s="46">
        <v>22.427</v>
      </c>
      <c r="U873" s="40">
        <v>3</v>
      </c>
      <c r="V873" s="47">
        <v>3124.80</v>
      </c>
      <c r="W873" s="48">
        <v>1965</v>
      </c>
      <c r="X873" s="40"/>
      <c r="Y873" s="52"/>
      <c r="Z873" s="40" t="s">
        <v>910</v>
      </c>
      <c r="AA873" s="49">
        <f t="shared" si="124"/>
        <v>0</v>
      </c>
      <c r="AB873" s="71">
        <f t="shared" si="125"/>
        <v>0.80</v>
      </c>
      <c r="AC873" s="49">
        <f t="shared" si="126"/>
        <v>0</v>
      </c>
      <c r="AD873" s="50">
        <f t="shared" si="127"/>
        <v>0</v>
      </c>
      <c r="AE873" s="50">
        <f t="shared" si="128"/>
        <v>0</v>
      </c>
      <c r="AF873" s="50">
        <f t="shared" si="129"/>
        <v>0</v>
      </c>
      <c r="AG873" s="199">
        <f t="shared" si="130"/>
        <v>0</v>
      </c>
      <c r="AH873" s="187"/>
      <c r="AI873" s="185" t="s">
        <v>1458</v>
      </c>
      <c r="AJ873" s="185"/>
      <c r="AK873" s="277">
        <f t="shared" si="123"/>
        <v>3124.80</v>
      </c>
      <c r="AL873" s="25">
        <f>(SUMIFS('T1 2019 Pipeline Data Lagasco'!$O:$O,'T1 2019 Pipeline Data Lagasco'!$A:$A,'Dec 31 2018 OFFS'!$AI873,'T1 2019 Pipeline Data Lagasco'!$Q:$Q,'Dec 31 2018 OFFS'!$AK873,'T1 2019 Pipeline Data Lagasco'!$E:$E,'Dec 31 2018 OFFS'!$U873,'T1 2019 Pipeline Data Lagasco'!$G:$G,'Dec 31 2018 OFFS'!$W873))/(MAX(COUNTIFS('T1 2019 Pipeline Data Lagasco'!$A:$A,'Dec 31 2018 OFFS'!$AI873,'T1 2019 Pipeline Data Lagasco'!$Q:$Q,'Dec 31 2018 OFFS'!$AK873,'T1 2019 Pipeline Data Lagasco'!$E:$E,'Dec 31 2018 OFFS'!$U873,'T1 2019 Pipeline Data Lagasco'!$G:$G,'Dec 31 2018 OFFS'!$W873),1))</f>
        <v>0</v>
      </c>
      <c r="AM873" s="274">
        <f t="shared" si="131"/>
        <v>0</v>
      </c>
    </row>
    <row r="874" spans="1:39" ht="12.7">
      <c r="A874" s="193" t="s">
        <v>909</v>
      </c>
      <c r="B874" s="40" t="s">
        <v>918</v>
      </c>
      <c r="C874" s="40" t="s">
        <v>1266</v>
      </c>
      <c r="D874" s="40" t="s">
        <v>336</v>
      </c>
      <c r="E874" s="40" t="s">
        <v>447</v>
      </c>
      <c r="F874" s="40" t="s">
        <v>1051</v>
      </c>
      <c r="G874" s="41" t="s">
        <v>448</v>
      </c>
      <c r="H874" s="42">
        <v>42</v>
      </c>
      <c r="I874" s="43">
        <v>35</v>
      </c>
      <c r="J874" s="44">
        <v>16.02</v>
      </c>
      <c r="K874" s="45">
        <v>80</v>
      </c>
      <c r="L874" s="43">
        <v>12</v>
      </c>
      <c r="M874" s="46">
        <v>4.0199999999999996</v>
      </c>
      <c r="N874" s="40" t="s">
        <v>456</v>
      </c>
      <c r="O874" s="42">
        <v>42</v>
      </c>
      <c r="P874" s="43">
        <v>34</v>
      </c>
      <c r="Q874" s="44">
        <v>43.02</v>
      </c>
      <c r="R874" s="45">
        <v>80</v>
      </c>
      <c r="S874" s="43">
        <v>11</v>
      </c>
      <c r="T874" s="46">
        <v>31.02</v>
      </c>
      <c r="U874" s="40">
        <v>3</v>
      </c>
      <c r="V874" s="47">
        <v>4154.04</v>
      </c>
      <c r="W874" s="48">
        <v>1965</v>
      </c>
      <c r="X874" s="40"/>
      <c r="Y874" s="52"/>
      <c r="Z874" s="40" t="s">
        <v>910</v>
      </c>
      <c r="AA874" s="49">
        <f t="shared" si="124"/>
        <v>0</v>
      </c>
      <c r="AB874" s="71">
        <f t="shared" si="125"/>
        <v>0.80</v>
      </c>
      <c r="AC874" s="49">
        <f t="shared" si="126"/>
        <v>0</v>
      </c>
      <c r="AD874" s="50">
        <f t="shared" si="127"/>
        <v>0</v>
      </c>
      <c r="AE874" s="50">
        <f t="shared" si="128"/>
        <v>0</v>
      </c>
      <c r="AF874" s="50">
        <f t="shared" si="129"/>
        <v>0</v>
      </c>
      <c r="AG874" s="199">
        <f t="shared" si="130"/>
        <v>0</v>
      </c>
      <c r="AH874" s="187"/>
      <c r="AI874" s="185" t="s">
        <v>1458</v>
      </c>
      <c r="AJ874" s="185"/>
      <c r="AK874" s="277">
        <f t="shared" si="123"/>
        <v>4154.04</v>
      </c>
      <c r="AL874" s="25">
        <f>(SUMIFS('T1 2019 Pipeline Data Lagasco'!$O:$O,'T1 2019 Pipeline Data Lagasco'!$A:$A,'Dec 31 2018 OFFS'!$AI874,'T1 2019 Pipeline Data Lagasco'!$Q:$Q,'Dec 31 2018 OFFS'!$AK874,'T1 2019 Pipeline Data Lagasco'!$E:$E,'Dec 31 2018 OFFS'!$U874,'T1 2019 Pipeline Data Lagasco'!$G:$G,'Dec 31 2018 OFFS'!$W874))/(MAX(COUNTIFS('T1 2019 Pipeline Data Lagasco'!$A:$A,'Dec 31 2018 OFFS'!$AI874,'T1 2019 Pipeline Data Lagasco'!$Q:$Q,'Dec 31 2018 OFFS'!$AK874,'T1 2019 Pipeline Data Lagasco'!$E:$E,'Dec 31 2018 OFFS'!$U874,'T1 2019 Pipeline Data Lagasco'!$G:$G,'Dec 31 2018 OFFS'!$W874),1))</f>
        <v>0</v>
      </c>
      <c r="AM874" s="274">
        <f t="shared" si="131"/>
        <v>0</v>
      </c>
    </row>
    <row r="875" spans="1:39" ht="12.7">
      <c r="A875" s="193" t="s">
        <v>909</v>
      </c>
      <c r="B875" s="40" t="s">
        <v>918</v>
      </c>
      <c r="C875" s="40" t="s">
        <v>1266</v>
      </c>
      <c r="D875" s="40" t="s">
        <v>336</v>
      </c>
      <c r="E875" s="40" t="s">
        <v>324</v>
      </c>
      <c r="F875" s="40"/>
      <c r="G875" s="41" t="s">
        <v>457</v>
      </c>
      <c r="H875" s="42">
        <v>42</v>
      </c>
      <c r="I875" s="43">
        <v>39</v>
      </c>
      <c r="J875" s="44">
        <f>0.143*60</f>
        <v>8.58</v>
      </c>
      <c r="K875" s="45">
        <v>80</v>
      </c>
      <c r="L875" s="43">
        <v>5</v>
      </c>
      <c r="M875" s="46">
        <f>0.23*60</f>
        <v>13.80</v>
      </c>
      <c r="N875" s="40" t="s">
        <v>458</v>
      </c>
      <c r="O875" s="42">
        <v>42</v>
      </c>
      <c r="P875" s="43">
        <v>39</v>
      </c>
      <c r="Q875" s="44">
        <v>20.52</v>
      </c>
      <c r="R875" s="45">
        <v>80</v>
      </c>
      <c r="S875" s="43">
        <v>3</v>
      </c>
      <c r="T875" s="46">
        <v>49.62</v>
      </c>
      <c r="U875" s="40">
        <v>3</v>
      </c>
      <c r="V875" s="47">
        <v>6405.7740927039995</v>
      </c>
      <c r="W875" s="48">
        <v>1985</v>
      </c>
      <c r="X875" s="40"/>
      <c r="Y875" s="52" t="s">
        <v>1081</v>
      </c>
      <c r="Z875" s="40" t="s">
        <v>910</v>
      </c>
      <c r="AA875" s="49">
        <f t="shared" si="124"/>
        <v>151112.21084688735</v>
      </c>
      <c r="AB875" s="71">
        <f t="shared" si="125"/>
        <v>0.80</v>
      </c>
      <c r="AC875" s="49">
        <f t="shared" si="126"/>
        <v>30222.44</v>
      </c>
      <c r="AD875" s="50">
        <f t="shared" si="127"/>
        <v>0</v>
      </c>
      <c r="AE875" s="50">
        <f t="shared" si="128"/>
        <v>0</v>
      </c>
      <c r="AF875" s="50">
        <f t="shared" si="129"/>
        <v>30222.44</v>
      </c>
      <c r="AG875" s="199">
        <f t="shared" si="130"/>
        <v>30222</v>
      </c>
      <c r="AH875" s="187"/>
      <c r="AI875" s="185" t="s">
        <v>1458</v>
      </c>
      <c r="AJ875" s="185"/>
      <c r="AK875" s="277">
        <f t="shared" si="123"/>
        <v>6405.77</v>
      </c>
      <c r="AL875" s="25">
        <f>(SUMIFS('T1 2019 Pipeline Data Lagasco'!$O:$O,'T1 2019 Pipeline Data Lagasco'!$A:$A,'Dec 31 2018 OFFS'!$AI875,'T1 2019 Pipeline Data Lagasco'!$Q:$Q,'Dec 31 2018 OFFS'!$AK875,'T1 2019 Pipeline Data Lagasco'!$E:$E,'Dec 31 2018 OFFS'!$U875,'T1 2019 Pipeline Data Lagasco'!$G:$G,'Dec 31 2018 OFFS'!$W875))/(MAX(COUNTIFS('T1 2019 Pipeline Data Lagasco'!$A:$A,'Dec 31 2018 OFFS'!$AI875,'T1 2019 Pipeline Data Lagasco'!$Q:$Q,'Dec 31 2018 OFFS'!$AK875,'T1 2019 Pipeline Data Lagasco'!$E:$E,'Dec 31 2018 OFFS'!$U875,'T1 2019 Pipeline Data Lagasco'!$G:$G,'Dec 31 2018 OFFS'!$W875),1))</f>
        <v>30222</v>
      </c>
      <c r="AM875" s="274">
        <f t="shared" si="131"/>
        <v>0</v>
      </c>
    </row>
    <row r="876" spans="1:39" ht="12.7">
      <c r="A876" s="193" t="s">
        <v>909</v>
      </c>
      <c r="B876" s="40" t="s">
        <v>918</v>
      </c>
      <c r="C876" s="40" t="s">
        <v>1266</v>
      </c>
      <c r="D876" s="40" t="s">
        <v>336</v>
      </c>
      <c r="E876" s="40" t="s">
        <v>324</v>
      </c>
      <c r="F876" s="40"/>
      <c r="G876" s="41" t="s">
        <v>459</v>
      </c>
      <c r="H876" s="42">
        <v>42</v>
      </c>
      <c r="I876" s="43">
        <v>39</v>
      </c>
      <c r="J876" s="44">
        <f>0.473*60</f>
        <v>28.38</v>
      </c>
      <c r="K876" s="45">
        <v>80</v>
      </c>
      <c r="L876" s="43">
        <v>6</v>
      </c>
      <c r="M876" s="46">
        <f>0.977*60</f>
        <v>58.62</v>
      </c>
      <c r="N876" s="40" t="s">
        <v>460</v>
      </c>
      <c r="O876" s="42">
        <v>42</v>
      </c>
      <c r="P876" s="43">
        <v>39</v>
      </c>
      <c r="Q876" s="44">
        <f>0.752*60</f>
        <v>45.12</v>
      </c>
      <c r="R876" s="45">
        <v>80</v>
      </c>
      <c r="S876" s="43">
        <v>6</v>
      </c>
      <c r="T876" s="46">
        <f>0.243*60</f>
        <v>14.58</v>
      </c>
      <c r="U876" s="40">
        <v>3</v>
      </c>
      <c r="V876" s="47">
        <v>3701.4762707579998</v>
      </c>
      <c r="W876" s="48">
        <v>1991</v>
      </c>
      <c r="X876" s="40"/>
      <c r="Y876" s="52" t="s">
        <v>1081</v>
      </c>
      <c r="Z876" s="40" t="s">
        <v>910</v>
      </c>
      <c r="AA876" s="49">
        <f t="shared" si="124"/>
        <v>87317.825227181209</v>
      </c>
      <c r="AB876" s="71">
        <f t="shared" si="125"/>
        <v>0.72</v>
      </c>
      <c r="AC876" s="49">
        <f t="shared" si="126"/>
        <v>24448.99</v>
      </c>
      <c r="AD876" s="50">
        <f t="shared" si="127"/>
        <v>0</v>
      </c>
      <c r="AE876" s="50">
        <f t="shared" si="128"/>
        <v>0</v>
      </c>
      <c r="AF876" s="50">
        <f t="shared" si="129"/>
        <v>24448.99</v>
      </c>
      <c r="AG876" s="199">
        <f t="shared" si="130"/>
        <v>24448</v>
      </c>
      <c r="AH876" s="187"/>
      <c r="AI876" s="185" t="s">
        <v>1458</v>
      </c>
      <c r="AJ876" s="185"/>
      <c r="AK876" s="277">
        <f t="shared" si="123"/>
        <v>3701.48</v>
      </c>
      <c r="AL876" s="25">
        <f>(SUMIFS('T1 2019 Pipeline Data Lagasco'!$O:$O,'T1 2019 Pipeline Data Lagasco'!$A:$A,'Dec 31 2018 OFFS'!$AI876,'T1 2019 Pipeline Data Lagasco'!$Q:$Q,'Dec 31 2018 OFFS'!$AK876,'T1 2019 Pipeline Data Lagasco'!$E:$E,'Dec 31 2018 OFFS'!$U876,'T1 2019 Pipeline Data Lagasco'!$G:$G,'Dec 31 2018 OFFS'!$W876))/(MAX(COUNTIFS('T1 2019 Pipeline Data Lagasco'!$A:$A,'Dec 31 2018 OFFS'!$AI876,'T1 2019 Pipeline Data Lagasco'!$Q:$Q,'Dec 31 2018 OFFS'!$AK876,'T1 2019 Pipeline Data Lagasco'!$E:$E,'Dec 31 2018 OFFS'!$U876,'T1 2019 Pipeline Data Lagasco'!$G:$G,'Dec 31 2018 OFFS'!$W876),1))</f>
        <v>24448</v>
      </c>
      <c r="AM876" s="274">
        <f t="shared" si="131"/>
        <v>0</v>
      </c>
    </row>
    <row r="877" spans="1:39" ht="12.7">
      <c r="A877" s="193" t="s">
        <v>909</v>
      </c>
      <c r="B877" s="40" t="s">
        <v>918</v>
      </c>
      <c r="C877" s="40" t="s">
        <v>1266</v>
      </c>
      <c r="D877" s="40" t="s">
        <v>336</v>
      </c>
      <c r="E877" s="40" t="s">
        <v>324</v>
      </c>
      <c r="F877" s="40"/>
      <c r="G877" s="41" t="s">
        <v>459</v>
      </c>
      <c r="H877" s="42">
        <v>42</v>
      </c>
      <c r="I877" s="43">
        <v>39</v>
      </c>
      <c r="J877" s="44">
        <f>0.473*60</f>
        <v>28.38</v>
      </c>
      <c r="K877" s="45">
        <v>80</v>
      </c>
      <c r="L877" s="43">
        <v>6</v>
      </c>
      <c r="M877" s="46">
        <f>0.977*60</f>
        <v>58.62</v>
      </c>
      <c r="N877" s="41" t="s">
        <v>461</v>
      </c>
      <c r="O877" s="42">
        <v>42</v>
      </c>
      <c r="P877" s="43">
        <v>39</v>
      </c>
      <c r="Q877" s="44">
        <v>45.72</v>
      </c>
      <c r="R877" s="45">
        <v>80</v>
      </c>
      <c r="S877" s="43">
        <v>4</v>
      </c>
      <c r="T877" s="46">
        <v>44.28</v>
      </c>
      <c r="U877" s="40">
        <v>3</v>
      </c>
      <c r="V877" s="47">
        <v>10190.419652392</v>
      </c>
      <c r="W877" s="48">
        <v>1985</v>
      </c>
      <c r="X877" s="40"/>
      <c r="Y877" s="52" t="s">
        <v>1081</v>
      </c>
      <c r="Z877" s="40" t="s">
        <v>910</v>
      </c>
      <c r="AA877" s="49">
        <f t="shared" si="124"/>
        <v>240391.99959992728</v>
      </c>
      <c r="AB877" s="71">
        <f t="shared" si="125"/>
        <v>0.80</v>
      </c>
      <c r="AC877" s="49">
        <f t="shared" si="126"/>
        <v>48078.40</v>
      </c>
      <c r="AD877" s="50">
        <f t="shared" si="127"/>
        <v>0</v>
      </c>
      <c r="AE877" s="50">
        <f t="shared" si="128"/>
        <v>0</v>
      </c>
      <c r="AF877" s="50">
        <f t="shared" si="129"/>
        <v>48078.40</v>
      </c>
      <c r="AG877" s="199">
        <f t="shared" si="130"/>
        <v>48078</v>
      </c>
      <c r="AH877" s="187"/>
      <c r="AI877" s="185" t="s">
        <v>1458</v>
      </c>
      <c r="AJ877" s="185"/>
      <c r="AK877" s="277">
        <f t="shared" si="123"/>
        <v>10190.42</v>
      </c>
      <c r="AL877" s="25">
        <f>(SUMIFS('T1 2019 Pipeline Data Lagasco'!$O:$O,'T1 2019 Pipeline Data Lagasco'!$A:$A,'Dec 31 2018 OFFS'!$AI877,'T1 2019 Pipeline Data Lagasco'!$Q:$Q,'Dec 31 2018 OFFS'!$AK877,'T1 2019 Pipeline Data Lagasco'!$E:$E,'Dec 31 2018 OFFS'!$U877,'T1 2019 Pipeline Data Lagasco'!$G:$G,'Dec 31 2018 OFFS'!$W877))/(MAX(COUNTIFS('T1 2019 Pipeline Data Lagasco'!$A:$A,'Dec 31 2018 OFFS'!$AI877,'T1 2019 Pipeline Data Lagasco'!$Q:$Q,'Dec 31 2018 OFFS'!$AK877,'T1 2019 Pipeline Data Lagasco'!$E:$E,'Dec 31 2018 OFFS'!$U877,'T1 2019 Pipeline Data Lagasco'!$G:$G,'Dec 31 2018 OFFS'!$W877),1))</f>
        <v>48078</v>
      </c>
      <c r="AM877" s="274">
        <f t="shared" si="131"/>
        <v>0</v>
      </c>
    </row>
    <row r="878" spans="1:39" ht="12.7">
      <c r="A878" s="193" t="s">
        <v>909</v>
      </c>
      <c r="B878" s="40" t="s">
        <v>918</v>
      </c>
      <c r="C878" s="40" t="s">
        <v>1266</v>
      </c>
      <c r="D878" s="40" t="s">
        <v>336</v>
      </c>
      <c r="E878" s="40" t="s">
        <v>324</v>
      </c>
      <c r="F878" s="40"/>
      <c r="G878" s="41" t="s">
        <v>459</v>
      </c>
      <c r="H878" s="42">
        <v>42</v>
      </c>
      <c r="I878" s="43">
        <v>39</v>
      </c>
      <c r="J878" s="44">
        <f>0.473*60</f>
        <v>28.38</v>
      </c>
      <c r="K878" s="45">
        <v>80</v>
      </c>
      <c r="L878" s="43">
        <v>6</v>
      </c>
      <c r="M878" s="46">
        <f>0.977*60</f>
        <v>58.62</v>
      </c>
      <c r="N878" s="54" t="s">
        <v>457</v>
      </c>
      <c r="O878" s="42">
        <v>42</v>
      </c>
      <c r="P878" s="43">
        <v>39</v>
      </c>
      <c r="Q878" s="44">
        <f>0.143*60</f>
        <v>8.58</v>
      </c>
      <c r="R878" s="45">
        <v>80</v>
      </c>
      <c r="S878" s="43">
        <v>5</v>
      </c>
      <c r="T878" s="46">
        <f>0.23*60</f>
        <v>13.80</v>
      </c>
      <c r="U878" s="40">
        <v>3</v>
      </c>
      <c r="V878" s="47">
        <v>8085.3344115179989</v>
      </c>
      <c r="W878" s="48">
        <v>1985</v>
      </c>
      <c r="X878" s="40"/>
      <c r="Y878" s="52" t="s">
        <v>1081</v>
      </c>
      <c r="Z878" s="40" t="s">
        <v>910</v>
      </c>
      <c r="AA878" s="49">
        <f t="shared" si="124"/>
        <v>190733.0387677096</v>
      </c>
      <c r="AB878" s="71">
        <f t="shared" si="125"/>
        <v>0.80</v>
      </c>
      <c r="AC878" s="49">
        <f t="shared" si="126"/>
        <v>38146.61</v>
      </c>
      <c r="AD878" s="50">
        <f t="shared" si="127"/>
        <v>0</v>
      </c>
      <c r="AE878" s="50">
        <f t="shared" si="128"/>
        <v>0</v>
      </c>
      <c r="AF878" s="50">
        <f t="shared" si="129"/>
        <v>38146.61</v>
      </c>
      <c r="AG878" s="199">
        <f t="shared" si="130"/>
        <v>38146</v>
      </c>
      <c r="AH878" s="187"/>
      <c r="AI878" s="185" t="s">
        <v>1458</v>
      </c>
      <c r="AJ878" s="185"/>
      <c r="AK878" s="277">
        <f t="shared" si="123"/>
        <v>8085.33</v>
      </c>
      <c r="AL878" s="25">
        <f>(SUMIFS('T1 2019 Pipeline Data Lagasco'!$O:$O,'T1 2019 Pipeline Data Lagasco'!$A:$A,'Dec 31 2018 OFFS'!$AI878,'T1 2019 Pipeline Data Lagasco'!$Q:$Q,'Dec 31 2018 OFFS'!$AK878,'T1 2019 Pipeline Data Lagasco'!$E:$E,'Dec 31 2018 OFFS'!$U878,'T1 2019 Pipeline Data Lagasco'!$G:$G,'Dec 31 2018 OFFS'!$W878))/(MAX(COUNTIFS('T1 2019 Pipeline Data Lagasco'!$A:$A,'Dec 31 2018 OFFS'!$AI878,'T1 2019 Pipeline Data Lagasco'!$Q:$Q,'Dec 31 2018 OFFS'!$AK878,'T1 2019 Pipeline Data Lagasco'!$E:$E,'Dec 31 2018 OFFS'!$U878,'T1 2019 Pipeline Data Lagasco'!$G:$G,'Dec 31 2018 OFFS'!$W878),1))</f>
        <v>38146</v>
      </c>
      <c r="AM878" s="274">
        <f t="shared" si="131"/>
        <v>0</v>
      </c>
    </row>
    <row r="879" spans="1:39" ht="12.7">
      <c r="A879" s="193" t="s">
        <v>909</v>
      </c>
      <c r="B879" s="40" t="s">
        <v>918</v>
      </c>
      <c r="C879" s="40" t="s">
        <v>1266</v>
      </c>
      <c r="D879" s="40" t="s">
        <v>336</v>
      </c>
      <c r="E879" s="40" t="s">
        <v>324</v>
      </c>
      <c r="F879" s="40"/>
      <c r="G879" s="41" t="s">
        <v>464</v>
      </c>
      <c r="H879" s="42">
        <v>42</v>
      </c>
      <c r="I879" s="43">
        <v>39</v>
      </c>
      <c r="J879" s="44">
        <f>0.18*60</f>
        <v>10.80</v>
      </c>
      <c r="K879" s="45">
        <v>80</v>
      </c>
      <c r="L879" s="43">
        <v>9</v>
      </c>
      <c r="M879" s="46">
        <f>0.242*60</f>
        <v>14.52</v>
      </c>
      <c r="N879" s="41" t="s">
        <v>462</v>
      </c>
      <c r="O879" s="42">
        <v>42</v>
      </c>
      <c r="P879" s="43">
        <v>39</v>
      </c>
      <c r="Q879" s="44">
        <f>0.18*60</f>
        <v>10.80</v>
      </c>
      <c r="R879" s="45">
        <v>80</v>
      </c>
      <c r="S879" s="43">
        <v>9</v>
      </c>
      <c r="T879" s="46">
        <f>0.242*60</f>
        <v>14.52</v>
      </c>
      <c r="U879" s="40">
        <v>3</v>
      </c>
      <c r="V879" s="47">
        <v>1</v>
      </c>
      <c r="W879" s="48">
        <v>1983</v>
      </c>
      <c r="X879" s="40"/>
      <c r="Y879" s="52" t="s">
        <v>1081</v>
      </c>
      <c r="Z879" s="40" t="s">
        <v>910</v>
      </c>
      <c r="AA879" s="49">
        <f t="shared" si="124"/>
        <v>23.59</v>
      </c>
      <c r="AB879" s="71">
        <f t="shared" si="125"/>
        <v>0.80</v>
      </c>
      <c r="AC879" s="49">
        <f t="shared" si="126"/>
        <v>4.72</v>
      </c>
      <c r="AD879" s="50">
        <f t="shared" si="127"/>
        <v>0</v>
      </c>
      <c r="AE879" s="50">
        <f t="shared" si="128"/>
        <v>0</v>
      </c>
      <c r="AF879" s="50">
        <f t="shared" si="129"/>
        <v>4.72</v>
      </c>
      <c r="AG879" s="199">
        <f t="shared" si="130"/>
        <v>4</v>
      </c>
      <c r="AH879" s="187"/>
      <c r="AI879" s="185" t="s">
        <v>1458</v>
      </c>
      <c r="AJ879" s="185"/>
      <c r="AK879" s="277">
        <f t="shared" si="123"/>
        <v>1</v>
      </c>
      <c r="AL879" s="25">
        <f>(SUMIFS('T1 2019 Pipeline Data Lagasco'!$O:$O,'T1 2019 Pipeline Data Lagasco'!$A:$A,'Dec 31 2018 OFFS'!$AI879,'T1 2019 Pipeline Data Lagasco'!$Q:$Q,'Dec 31 2018 OFFS'!$AK879,'T1 2019 Pipeline Data Lagasco'!$E:$E,'Dec 31 2018 OFFS'!$U879,'T1 2019 Pipeline Data Lagasco'!$G:$G,'Dec 31 2018 OFFS'!$W879))/(MAX(COUNTIFS('T1 2019 Pipeline Data Lagasco'!$A:$A,'Dec 31 2018 OFFS'!$AI879,'T1 2019 Pipeline Data Lagasco'!$Q:$Q,'Dec 31 2018 OFFS'!$AK879,'T1 2019 Pipeline Data Lagasco'!$E:$E,'Dec 31 2018 OFFS'!$U879,'T1 2019 Pipeline Data Lagasco'!$G:$G,'Dec 31 2018 OFFS'!$W879),1))</f>
        <v>4</v>
      </c>
      <c r="AM879" s="274">
        <f t="shared" si="131"/>
        <v>0</v>
      </c>
    </row>
    <row r="880" spans="1:39" ht="12.7">
      <c r="A880" s="193" t="s">
        <v>909</v>
      </c>
      <c r="B880" s="40" t="s">
        <v>918</v>
      </c>
      <c r="C880" s="40" t="s">
        <v>1266</v>
      </c>
      <c r="D880" s="40" t="s">
        <v>336</v>
      </c>
      <c r="E880" s="40" t="s">
        <v>324</v>
      </c>
      <c r="F880" s="40"/>
      <c r="G880" s="41" t="s">
        <v>464</v>
      </c>
      <c r="H880" s="42">
        <v>42</v>
      </c>
      <c r="I880" s="43">
        <v>39</v>
      </c>
      <c r="J880" s="44">
        <f>0.18*60</f>
        <v>10.80</v>
      </c>
      <c r="K880" s="45">
        <v>80</v>
      </c>
      <c r="L880" s="43">
        <v>9</v>
      </c>
      <c r="M880" s="46">
        <f>0.242*60</f>
        <v>14.52</v>
      </c>
      <c r="N880" s="54" t="s">
        <v>459</v>
      </c>
      <c r="O880" s="42">
        <v>42</v>
      </c>
      <c r="P880" s="43">
        <v>39</v>
      </c>
      <c r="Q880" s="44">
        <f>0.473*60</f>
        <v>28.38</v>
      </c>
      <c r="R880" s="45">
        <v>80</v>
      </c>
      <c r="S880" s="43">
        <v>6</v>
      </c>
      <c r="T880" s="46">
        <f>0.977*60</f>
        <v>58.62</v>
      </c>
      <c r="U880" s="40">
        <v>3</v>
      </c>
      <c r="V880" s="47">
        <v>10310.137496694</v>
      </c>
      <c r="W880" s="48">
        <v>1985</v>
      </c>
      <c r="X880" s="40"/>
      <c r="Y880" s="52" t="s">
        <v>1081</v>
      </c>
      <c r="Z880" s="40" t="s">
        <v>910</v>
      </c>
      <c r="AA880" s="49">
        <f t="shared" si="124"/>
        <v>243216.14354701145</v>
      </c>
      <c r="AB880" s="71">
        <f t="shared" si="125"/>
        <v>0.80</v>
      </c>
      <c r="AC880" s="49">
        <f t="shared" si="126"/>
        <v>48643.23</v>
      </c>
      <c r="AD880" s="50">
        <f t="shared" si="127"/>
        <v>0</v>
      </c>
      <c r="AE880" s="50">
        <f t="shared" si="128"/>
        <v>0</v>
      </c>
      <c r="AF880" s="50">
        <f t="shared" si="129"/>
        <v>48643.23</v>
      </c>
      <c r="AG880" s="199">
        <f t="shared" si="130"/>
        <v>48643</v>
      </c>
      <c r="AH880" s="187"/>
      <c r="AI880" s="185" t="s">
        <v>1458</v>
      </c>
      <c r="AJ880" s="185"/>
      <c r="AK880" s="277">
        <f t="shared" si="123"/>
        <v>10310.14</v>
      </c>
      <c r="AL880" s="25">
        <f>(SUMIFS('T1 2019 Pipeline Data Lagasco'!$O:$O,'T1 2019 Pipeline Data Lagasco'!$A:$A,'Dec 31 2018 OFFS'!$AI880,'T1 2019 Pipeline Data Lagasco'!$Q:$Q,'Dec 31 2018 OFFS'!$AK880,'T1 2019 Pipeline Data Lagasco'!$E:$E,'Dec 31 2018 OFFS'!$U880,'T1 2019 Pipeline Data Lagasco'!$G:$G,'Dec 31 2018 OFFS'!$W880))/(MAX(COUNTIFS('T1 2019 Pipeline Data Lagasco'!$A:$A,'Dec 31 2018 OFFS'!$AI880,'T1 2019 Pipeline Data Lagasco'!$Q:$Q,'Dec 31 2018 OFFS'!$AK880,'T1 2019 Pipeline Data Lagasco'!$E:$E,'Dec 31 2018 OFFS'!$U880,'T1 2019 Pipeline Data Lagasco'!$G:$G,'Dec 31 2018 OFFS'!$W880),1))</f>
        <v>48643</v>
      </c>
      <c r="AM880" s="274">
        <f t="shared" si="131"/>
        <v>0</v>
      </c>
    </row>
    <row r="881" spans="1:39" ht="12.7">
      <c r="A881" s="193" t="s">
        <v>909</v>
      </c>
      <c r="B881" s="40" t="s">
        <v>918</v>
      </c>
      <c r="C881" s="40" t="s">
        <v>1266</v>
      </c>
      <c r="D881" s="40" t="s">
        <v>336</v>
      </c>
      <c r="E881" s="40" t="s">
        <v>324</v>
      </c>
      <c r="F881" s="40"/>
      <c r="G881" s="41" t="s">
        <v>464</v>
      </c>
      <c r="H881" s="42">
        <v>42</v>
      </c>
      <c r="I881" s="43">
        <v>39</v>
      </c>
      <c r="J881" s="44">
        <f>0.18*60</f>
        <v>10.80</v>
      </c>
      <c r="K881" s="45">
        <v>80</v>
      </c>
      <c r="L881" s="43">
        <v>9</v>
      </c>
      <c r="M881" s="46">
        <f>0.242*60</f>
        <v>14.52</v>
      </c>
      <c r="N881" s="40" t="s">
        <v>332</v>
      </c>
      <c r="O881" s="42">
        <v>42</v>
      </c>
      <c r="P881" s="43">
        <v>39</v>
      </c>
      <c r="Q881" s="44">
        <v>37.47</v>
      </c>
      <c r="R881" s="45">
        <v>80</v>
      </c>
      <c r="S881" s="43">
        <v>9</v>
      </c>
      <c r="T881" s="46">
        <v>23.59</v>
      </c>
      <c r="U881" s="40">
        <v>6</v>
      </c>
      <c r="V881" s="47">
        <v>2783.7925703000001</v>
      </c>
      <c r="W881" s="48">
        <v>1983</v>
      </c>
      <c r="X881" s="40"/>
      <c r="Y881" s="52" t="s">
        <v>1081</v>
      </c>
      <c r="Z881" s="40" t="s">
        <v>910</v>
      </c>
      <c r="AA881" s="49">
        <f t="shared" si="124"/>
        <v>96402.736709489007</v>
      </c>
      <c r="AB881" s="71">
        <f t="shared" si="125"/>
        <v>0.80</v>
      </c>
      <c r="AC881" s="49">
        <f t="shared" si="126"/>
        <v>19280.55</v>
      </c>
      <c r="AD881" s="50">
        <f t="shared" si="127"/>
        <v>0</v>
      </c>
      <c r="AE881" s="50">
        <f t="shared" si="128"/>
        <v>0</v>
      </c>
      <c r="AF881" s="50">
        <f t="shared" si="129"/>
        <v>19280.55</v>
      </c>
      <c r="AG881" s="199">
        <f t="shared" si="130"/>
        <v>19280</v>
      </c>
      <c r="AH881" s="187"/>
      <c r="AI881" s="185" t="s">
        <v>1458</v>
      </c>
      <c r="AJ881" s="185"/>
      <c r="AK881" s="277">
        <f t="shared" si="123"/>
        <v>2783.79</v>
      </c>
      <c r="AL881" s="25">
        <f>(SUMIFS('T1 2019 Pipeline Data Lagasco'!$O:$O,'T1 2019 Pipeline Data Lagasco'!$A:$A,'Dec 31 2018 OFFS'!$AI881,'T1 2019 Pipeline Data Lagasco'!$Q:$Q,'Dec 31 2018 OFFS'!$AK881,'T1 2019 Pipeline Data Lagasco'!$E:$E,'Dec 31 2018 OFFS'!$U881,'T1 2019 Pipeline Data Lagasco'!$G:$G,'Dec 31 2018 OFFS'!$W881))/(MAX(COUNTIFS('T1 2019 Pipeline Data Lagasco'!$A:$A,'Dec 31 2018 OFFS'!$AI881,'T1 2019 Pipeline Data Lagasco'!$Q:$Q,'Dec 31 2018 OFFS'!$AK881,'T1 2019 Pipeline Data Lagasco'!$E:$E,'Dec 31 2018 OFFS'!$U881,'T1 2019 Pipeline Data Lagasco'!$G:$G,'Dec 31 2018 OFFS'!$W881),1))</f>
        <v>19280</v>
      </c>
      <c r="AM881" s="274">
        <f t="shared" si="131"/>
        <v>0</v>
      </c>
    </row>
    <row r="882" spans="1:39" ht="12.7">
      <c r="A882" s="193" t="s">
        <v>909</v>
      </c>
      <c r="B882" s="40" t="s">
        <v>918</v>
      </c>
      <c r="C882" s="40" t="s">
        <v>1266</v>
      </c>
      <c r="D882" s="40" t="s">
        <v>336</v>
      </c>
      <c r="E882" s="40" t="s">
        <v>324</v>
      </c>
      <c r="F882" s="40"/>
      <c r="G882" s="41" t="s">
        <v>524</v>
      </c>
      <c r="H882" s="42">
        <v>42</v>
      </c>
      <c r="I882" s="43">
        <v>38</v>
      </c>
      <c r="J882" s="44">
        <v>11.048028</v>
      </c>
      <c r="K882" s="45">
        <v>80</v>
      </c>
      <c r="L882" s="43">
        <v>8</v>
      </c>
      <c r="M882" s="46">
        <v>14.800007000000001</v>
      </c>
      <c r="N882" s="40" t="s">
        <v>464</v>
      </c>
      <c r="O882" s="42">
        <v>42</v>
      </c>
      <c r="P882" s="43">
        <v>39</v>
      </c>
      <c r="Q882" s="44">
        <f>0.18*60</f>
        <v>10.80</v>
      </c>
      <c r="R882" s="45">
        <v>80</v>
      </c>
      <c r="S882" s="43">
        <v>9</v>
      </c>
      <c r="T882" s="46">
        <f>0.242*60</f>
        <v>14.52</v>
      </c>
      <c r="U882" s="40">
        <v>6</v>
      </c>
      <c r="V882" s="47">
        <v>7517.6507009240004</v>
      </c>
      <c r="W882" s="48">
        <v>1983</v>
      </c>
      <c r="X882" s="40"/>
      <c r="Y882" s="52" t="s">
        <v>1081</v>
      </c>
      <c r="Z882" s="40" t="s">
        <v>910</v>
      </c>
      <c r="AA882" s="49">
        <f t="shared" si="124"/>
        <v>260336.24377299816</v>
      </c>
      <c r="AB882" s="71">
        <f t="shared" si="125"/>
        <v>0.80</v>
      </c>
      <c r="AC882" s="49">
        <f t="shared" si="126"/>
        <v>52067.25</v>
      </c>
      <c r="AD882" s="50">
        <f t="shared" si="127"/>
        <v>0</v>
      </c>
      <c r="AE882" s="50">
        <f t="shared" si="128"/>
        <v>0</v>
      </c>
      <c r="AF882" s="50">
        <f t="shared" si="129"/>
        <v>52067.25</v>
      </c>
      <c r="AG882" s="199">
        <f t="shared" si="130"/>
        <v>52067</v>
      </c>
      <c r="AH882" s="187"/>
      <c r="AI882" s="185" t="s">
        <v>1458</v>
      </c>
      <c r="AJ882" s="185"/>
      <c r="AK882" s="277">
        <f t="shared" si="123"/>
        <v>7517.65</v>
      </c>
      <c r="AL882" s="25">
        <f>(SUMIFS('T1 2019 Pipeline Data Lagasco'!$O:$O,'T1 2019 Pipeline Data Lagasco'!$A:$A,'Dec 31 2018 OFFS'!$AI882,'T1 2019 Pipeline Data Lagasco'!$Q:$Q,'Dec 31 2018 OFFS'!$AK882,'T1 2019 Pipeline Data Lagasco'!$E:$E,'Dec 31 2018 OFFS'!$U882,'T1 2019 Pipeline Data Lagasco'!$G:$G,'Dec 31 2018 OFFS'!$W882))/(MAX(COUNTIFS('T1 2019 Pipeline Data Lagasco'!$A:$A,'Dec 31 2018 OFFS'!$AI882,'T1 2019 Pipeline Data Lagasco'!$Q:$Q,'Dec 31 2018 OFFS'!$AK882,'T1 2019 Pipeline Data Lagasco'!$E:$E,'Dec 31 2018 OFFS'!$U882,'T1 2019 Pipeline Data Lagasco'!$G:$G,'Dec 31 2018 OFFS'!$W882),1))</f>
        <v>52067</v>
      </c>
      <c r="AM882" s="274">
        <f t="shared" si="131"/>
        <v>0</v>
      </c>
    </row>
    <row r="883" spans="1:39" ht="12.7">
      <c r="A883" s="193" t="s">
        <v>909</v>
      </c>
      <c r="B883" s="40" t="s">
        <v>918</v>
      </c>
      <c r="C883" s="40" t="s">
        <v>1266</v>
      </c>
      <c r="D883" s="40" t="s">
        <v>336</v>
      </c>
      <c r="E883" s="40" t="s">
        <v>324</v>
      </c>
      <c r="F883" s="40"/>
      <c r="G883" s="41" t="s">
        <v>524</v>
      </c>
      <c r="H883" s="42">
        <v>42</v>
      </c>
      <c r="I883" s="43">
        <v>38</v>
      </c>
      <c r="J883" s="44">
        <f>0.168*60</f>
        <v>10.08</v>
      </c>
      <c r="K883" s="45">
        <v>80</v>
      </c>
      <c r="L883" s="43">
        <v>8</v>
      </c>
      <c r="M883" s="46">
        <f>0.26*60</f>
        <v>15.60</v>
      </c>
      <c r="N883" s="40" t="s">
        <v>1364</v>
      </c>
      <c r="O883" s="42">
        <v>42</v>
      </c>
      <c r="P883" s="43">
        <v>36</v>
      </c>
      <c r="Q883" s="44">
        <f>0.804*60</f>
        <v>48.24</v>
      </c>
      <c r="R883" s="45">
        <v>80</v>
      </c>
      <c r="S883" s="43">
        <v>6</v>
      </c>
      <c r="T883" s="46">
        <f>0.843*60</f>
        <v>50.58</v>
      </c>
      <c r="U883" s="40">
        <v>6</v>
      </c>
      <c r="V883" s="47">
        <v>10432</v>
      </c>
      <c r="W883" s="48">
        <v>1983</v>
      </c>
      <c r="X883" s="40"/>
      <c r="Y883" s="52" t="s">
        <v>1081</v>
      </c>
      <c r="Z883" s="40" t="s">
        <v>910</v>
      </c>
      <c r="AA883" s="49">
        <f t="shared" si="124"/>
        <v>361260.16000000003</v>
      </c>
      <c r="AB883" s="71">
        <f t="shared" si="125"/>
        <v>0.80</v>
      </c>
      <c r="AC883" s="49">
        <f t="shared" si="126"/>
        <v>72252.03</v>
      </c>
      <c r="AD883" s="50">
        <f t="shared" si="127"/>
        <v>0</v>
      </c>
      <c r="AE883" s="50">
        <f t="shared" si="128"/>
        <v>0</v>
      </c>
      <c r="AF883" s="50">
        <f t="shared" si="129"/>
        <v>72252.03</v>
      </c>
      <c r="AG883" s="199">
        <f t="shared" si="130"/>
        <v>72252</v>
      </c>
      <c r="AH883" s="187"/>
      <c r="AI883" s="185" t="s">
        <v>1458</v>
      </c>
      <c r="AJ883" s="185"/>
      <c r="AK883" s="277">
        <f t="shared" si="123"/>
        <v>10432</v>
      </c>
      <c r="AL883" s="25">
        <f>(SUMIFS('T1 2019 Pipeline Data Lagasco'!$O:$O,'T1 2019 Pipeline Data Lagasco'!$A:$A,'Dec 31 2018 OFFS'!$AI883,'T1 2019 Pipeline Data Lagasco'!$Q:$Q,'Dec 31 2018 OFFS'!$AK883,'T1 2019 Pipeline Data Lagasco'!$E:$E,'Dec 31 2018 OFFS'!$U883,'T1 2019 Pipeline Data Lagasco'!$G:$G,'Dec 31 2018 OFFS'!$W883))/(MAX(COUNTIFS('T1 2019 Pipeline Data Lagasco'!$A:$A,'Dec 31 2018 OFFS'!$AI883,'T1 2019 Pipeline Data Lagasco'!$Q:$Q,'Dec 31 2018 OFFS'!$AK883,'T1 2019 Pipeline Data Lagasco'!$E:$E,'Dec 31 2018 OFFS'!$U883,'T1 2019 Pipeline Data Lagasco'!$G:$G,'Dec 31 2018 OFFS'!$W883),1))</f>
        <v>72252</v>
      </c>
      <c r="AM883" s="274">
        <f t="shared" si="131"/>
        <v>0</v>
      </c>
    </row>
    <row r="884" spans="1:39" ht="12.7">
      <c r="A884" s="193" t="s">
        <v>909</v>
      </c>
      <c r="B884" s="40" t="s">
        <v>918</v>
      </c>
      <c r="C884" s="40" t="s">
        <v>1266</v>
      </c>
      <c r="D884" s="40" t="s">
        <v>336</v>
      </c>
      <c r="E884" s="40" t="s">
        <v>324</v>
      </c>
      <c r="F884" s="40"/>
      <c r="G884" s="41" t="s">
        <v>465</v>
      </c>
      <c r="H884" s="42">
        <v>42</v>
      </c>
      <c r="I884" s="43">
        <v>36</v>
      </c>
      <c r="J884" s="44">
        <v>50.086716000000003</v>
      </c>
      <c r="K884" s="45">
        <v>80</v>
      </c>
      <c r="L884" s="43">
        <v>7</v>
      </c>
      <c r="M884" s="46">
        <v>42.876469999999998</v>
      </c>
      <c r="N884" s="41" t="s">
        <v>466</v>
      </c>
      <c r="O884" s="42">
        <v>42</v>
      </c>
      <c r="P884" s="43">
        <v>36</v>
      </c>
      <c r="Q884" s="44">
        <f>0.833*60</f>
        <v>49.98</v>
      </c>
      <c r="R884" s="45">
        <v>80</v>
      </c>
      <c r="S884" s="43">
        <v>7</v>
      </c>
      <c r="T884" s="46">
        <f>0.713*60</f>
        <v>42.78</v>
      </c>
      <c r="U884" s="40">
        <v>3</v>
      </c>
      <c r="V884" s="47">
        <v>12.992125607999998</v>
      </c>
      <c r="W884" s="48">
        <v>1985</v>
      </c>
      <c r="X884" s="40"/>
      <c r="Y884" s="52" t="s">
        <v>1081</v>
      </c>
      <c r="Z884" s="40" t="s">
        <v>910</v>
      </c>
      <c r="AA884" s="49">
        <f t="shared" si="124"/>
        <v>306.48424309271996</v>
      </c>
      <c r="AB884" s="71">
        <f t="shared" si="125"/>
        <v>0.80</v>
      </c>
      <c r="AC884" s="49">
        <f t="shared" si="126"/>
        <v>61.30</v>
      </c>
      <c r="AD884" s="50">
        <f t="shared" si="127"/>
        <v>0</v>
      </c>
      <c r="AE884" s="50">
        <f t="shared" si="128"/>
        <v>0</v>
      </c>
      <c r="AF884" s="50">
        <f t="shared" si="129"/>
        <v>61.30</v>
      </c>
      <c r="AG884" s="199">
        <f t="shared" si="130"/>
        <v>61</v>
      </c>
      <c r="AH884" s="187"/>
      <c r="AI884" s="185" t="s">
        <v>1458</v>
      </c>
      <c r="AJ884" s="185"/>
      <c r="AK884" s="277">
        <f t="shared" si="123"/>
        <v>12.99</v>
      </c>
      <c r="AL884" s="25">
        <f>(SUMIFS('T1 2019 Pipeline Data Lagasco'!$O:$O,'T1 2019 Pipeline Data Lagasco'!$A:$A,'Dec 31 2018 OFFS'!$AI884,'T1 2019 Pipeline Data Lagasco'!$Q:$Q,'Dec 31 2018 OFFS'!$AK884,'T1 2019 Pipeline Data Lagasco'!$E:$E,'Dec 31 2018 OFFS'!$U884,'T1 2019 Pipeline Data Lagasco'!$G:$G,'Dec 31 2018 OFFS'!$W884))/(MAX(COUNTIFS('T1 2019 Pipeline Data Lagasco'!$A:$A,'Dec 31 2018 OFFS'!$AI884,'T1 2019 Pipeline Data Lagasco'!$Q:$Q,'Dec 31 2018 OFFS'!$AK884,'T1 2019 Pipeline Data Lagasco'!$E:$E,'Dec 31 2018 OFFS'!$U884,'T1 2019 Pipeline Data Lagasco'!$G:$G,'Dec 31 2018 OFFS'!$W884),1))</f>
        <v>61</v>
      </c>
      <c r="AM884" s="274">
        <f t="shared" si="131"/>
        <v>0</v>
      </c>
    </row>
    <row r="885" spans="1:39" ht="12.7">
      <c r="A885" s="193" t="s">
        <v>909</v>
      </c>
      <c r="B885" s="40" t="s">
        <v>918</v>
      </c>
      <c r="C885" s="40" t="s">
        <v>1266</v>
      </c>
      <c r="D885" s="40" t="s">
        <v>336</v>
      </c>
      <c r="E885" s="40" t="s">
        <v>324</v>
      </c>
      <c r="F885" s="40"/>
      <c r="G885" s="41" t="s">
        <v>465</v>
      </c>
      <c r="H885" s="42">
        <v>42</v>
      </c>
      <c r="I885" s="43">
        <v>36</v>
      </c>
      <c r="J885" s="44">
        <v>50.086716000000003</v>
      </c>
      <c r="K885" s="45">
        <v>80</v>
      </c>
      <c r="L885" s="43">
        <v>7</v>
      </c>
      <c r="M885" s="46">
        <v>42.876469999999998</v>
      </c>
      <c r="N885" s="40" t="s">
        <v>450</v>
      </c>
      <c r="O885" s="42">
        <v>42</v>
      </c>
      <c r="P885" s="43">
        <v>36</v>
      </c>
      <c r="Q885" s="44">
        <v>8.8000000000000007</v>
      </c>
      <c r="R885" s="45">
        <v>80</v>
      </c>
      <c r="S885" s="43">
        <v>10</v>
      </c>
      <c r="T885" s="46">
        <v>59.52</v>
      </c>
      <c r="U885" s="40">
        <v>4</v>
      </c>
      <c r="V885" s="47">
        <v>15288.122916835999</v>
      </c>
      <c r="W885" s="48">
        <v>1965</v>
      </c>
      <c r="X885" s="40"/>
      <c r="Y885" s="52" t="s">
        <v>1081</v>
      </c>
      <c r="Z885" s="40" t="s">
        <v>910</v>
      </c>
      <c r="AA885" s="49">
        <f t="shared" si="124"/>
        <v>404370.85115031217</v>
      </c>
      <c r="AB885" s="71">
        <f t="shared" si="125"/>
        <v>0.80</v>
      </c>
      <c r="AC885" s="49">
        <f t="shared" si="126"/>
        <v>80874.17</v>
      </c>
      <c r="AD885" s="50">
        <f t="shared" si="127"/>
        <v>0</v>
      </c>
      <c r="AE885" s="50">
        <f t="shared" si="128"/>
        <v>0</v>
      </c>
      <c r="AF885" s="50">
        <f t="shared" si="129"/>
        <v>80874.17</v>
      </c>
      <c r="AG885" s="199">
        <f t="shared" si="130"/>
        <v>80874</v>
      </c>
      <c r="AH885" s="187"/>
      <c r="AI885" s="185" t="s">
        <v>1458</v>
      </c>
      <c r="AJ885" s="185"/>
      <c r="AK885" s="277">
        <f t="shared" si="123"/>
        <v>15288.12</v>
      </c>
      <c r="AL885" s="25">
        <f>(SUMIFS('T1 2019 Pipeline Data Lagasco'!$O:$O,'T1 2019 Pipeline Data Lagasco'!$A:$A,'Dec 31 2018 OFFS'!$AI885,'T1 2019 Pipeline Data Lagasco'!$Q:$Q,'Dec 31 2018 OFFS'!$AK885,'T1 2019 Pipeline Data Lagasco'!$E:$E,'Dec 31 2018 OFFS'!$U885,'T1 2019 Pipeline Data Lagasco'!$G:$G,'Dec 31 2018 OFFS'!$W885))/(MAX(COUNTIFS('T1 2019 Pipeline Data Lagasco'!$A:$A,'Dec 31 2018 OFFS'!$AI885,'T1 2019 Pipeline Data Lagasco'!$Q:$Q,'Dec 31 2018 OFFS'!$AK885,'T1 2019 Pipeline Data Lagasco'!$E:$E,'Dec 31 2018 OFFS'!$U885,'T1 2019 Pipeline Data Lagasco'!$G:$G,'Dec 31 2018 OFFS'!$W885),1))</f>
        <v>80874</v>
      </c>
      <c r="AM885" s="274">
        <f t="shared" si="131"/>
        <v>0</v>
      </c>
    </row>
    <row r="886" spans="1:39" ht="12.7">
      <c r="A886" s="193" t="s">
        <v>909</v>
      </c>
      <c r="B886" s="40" t="s">
        <v>918</v>
      </c>
      <c r="C886" s="40" t="s">
        <v>1266</v>
      </c>
      <c r="D886" s="40" t="s">
        <v>336</v>
      </c>
      <c r="E886" s="40" t="s">
        <v>324</v>
      </c>
      <c r="F886" s="40"/>
      <c r="G886" s="41" t="s">
        <v>465</v>
      </c>
      <c r="H886" s="42">
        <v>42</v>
      </c>
      <c r="I886" s="43">
        <v>36</v>
      </c>
      <c r="J886" s="44">
        <v>50.086716000000003</v>
      </c>
      <c r="K886" s="45">
        <v>80</v>
      </c>
      <c r="L886" s="43">
        <v>7</v>
      </c>
      <c r="M886" s="46">
        <v>42.876469999999998</v>
      </c>
      <c r="N886" s="40" t="s">
        <v>1364</v>
      </c>
      <c r="O886" s="42">
        <v>42</v>
      </c>
      <c r="P886" s="43">
        <v>36</v>
      </c>
      <c r="Q886" s="44">
        <f>0.804*60</f>
        <v>48.24</v>
      </c>
      <c r="R886" s="45">
        <v>80</v>
      </c>
      <c r="S886" s="43">
        <v>6</v>
      </c>
      <c r="T886" s="46">
        <f>0.843*60</f>
        <v>50.58</v>
      </c>
      <c r="U886" s="40">
        <v>3</v>
      </c>
      <c r="V886" s="47">
        <v>3999</v>
      </c>
      <c r="W886" s="48">
        <v>1984</v>
      </c>
      <c r="X886" s="40"/>
      <c r="Y886" s="52" t="s">
        <v>1081</v>
      </c>
      <c r="Z886" s="40" t="s">
        <v>910</v>
      </c>
      <c r="AA886" s="49">
        <f t="shared" si="124"/>
        <v>94336.41</v>
      </c>
      <c r="AB886" s="71">
        <f t="shared" si="125"/>
        <v>0.80</v>
      </c>
      <c r="AC886" s="49">
        <f t="shared" si="126"/>
        <v>18867.28</v>
      </c>
      <c r="AD886" s="50">
        <f t="shared" si="127"/>
        <v>0</v>
      </c>
      <c r="AE886" s="50">
        <f t="shared" si="128"/>
        <v>0</v>
      </c>
      <c r="AF886" s="50">
        <f t="shared" si="129"/>
        <v>18867.28</v>
      </c>
      <c r="AG886" s="199">
        <f t="shared" si="130"/>
        <v>18867</v>
      </c>
      <c r="AH886" s="187"/>
      <c r="AI886" s="185" t="s">
        <v>1458</v>
      </c>
      <c r="AJ886" s="185"/>
      <c r="AK886" s="277">
        <f t="shared" si="123"/>
        <v>3999</v>
      </c>
      <c r="AL886" s="25">
        <f>(SUMIFS('T1 2019 Pipeline Data Lagasco'!$O:$O,'T1 2019 Pipeline Data Lagasco'!$A:$A,'Dec 31 2018 OFFS'!$AI886,'T1 2019 Pipeline Data Lagasco'!$Q:$Q,'Dec 31 2018 OFFS'!$AK886,'T1 2019 Pipeline Data Lagasco'!$E:$E,'Dec 31 2018 OFFS'!$U886,'T1 2019 Pipeline Data Lagasco'!$G:$G,'Dec 31 2018 OFFS'!$W886))/(MAX(COUNTIFS('T1 2019 Pipeline Data Lagasco'!$A:$A,'Dec 31 2018 OFFS'!$AI886,'T1 2019 Pipeline Data Lagasco'!$Q:$Q,'Dec 31 2018 OFFS'!$AK886,'T1 2019 Pipeline Data Lagasco'!$E:$E,'Dec 31 2018 OFFS'!$U886,'T1 2019 Pipeline Data Lagasco'!$G:$G,'Dec 31 2018 OFFS'!$W886),1))</f>
        <v>18867</v>
      </c>
      <c r="AM886" s="274">
        <f t="shared" si="131"/>
        <v>0</v>
      </c>
    </row>
    <row r="887" spans="1:39" ht="12.7">
      <c r="A887" s="193" t="s">
        <v>909</v>
      </c>
      <c r="B887" s="40" t="s">
        <v>918</v>
      </c>
      <c r="C887" s="40" t="s">
        <v>1266</v>
      </c>
      <c r="D887" s="40" t="s">
        <v>336</v>
      </c>
      <c r="E887" s="40" t="s">
        <v>324</v>
      </c>
      <c r="F887" s="40" t="s">
        <v>1051</v>
      </c>
      <c r="G887" s="41" t="s">
        <v>465</v>
      </c>
      <c r="H887" s="42">
        <v>42</v>
      </c>
      <c r="I887" s="43">
        <v>36</v>
      </c>
      <c r="J887" s="44">
        <v>50.086716000000003</v>
      </c>
      <c r="K887" s="45">
        <v>80</v>
      </c>
      <c r="L887" s="43">
        <v>7</v>
      </c>
      <c r="M887" s="46">
        <v>42.876469999999998</v>
      </c>
      <c r="N887" s="40" t="s">
        <v>524</v>
      </c>
      <c r="O887" s="42">
        <v>42</v>
      </c>
      <c r="P887" s="43">
        <v>38</v>
      </c>
      <c r="Q887" s="44">
        <v>11.048028</v>
      </c>
      <c r="R887" s="45">
        <v>80</v>
      </c>
      <c r="S887" s="43">
        <v>8</v>
      </c>
      <c r="T887" s="46">
        <v>14.800007000000001</v>
      </c>
      <c r="U887" s="40">
        <v>6</v>
      </c>
      <c r="V887" s="47">
        <v>8536.7779679980013</v>
      </c>
      <c r="W887" s="48">
        <v>1983</v>
      </c>
      <c r="X887" s="40"/>
      <c r="Y887" s="52" t="s">
        <v>1081</v>
      </c>
      <c r="Z887" s="40" t="s">
        <v>910</v>
      </c>
      <c r="AA887" s="49">
        <f t="shared" si="124"/>
        <v>0</v>
      </c>
      <c r="AB887" s="71">
        <f t="shared" si="125"/>
        <v>0.80</v>
      </c>
      <c r="AC887" s="49">
        <f t="shared" si="126"/>
        <v>0</v>
      </c>
      <c r="AD887" s="50">
        <f t="shared" si="127"/>
        <v>0</v>
      </c>
      <c r="AE887" s="50">
        <f t="shared" si="128"/>
        <v>0</v>
      </c>
      <c r="AF887" s="50">
        <f t="shared" si="129"/>
        <v>0</v>
      </c>
      <c r="AG887" s="199">
        <f t="shared" si="130"/>
        <v>0</v>
      </c>
      <c r="AH887" s="187"/>
      <c r="AI887" s="185" t="s">
        <v>1458</v>
      </c>
      <c r="AJ887" s="185"/>
      <c r="AK887" s="277">
        <f t="shared" si="123"/>
        <v>8536.7800000000007</v>
      </c>
      <c r="AL887" s="25">
        <f>(SUMIFS('T1 2019 Pipeline Data Lagasco'!$O:$O,'T1 2019 Pipeline Data Lagasco'!$A:$A,'Dec 31 2018 OFFS'!$AI887,'T1 2019 Pipeline Data Lagasco'!$Q:$Q,'Dec 31 2018 OFFS'!$AK887,'T1 2019 Pipeline Data Lagasco'!$E:$E,'Dec 31 2018 OFFS'!$U887,'T1 2019 Pipeline Data Lagasco'!$G:$G,'Dec 31 2018 OFFS'!$W887))/(MAX(COUNTIFS('T1 2019 Pipeline Data Lagasco'!$A:$A,'Dec 31 2018 OFFS'!$AI887,'T1 2019 Pipeline Data Lagasco'!$Q:$Q,'Dec 31 2018 OFFS'!$AK887,'T1 2019 Pipeline Data Lagasco'!$E:$E,'Dec 31 2018 OFFS'!$U887,'T1 2019 Pipeline Data Lagasco'!$G:$G,'Dec 31 2018 OFFS'!$W887),1))</f>
        <v>0</v>
      </c>
      <c r="AM887" s="274">
        <f t="shared" si="131"/>
        <v>0</v>
      </c>
    </row>
    <row r="888" spans="1:39" ht="12.7">
      <c r="A888" s="193" t="s">
        <v>909</v>
      </c>
      <c r="B888" s="40" t="s">
        <v>918</v>
      </c>
      <c r="C888" s="40" t="s">
        <v>1266</v>
      </c>
      <c r="D888" s="40" t="s">
        <v>336</v>
      </c>
      <c r="E888" s="40" t="s">
        <v>324</v>
      </c>
      <c r="F888" s="40"/>
      <c r="G888" s="40" t="s">
        <v>1364</v>
      </c>
      <c r="H888" s="42">
        <v>42</v>
      </c>
      <c r="I888" s="43">
        <v>36</v>
      </c>
      <c r="J888" s="44">
        <f>0.804*60</f>
        <v>48.24</v>
      </c>
      <c r="K888" s="45">
        <v>80</v>
      </c>
      <c r="L888" s="43">
        <v>6</v>
      </c>
      <c r="M888" s="46">
        <f>0.843*60</f>
        <v>50.58</v>
      </c>
      <c r="N888" s="41" t="s">
        <v>1366</v>
      </c>
      <c r="O888" s="42">
        <v>42</v>
      </c>
      <c r="P888" s="43">
        <v>35</v>
      </c>
      <c r="Q888" s="44">
        <f>0.2*60</f>
        <v>12</v>
      </c>
      <c r="R888" s="45">
        <v>80</v>
      </c>
      <c r="S888" s="43">
        <v>5</v>
      </c>
      <c r="T888" s="46">
        <f>0.233*60</f>
        <v>13.98</v>
      </c>
      <c r="U888" s="40">
        <v>6</v>
      </c>
      <c r="V888" s="47">
        <v>12118</v>
      </c>
      <c r="W888" s="48">
        <v>1980</v>
      </c>
      <c r="X888" s="40"/>
      <c r="Y888" s="52" t="s">
        <v>1081</v>
      </c>
      <c r="Z888" s="40" t="s">
        <v>910</v>
      </c>
      <c r="AA888" s="49">
        <f t="shared" si="124"/>
        <v>419646.34</v>
      </c>
      <c r="AB888" s="71">
        <f t="shared" si="125"/>
        <v>0.80</v>
      </c>
      <c r="AC888" s="49">
        <f t="shared" si="126"/>
        <v>83929.27</v>
      </c>
      <c r="AD888" s="50">
        <f t="shared" si="127"/>
        <v>0</v>
      </c>
      <c r="AE888" s="50">
        <f t="shared" si="128"/>
        <v>0</v>
      </c>
      <c r="AF888" s="50">
        <f t="shared" si="129"/>
        <v>83929.27</v>
      </c>
      <c r="AG888" s="199">
        <f t="shared" si="130"/>
        <v>83929</v>
      </c>
      <c r="AH888" s="187"/>
      <c r="AI888" s="185" t="s">
        <v>1458</v>
      </c>
      <c r="AJ888" s="185"/>
      <c r="AK888" s="277">
        <f t="shared" si="123"/>
        <v>12118</v>
      </c>
      <c r="AL888" s="25">
        <f>(SUMIFS('T1 2019 Pipeline Data Lagasco'!$O:$O,'T1 2019 Pipeline Data Lagasco'!$A:$A,'Dec 31 2018 OFFS'!$AI888,'T1 2019 Pipeline Data Lagasco'!$Q:$Q,'Dec 31 2018 OFFS'!$AK888,'T1 2019 Pipeline Data Lagasco'!$E:$E,'Dec 31 2018 OFFS'!$U888,'T1 2019 Pipeline Data Lagasco'!$G:$G,'Dec 31 2018 OFFS'!$W888))/(MAX(COUNTIFS('T1 2019 Pipeline Data Lagasco'!$A:$A,'Dec 31 2018 OFFS'!$AI888,'T1 2019 Pipeline Data Lagasco'!$Q:$Q,'Dec 31 2018 OFFS'!$AK888,'T1 2019 Pipeline Data Lagasco'!$E:$E,'Dec 31 2018 OFFS'!$U888,'T1 2019 Pipeline Data Lagasco'!$G:$G,'Dec 31 2018 OFFS'!$W888),1))</f>
        <v>83929</v>
      </c>
      <c r="AM888" s="274">
        <f t="shared" si="131"/>
        <v>0</v>
      </c>
    </row>
    <row r="889" spans="1:39" ht="12.7">
      <c r="A889" s="193" t="s">
        <v>909</v>
      </c>
      <c r="B889" s="40" t="s">
        <v>918</v>
      </c>
      <c r="C889" s="40" t="s">
        <v>1266</v>
      </c>
      <c r="D889" s="40" t="s">
        <v>336</v>
      </c>
      <c r="E889" s="40" t="s">
        <v>324</v>
      </c>
      <c r="F889" s="40"/>
      <c r="G889" s="41" t="s">
        <v>467</v>
      </c>
      <c r="H889" s="42">
        <v>42</v>
      </c>
      <c r="I889" s="43">
        <v>35</v>
      </c>
      <c r="J889" s="44">
        <v>12.60</v>
      </c>
      <c r="K889" s="45">
        <v>80</v>
      </c>
      <c r="L889" s="43">
        <v>5</v>
      </c>
      <c r="M889" s="46">
        <v>15.12</v>
      </c>
      <c r="N889" s="41" t="s">
        <v>468</v>
      </c>
      <c r="O889" s="42">
        <v>42</v>
      </c>
      <c r="P889" s="43">
        <v>35</v>
      </c>
      <c r="Q889" s="44">
        <f>0.762*60</f>
        <v>45.72</v>
      </c>
      <c r="R889" s="45">
        <v>80</v>
      </c>
      <c r="S889" s="43">
        <v>4</v>
      </c>
      <c r="T889" s="46">
        <f>0.765*60</f>
        <v>45.90</v>
      </c>
      <c r="U889" s="40">
        <v>3</v>
      </c>
      <c r="V889" s="47">
        <v>4002.5589392039997</v>
      </c>
      <c r="W889" s="48">
        <v>1985</v>
      </c>
      <c r="X889" s="40"/>
      <c r="Y889" s="52" t="s">
        <v>1081</v>
      </c>
      <c r="Z889" s="40" t="s">
        <v>910</v>
      </c>
      <c r="AA889" s="49">
        <f t="shared" si="124"/>
        <v>94420.365375822352</v>
      </c>
      <c r="AB889" s="71">
        <f t="shared" si="125"/>
        <v>0.80</v>
      </c>
      <c r="AC889" s="49">
        <f t="shared" si="126"/>
        <v>18884.07</v>
      </c>
      <c r="AD889" s="50">
        <f t="shared" si="127"/>
        <v>0</v>
      </c>
      <c r="AE889" s="50">
        <f t="shared" si="128"/>
        <v>0</v>
      </c>
      <c r="AF889" s="50">
        <f t="shared" si="129"/>
        <v>18884.07</v>
      </c>
      <c r="AG889" s="199">
        <f t="shared" si="130"/>
        <v>18884</v>
      </c>
      <c r="AH889" s="187"/>
      <c r="AI889" s="185" t="s">
        <v>1458</v>
      </c>
      <c r="AJ889" s="185"/>
      <c r="AK889" s="277">
        <f t="shared" si="123"/>
        <v>4002.56</v>
      </c>
      <c r="AL889" s="25">
        <f>(SUMIFS('T1 2019 Pipeline Data Lagasco'!$O:$O,'T1 2019 Pipeline Data Lagasco'!$A:$A,'Dec 31 2018 OFFS'!$AI889,'T1 2019 Pipeline Data Lagasco'!$Q:$Q,'Dec 31 2018 OFFS'!$AK889,'T1 2019 Pipeline Data Lagasco'!$E:$E,'Dec 31 2018 OFFS'!$U889,'T1 2019 Pipeline Data Lagasco'!$G:$G,'Dec 31 2018 OFFS'!$W889))/(MAX(COUNTIFS('T1 2019 Pipeline Data Lagasco'!$A:$A,'Dec 31 2018 OFFS'!$AI889,'T1 2019 Pipeline Data Lagasco'!$Q:$Q,'Dec 31 2018 OFFS'!$AK889,'T1 2019 Pipeline Data Lagasco'!$E:$E,'Dec 31 2018 OFFS'!$U889,'T1 2019 Pipeline Data Lagasco'!$G:$G,'Dec 31 2018 OFFS'!$W889),1))</f>
        <v>18884</v>
      </c>
      <c r="AM889" s="274">
        <f t="shared" si="131"/>
        <v>0</v>
      </c>
    </row>
    <row r="890" spans="1:39" ht="12.7">
      <c r="A890" s="193" t="s">
        <v>909</v>
      </c>
      <c r="B890" s="40" t="s">
        <v>918</v>
      </c>
      <c r="C890" s="40" t="s">
        <v>1266</v>
      </c>
      <c r="D890" s="40" t="s">
        <v>336</v>
      </c>
      <c r="E890" s="40" t="s">
        <v>324</v>
      </c>
      <c r="F890" s="40"/>
      <c r="G890" s="41" t="s">
        <v>467</v>
      </c>
      <c r="H890" s="42">
        <v>42</v>
      </c>
      <c r="I890" s="43">
        <v>35</v>
      </c>
      <c r="J890" s="44">
        <v>12.60</v>
      </c>
      <c r="K890" s="45">
        <v>80</v>
      </c>
      <c r="L890" s="43">
        <v>5</v>
      </c>
      <c r="M890" s="46">
        <v>15.12</v>
      </c>
      <c r="N890" s="41" t="s">
        <v>469</v>
      </c>
      <c r="O890" s="42">
        <v>42</v>
      </c>
      <c r="P890" s="43">
        <v>35</v>
      </c>
      <c r="Q890" s="44">
        <v>25.98</v>
      </c>
      <c r="R890" s="45">
        <v>80</v>
      </c>
      <c r="S890" s="43">
        <v>3</v>
      </c>
      <c r="T890" s="46">
        <v>43.98</v>
      </c>
      <c r="U890" s="40">
        <v>3</v>
      </c>
      <c r="V890" s="47">
        <v>6951.1809010559991</v>
      </c>
      <c r="W890" s="48">
        <v>1985</v>
      </c>
      <c r="X890" s="40"/>
      <c r="Y890" s="52" t="s">
        <v>1081</v>
      </c>
      <c r="Z890" s="40" t="s">
        <v>910</v>
      </c>
      <c r="AA890" s="49">
        <f t="shared" si="124"/>
        <v>163978.35745591103</v>
      </c>
      <c r="AB890" s="71">
        <f t="shared" si="125"/>
        <v>0.80</v>
      </c>
      <c r="AC890" s="49">
        <f t="shared" si="126"/>
        <v>32795.67</v>
      </c>
      <c r="AD890" s="50">
        <f t="shared" si="127"/>
        <v>0</v>
      </c>
      <c r="AE890" s="50">
        <f t="shared" si="128"/>
        <v>0</v>
      </c>
      <c r="AF890" s="50">
        <f t="shared" si="129"/>
        <v>32795.67</v>
      </c>
      <c r="AG890" s="199">
        <f t="shared" si="130"/>
        <v>32795</v>
      </c>
      <c r="AH890" s="187"/>
      <c r="AI890" s="185" t="s">
        <v>1458</v>
      </c>
      <c r="AJ890" s="185"/>
      <c r="AK890" s="277">
        <f t="shared" si="123"/>
        <v>6951.18</v>
      </c>
      <c r="AL890" s="25">
        <f>(SUMIFS('T1 2019 Pipeline Data Lagasco'!$O:$O,'T1 2019 Pipeline Data Lagasco'!$A:$A,'Dec 31 2018 OFFS'!$AI890,'T1 2019 Pipeline Data Lagasco'!$Q:$Q,'Dec 31 2018 OFFS'!$AK890,'T1 2019 Pipeline Data Lagasco'!$E:$E,'Dec 31 2018 OFFS'!$U890,'T1 2019 Pipeline Data Lagasco'!$G:$G,'Dec 31 2018 OFFS'!$W890))/(MAX(COUNTIFS('T1 2019 Pipeline Data Lagasco'!$A:$A,'Dec 31 2018 OFFS'!$AI890,'T1 2019 Pipeline Data Lagasco'!$Q:$Q,'Dec 31 2018 OFFS'!$AK890,'T1 2019 Pipeline Data Lagasco'!$E:$E,'Dec 31 2018 OFFS'!$U890,'T1 2019 Pipeline Data Lagasco'!$G:$G,'Dec 31 2018 OFFS'!$W890),1))</f>
        <v>32795</v>
      </c>
      <c r="AM890" s="274">
        <f t="shared" si="131"/>
        <v>0</v>
      </c>
    </row>
    <row r="891" spans="1:39" ht="12.7">
      <c r="A891" s="193" t="s">
        <v>909</v>
      </c>
      <c r="B891" s="40" t="s">
        <v>918</v>
      </c>
      <c r="C891" s="40" t="s">
        <v>1266</v>
      </c>
      <c r="D891" s="40" t="s">
        <v>336</v>
      </c>
      <c r="E891" s="40" t="s">
        <v>324</v>
      </c>
      <c r="F891" s="40"/>
      <c r="G891" s="41" t="s">
        <v>1366</v>
      </c>
      <c r="H891" s="42">
        <v>42</v>
      </c>
      <c r="I891" s="43">
        <v>35</v>
      </c>
      <c r="J891" s="44">
        <f>0.2*60</f>
        <v>12</v>
      </c>
      <c r="K891" s="45">
        <v>80</v>
      </c>
      <c r="L891" s="43">
        <v>5</v>
      </c>
      <c r="M891" s="46">
        <f>0.233*60</f>
        <v>13.98</v>
      </c>
      <c r="N891" s="40" t="s">
        <v>1365</v>
      </c>
      <c r="O891" s="42">
        <v>42</v>
      </c>
      <c r="P891" s="43">
        <v>34</v>
      </c>
      <c r="Q891" s="44">
        <f>0.971*60</f>
        <v>58.26</v>
      </c>
      <c r="R891" s="45">
        <v>80</v>
      </c>
      <c r="S891" s="43">
        <v>4</v>
      </c>
      <c r="T891" s="46">
        <f>0.322*60</f>
        <v>19.32</v>
      </c>
      <c r="U891" s="40">
        <v>6</v>
      </c>
      <c r="V891" s="47">
        <v>4307</v>
      </c>
      <c r="W891" s="48">
        <v>1983</v>
      </c>
      <c r="X891" s="40"/>
      <c r="Y891" s="52" t="s">
        <v>1081</v>
      </c>
      <c r="Z891" s="40" t="s">
        <v>910</v>
      </c>
      <c r="AA891" s="49">
        <f t="shared" si="124"/>
        <v>149151.41</v>
      </c>
      <c r="AB891" s="71">
        <f t="shared" si="125"/>
        <v>0.80</v>
      </c>
      <c r="AC891" s="49">
        <f t="shared" si="126"/>
        <v>29830.28</v>
      </c>
      <c r="AD891" s="50">
        <f t="shared" si="127"/>
        <v>0</v>
      </c>
      <c r="AE891" s="50">
        <f t="shared" si="128"/>
        <v>0</v>
      </c>
      <c r="AF891" s="50">
        <f t="shared" si="129"/>
        <v>29830.28</v>
      </c>
      <c r="AG891" s="199">
        <f t="shared" si="130"/>
        <v>29830</v>
      </c>
      <c r="AH891" s="187"/>
      <c r="AI891" s="185" t="s">
        <v>1458</v>
      </c>
      <c r="AJ891" s="185"/>
      <c r="AK891" s="277">
        <f t="shared" si="123"/>
        <v>4307</v>
      </c>
      <c r="AL891" s="25">
        <f>(SUMIFS('T1 2019 Pipeline Data Lagasco'!$O:$O,'T1 2019 Pipeline Data Lagasco'!$A:$A,'Dec 31 2018 OFFS'!$AI891,'T1 2019 Pipeline Data Lagasco'!$Q:$Q,'Dec 31 2018 OFFS'!$AK891,'T1 2019 Pipeline Data Lagasco'!$E:$E,'Dec 31 2018 OFFS'!$U891,'T1 2019 Pipeline Data Lagasco'!$G:$G,'Dec 31 2018 OFFS'!$W891))/(MAX(COUNTIFS('T1 2019 Pipeline Data Lagasco'!$A:$A,'Dec 31 2018 OFFS'!$AI891,'T1 2019 Pipeline Data Lagasco'!$Q:$Q,'Dec 31 2018 OFFS'!$AK891,'T1 2019 Pipeline Data Lagasco'!$E:$E,'Dec 31 2018 OFFS'!$U891,'T1 2019 Pipeline Data Lagasco'!$G:$G,'Dec 31 2018 OFFS'!$W891),1))</f>
        <v>29830</v>
      </c>
      <c r="AM891" s="274">
        <f t="shared" si="131"/>
        <v>0</v>
      </c>
    </row>
    <row r="892" spans="1:39" ht="12.7">
      <c r="A892" s="193" t="s">
        <v>909</v>
      </c>
      <c r="B892" s="40" t="s">
        <v>918</v>
      </c>
      <c r="C892" s="40" t="s">
        <v>1266</v>
      </c>
      <c r="D892" s="40" t="s">
        <v>336</v>
      </c>
      <c r="E892" s="40" t="s">
        <v>324</v>
      </c>
      <c r="F892" s="40"/>
      <c r="G892" s="41" t="s">
        <v>470</v>
      </c>
      <c r="H892" s="42">
        <v>42</v>
      </c>
      <c r="I892" s="43">
        <v>39</v>
      </c>
      <c r="J892" s="44">
        <v>45.72</v>
      </c>
      <c r="K892" s="45">
        <v>80</v>
      </c>
      <c r="L892" s="43">
        <v>4</v>
      </c>
      <c r="M892" s="46">
        <v>44.28</v>
      </c>
      <c r="N892" s="40" t="s">
        <v>471</v>
      </c>
      <c r="O892" s="42">
        <v>42</v>
      </c>
      <c r="P892" s="43">
        <v>38</v>
      </c>
      <c r="Q892" s="44">
        <v>9.60</v>
      </c>
      <c r="R892" s="45">
        <v>80</v>
      </c>
      <c r="S892" s="43">
        <v>5</v>
      </c>
      <c r="T892" s="46">
        <v>10.02</v>
      </c>
      <c r="U892" s="40">
        <v>3</v>
      </c>
      <c r="V892" s="47">
        <v>9919.4550933099981</v>
      </c>
      <c r="W892" s="48">
        <v>1984</v>
      </c>
      <c r="X892" s="40"/>
      <c r="Y892" s="52" t="s">
        <v>1081</v>
      </c>
      <c r="Z892" s="40" t="s">
        <v>910</v>
      </c>
      <c r="AA892" s="49">
        <f t="shared" si="124"/>
        <v>233999.94565118285</v>
      </c>
      <c r="AB892" s="71">
        <f t="shared" si="125"/>
        <v>0.80</v>
      </c>
      <c r="AC892" s="49">
        <f t="shared" si="126"/>
        <v>46799.99</v>
      </c>
      <c r="AD892" s="50">
        <f t="shared" si="127"/>
        <v>0</v>
      </c>
      <c r="AE892" s="50">
        <f t="shared" si="128"/>
        <v>0</v>
      </c>
      <c r="AF892" s="50">
        <f t="shared" si="129"/>
        <v>46799.99</v>
      </c>
      <c r="AG892" s="199">
        <f t="shared" si="130"/>
        <v>46799</v>
      </c>
      <c r="AH892" s="187"/>
      <c r="AI892" s="185" t="s">
        <v>1458</v>
      </c>
      <c r="AJ892" s="185"/>
      <c r="AK892" s="277">
        <f t="shared" si="123"/>
        <v>9919.4599999999991</v>
      </c>
      <c r="AL892" s="25">
        <f>(SUMIFS('T1 2019 Pipeline Data Lagasco'!$O:$O,'T1 2019 Pipeline Data Lagasco'!$A:$A,'Dec 31 2018 OFFS'!$AI892,'T1 2019 Pipeline Data Lagasco'!$Q:$Q,'Dec 31 2018 OFFS'!$AK892,'T1 2019 Pipeline Data Lagasco'!$E:$E,'Dec 31 2018 OFFS'!$U892,'T1 2019 Pipeline Data Lagasco'!$G:$G,'Dec 31 2018 OFFS'!$W892))/(MAX(COUNTIFS('T1 2019 Pipeline Data Lagasco'!$A:$A,'Dec 31 2018 OFFS'!$AI892,'T1 2019 Pipeline Data Lagasco'!$Q:$Q,'Dec 31 2018 OFFS'!$AK892,'T1 2019 Pipeline Data Lagasco'!$E:$E,'Dec 31 2018 OFFS'!$U892,'T1 2019 Pipeline Data Lagasco'!$G:$G,'Dec 31 2018 OFFS'!$W892),1))</f>
        <v>46799</v>
      </c>
      <c r="AM892" s="274">
        <f t="shared" si="131"/>
        <v>0</v>
      </c>
    </row>
    <row r="893" spans="1:39" ht="12.7">
      <c r="A893" s="193" t="s">
        <v>909</v>
      </c>
      <c r="B893" s="40" t="s">
        <v>918</v>
      </c>
      <c r="C893" s="40" t="s">
        <v>1266</v>
      </c>
      <c r="D893" s="40" t="s">
        <v>336</v>
      </c>
      <c r="E893" s="40" t="s">
        <v>324</v>
      </c>
      <c r="F893" s="40"/>
      <c r="G893" s="41" t="s">
        <v>472</v>
      </c>
      <c r="H893" s="42">
        <v>42</v>
      </c>
      <c r="I893" s="43">
        <v>36</v>
      </c>
      <c r="J893" s="44">
        <v>15.78</v>
      </c>
      <c r="K893" s="45">
        <v>80</v>
      </c>
      <c r="L893" s="43">
        <v>2</v>
      </c>
      <c r="M893" s="46">
        <v>14.82</v>
      </c>
      <c r="N893" s="40" t="s">
        <v>300</v>
      </c>
      <c r="O893" s="42">
        <v>42</v>
      </c>
      <c r="P893" s="43">
        <v>36</v>
      </c>
      <c r="Q893" s="44">
        <v>25.94</v>
      </c>
      <c r="R893" s="45">
        <v>80</v>
      </c>
      <c r="S893" s="43">
        <v>2</v>
      </c>
      <c r="T893" s="46">
        <v>9.1300000000000008</v>
      </c>
      <c r="U893" s="40">
        <v>3</v>
      </c>
      <c r="V893" s="47">
        <v>1113.1561357420001</v>
      </c>
      <c r="W893" s="48">
        <v>1985</v>
      </c>
      <c r="X893" s="40"/>
      <c r="Y893" s="52" t="s">
        <v>1081</v>
      </c>
      <c r="Z893" s="40" t="s">
        <v>910</v>
      </c>
      <c r="AA893" s="49">
        <f t="shared" si="124"/>
        <v>26259.353242153782</v>
      </c>
      <c r="AB893" s="71">
        <f t="shared" si="125"/>
        <v>0.80</v>
      </c>
      <c r="AC893" s="49">
        <f t="shared" si="126"/>
        <v>5251.87</v>
      </c>
      <c r="AD893" s="50">
        <f t="shared" si="127"/>
        <v>0</v>
      </c>
      <c r="AE893" s="50">
        <f t="shared" si="128"/>
        <v>0</v>
      </c>
      <c r="AF893" s="50">
        <f t="shared" si="129"/>
        <v>5251.87</v>
      </c>
      <c r="AG893" s="199">
        <f t="shared" si="130"/>
        <v>5251</v>
      </c>
      <c r="AH893" s="187"/>
      <c r="AI893" s="185" t="s">
        <v>1458</v>
      </c>
      <c r="AJ893" s="185"/>
      <c r="AK893" s="277">
        <f t="shared" si="123"/>
        <v>1113.1600000000001</v>
      </c>
      <c r="AL893" s="25">
        <f>(SUMIFS('T1 2019 Pipeline Data Lagasco'!$O:$O,'T1 2019 Pipeline Data Lagasco'!$A:$A,'Dec 31 2018 OFFS'!$AI893,'T1 2019 Pipeline Data Lagasco'!$Q:$Q,'Dec 31 2018 OFFS'!$AK893,'T1 2019 Pipeline Data Lagasco'!$E:$E,'Dec 31 2018 OFFS'!$U893,'T1 2019 Pipeline Data Lagasco'!$G:$G,'Dec 31 2018 OFFS'!$W893))/(MAX(COUNTIFS('T1 2019 Pipeline Data Lagasco'!$A:$A,'Dec 31 2018 OFFS'!$AI893,'T1 2019 Pipeline Data Lagasco'!$Q:$Q,'Dec 31 2018 OFFS'!$AK893,'T1 2019 Pipeline Data Lagasco'!$E:$E,'Dec 31 2018 OFFS'!$U893,'T1 2019 Pipeline Data Lagasco'!$G:$G,'Dec 31 2018 OFFS'!$W893),1))</f>
        <v>5251</v>
      </c>
      <c r="AM893" s="274">
        <f t="shared" si="131"/>
        <v>0</v>
      </c>
    </row>
    <row r="894" spans="1:39" ht="12.7">
      <c r="A894" s="193" t="s">
        <v>909</v>
      </c>
      <c r="B894" s="40" t="s">
        <v>918</v>
      </c>
      <c r="C894" s="40" t="s">
        <v>1266</v>
      </c>
      <c r="D894" s="40" t="s">
        <v>336</v>
      </c>
      <c r="E894" s="40" t="s">
        <v>324</v>
      </c>
      <c r="F894" s="40"/>
      <c r="G894" s="41" t="s">
        <v>473</v>
      </c>
      <c r="H894" s="42">
        <v>42</v>
      </c>
      <c r="I894" s="43">
        <v>35</v>
      </c>
      <c r="J894" s="44">
        <v>40.619999999999997</v>
      </c>
      <c r="K894" s="45">
        <v>80</v>
      </c>
      <c r="L894" s="43">
        <v>2</v>
      </c>
      <c r="M894" s="46">
        <v>49.68</v>
      </c>
      <c r="N894" s="40" t="s">
        <v>474</v>
      </c>
      <c r="O894" s="42">
        <v>42</v>
      </c>
      <c r="P894" s="43">
        <v>36</v>
      </c>
      <c r="Q894" s="44">
        <f>0.27*60</f>
        <v>16.200000000000003</v>
      </c>
      <c r="R894" s="45">
        <v>80</v>
      </c>
      <c r="S894" s="43">
        <v>3</v>
      </c>
      <c r="T894" s="46">
        <f>0.24*60</f>
        <v>14.40</v>
      </c>
      <c r="U894" s="40">
        <v>3</v>
      </c>
      <c r="V894" s="47">
        <v>4048.8843971799997</v>
      </c>
      <c r="W894" s="48">
        <v>1985</v>
      </c>
      <c r="X894" s="40"/>
      <c r="Y894" s="52" t="s">
        <v>1081</v>
      </c>
      <c r="Z894" s="40" t="s">
        <v>910</v>
      </c>
      <c r="AA894" s="49">
        <f t="shared" si="124"/>
        <v>95513.182929476199</v>
      </c>
      <c r="AB894" s="71">
        <f t="shared" si="125"/>
        <v>0.80</v>
      </c>
      <c r="AC894" s="49">
        <f t="shared" si="126"/>
        <v>19102.64</v>
      </c>
      <c r="AD894" s="50">
        <f t="shared" si="127"/>
        <v>0</v>
      </c>
      <c r="AE894" s="50">
        <f t="shared" si="128"/>
        <v>0</v>
      </c>
      <c r="AF894" s="50">
        <f t="shared" si="129"/>
        <v>19102.64</v>
      </c>
      <c r="AG894" s="199">
        <f t="shared" si="130"/>
        <v>19102</v>
      </c>
      <c r="AH894" s="187"/>
      <c r="AI894" s="185" t="s">
        <v>1458</v>
      </c>
      <c r="AJ894" s="185"/>
      <c r="AK894" s="277">
        <f t="shared" si="123"/>
        <v>4048.88</v>
      </c>
      <c r="AL894" s="25">
        <f>(SUMIFS('T1 2019 Pipeline Data Lagasco'!$O:$O,'T1 2019 Pipeline Data Lagasco'!$A:$A,'Dec 31 2018 OFFS'!$AI894,'T1 2019 Pipeline Data Lagasco'!$Q:$Q,'Dec 31 2018 OFFS'!$AK894,'T1 2019 Pipeline Data Lagasco'!$E:$E,'Dec 31 2018 OFFS'!$U894,'T1 2019 Pipeline Data Lagasco'!$G:$G,'Dec 31 2018 OFFS'!$W894))/(MAX(COUNTIFS('T1 2019 Pipeline Data Lagasco'!$A:$A,'Dec 31 2018 OFFS'!$AI894,'T1 2019 Pipeline Data Lagasco'!$Q:$Q,'Dec 31 2018 OFFS'!$AK894,'T1 2019 Pipeline Data Lagasco'!$E:$E,'Dec 31 2018 OFFS'!$U894,'T1 2019 Pipeline Data Lagasco'!$G:$G,'Dec 31 2018 OFFS'!$W894),1))</f>
        <v>19102</v>
      </c>
      <c r="AM894" s="274">
        <f t="shared" si="131"/>
        <v>0</v>
      </c>
    </row>
    <row r="895" spans="1:39" ht="12.7">
      <c r="A895" s="193" t="s">
        <v>909</v>
      </c>
      <c r="B895" s="40" t="s">
        <v>918</v>
      </c>
      <c r="C895" s="40" t="s">
        <v>1266</v>
      </c>
      <c r="D895" s="40" t="s">
        <v>336</v>
      </c>
      <c r="E895" s="40" t="s">
        <v>324</v>
      </c>
      <c r="F895" s="40"/>
      <c r="G895" s="41" t="s">
        <v>473</v>
      </c>
      <c r="H895" s="42">
        <v>42</v>
      </c>
      <c r="I895" s="43">
        <v>35</v>
      </c>
      <c r="J895" s="44">
        <v>40.619999999999997</v>
      </c>
      <c r="K895" s="45">
        <v>80</v>
      </c>
      <c r="L895" s="43">
        <v>2</v>
      </c>
      <c r="M895" s="46">
        <v>49.68</v>
      </c>
      <c r="N895" s="40" t="s">
        <v>472</v>
      </c>
      <c r="O895" s="42">
        <v>42</v>
      </c>
      <c r="P895" s="43">
        <v>36</v>
      </c>
      <c r="Q895" s="44">
        <v>15.78</v>
      </c>
      <c r="R895" s="45">
        <v>80</v>
      </c>
      <c r="S895" s="43">
        <v>2</v>
      </c>
      <c r="T895" s="46">
        <v>14.82</v>
      </c>
      <c r="U895" s="40">
        <v>3</v>
      </c>
      <c r="V895" s="47">
        <v>4412.3358302240003</v>
      </c>
      <c r="W895" s="48">
        <v>1991</v>
      </c>
      <c r="X895" s="40"/>
      <c r="Y895" s="52" t="s">
        <v>1081</v>
      </c>
      <c r="Z895" s="40" t="s">
        <v>910</v>
      </c>
      <c r="AA895" s="49">
        <f t="shared" si="124"/>
        <v>104087.00223498417</v>
      </c>
      <c r="AB895" s="71">
        <f t="shared" si="125"/>
        <v>0.72</v>
      </c>
      <c r="AC895" s="49">
        <f t="shared" si="126"/>
        <v>29144.36</v>
      </c>
      <c r="AD895" s="50">
        <f t="shared" si="127"/>
        <v>0</v>
      </c>
      <c r="AE895" s="50">
        <f t="shared" si="128"/>
        <v>0</v>
      </c>
      <c r="AF895" s="50">
        <f t="shared" si="129"/>
        <v>29144.36</v>
      </c>
      <c r="AG895" s="199">
        <f t="shared" si="130"/>
        <v>29144</v>
      </c>
      <c r="AH895" s="187"/>
      <c r="AI895" s="185" t="s">
        <v>1458</v>
      </c>
      <c r="AJ895" s="185"/>
      <c r="AK895" s="277">
        <f t="shared" si="123"/>
        <v>4412.34</v>
      </c>
      <c r="AL895" s="25">
        <f>(SUMIFS('T1 2019 Pipeline Data Lagasco'!$O:$O,'T1 2019 Pipeline Data Lagasco'!$A:$A,'Dec 31 2018 OFFS'!$AI895,'T1 2019 Pipeline Data Lagasco'!$Q:$Q,'Dec 31 2018 OFFS'!$AK895,'T1 2019 Pipeline Data Lagasco'!$E:$E,'Dec 31 2018 OFFS'!$U895,'T1 2019 Pipeline Data Lagasco'!$G:$G,'Dec 31 2018 OFFS'!$W895))/(MAX(COUNTIFS('T1 2019 Pipeline Data Lagasco'!$A:$A,'Dec 31 2018 OFFS'!$AI895,'T1 2019 Pipeline Data Lagasco'!$Q:$Q,'Dec 31 2018 OFFS'!$AK895,'T1 2019 Pipeline Data Lagasco'!$E:$E,'Dec 31 2018 OFFS'!$U895,'T1 2019 Pipeline Data Lagasco'!$G:$G,'Dec 31 2018 OFFS'!$W895),1))</f>
        <v>29144</v>
      </c>
      <c r="AM895" s="274">
        <f t="shared" si="131"/>
        <v>0</v>
      </c>
    </row>
    <row r="896" spans="1:39" ht="12.7">
      <c r="A896" s="193" t="s">
        <v>909</v>
      </c>
      <c r="B896" s="40" t="s">
        <v>918</v>
      </c>
      <c r="C896" s="40" t="s">
        <v>1266</v>
      </c>
      <c r="D896" s="40" t="s">
        <v>336</v>
      </c>
      <c r="E896" s="40" t="s">
        <v>324</v>
      </c>
      <c r="F896" s="40"/>
      <c r="G896" s="41" t="s">
        <v>469</v>
      </c>
      <c r="H896" s="42">
        <v>42</v>
      </c>
      <c r="I896" s="43">
        <v>35</v>
      </c>
      <c r="J896" s="44">
        <v>25.98</v>
      </c>
      <c r="K896" s="45">
        <v>80</v>
      </c>
      <c r="L896" s="43">
        <v>3</v>
      </c>
      <c r="M896" s="46">
        <v>43.98</v>
      </c>
      <c r="N896" s="40" t="s">
        <v>473</v>
      </c>
      <c r="O896" s="42">
        <v>42</v>
      </c>
      <c r="P896" s="43">
        <v>35</v>
      </c>
      <c r="Q896" s="44">
        <v>40.619999999999997</v>
      </c>
      <c r="R896" s="45">
        <v>80</v>
      </c>
      <c r="S896" s="43">
        <v>2</v>
      </c>
      <c r="T896" s="46">
        <v>49.68</v>
      </c>
      <c r="U896" s="40">
        <v>3</v>
      </c>
      <c r="V896" s="47">
        <v>4323.7531556240001</v>
      </c>
      <c r="W896" s="48">
        <v>1985</v>
      </c>
      <c r="X896" s="40"/>
      <c r="Y896" s="52" t="s">
        <v>1081</v>
      </c>
      <c r="Z896" s="40" t="s">
        <v>910</v>
      </c>
      <c r="AA896" s="49">
        <f t="shared" si="124"/>
        <v>101997.33694117016</v>
      </c>
      <c r="AB896" s="71">
        <f t="shared" si="125"/>
        <v>0.80</v>
      </c>
      <c r="AC896" s="49">
        <f t="shared" si="126"/>
        <v>20399.47</v>
      </c>
      <c r="AD896" s="50">
        <f t="shared" si="127"/>
        <v>0</v>
      </c>
      <c r="AE896" s="50">
        <f t="shared" si="128"/>
        <v>0</v>
      </c>
      <c r="AF896" s="50">
        <f t="shared" si="129"/>
        <v>20399.47</v>
      </c>
      <c r="AG896" s="199">
        <f t="shared" si="130"/>
        <v>20399</v>
      </c>
      <c r="AH896" s="187"/>
      <c r="AI896" s="185" t="s">
        <v>1458</v>
      </c>
      <c r="AJ896" s="185"/>
      <c r="AK896" s="277">
        <f t="shared" si="123"/>
        <v>4323.75</v>
      </c>
      <c r="AL896" s="25">
        <f>(SUMIFS('T1 2019 Pipeline Data Lagasco'!$O:$O,'T1 2019 Pipeline Data Lagasco'!$A:$A,'Dec 31 2018 OFFS'!$AI896,'T1 2019 Pipeline Data Lagasco'!$Q:$Q,'Dec 31 2018 OFFS'!$AK896,'T1 2019 Pipeline Data Lagasco'!$E:$E,'Dec 31 2018 OFFS'!$U896,'T1 2019 Pipeline Data Lagasco'!$G:$G,'Dec 31 2018 OFFS'!$W896))/(MAX(COUNTIFS('T1 2019 Pipeline Data Lagasco'!$A:$A,'Dec 31 2018 OFFS'!$AI896,'T1 2019 Pipeline Data Lagasco'!$Q:$Q,'Dec 31 2018 OFFS'!$AK896,'T1 2019 Pipeline Data Lagasco'!$E:$E,'Dec 31 2018 OFFS'!$U896,'T1 2019 Pipeline Data Lagasco'!$G:$G,'Dec 31 2018 OFFS'!$W896),1))</f>
        <v>20399</v>
      </c>
      <c r="AM896" s="274">
        <f t="shared" si="131"/>
        <v>0</v>
      </c>
    </row>
    <row r="897" spans="1:39" ht="12.7">
      <c r="A897" s="193" t="s">
        <v>909</v>
      </c>
      <c r="B897" s="40" t="s">
        <v>918</v>
      </c>
      <c r="C897" s="40" t="s">
        <v>1266</v>
      </c>
      <c r="D897" s="40" t="s">
        <v>336</v>
      </c>
      <c r="E897" s="40" t="s">
        <v>324</v>
      </c>
      <c r="F897" s="40" t="s">
        <v>1051</v>
      </c>
      <c r="G897" s="41" t="s">
        <v>475</v>
      </c>
      <c r="H897" s="42">
        <v>42</v>
      </c>
      <c r="I897" s="43">
        <v>33</v>
      </c>
      <c r="J897" s="44">
        <v>23.88</v>
      </c>
      <c r="K897" s="45">
        <v>80</v>
      </c>
      <c r="L897" s="43">
        <v>3</v>
      </c>
      <c r="M897" s="46">
        <v>7.80</v>
      </c>
      <c r="N897" s="40" t="s">
        <v>476</v>
      </c>
      <c r="O897" s="42">
        <v>42</v>
      </c>
      <c r="P897" s="43">
        <v>33</v>
      </c>
      <c r="Q897" s="44">
        <v>33</v>
      </c>
      <c r="R897" s="45">
        <v>80</v>
      </c>
      <c r="S897" s="43">
        <v>1</v>
      </c>
      <c r="T897" s="46">
        <v>43.38</v>
      </c>
      <c r="U897" s="40">
        <v>3</v>
      </c>
      <c r="V897" s="47">
        <v>6385.4656943419996</v>
      </c>
      <c r="W897" s="48">
        <v>1984</v>
      </c>
      <c r="X897" s="40"/>
      <c r="Y897" s="52" t="s">
        <v>1081</v>
      </c>
      <c r="Z897" s="40" t="s">
        <v>910</v>
      </c>
      <c r="AA897" s="49">
        <f t="shared" si="124"/>
        <v>0</v>
      </c>
      <c r="AB897" s="71">
        <f t="shared" si="125"/>
        <v>0.80</v>
      </c>
      <c r="AC897" s="49">
        <f t="shared" si="126"/>
        <v>0</v>
      </c>
      <c r="AD897" s="50">
        <f t="shared" si="127"/>
        <v>0</v>
      </c>
      <c r="AE897" s="50">
        <f t="shared" si="128"/>
        <v>0</v>
      </c>
      <c r="AF897" s="50">
        <f t="shared" si="129"/>
        <v>0</v>
      </c>
      <c r="AG897" s="199">
        <f t="shared" si="130"/>
        <v>0</v>
      </c>
      <c r="AH897" s="187"/>
      <c r="AI897" s="185" t="s">
        <v>1458</v>
      </c>
      <c r="AJ897" s="185"/>
      <c r="AK897" s="277">
        <f t="shared" si="123"/>
        <v>6385.47</v>
      </c>
      <c r="AL897" s="25">
        <f>(SUMIFS('T1 2019 Pipeline Data Lagasco'!$O:$O,'T1 2019 Pipeline Data Lagasco'!$A:$A,'Dec 31 2018 OFFS'!$AI897,'T1 2019 Pipeline Data Lagasco'!$Q:$Q,'Dec 31 2018 OFFS'!$AK897,'T1 2019 Pipeline Data Lagasco'!$E:$E,'Dec 31 2018 OFFS'!$U897,'T1 2019 Pipeline Data Lagasco'!$G:$G,'Dec 31 2018 OFFS'!$W897))/(MAX(COUNTIFS('T1 2019 Pipeline Data Lagasco'!$A:$A,'Dec 31 2018 OFFS'!$AI897,'T1 2019 Pipeline Data Lagasco'!$Q:$Q,'Dec 31 2018 OFFS'!$AK897,'T1 2019 Pipeline Data Lagasco'!$E:$E,'Dec 31 2018 OFFS'!$U897,'T1 2019 Pipeline Data Lagasco'!$G:$G,'Dec 31 2018 OFFS'!$W897),1))</f>
        <v>0</v>
      </c>
      <c r="AM897" s="274">
        <f t="shared" si="131"/>
        <v>0</v>
      </c>
    </row>
    <row r="898" spans="1:39" ht="12.7">
      <c r="A898" s="193" t="s">
        <v>909</v>
      </c>
      <c r="B898" s="40" t="s">
        <v>918</v>
      </c>
      <c r="C898" s="40" t="s">
        <v>1266</v>
      </c>
      <c r="D898" s="40" t="s">
        <v>336</v>
      </c>
      <c r="E898" s="40" t="s">
        <v>324</v>
      </c>
      <c r="F898" s="40" t="s">
        <v>1051</v>
      </c>
      <c r="G898" s="41" t="s">
        <v>475</v>
      </c>
      <c r="H898" s="42">
        <v>42</v>
      </c>
      <c r="I898" s="43">
        <v>33</v>
      </c>
      <c r="J898" s="44">
        <v>23.88</v>
      </c>
      <c r="K898" s="45">
        <v>80</v>
      </c>
      <c r="L898" s="43">
        <v>3</v>
      </c>
      <c r="M898" s="46">
        <v>7.80</v>
      </c>
      <c r="N898" s="40" t="s">
        <v>477</v>
      </c>
      <c r="O898" s="42">
        <v>42</v>
      </c>
      <c r="P898" s="43">
        <v>33</v>
      </c>
      <c r="Q898" s="44">
        <v>46.32</v>
      </c>
      <c r="R898" s="45">
        <v>80</v>
      </c>
      <c r="S898" s="43">
        <v>2</v>
      </c>
      <c r="T898" s="46">
        <v>44.10</v>
      </c>
      <c r="U898" s="40">
        <v>3</v>
      </c>
      <c r="V898" s="47">
        <v>2882.2505726979998</v>
      </c>
      <c r="W898" s="48">
        <v>1988</v>
      </c>
      <c r="X898" s="40"/>
      <c r="Y898" s="52" t="s">
        <v>1081</v>
      </c>
      <c r="Z898" s="40" t="s">
        <v>910</v>
      </c>
      <c r="AA898" s="49">
        <f t="shared" si="124"/>
        <v>0</v>
      </c>
      <c r="AB898" s="71">
        <f t="shared" si="125"/>
        <v>0.76</v>
      </c>
      <c r="AC898" s="49">
        <f t="shared" si="126"/>
        <v>0</v>
      </c>
      <c r="AD898" s="50">
        <f t="shared" si="127"/>
        <v>0</v>
      </c>
      <c r="AE898" s="50">
        <f t="shared" si="128"/>
        <v>0</v>
      </c>
      <c r="AF898" s="50">
        <f t="shared" si="129"/>
        <v>0</v>
      </c>
      <c r="AG898" s="199">
        <f t="shared" si="130"/>
        <v>0</v>
      </c>
      <c r="AH898" s="187"/>
      <c r="AI898" s="185" t="s">
        <v>1458</v>
      </c>
      <c r="AJ898" s="185"/>
      <c r="AK898" s="277">
        <f t="shared" si="123"/>
        <v>2882.25</v>
      </c>
      <c r="AL898" s="25">
        <f>(SUMIFS('T1 2019 Pipeline Data Lagasco'!$O:$O,'T1 2019 Pipeline Data Lagasco'!$A:$A,'Dec 31 2018 OFFS'!$AI898,'T1 2019 Pipeline Data Lagasco'!$Q:$Q,'Dec 31 2018 OFFS'!$AK898,'T1 2019 Pipeline Data Lagasco'!$E:$E,'Dec 31 2018 OFFS'!$U898,'T1 2019 Pipeline Data Lagasco'!$G:$G,'Dec 31 2018 OFFS'!$W898))/(MAX(COUNTIFS('T1 2019 Pipeline Data Lagasco'!$A:$A,'Dec 31 2018 OFFS'!$AI898,'T1 2019 Pipeline Data Lagasco'!$Q:$Q,'Dec 31 2018 OFFS'!$AK898,'T1 2019 Pipeline Data Lagasco'!$E:$E,'Dec 31 2018 OFFS'!$U898,'T1 2019 Pipeline Data Lagasco'!$G:$G,'Dec 31 2018 OFFS'!$W898),1))</f>
        <v>0</v>
      </c>
      <c r="AM898" s="274">
        <f t="shared" si="131"/>
        <v>0</v>
      </c>
    </row>
    <row r="899" spans="1:39" ht="12.7">
      <c r="A899" s="193" t="s">
        <v>909</v>
      </c>
      <c r="B899" s="40" t="s">
        <v>918</v>
      </c>
      <c r="C899" s="40" t="s">
        <v>1266</v>
      </c>
      <c r="D899" s="40" t="s">
        <v>336</v>
      </c>
      <c r="E899" s="40" t="s">
        <v>324</v>
      </c>
      <c r="F899" s="40" t="s">
        <v>1051</v>
      </c>
      <c r="G899" s="41" t="s">
        <v>475</v>
      </c>
      <c r="H899" s="42">
        <v>42</v>
      </c>
      <c r="I899" s="43">
        <v>33</v>
      </c>
      <c r="J899" s="44">
        <v>23.88</v>
      </c>
      <c r="K899" s="45">
        <v>80</v>
      </c>
      <c r="L899" s="43">
        <v>3</v>
      </c>
      <c r="M899" s="46">
        <v>7.80</v>
      </c>
      <c r="N899" s="40" t="s">
        <v>478</v>
      </c>
      <c r="O899" s="42">
        <v>42</v>
      </c>
      <c r="P899" s="43">
        <v>34</v>
      </c>
      <c r="Q899" s="44">
        <f>0.677*60</f>
        <v>40.620000000000005</v>
      </c>
      <c r="R899" s="45">
        <v>80</v>
      </c>
      <c r="S899" s="43">
        <v>2</v>
      </c>
      <c r="T899" s="46">
        <f>0.667*60</f>
        <v>40.020000000000003</v>
      </c>
      <c r="U899" s="40">
        <v>3</v>
      </c>
      <c r="V899" s="47">
        <v>8042.3882185359998</v>
      </c>
      <c r="W899" s="48">
        <v>1985</v>
      </c>
      <c r="X899" s="40"/>
      <c r="Y899" s="52" t="s">
        <v>1081</v>
      </c>
      <c r="Z899" s="40" t="s">
        <v>910</v>
      </c>
      <c r="AA899" s="49">
        <f t="shared" si="124"/>
        <v>0</v>
      </c>
      <c r="AB899" s="71">
        <f t="shared" si="125"/>
        <v>0.80</v>
      </c>
      <c r="AC899" s="49">
        <f t="shared" si="126"/>
        <v>0</v>
      </c>
      <c r="AD899" s="50">
        <f t="shared" si="127"/>
        <v>0</v>
      </c>
      <c r="AE899" s="50">
        <f t="shared" si="128"/>
        <v>0</v>
      </c>
      <c r="AF899" s="50">
        <f t="shared" si="129"/>
        <v>0</v>
      </c>
      <c r="AG899" s="199">
        <f t="shared" si="130"/>
        <v>0</v>
      </c>
      <c r="AH899" s="187"/>
      <c r="AI899" s="185" t="s">
        <v>1458</v>
      </c>
      <c r="AJ899" s="185"/>
      <c r="AK899" s="277">
        <f t="shared" si="132" ref="AK899:AK962">ROUND(V899,2)</f>
        <v>8042.39</v>
      </c>
      <c r="AL899" s="25">
        <f>(SUMIFS('T1 2019 Pipeline Data Lagasco'!$O:$O,'T1 2019 Pipeline Data Lagasco'!$A:$A,'Dec 31 2018 OFFS'!$AI899,'T1 2019 Pipeline Data Lagasco'!$Q:$Q,'Dec 31 2018 OFFS'!$AK899,'T1 2019 Pipeline Data Lagasco'!$E:$E,'Dec 31 2018 OFFS'!$U899,'T1 2019 Pipeline Data Lagasco'!$G:$G,'Dec 31 2018 OFFS'!$W899))/(MAX(COUNTIFS('T1 2019 Pipeline Data Lagasco'!$A:$A,'Dec 31 2018 OFFS'!$AI899,'T1 2019 Pipeline Data Lagasco'!$Q:$Q,'Dec 31 2018 OFFS'!$AK899,'T1 2019 Pipeline Data Lagasco'!$E:$E,'Dec 31 2018 OFFS'!$U899,'T1 2019 Pipeline Data Lagasco'!$G:$G,'Dec 31 2018 OFFS'!$W899),1))</f>
        <v>0</v>
      </c>
      <c r="AM899" s="274">
        <f t="shared" si="131"/>
        <v>0</v>
      </c>
    </row>
    <row r="900" spans="1:39" ht="12.7">
      <c r="A900" s="193" t="s">
        <v>909</v>
      </c>
      <c r="B900" s="40" t="s">
        <v>918</v>
      </c>
      <c r="C900" s="40" t="s">
        <v>1266</v>
      </c>
      <c r="D900" s="40" t="s">
        <v>336</v>
      </c>
      <c r="E900" s="40" t="s">
        <v>324</v>
      </c>
      <c r="F900" s="40" t="s">
        <v>1051</v>
      </c>
      <c r="G900" s="41" t="s">
        <v>475</v>
      </c>
      <c r="H900" s="42">
        <v>42</v>
      </c>
      <c r="I900" s="43">
        <v>33</v>
      </c>
      <c r="J900" s="44">
        <v>23.88</v>
      </c>
      <c r="K900" s="45">
        <v>80</v>
      </c>
      <c r="L900" s="43">
        <v>3</v>
      </c>
      <c r="M900" s="46">
        <v>7.80</v>
      </c>
      <c r="N900" s="40" t="s">
        <v>483</v>
      </c>
      <c r="O900" s="42">
        <v>42</v>
      </c>
      <c r="P900" s="43">
        <v>34</v>
      </c>
      <c r="Q900" s="44">
        <v>51.78</v>
      </c>
      <c r="R900" s="45">
        <v>80</v>
      </c>
      <c r="S900" s="43">
        <v>7</v>
      </c>
      <c r="T900" s="46">
        <v>3.30</v>
      </c>
      <c r="U900" s="40">
        <v>6</v>
      </c>
      <c r="V900" s="47">
        <v>19742.026987326</v>
      </c>
      <c r="W900" s="48">
        <v>1980</v>
      </c>
      <c r="X900" s="40"/>
      <c r="Y900" s="52" t="s">
        <v>1081</v>
      </c>
      <c r="Z900" s="40" t="s">
        <v>910</v>
      </c>
      <c r="AA900" s="49">
        <f t="shared" si="133" ref="AA900:AA963">IF(F900="ABAND",0,(IF(Z900="steel",VLOOKUP(U900,steelrates,2,FALSE)*V900,VLOOKUP(U900,plasticrates,2,FALSE)*V900)))</f>
        <v>0</v>
      </c>
      <c r="AB900" s="71">
        <f t="shared" si="134" ref="AB900:AB963">IF(W900=0,0,(VLOOKUP(W900,depreciation,2)))</f>
        <v>0.80</v>
      </c>
      <c r="AC900" s="49">
        <f t="shared" si="135" ref="AC900:AC963">ROUND(+AA900-(+AA900*AB900),2)</f>
        <v>0</v>
      </c>
      <c r="AD900" s="50">
        <f t="shared" si="136" ref="AD900:AD963">(IF(X900="LOOP",AC900*0.25,0))</f>
        <v>0</v>
      </c>
      <c r="AE900" s="50">
        <f t="shared" si="137" ref="AE900:AE963">(IF(F900="SUSP",AC900*0.2,0))</f>
        <v>0</v>
      </c>
      <c r="AF900" s="50">
        <f t="shared" si="138" ref="AF900:AF963">+AC900-AD900-AE900</f>
        <v>0</v>
      </c>
      <c r="AG900" s="199">
        <f t="shared" si="139" ref="AG900:AG963">ROUNDDOWN(AF900,0)</f>
        <v>0</v>
      </c>
      <c r="AH900" s="187"/>
      <c r="AI900" s="185" t="s">
        <v>1458</v>
      </c>
      <c r="AJ900" s="185"/>
      <c r="AK900" s="277">
        <f t="shared" si="132"/>
        <v>19742.03</v>
      </c>
      <c r="AL900" s="25">
        <f>(SUMIFS('T1 2019 Pipeline Data Lagasco'!$O:$O,'T1 2019 Pipeline Data Lagasco'!$A:$A,'Dec 31 2018 OFFS'!$AI900,'T1 2019 Pipeline Data Lagasco'!$Q:$Q,'Dec 31 2018 OFFS'!$AK900,'T1 2019 Pipeline Data Lagasco'!$E:$E,'Dec 31 2018 OFFS'!$U900,'T1 2019 Pipeline Data Lagasco'!$G:$G,'Dec 31 2018 OFFS'!$W900))/(MAX(COUNTIFS('T1 2019 Pipeline Data Lagasco'!$A:$A,'Dec 31 2018 OFFS'!$AI900,'T1 2019 Pipeline Data Lagasco'!$Q:$Q,'Dec 31 2018 OFFS'!$AK900,'T1 2019 Pipeline Data Lagasco'!$E:$E,'Dec 31 2018 OFFS'!$U900,'T1 2019 Pipeline Data Lagasco'!$G:$G,'Dec 31 2018 OFFS'!$W900),1))</f>
        <v>0</v>
      </c>
      <c r="AM900" s="274">
        <f t="shared" si="140" ref="AM900:AM963">AG900-AL900</f>
        <v>0</v>
      </c>
    </row>
    <row r="901" spans="1:39" ht="12.7">
      <c r="A901" s="193" t="s">
        <v>909</v>
      </c>
      <c r="B901" s="40" t="s">
        <v>918</v>
      </c>
      <c r="C901" s="40" t="s">
        <v>1266</v>
      </c>
      <c r="D901" s="40" t="s">
        <v>336</v>
      </c>
      <c r="E901" s="40" t="s">
        <v>324</v>
      </c>
      <c r="F901" s="40" t="s">
        <v>1051</v>
      </c>
      <c r="G901" s="41" t="s">
        <v>475</v>
      </c>
      <c r="H901" s="42">
        <v>42</v>
      </c>
      <c r="I901" s="43">
        <v>33</v>
      </c>
      <c r="J901" s="44">
        <f>60*0.398</f>
        <v>23.880000000000003</v>
      </c>
      <c r="K901" s="45">
        <v>80</v>
      </c>
      <c r="L901" s="43">
        <v>3</v>
      </c>
      <c r="M901" s="46">
        <f>60*0.13</f>
        <v>7.8000000000000007</v>
      </c>
      <c r="N901" s="40" t="s">
        <v>1264</v>
      </c>
      <c r="O901" s="42">
        <v>42</v>
      </c>
      <c r="P901" s="43">
        <v>32</v>
      </c>
      <c r="Q901" s="44">
        <f>60*0.713</f>
        <v>42.78</v>
      </c>
      <c r="R901" s="45">
        <v>80</v>
      </c>
      <c r="S901" s="43">
        <v>1</v>
      </c>
      <c r="T901" s="46">
        <f>60*0.224</f>
        <v>13.44</v>
      </c>
      <c r="U901" s="40">
        <v>3</v>
      </c>
      <c r="V901" s="47">
        <v>9506</v>
      </c>
      <c r="W901" s="48">
        <v>2005</v>
      </c>
      <c r="X901" s="40"/>
      <c r="Y901" s="52"/>
      <c r="Z901" s="40" t="s">
        <v>910</v>
      </c>
      <c r="AA901" s="49">
        <f t="shared" si="133"/>
        <v>0</v>
      </c>
      <c r="AB901" s="71">
        <f t="shared" si="134"/>
        <v>0.54</v>
      </c>
      <c r="AC901" s="49">
        <f t="shared" si="135"/>
        <v>0</v>
      </c>
      <c r="AD901" s="50">
        <f t="shared" si="136"/>
        <v>0</v>
      </c>
      <c r="AE901" s="50">
        <f t="shared" si="137"/>
        <v>0</v>
      </c>
      <c r="AF901" s="50">
        <f t="shared" si="138"/>
        <v>0</v>
      </c>
      <c r="AG901" s="199">
        <f t="shared" si="139"/>
        <v>0</v>
      </c>
      <c r="AH901" s="187"/>
      <c r="AI901" s="185" t="s">
        <v>1458</v>
      </c>
      <c r="AJ901" s="185"/>
      <c r="AK901" s="277">
        <f t="shared" si="132"/>
        <v>9506</v>
      </c>
      <c r="AL901" s="25">
        <f>(SUMIFS('T1 2019 Pipeline Data Lagasco'!$O:$O,'T1 2019 Pipeline Data Lagasco'!$A:$A,'Dec 31 2018 OFFS'!$AI901,'T1 2019 Pipeline Data Lagasco'!$Q:$Q,'Dec 31 2018 OFFS'!$AK901,'T1 2019 Pipeline Data Lagasco'!$E:$E,'Dec 31 2018 OFFS'!$U901,'T1 2019 Pipeline Data Lagasco'!$G:$G,'Dec 31 2018 OFFS'!$W901))/(MAX(COUNTIFS('T1 2019 Pipeline Data Lagasco'!$A:$A,'Dec 31 2018 OFFS'!$AI901,'T1 2019 Pipeline Data Lagasco'!$Q:$Q,'Dec 31 2018 OFFS'!$AK901,'T1 2019 Pipeline Data Lagasco'!$E:$E,'Dec 31 2018 OFFS'!$U901,'T1 2019 Pipeline Data Lagasco'!$G:$G,'Dec 31 2018 OFFS'!$W901),1))</f>
        <v>0</v>
      </c>
      <c r="AM901" s="274">
        <f t="shared" si="140"/>
        <v>0</v>
      </c>
    </row>
    <row r="902" spans="1:39" ht="12.7">
      <c r="A902" s="193" t="s">
        <v>909</v>
      </c>
      <c r="B902" s="40" t="s">
        <v>918</v>
      </c>
      <c r="C902" s="40" t="s">
        <v>1266</v>
      </c>
      <c r="D902" s="40" t="s">
        <v>336</v>
      </c>
      <c r="E902" s="40" t="s">
        <v>324</v>
      </c>
      <c r="F902" s="40" t="s">
        <v>1051</v>
      </c>
      <c r="G902" s="41" t="s">
        <v>479</v>
      </c>
      <c r="H902" s="42">
        <v>42</v>
      </c>
      <c r="I902" s="43">
        <v>32</v>
      </c>
      <c r="J902" s="44">
        <f>0.714*60</f>
        <v>42.84</v>
      </c>
      <c r="K902" s="45">
        <v>80</v>
      </c>
      <c r="L902" s="43">
        <v>1</v>
      </c>
      <c r="M902" s="46">
        <f>0.225*60</f>
        <v>13.50</v>
      </c>
      <c r="N902" s="40" t="s">
        <v>326</v>
      </c>
      <c r="O902" s="42">
        <v>42</v>
      </c>
      <c r="P902" s="43">
        <v>32</v>
      </c>
      <c r="Q902" s="44">
        <v>59.16</v>
      </c>
      <c r="R902" s="45">
        <v>80</v>
      </c>
      <c r="S902" s="43">
        <v>0</v>
      </c>
      <c r="T902" s="46">
        <v>44.23</v>
      </c>
      <c r="U902" s="40">
        <v>3</v>
      </c>
      <c r="V902" s="47">
        <v>2744.1928339139995</v>
      </c>
      <c r="W902" s="48">
        <v>1980</v>
      </c>
      <c r="X902" s="40"/>
      <c r="Y902" s="52" t="s">
        <v>1081</v>
      </c>
      <c r="Z902" s="40" t="s">
        <v>910</v>
      </c>
      <c r="AA902" s="49">
        <f t="shared" si="133"/>
        <v>0</v>
      </c>
      <c r="AB902" s="71">
        <f t="shared" si="134"/>
        <v>0.80</v>
      </c>
      <c r="AC902" s="49">
        <f t="shared" si="135"/>
        <v>0</v>
      </c>
      <c r="AD902" s="50">
        <f t="shared" si="136"/>
        <v>0</v>
      </c>
      <c r="AE902" s="50">
        <f t="shared" si="137"/>
        <v>0</v>
      </c>
      <c r="AF902" s="50">
        <f t="shared" si="138"/>
        <v>0</v>
      </c>
      <c r="AG902" s="199">
        <f t="shared" si="139"/>
        <v>0</v>
      </c>
      <c r="AH902" s="187"/>
      <c r="AI902" s="185" t="s">
        <v>1458</v>
      </c>
      <c r="AJ902" s="185"/>
      <c r="AK902" s="277">
        <f t="shared" si="132"/>
        <v>2744.19</v>
      </c>
      <c r="AL902" s="25">
        <f>(SUMIFS('T1 2019 Pipeline Data Lagasco'!$O:$O,'T1 2019 Pipeline Data Lagasco'!$A:$A,'Dec 31 2018 OFFS'!$AI902,'T1 2019 Pipeline Data Lagasco'!$Q:$Q,'Dec 31 2018 OFFS'!$AK902,'T1 2019 Pipeline Data Lagasco'!$E:$E,'Dec 31 2018 OFFS'!$U902,'T1 2019 Pipeline Data Lagasco'!$G:$G,'Dec 31 2018 OFFS'!$W902))/(MAX(COUNTIFS('T1 2019 Pipeline Data Lagasco'!$A:$A,'Dec 31 2018 OFFS'!$AI902,'T1 2019 Pipeline Data Lagasco'!$Q:$Q,'Dec 31 2018 OFFS'!$AK902,'T1 2019 Pipeline Data Lagasco'!$E:$E,'Dec 31 2018 OFFS'!$U902,'T1 2019 Pipeline Data Lagasco'!$G:$G,'Dec 31 2018 OFFS'!$W902),1))</f>
        <v>0</v>
      </c>
      <c r="AM902" s="274">
        <f t="shared" si="140"/>
        <v>0</v>
      </c>
    </row>
    <row r="903" spans="1:39" ht="12.7">
      <c r="A903" s="193" t="s">
        <v>909</v>
      </c>
      <c r="B903" s="40" t="s">
        <v>918</v>
      </c>
      <c r="C903" s="40" t="s">
        <v>1266</v>
      </c>
      <c r="D903" s="40" t="s">
        <v>336</v>
      </c>
      <c r="E903" s="40" t="s">
        <v>324</v>
      </c>
      <c r="F903" s="40"/>
      <c r="G903" s="41" t="s">
        <v>479</v>
      </c>
      <c r="H903" s="42">
        <v>42</v>
      </c>
      <c r="I903" s="43">
        <v>32</v>
      </c>
      <c r="J903" s="44">
        <f>0.714*60</f>
        <v>42.84</v>
      </c>
      <c r="K903" s="45">
        <v>80</v>
      </c>
      <c r="L903" s="43">
        <v>1</v>
      </c>
      <c r="M903" s="46">
        <f>0.225*60</f>
        <v>13.50</v>
      </c>
      <c r="N903" s="40" t="s">
        <v>326</v>
      </c>
      <c r="O903" s="42">
        <v>42</v>
      </c>
      <c r="P903" s="43">
        <v>32</v>
      </c>
      <c r="Q903" s="44">
        <v>59.16</v>
      </c>
      <c r="R903" s="45">
        <v>80</v>
      </c>
      <c r="S903" s="43">
        <v>0</v>
      </c>
      <c r="T903" s="46">
        <v>44.23</v>
      </c>
      <c r="U903" s="40">
        <v>3</v>
      </c>
      <c r="V903" s="47">
        <v>2743.68</v>
      </c>
      <c r="W903" s="48">
        <v>2008</v>
      </c>
      <c r="X903" s="40"/>
      <c r="Y903" s="52" t="s">
        <v>1081</v>
      </c>
      <c r="Z903" s="40" t="s">
        <v>910</v>
      </c>
      <c r="AA903" s="49">
        <f t="shared" si="133"/>
        <v>64723.411199999995</v>
      </c>
      <c r="AB903" s="71">
        <f t="shared" si="134"/>
        <v>0.49</v>
      </c>
      <c r="AC903" s="49">
        <f t="shared" si="135"/>
        <v>33008.94</v>
      </c>
      <c r="AD903" s="50">
        <f t="shared" si="136"/>
        <v>0</v>
      </c>
      <c r="AE903" s="50">
        <f t="shared" si="137"/>
        <v>0</v>
      </c>
      <c r="AF903" s="50">
        <f t="shared" si="138"/>
        <v>33008.94</v>
      </c>
      <c r="AG903" s="199">
        <f t="shared" si="139"/>
        <v>33008</v>
      </c>
      <c r="AH903" s="187"/>
      <c r="AI903" s="185" t="s">
        <v>1458</v>
      </c>
      <c r="AJ903" s="185"/>
      <c r="AK903" s="277">
        <f t="shared" si="132"/>
        <v>2743.68</v>
      </c>
      <c r="AL903" s="25">
        <f>(SUMIFS('T1 2019 Pipeline Data Lagasco'!$O:$O,'T1 2019 Pipeline Data Lagasco'!$A:$A,'Dec 31 2018 OFFS'!$AI903,'T1 2019 Pipeline Data Lagasco'!$Q:$Q,'Dec 31 2018 OFFS'!$AK903,'T1 2019 Pipeline Data Lagasco'!$E:$E,'Dec 31 2018 OFFS'!$U903,'T1 2019 Pipeline Data Lagasco'!$G:$G,'Dec 31 2018 OFFS'!$W903))/(MAX(COUNTIFS('T1 2019 Pipeline Data Lagasco'!$A:$A,'Dec 31 2018 OFFS'!$AI903,'T1 2019 Pipeline Data Lagasco'!$Q:$Q,'Dec 31 2018 OFFS'!$AK903,'T1 2019 Pipeline Data Lagasco'!$E:$E,'Dec 31 2018 OFFS'!$U903,'T1 2019 Pipeline Data Lagasco'!$G:$G,'Dec 31 2018 OFFS'!$W903),1))</f>
        <v>33008</v>
      </c>
      <c r="AM903" s="274">
        <f t="shared" si="140"/>
        <v>0</v>
      </c>
    </row>
    <row r="904" spans="1:39" ht="12.7">
      <c r="A904" s="193" t="s">
        <v>909</v>
      </c>
      <c r="B904" s="40" t="s">
        <v>918</v>
      </c>
      <c r="C904" s="40" t="s">
        <v>1266</v>
      </c>
      <c r="D904" s="40" t="s">
        <v>336</v>
      </c>
      <c r="E904" s="40" t="s">
        <v>324</v>
      </c>
      <c r="F904" s="40" t="s">
        <v>1051</v>
      </c>
      <c r="G904" s="41" t="s">
        <v>525</v>
      </c>
      <c r="H904" s="42">
        <v>42</v>
      </c>
      <c r="I904" s="43">
        <v>32</v>
      </c>
      <c r="J904" s="44">
        <v>55.10</v>
      </c>
      <c r="K904" s="45">
        <v>80</v>
      </c>
      <c r="L904" s="43">
        <v>1</v>
      </c>
      <c r="M904" s="46">
        <v>55.995</v>
      </c>
      <c r="N904" s="41" t="s">
        <v>475</v>
      </c>
      <c r="O904" s="42">
        <v>42</v>
      </c>
      <c r="P904" s="43">
        <v>33</v>
      </c>
      <c r="Q904" s="44">
        <v>23.88</v>
      </c>
      <c r="R904" s="45">
        <v>80</v>
      </c>
      <c r="S904" s="43">
        <v>3</v>
      </c>
      <c r="T904" s="46">
        <v>7.80</v>
      </c>
      <c r="U904" s="40">
        <v>6</v>
      </c>
      <c r="V904" s="47">
        <v>6113.6153085140004</v>
      </c>
      <c r="W904" s="48">
        <v>1980</v>
      </c>
      <c r="X904" s="40"/>
      <c r="Y904" s="52" t="s">
        <v>1081</v>
      </c>
      <c r="Z904" s="40" t="s">
        <v>910</v>
      </c>
      <c r="AA904" s="49">
        <f t="shared" si="133"/>
        <v>0</v>
      </c>
      <c r="AB904" s="71">
        <f t="shared" si="134"/>
        <v>0.80</v>
      </c>
      <c r="AC904" s="49">
        <f t="shared" si="135"/>
        <v>0</v>
      </c>
      <c r="AD904" s="50">
        <f t="shared" si="136"/>
        <v>0</v>
      </c>
      <c r="AE904" s="50">
        <f t="shared" si="137"/>
        <v>0</v>
      </c>
      <c r="AF904" s="50">
        <f t="shared" si="138"/>
        <v>0</v>
      </c>
      <c r="AG904" s="199">
        <f t="shared" si="139"/>
        <v>0</v>
      </c>
      <c r="AH904" s="187"/>
      <c r="AI904" s="185" t="s">
        <v>1458</v>
      </c>
      <c r="AJ904" s="185"/>
      <c r="AK904" s="277">
        <f t="shared" si="132"/>
        <v>6113.62</v>
      </c>
      <c r="AL904" s="25">
        <f>(SUMIFS('T1 2019 Pipeline Data Lagasco'!$O:$O,'T1 2019 Pipeline Data Lagasco'!$A:$A,'Dec 31 2018 OFFS'!$AI904,'T1 2019 Pipeline Data Lagasco'!$Q:$Q,'Dec 31 2018 OFFS'!$AK904,'T1 2019 Pipeline Data Lagasco'!$E:$E,'Dec 31 2018 OFFS'!$U904,'T1 2019 Pipeline Data Lagasco'!$G:$G,'Dec 31 2018 OFFS'!$W904))/(MAX(COUNTIFS('T1 2019 Pipeline Data Lagasco'!$A:$A,'Dec 31 2018 OFFS'!$AI904,'T1 2019 Pipeline Data Lagasco'!$Q:$Q,'Dec 31 2018 OFFS'!$AK904,'T1 2019 Pipeline Data Lagasco'!$E:$E,'Dec 31 2018 OFFS'!$U904,'T1 2019 Pipeline Data Lagasco'!$G:$G,'Dec 31 2018 OFFS'!$W904),1))</f>
        <v>0</v>
      </c>
      <c r="AM904" s="274">
        <f t="shared" si="140"/>
        <v>0</v>
      </c>
    </row>
    <row r="905" spans="1:39" ht="12.7">
      <c r="A905" s="193" t="s">
        <v>909</v>
      </c>
      <c r="B905" s="40" t="s">
        <v>918</v>
      </c>
      <c r="C905" s="40" t="s">
        <v>1266</v>
      </c>
      <c r="D905" s="40" t="s">
        <v>336</v>
      </c>
      <c r="E905" s="40" t="s">
        <v>324</v>
      </c>
      <c r="F905" s="40" t="s">
        <v>1051</v>
      </c>
      <c r="G905" s="41" t="s">
        <v>480</v>
      </c>
      <c r="H905" s="42">
        <v>42</v>
      </c>
      <c r="I905" s="43">
        <v>32</v>
      </c>
      <c r="J905" s="44">
        <f>0.546*60</f>
        <v>32.760000000000005</v>
      </c>
      <c r="K905" s="45">
        <v>80</v>
      </c>
      <c r="L905" s="43">
        <v>2</v>
      </c>
      <c r="M905" s="46">
        <f>0.313*60</f>
        <v>18.78</v>
      </c>
      <c r="N905" s="40" t="s">
        <v>481</v>
      </c>
      <c r="O905" s="42">
        <v>42</v>
      </c>
      <c r="P905" s="43">
        <v>32</v>
      </c>
      <c r="Q905" s="44">
        <f>0.293*60</f>
        <v>17.579999999999998</v>
      </c>
      <c r="R905" s="45">
        <v>80</v>
      </c>
      <c r="S905" s="43">
        <v>2</v>
      </c>
      <c r="T905" s="46">
        <f>0.205*60</f>
        <v>12.30</v>
      </c>
      <c r="U905" s="40">
        <v>3</v>
      </c>
      <c r="V905" s="47">
        <v>1611.55</v>
      </c>
      <c r="W905" s="48">
        <v>1980</v>
      </c>
      <c r="X905" s="40"/>
      <c r="Y905" s="52" t="s">
        <v>1081</v>
      </c>
      <c r="Z905" s="40" t="s">
        <v>910</v>
      </c>
      <c r="AA905" s="49">
        <f t="shared" si="133"/>
        <v>0</v>
      </c>
      <c r="AB905" s="71">
        <f t="shared" si="134"/>
        <v>0.80</v>
      </c>
      <c r="AC905" s="49">
        <f t="shared" si="135"/>
        <v>0</v>
      </c>
      <c r="AD905" s="50">
        <f t="shared" si="136"/>
        <v>0</v>
      </c>
      <c r="AE905" s="50">
        <f t="shared" si="137"/>
        <v>0</v>
      </c>
      <c r="AF905" s="50">
        <f t="shared" si="138"/>
        <v>0</v>
      </c>
      <c r="AG905" s="199">
        <f t="shared" si="139"/>
        <v>0</v>
      </c>
      <c r="AH905" s="187"/>
      <c r="AI905" s="185" t="s">
        <v>1458</v>
      </c>
      <c r="AJ905" s="185"/>
      <c r="AK905" s="277">
        <f t="shared" si="132"/>
        <v>1611.55</v>
      </c>
      <c r="AL905" s="25">
        <f>(SUMIFS('T1 2019 Pipeline Data Lagasco'!$O:$O,'T1 2019 Pipeline Data Lagasco'!$A:$A,'Dec 31 2018 OFFS'!$AI905,'T1 2019 Pipeline Data Lagasco'!$Q:$Q,'Dec 31 2018 OFFS'!$AK905,'T1 2019 Pipeline Data Lagasco'!$E:$E,'Dec 31 2018 OFFS'!$U905,'T1 2019 Pipeline Data Lagasco'!$G:$G,'Dec 31 2018 OFFS'!$W905))/(MAX(COUNTIFS('T1 2019 Pipeline Data Lagasco'!$A:$A,'Dec 31 2018 OFFS'!$AI905,'T1 2019 Pipeline Data Lagasco'!$Q:$Q,'Dec 31 2018 OFFS'!$AK905,'T1 2019 Pipeline Data Lagasco'!$E:$E,'Dec 31 2018 OFFS'!$U905,'T1 2019 Pipeline Data Lagasco'!$G:$G,'Dec 31 2018 OFFS'!$W905),1))</f>
        <v>0</v>
      </c>
      <c r="AM905" s="274">
        <f t="shared" si="140"/>
        <v>0</v>
      </c>
    </row>
    <row r="906" spans="1:39" ht="12.7">
      <c r="A906" s="193" t="s">
        <v>909</v>
      </c>
      <c r="B906" s="40" t="s">
        <v>918</v>
      </c>
      <c r="C906" s="40" t="s">
        <v>1266</v>
      </c>
      <c r="D906" s="40" t="s">
        <v>336</v>
      </c>
      <c r="E906" s="40" t="s">
        <v>324</v>
      </c>
      <c r="F906" s="40" t="s">
        <v>1051</v>
      </c>
      <c r="G906" s="41" t="s">
        <v>480</v>
      </c>
      <c r="H906" s="42">
        <v>42</v>
      </c>
      <c r="I906" s="43">
        <v>32</v>
      </c>
      <c r="J906" s="44">
        <f>0.546*60</f>
        <v>32.760000000000005</v>
      </c>
      <c r="K906" s="45">
        <v>80</v>
      </c>
      <c r="L906" s="43">
        <v>2</v>
      </c>
      <c r="M906" s="46">
        <f>0.313*60</f>
        <v>18.78</v>
      </c>
      <c r="N906" s="40" t="s">
        <v>479</v>
      </c>
      <c r="O906" s="42">
        <v>42</v>
      </c>
      <c r="P906" s="43">
        <v>32</v>
      </c>
      <c r="Q906" s="44">
        <f>0.714*60</f>
        <v>42.84</v>
      </c>
      <c r="R906" s="45">
        <v>80</v>
      </c>
      <c r="S906" s="43">
        <v>1</v>
      </c>
      <c r="T906" s="46">
        <f>0.225*60</f>
        <v>13.50</v>
      </c>
      <c r="U906" s="40">
        <v>3</v>
      </c>
      <c r="V906" s="47">
        <v>4992.3554984660004</v>
      </c>
      <c r="W906" s="48">
        <v>1984</v>
      </c>
      <c r="X906" s="40"/>
      <c r="Y906" s="52" t="s">
        <v>1081</v>
      </c>
      <c r="Z906" s="40" t="s">
        <v>910</v>
      </c>
      <c r="AA906" s="49">
        <f t="shared" si="133"/>
        <v>0</v>
      </c>
      <c r="AB906" s="71">
        <f t="shared" si="134"/>
        <v>0.80</v>
      </c>
      <c r="AC906" s="49">
        <f t="shared" si="135"/>
        <v>0</v>
      </c>
      <c r="AD906" s="50">
        <f t="shared" si="136"/>
        <v>0</v>
      </c>
      <c r="AE906" s="50">
        <f t="shared" si="137"/>
        <v>0</v>
      </c>
      <c r="AF906" s="50">
        <f t="shared" si="138"/>
        <v>0</v>
      </c>
      <c r="AG906" s="199">
        <f t="shared" si="139"/>
        <v>0</v>
      </c>
      <c r="AH906" s="187"/>
      <c r="AI906" s="185" t="s">
        <v>1458</v>
      </c>
      <c r="AJ906" s="185"/>
      <c r="AK906" s="277">
        <f t="shared" si="132"/>
        <v>4992.3599999999997</v>
      </c>
      <c r="AL906" s="25">
        <f>(SUMIFS('T1 2019 Pipeline Data Lagasco'!$O:$O,'T1 2019 Pipeline Data Lagasco'!$A:$A,'Dec 31 2018 OFFS'!$AI906,'T1 2019 Pipeline Data Lagasco'!$Q:$Q,'Dec 31 2018 OFFS'!$AK906,'T1 2019 Pipeline Data Lagasco'!$E:$E,'Dec 31 2018 OFFS'!$U906,'T1 2019 Pipeline Data Lagasco'!$G:$G,'Dec 31 2018 OFFS'!$W906))/(MAX(COUNTIFS('T1 2019 Pipeline Data Lagasco'!$A:$A,'Dec 31 2018 OFFS'!$AI906,'T1 2019 Pipeline Data Lagasco'!$Q:$Q,'Dec 31 2018 OFFS'!$AK906,'T1 2019 Pipeline Data Lagasco'!$E:$E,'Dec 31 2018 OFFS'!$U906,'T1 2019 Pipeline Data Lagasco'!$G:$G,'Dec 31 2018 OFFS'!$W906),1))</f>
        <v>0</v>
      </c>
      <c r="AM906" s="274">
        <f t="shared" si="140"/>
        <v>0</v>
      </c>
    </row>
    <row r="907" spans="1:39" ht="12.7">
      <c r="A907" s="193" t="s">
        <v>909</v>
      </c>
      <c r="B907" s="40" t="s">
        <v>918</v>
      </c>
      <c r="C907" s="40" t="s">
        <v>1266</v>
      </c>
      <c r="D907" s="40" t="s">
        <v>336</v>
      </c>
      <c r="E907" s="40" t="s">
        <v>324</v>
      </c>
      <c r="F907" s="40" t="s">
        <v>1051</v>
      </c>
      <c r="G907" s="41" t="s">
        <v>480</v>
      </c>
      <c r="H907" s="42">
        <v>42</v>
      </c>
      <c r="I907" s="43">
        <v>32</v>
      </c>
      <c r="J907" s="44">
        <f>0.546*60</f>
        <v>32.760000000000005</v>
      </c>
      <c r="K907" s="45">
        <v>80</v>
      </c>
      <c r="L907" s="43">
        <v>2</v>
      </c>
      <c r="M907" s="46">
        <f>0.313*60</f>
        <v>18.78</v>
      </c>
      <c r="N907" s="41" t="s">
        <v>525</v>
      </c>
      <c r="O907" s="42">
        <v>42</v>
      </c>
      <c r="P907" s="43">
        <v>32</v>
      </c>
      <c r="Q907" s="44">
        <v>55.10</v>
      </c>
      <c r="R907" s="45">
        <v>80</v>
      </c>
      <c r="S907" s="43">
        <v>1</v>
      </c>
      <c r="T907" s="46">
        <v>55.995</v>
      </c>
      <c r="U907" s="40">
        <v>6</v>
      </c>
      <c r="V907" s="47">
        <v>2832.7427001159999</v>
      </c>
      <c r="W907" s="48">
        <v>1980</v>
      </c>
      <c r="X907" s="40"/>
      <c r="Y907" s="52" t="s">
        <v>1081</v>
      </c>
      <c r="Z907" s="40" t="s">
        <v>910</v>
      </c>
      <c r="AA907" s="49">
        <f t="shared" si="133"/>
        <v>0</v>
      </c>
      <c r="AB907" s="71">
        <f t="shared" si="134"/>
        <v>0.80</v>
      </c>
      <c r="AC907" s="49">
        <f t="shared" si="135"/>
        <v>0</v>
      </c>
      <c r="AD907" s="50">
        <f t="shared" si="136"/>
        <v>0</v>
      </c>
      <c r="AE907" s="50">
        <f t="shared" si="137"/>
        <v>0</v>
      </c>
      <c r="AF907" s="50">
        <f t="shared" si="138"/>
        <v>0</v>
      </c>
      <c r="AG907" s="199">
        <f t="shared" si="139"/>
        <v>0</v>
      </c>
      <c r="AH907" s="187"/>
      <c r="AI907" s="185" t="s">
        <v>1458</v>
      </c>
      <c r="AJ907" s="185"/>
      <c r="AK907" s="277">
        <f t="shared" si="132"/>
        <v>2832.74</v>
      </c>
      <c r="AL907" s="25">
        <f>(SUMIFS('T1 2019 Pipeline Data Lagasco'!$O:$O,'T1 2019 Pipeline Data Lagasco'!$A:$A,'Dec 31 2018 OFFS'!$AI907,'T1 2019 Pipeline Data Lagasco'!$Q:$Q,'Dec 31 2018 OFFS'!$AK907,'T1 2019 Pipeline Data Lagasco'!$E:$E,'Dec 31 2018 OFFS'!$U907,'T1 2019 Pipeline Data Lagasco'!$G:$G,'Dec 31 2018 OFFS'!$W907))/(MAX(COUNTIFS('T1 2019 Pipeline Data Lagasco'!$A:$A,'Dec 31 2018 OFFS'!$AI907,'T1 2019 Pipeline Data Lagasco'!$Q:$Q,'Dec 31 2018 OFFS'!$AK907,'T1 2019 Pipeline Data Lagasco'!$E:$E,'Dec 31 2018 OFFS'!$U907,'T1 2019 Pipeline Data Lagasco'!$G:$G,'Dec 31 2018 OFFS'!$W907),1))</f>
        <v>0</v>
      </c>
      <c r="AM907" s="274">
        <f t="shared" si="140"/>
        <v>0</v>
      </c>
    </row>
    <row r="908" spans="1:39" ht="12.7">
      <c r="A908" s="193" t="s">
        <v>909</v>
      </c>
      <c r="B908" s="40" t="s">
        <v>918</v>
      </c>
      <c r="C908" s="40" t="s">
        <v>1266</v>
      </c>
      <c r="D908" s="40" t="s">
        <v>336</v>
      </c>
      <c r="E908" s="40" t="s">
        <v>324</v>
      </c>
      <c r="F908" s="40" t="s">
        <v>1051</v>
      </c>
      <c r="G908" s="41" t="s">
        <v>480</v>
      </c>
      <c r="H908" s="42">
        <v>42</v>
      </c>
      <c r="I908" s="43">
        <v>32</v>
      </c>
      <c r="J908" s="44">
        <f>0.546*60</f>
        <v>32.760000000000005</v>
      </c>
      <c r="K908" s="45">
        <v>80</v>
      </c>
      <c r="L908" s="43">
        <v>2</v>
      </c>
      <c r="M908" s="46">
        <f>0.313*60</f>
        <v>18.78</v>
      </c>
      <c r="N908" s="40" t="s">
        <v>333</v>
      </c>
      <c r="O908" s="42">
        <v>42</v>
      </c>
      <c r="P908" s="43">
        <v>33</v>
      </c>
      <c r="Q908" s="44">
        <v>25.73</v>
      </c>
      <c r="R908" s="45">
        <v>80</v>
      </c>
      <c r="S908" s="43" t="s">
        <v>1099</v>
      </c>
      <c r="T908" s="46">
        <v>54.25</v>
      </c>
      <c r="U908" s="40">
        <v>6</v>
      </c>
      <c r="V908" s="47">
        <v>8294.1926731860003</v>
      </c>
      <c r="W908" s="48">
        <v>1980</v>
      </c>
      <c r="X908" s="40"/>
      <c r="Y908" s="52" t="s">
        <v>1081</v>
      </c>
      <c r="Z908" s="40" t="s">
        <v>910</v>
      </c>
      <c r="AA908" s="49">
        <f t="shared" si="133"/>
        <v>0</v>
      </c>
      <c r="AB908" s="71">
        <f t="shared" si="134"/>
        <v>0.80</v>
      </c>
      <c r="AC908" s="49">
        <f t="shared" si="135"/>
        <v>0</v>
      </c>
      <c r="AD908" s="50">
        <f t="shared" si="136"/>
        <v>0</v>
      </c>
      <c r="AE908" s="50">
        <f t="shared" si="137"/>
        <v>0</v>
      </c>
      <c r="AF908" s="50">
        <f t="shared" si="138"/>
        <v>0</v>
      </c>
      <c r="AG908" s="199">
        <f t="shared" si="139"/>
        <v>0</v>
      </c>
      <c r="AH908" s="187"/>
      <c r="AI908" s="185" t="s">
        <v>1458</v>
      </c>
      <c r="AJ908" s="185"/>
      <c r="AK908" s="277">
        <f t="shared" si="132"/>
        <v>8294.19</v>
      </c>
      <c r="AL908" s="25">
        <f>(SUMIFS('T1 2019 Pipeline Data Lagasco'!$O:$O,'T1 2019 Pipeline Data Lagasco'!$A:$A,'Dec 31 2018 OFFS'!$AI908,'T1 2019 Pipeline Data Lagasco'!$Q:$Q,'Dec 31 2018 OFFS'!$AK908,'T1 2019 Pipeline Data Lagasco'!$E:$E,'Dec 31 2018 OFFS'!$U908,'T1 2019 Pipeline Data Lagasco'!$G:$G,'Dec 31 2018 OFFS'!$W908))/(MAX(COUNTIFS('T1 2019 Pipeline Data Lagasco'!$A:$A,'Dec 31 2018 OFFS'!$AI908,'T1 2019 Pipeline Data Lagasco'!$Q:$Q,'Dec 31 2018 OFFS'!$AK908,'T1 2019 Pipeline Data Lagasco'!$E:$E,'Dec 31 2018 OFFS'!$U908,'T1 2019 Pipeline Data Lagasco'!$G:$G,'Dec 31 2018 OFFS'!$W908),1))</f>
        <v>0</v>
      </c>
      <c r="AM908" s="274">
        <f t="shared" si="140"/>
        <v>0</v>
      </c>
    </row>
    <row r="909" spans="1:39" ht="12.7">
      <c r="A909" s="193" t="s">
        <v>909</v>
      </c>
      <c r="B909" s="40" t="s">
        <v>918</v>
      </c>
      <c r="C909" s="40" t="s">
        <v>1266</v>
      </c>
      <c r="D909" s="40" t="s">
        <v>336</v>
      </c>
      <c r="E909" s="40" t="s">
        <v>324</v>
      </c>
      <c r="F909" s="40" t="s">
        <v>1051</v>
      </c>
      <c r="G909" s="41" t="s">
        <v>482</v>
      </c>
      <c r="H909" s="42">
        <v>42</v>
      </c>
      <c r="I909" s="43">
        <v>31</v>
      </c>
      <c r="J909" s="44">
        <f>0.118*60</f>
        <v>7.08</v>
      </c>
      <c r="K909" s="45">
        <v>80</v>
      </c>
      <c r="L909" s="43">
        <v>4</v>
      </c>
      <c r="M909" s="46">
        <f>0.093*60</f>
        <v>5.58</v>
      </c>
      <c r="N909" s="40" t="s">
        <v>424</v>
      </c>
      <c r="O909" s="42">
        <v>42</v>
      </c>
      <c r="P909" s="43">
        <v>28</v>
      </c>
      <c r="Q909" s="44">
        <f>0.343*60</f>
        <v>20.58</v>
      </c>
      <c r="R909" s="45">
        <v>80</v>
      </c>
      <c r="S909" s="43">
        <v>4</v>
      </c>
      <c r="T909" s="46">
        <f>0.19*60</f>
        <v>11.40</v>
      </c>
      <c r="U909" s="40">
        <v>3</v>
      </c>
      <c r="V909" s="47">
        <v>16861.613684915999</v>
      </c>
      <c r="W909" s="48">
        <v>1980</v>
      </c>
      <c r="X909" s="40"/>
      <c r="Y909" s="52" t="s">
        <v>1081</v>
      </c>
      <c r="Z909" s="40" t="s">
        <v>910</v>
      </c>
      <c r="AA909" s="49">
        <f t="shared" si="133"/>
        <v>0</v>
      </c>
      <c r="AB909" s="71">
        <f t="shared" si="134"/>
        <v>0.80</v>
      </c>
      <c r="AC909" s="49">
        <f t="shared" si="135"/>
        <v>0</v>
      </c>
      <c r="AD909" s="50">
        <f t="shared" si="136"/>
        <v>0</v>
      </c>
      <c r="AE909" s="50">
        <f t="shared" si="137"/>
        <v>0</v>
      </c>
      <c r="AF909" s="50">
        <f t="shared" si="138"/>
        <v>0</v>
      </c>
      <c r="AG909" s="199">
        <f t="shared" si="139"/>
        <v>0</v>
      </c>
      <c r="AH909" s="187"/>
      <c r="AI909" s="185" t="s">
        <v>1458</v>
      </c>
      <c r="AJ909" s="185"/>
      <c r="AK909" s="277">
        <f t="shared" si="132"/>
        <v>16861.61</v>
      </c>
      <c r="AL909" s="25">
        <f>(SUMIFS('T1 2019 Pipeline Data Lagasco'!$O:$O,'T1 2019 Pipeline Data Lagasco'!$A:$A,'Dec 31 2018 OFFS'!$AI909,'T1 2019 Pipeline Data Lagasco'!$Q:$Q,'Dec 31 2018 OFFS'!$AK909,'T1 2019 Pipeline Data Lagasco'!$E:$E,'Dec 31 2018 OFFS'!$U909,'T1 2019 Pipeline Data Lagasco'!$G:$G,'Dec 31 2018 OFFS'!$W909))/(MAX(COUNTIFS('T1 2019 Pipeline Data Lagasco'!$A:$A,'Dec 31 2018 OFFS'!$AI909,'T1 2019 Pipeline Data Lagasco'!$Q:$Q,'Dec 31 2018 OFFS'!$AK909,'T1 2019 Pipeline Data Lagasco'!$E:$E,'Dec 31 2018 OFFS'!$U909,'T1 2019 Pipeline Data Lagasco'!$G:$G,'Dec 31 2018 OFFS'!$W909),1))</f>
        <v>0</v>
      </c>
      <c r="AM909" s="274">
        <f t="shared" si="140"/>
        <v>0</v>
      </c>
    </row>
    <row r="910" spans="1:39" ht="12.7">
      <c r="A910" s="193" t="s">
        <v>909</v>
      </c>
      <c r="B910" s="40" t="s">
        <v>918</v>
      </c>
      <c r="C910" s="40" t="s">
        <v>1266</v>
      </c>
      <c r="D910" s="40" t="s">
        <v>336</v>
      </c>
      <c r="E910" s="40" t="s">
        <v>324</v>
      </c>
      <c r="F910" s="40" t="s">
        <v>1051</v>
      </c>
      <c r="G910" s="41" t="s">
        <v>482</v>
      </c>
      <c r="H910" s="42">
        <v>42</v>
      </c>
      <c r="I910" s="43">
        <v>31</v>
      </c>
      <c r="J910" s="44">
        <f>0.118*60</f>
        <v>7.08</v>
      </c>
      <c r="K910" s="45">
        <v>80</v>
      </c>
      <c r="L910" s="43">
        <v>4</v>
      </c>
      <c r="M910" s="46">
        <f>0.093*60</f>
        <v>5.58</v>
      </c>
      <c r="N910" s="40" t="s">
        <v>480</v>
      </c>
      <c r="O910" s="42">
        <v>42</v>
      </c>
      <c r="P910" s="43">
        <v>32</v>
      </c>
      <c r="Q910" s="44">
        <f>0.546*60</f>
        <v>32.760000000000005</v>
      </c>
      <c r="R910" s="45">
        <v>80</v>
      </c>
      <c r="S910" s="43">
        <v>2</v>
      </c>
      <c r="T910" s="46">
        <f>0.313*60</f>
        <v>18.78</v>
      </c>
      <c r="U910" s="40">
        <v>6</v>
      </c>
      <c r="V910" s="47">
        <v>11797.834304004</v>
      </c>
      <c r="W910" s="48">
        <v>1980</v>
      </c>
      <c r="X910" s="40"/>
      <c r="Y910" s="52" t="s">
        <v>1081</v>
      </c>
      <c r="Z910" s="40" t="s">
        <v>910</v>
      </c>
      <c r="AA910" s="49">
        <f t="shared" si="133"/>
        <v>0</v>
      </c>
      <c r="AB910" s="71">
        <f t="shared" si="134"/>
        <v>0.80</v>
      </c>
      <c r="AC910" s="49">
        <f t="shared" si="135"/>
        <v>0</v>
      </c>
      <c r="AD910" s="50">
        <f t="shared" si="136"/>
        <v>0</v>
      </c>
      <c r="AE910" s="50">
        <f t="shared" si="137"/>
        <v>0</v>
      </c>
      <c r="AF910" s="50">
        <f t="shared" si="138"/>
        <v>0</v>
      </c>
      <c r="AG910" s="199">
        <f t="shared" si="139"/>
        <v>0</v>
      </c>
      <c r="AH910" s="187"/>
      <c r="AI910" s="185" t="s">
        <v>1458</v>
      </c>
      <c r="AJ910" s="185"/>
      <c r="AK910" s="277">
        <f t="shared" si="132"/>
        <v>11797.83</v>
      </c>
      <c r="AL910" s="25">
        <f>(SUMIFS('T1 2019 Pipeline Data Lagasco'!$O:$O,'T1 2019 Pipeline Data Lagasco'!$A:$A,'Dec 31 2018 OFFS'!$AI910,'T1 2019 Pipeline Data Lagasco'!$Q:$Q,'Dec 31 2018 OFFS'!$AK910,'T1 2019 Pipeline Data Lagasco'!$E:$E,'Dec 31 2018 OFFS'!$U910,'T1 2019 Pipeline Data Lagasco'!$G:$G,'Dec 31 2018 OFFS'!$W910))/(MAX(COUNTIFS('T1 2019 Pipeline Data Lagasco'!$A:$A,'Dec 31 2018 OFFS'!$AI910,'T1 2019 Pipeline Data Lagasco'!$Q:$Q,'Dec 31 2018 OFFS'!$AK910,'T1 2019 Pipeline Data Lagasco'!$E:$E,'Dec 31 2018 OFFS'!$U910,'T1 2019 Pipeline Data Lagasco'!$G:$G,'Dec 31 2018 OFFS'!$W910),1))</f>
        <v>0</v>
      </c>
      <c r="AM910" s="274">
        <f t="shared" si="140"/>
        <v>0</v>
      </c>
    </row>
    <row r="911" spans="1:39" ht="12.7">
      <c r="A911" s="193" t="s">
        <v>909</v>
      </c>
      <c r="B911" s="40" t="s">
        <v>918</v>
      </c>
      <c r="C911" s="40" t="s">
        <v>1266</v>
      </c>
      <c r="D911" s="40" t="s">
        <v>336</v>
      </c>
      <c r="E911" s="40" t="s">
        <v>324</v>
      </c>
      <c r="F911" s="40"/>
      <c r="G911" s="41" t="s">
        <v>1277</v>
      </c>
      <c r="H911" s="42">
        <v>42</v>
      </c>
      <c r="I911" s="43">
        <v>30</v>
      </c>
      <c r="J911" s="44">
        <v>47.70</v>
      </c>
      <c r="K911" s="45">
        <v>80</v>
      </c>
      <c r="L911" s="43">
        <v>1</v>
      </c>
      <c r="M911" s="46">
        <v>13.44</v>
      </c>
      <c r="N911" s="40" t="s">
        <v>479</v>
      </c>
      <c r="O911" s="42">
        <v>42</v>
      </c>
      <c r="P911" s="43">
        <v>32</v>
      </c>
      <c r="Q911" s="44">
        <f>0.714*60</f>
        <v>42.84</v>
      </c>
      <c r="R911" s="45">
        <v>80</v>
      </c>
      <c r="S911" s="43">
        <v>1</v>
      </c>
      <c r="T911" s="46">
        <f>0.225*60</f>
        <v>13.50</v>
      </c>
      <c r="U911" s="40">
        <v>3</v>
      </c>
      <c r="V911" s="47">
        <v>13038</v>
      </c>
      <c r="W911" s="48">
        <v>2006</v>
      </c>
      <c r="X911" s="40"/>
      <c r="Y911" s="52"/>
      <c r="Z911" s="40" t="s">
        <v>910</v>
      </c>
      <c r="AA911" s="49">
        <f t="shared" si="133"/>
        <v>307566.42</v>
      </c>
      <c r="AB911" s="71">
        <f t="shared" si="134"/>
        <v>0.52</v>
      </c>
      <c r="AC911" s="49">
        <f t="shared" si="135"/>
        <v>147631.88</v>
      </c>
      <c r="AD911" s="50">
        <f t="shared" si="136"/>
        <v>0</v>
      </c>
      <c r="AE911" s="50">
        <f t="shared" si="137"/>
        <v>0</v>
      </c>
      <c r="AF911" s="50">
        <f t="shared" si="138"/>
        <v>147631.88</v>
      </c>
      <c r="AG911" s="199">
        <f t="shared" si="139"/>
        <v>147631</v>
      </c>
      <c r="AH911" s="187"/>
      <c r="AI911" s="185" t="s">
        <v>1458</v>
      </c>
      <c r="AJ911" s="185"/>
      <c r="AK911" s="277">
        <f t="shared" si="132"/>
        <v>13038</v>
      </c>
      <c r="AL911" s="25">
        <f>(SUMIFS('T1 2019 Pipeline Data Lagasco'!$O:$O,'T1 2019 Pipeline Data Lagasco'!$A:$A,'Dec 31 2018 OFFS'!$AI911,'T1 2019 Pipeline Data Lagasco'!$Q:$Q,'Dec 31 2018 OFFS'!$AK911,'T1 2019 Pipeline Data Lagasco'!$E:$E,'Dec 31 2018 OFFS'!$U911,'T1 2019 Pipeline Data Lagasco'!$G:$G,'Dec 31 2018 OFFS'!$W911))/(MAX(COUNTIFS('T1 2019 Pipeline Data Lagasco'!$A:$A,'Dec 31 2018 OFFS'!$AI911,'T1 2019 Pipeline Data Lagasco'!$Q:$Q,'Dec 31 2018 OFFS'!$AK911,'T1 2019 Pipeline Data Lagasco'!$E:$E,'Dec 31 2018 OFFS'!$U911,'T1 2019 Pipeline Data Lagasco'!$G:$G,'Dec 31 2018 OFFS'!$W911),1))</f>
        <v>147631</v>
      </c>
      <c r="AM911" s="274">
        <f t="shared" si="140"/>
        <v>0</v>
      </c>
    </row>
    <row r="912" spans="1:39" ht="12.7">
      <c r="A912" s="193" t="s">
        <v>909</v>
      </c>
      <c r="B912" s="40" t="s">
        <v>918</v>
      </c>
      <c r="C912" s="40" t="s">
        <v>1266</v>
      </c>
      <c r="D912" s="40" t="s">
        <v>336</v>
      </c>
      <c r="E912" s="40" t="s">
        <v>324</v>
      </c>
      <c r="F912" s="40" t="s">
        <v>1051</v>
      </c>
      <c r="G912" s="41" t="s">
        <v>483</v>
      </c>
      <c r="H912" s="42">
        <v>42</v>
      </c>
      <c r="I912" s="43">
        <v>34</v>
      </c>
      <c r="J912" s="44">
        <v>51.78</v>
      </c>
      <c r="K912" s="45">
        <v>80</v>
      </c>
      <c r="L912" s="43">
        <v>7</v>
      </c>
      <c r="M912" s="46">
        <v>3.30</v>
      </c>
      <c r="N912" s="40" t="s">
        <v>467</v>
      </c>
      <c r="O912" s="42">
        <v>42</v>
      </c>
      <c r="P912" s="43">
        <v>35</v>
      </c>
      <c r="Q912" s="44">
        <v>12.60</v>
      </c>
      <c r="R912" s="45">
        <v>80</v>
      </c>
      <c r="S912" s="43">
        <v>5</v>
      </c>
      <c r="T912" s="46">
        <v>15.12</v>
      </c>
      <c r="U912" s="40">
        <v>3</v>
      </c>
      <c r="V912" s="47">
        <v>8363.1887341799993</v>
      </c>
      <c r="W912" s="48">
        <v>1984</v>
      </c>
      <c r="X912" s="40"/>
      <c r="Y912" s="52" t="s">
        <v>1081</v>
      </c>
      <c r="Z912" s="40" t="s">
        <v>910</v>
      </c>
      <c r="AA912" s="49">
        <f t="shared" si="133"/>
        <v>0</v>
      </c>
      <c r="AB912" s="71">
        <f t="shared" si="134"/>
        <v>0.80</v>
      </c>
      <c r="AC912" s="49">
        <f t="shared" si="135"/>
        <v>0</v>
      </c>
      <c r="AD912" s="50">
        <f t="shared" si="136"/>
        <v>0</v>
      </c>
      <c r="AE912" s="50">
        <f t="shared" si="137"/>
        <v>0</v>
      </c>
      <c r="AF912" s="50">
        <f t="shared" si="138"/>
        <v>0</v>
      </c>
      <c r="AG912" s="199">
        <f t="shared" si="139"/>
        <v>0</v>
      </c>
      <c r="AH912" s="187"/>
      <c r="AI912" s="185" t="s">
        <v>1458</v>
      </c>
      <c r="AJ912" s="185"/>
      <c r="AK912" s="277">
        <f t="shared" si="132"/>
        <v>8363.19</v>
      </c>
      <c r="AL912" s="25">
        <f>(SUMIFS('T1 2019 Pipeline Data Lagasco'!$O:$O,'T1 2019 Pipeline Data Lagasco'!$A:$A,'Dec 31 2018 OFFS'!$AI912,'T1 2019 Pipeline Data Lagasco'!$Q:$Q,'Dec 31 2018 OFFS'!$AK912,'T1 2019 Pipeline Data Lagasco'!$E:$E,'Dec 31 2018 OFFS'!$U912,'T1 2019 Pipeline Data Lagasco'!$G:$G,'Dec 31 2018 OFFS'!$W912))/(MAX(COUNTIFS('T1 2019 Pipeline Data Lagasco'!$A:$A,'Dec 31 2018 OFFS'!$AI912,'T1 2019 Pipeline Data Lagasco'!$Q:$Q,'Dec 31 2018 OFFS'!$AK912,'T1 2019 Pipeline Data Lagasco'!$E:$E,'Dec 31 2018 OFFS'!$U912,'T1 2019 Pipeline Data Lagasco'!$G:$G,'Dec 31 2018 OFFS'!$W912),1))</f>
        <v>0</v>
      </c>
      <c r="AM912" s="274">
        <f t="shared" si="140"/>
        <v>0</v>
      </c>
    </row>
    <row r="913" spans="1:39" ht="12.7">
      <c r="A913" s="193" t="s">
        <v>909</v>
      </c>
      <c r="B913" s="40" t="s">
        <v>918</v>
      </c>
      <c r="C913" s="40" t="s">
        <v>1266</v>
      </c>
      <c r="D913" s="40" t="s">
        <v>336</v>
      </c>
      <c r="E913" s="40" t="s">
        <v>324</v>
      </c>
      <c r="F913" s="40" t="s">
        <v>1051</v>
      </c>
      <c r="G913" s="41" t="s">
        <v>483</v>
      </c>
      <c r="H913" s="42">
        <v>42</v>
      </c>
      <c r="I913" s="43">
        <v>34</v>
      </c>
      <c r="J913" s="44">
        <v>51.78</v>
      </c>
      <c r="K913" s="45">
        <v>80</v>
      </c>
      <c r="L913" s="43">
        <v>7</v>
      </c>
      <c r="M913" s="46">
        <v>3.30</v>
      </c>
      <c r="N913" s="40" t="s">
        <v>484</v>
      </c>
      <c r="O913" s="42">
        <v>42</v>
      </c>
      <c r="P913" s="43">
        <v>35</v>
      </c>
      <c r="Q913" s="44">
        <f>0.168*60</f>
        <v>10.08</v>
      </c>
      <c r="R913" s="45">
        <v>80</v>
      </c>
      <c r="S913" s="43">
        <v>7</v>
      </c>
      <c r="T913" s="46">
        <f>0.218*60</f>
        <v>13.08</v>
      </c>
      <c r="U913" s="40">
        <v>3</v>
      </c>
      <c r="V913" s="47">
        <v>1991.8962677739999</v>
      </c>
      <c r="W913" s="48">
        <v>1991</v>
      </c>
      <c r="X913" s="40"/>
      <c r="Y913" s="52" t="s">
        <v>1081</v>
      </c>
      <c r="Z913" s="40" t="s">
        <v>910</v>
      </c>
      <c r="AA913" s="49">
        <f t="shared" si="133"/>
        <v>0</v>
      </c>
      <c r="AB913" s="71">
        <f t="shared" si="134"/>
        <v>0.72</v>
      </c>
      <c r="AC913" s="49">
        <f t="shared" si="135"/>
        <v>0</v>
      </c>
      <c r="AD913" s="50">
        <f t="shared" si="136"/>
        <v>0</v>
      </c>
      <c r="AE913" s="50">
        <f t="shared" si="137"/>
        <v>0</v>
      </c>
      <c r="AF913" s="50">
        <f t="shared" si="138"/>
        <v>0</v>
      </c>
      <c r="AG913" s="199">
        <f t="shared" si="139"/>
        <v>0</v>
      </c>
      <c r="AH913" s="187"/>
      <c r="AI913" s="185" t="s">
        <v>1458</v>
      </c>
      <c r="AJ913" s="185"/>
      <c r="AK913" s="277">
        <f t="shared" si="132"/>
        <v>1991.90</v>
      </c>
      <c r="AL913" s="25">
        <f>(SUMIFS('T1 2019 Pipeline Data Lagasco'!$O:$O,'T1 2019 Pipeline Data Lagasco'!$A:$A,'Dec 31 2018 OFFS'!$AI913,'T1 2019 Pipeline Data Lagasco'!$Q:$Q,'Dec 31 2018 OFFS'!$AK913,'T1 2019 Pipeline Data Lagasco'!$E:$E,'Dec 31 2018 OFFS'!$U913,'T1 2019 Pipeline Data Lagasco'!$G:$G,'Dec 31 2018 OFFS'!$W913))/(MAX(COUNTIFS('T1 2019 Pipeline Data Lagasco'!$A:$A,'Dec 31 2018 OFFS'!$AI913,'T1 2019 Pipeline Data Lagasco'!$Q:$Q,'Dec 31 2018 OFFS'!$AK913,'T1 2019 Pipeline Data Lagasco'!$E:$E,'Dec 31 2018 OFFS'!$U913,'T1 2019 Pipeline Data Lagasco'!$G:$G,'Dec 31 2018 OFFS'!$W913),1))</f>
        <v>0</v>
      </c>
      <c r="AM913" s="274">
        <f t="shared" si="140"/>
        <v>0</v>
      </c>
    </row>
    <row r="914" spans="1:39" ht="12.7">
      <c r="A914" s="193" t="s">
        <v>909</v>
      </c>
      <c r="B914" s="40" t="s">
        <v>918</v>
      </c>
      <c r="C914" s="40" t="s">
        <v>1266</v>
      </c>
      <c r="D914" s="40" t="s">
        <v>336</v>
      </c>
      <c r="E914" s="40" t="s">
        <v>324</v>
      </c>
      <c r="F914" s="40" t="s">
        <v>1051</v>
      </c>
      <c r="G914" s="41" t="s">
        <v>483</v>
      </c>
      <c r="H914" s="42">
        <v>42</v>
      </c>
      <c r="I914" s="43">
        <v>34</v>
      </c>
      <c r="J914" s="44">
        <v>51.78</v>
      </c>
      <c r="K914" s="45">
        <v>80</v>
      </c>
      <c r="L914" s="43">
        <v>7</v>
      </c>
      <c r="M914" s="46">
        <v>3.30</v>
      </c>
      <c r="N914" s="40" t="s">
        <v>465</v>
      </c>
      <c r="O914" s="42">
        <v>42</v>
      </c>
      <c r="P914" s="43">
        <v>36</v>
      </c>
      <c r="Q914" s="44">
        <v>50.086716000000003</v>
      </c>
      <c r="R914" s="45">
        <v>80</v>
      </c>
      <c r="S914" s="43">
        <v>7</v>
      </c>
      <c r="T914" s="46">
        <v>42.876469999999998</v>
      </c>
      <c r="U914" s="40">
        <v>6</v>
      </c>
      <c r="V914" s="47">
        <v>12337.532451104</v>
      </c>
      <c r="W914" s="48">
        <v>1980</v>
      </c>
      <c r="X914" s="40"/>
      <c r="Y914" s="52" t="s">
        <v>1081</v>
      </c>
      <c r="Z914" s="40" t="s">
        <v>910</v>
      </c>
      <c r="AA914" s="49">
        <f t="shared" si="133"/>
        <v>0</v>
      </c>
      <c r="AB914" s="71">
        <f t="shared" si="134"/>
        <v>0.80</v>
      </c>
      <c r="AC914" s="49">
        <f t="shared" si="135"/>
        <v>0</v>
      </c>
      <c r="AD914" s="50">
        <f t="shared" si="136"/>
        <v>0</v>
      </c>
      <c r="AE914" s="50">
        <f t="shared" si="137"/>
        <v>0</v>
      </c>
      <c r="AF914" s="50">
        <f t="shared" si="138"/>
        <v>0</v>
      </c>
      <c r="AG914" s="199">
        <f t="shared" si="139"/>
        <v>0</v>
      </c>
      <c r="AH914" s="187"/>
      <c r="AI914" s="185" t="s">
        <v>1458</v>
      </c>
      <c r="AJ914" s="185"/>
      <c r="AK914" s="277">
        <f t="shared" si="132"/>
        <v>12337.53</v>
      </c>
      <c r="AL914" s="25">
        <f>(SUMIFS('T1 2019 Pipeline Data Lagasco'!$O:$O,'T1 2019 Pipeline Data Lagasco'!$A:$A,'Dec 31 2018 OFFS'!$AI914,'T1 2019 Pipeline Data Lagasco'!$Q:$Q,'Dec 31 2018 OFFS'!$AK914,'T1 2019 Pipeline Data Lagasco'!$E:$E,'Dec 31 2018 OFFS'!$U914,'T1 2019 Pipeline Data Lagasco'!$G:$G,'Dec 31 2018 OFFS'!$W914))/(MAX(COUNTIFS('T1 2019 Pipeline Data Lagasco'!$A:$A,'Dec 31 2018 OFFS'!$AI914,'T1 2019 Pipeline Data Lagasco'!$Q:$Q,'Dec 31 2018 OFFS'!$AK914,'T1 2019 Pipeline Data Lagasco'!$E:$E,'Dec 31 2018 OFFS'!$U914,'T1 2019 Pipeline Data Lagasco'!$G:$G,'Dec 31 2018 OFFS'!$W914),1))</f>
        <v>0</v>
      </c>
      <c r="AM914" s="274">
        <f t="shared" si="140"/>
        <v>0</v>
      </c>
    </row>
    <row r="915" spans="1:39" ht="12.7">
      <c r="A915" s="193" t="s">
        <v>909</v>
      </c>
      <c r="B915" s="40" t="s">
        <v>918</v>
      </c>
      <c r="C915" s="40" t="s">
        <v>1266</v>
      </c>
      <c r="D915" s="40" t="s">
        <v>336</v>
      </c>
      <c r="E915" s="40" t="s">
        <v>324</v>
      </c>
      <c r="F915" s="40" t="s">
        <v>1051</v>
      </c>
      <c r="G915" s="41" t="s">
        <v>485</v>
      </c>
      <c r="H915" s="42">
        <v>42</v>
      </c>
      <c r="I915" s="43">
        <v>30</v>
      </c>
      <c r="J915" s="44">
        <f>0.684*60</f>
        <v>41.040000000000006</v>
      </c>
      <c r="K915" s="45">
        <v>80</v>
      </c>
      <c r="L915" s="43">
        <v>6</v>
      </c>
      <c r="M915" s="46">
        <f>0.043*60</f>
        <v>2.5799999999999996</v>
      </c>
      <c r="N915" s="41" t="s">
        <v>486</v>
      </c>
      <c r="O915" s="42">
        <v>42</v>
      </c>
      <c r="P915" s="43">
        <v>30</v>
      </c>
      <c r="Q915" s="44">
        <v>11.22</v>
      </c>
      <c r="R915" s="45">
        <v>80</v>
      </c>
      <c r="S915" s="43">
        <v>6</v>
      </c>
      <c r="T915" s="46">
        <v>14.40</v>
      </c>
      <c r="U915" s="40">
        <v>3</v>
      </c>
      <c r="V915" s="47">
        <v>3146.0300926179998</v>
      </c>
      <c r="W915" s="48">
        <v>1980</v>
      </c>
      <c r="X915" s="40"/>
      <c r="Y915" s="52" t="s">
        <v>1081</v>
      </c>
      <c r="Z915" s="40" t="s">
        <v>910</v>
      </c>
      <c r="AA915" s="49">
        <f t="shared" si="133"/>
        <v>0</v>
      </c>
      <c r="AB915" s="71">
        <f t="shared" si="134"/>
        <v>0.80</v>
      </c>
      <c r="AC915" s="49">
        <f t="shared" si="135"/>
        <v>0</v>
      </c>
      <c r="AD915" s="50">
        <f t="shared" si="136"/>
        <v>0</v>
      </c>
      <c r="AE915" s="50">
        <f t="shared" si="137"/>
        <v>0</v>
      </c>
      <c r="AF915" s="50">
        <f t="shared" si="138"/>
        <v>0</v>
      </c>
      <c r="AG915" s="199">
        <f t="shared" si="139"/>
        <v>0</v>
      </c>
      <c r="AH915" s="187"/>
      <c r="AI915" s="185" t="s">
        <v>1458</v>
      </c>
      <c r="AJ915" s="185"/>
      <c r="AK915" s="277">
        <f t="shared" si="132"/>
        <v>3146.03</v>
      </c>
      <c r="AL915" s="25">
        <f>(SUMIFS('T1 2019 Pipeline Data Lagasco'!$O:$O,'T1 2019 Pipeline Data Lagasco'!$A:$A,'Dec 31 2018 OFFS'!$AI915,'T1 2019 Pipeline Data Lagasco'!$Q:$Q,'Dec 31 2018 OFFS'!$AK915,'T1 2019 Pipeline Data Lagasco'!$E:$E,'Dec 31 2018 OFFS'!$U915,'T1 2019 Pipeline Data Lagasco'!$G:$G,'Dec 31 2018 OFFS'!$W915))/(MAX(COUNTIFS('T1 2019 Pipeline Data Lagasco'!$A:$A,'Dec 31 2018 OFFS'!$AI915,'T1 2019 Pipeline Data Lagasco'!$Q:$Q,'Dec 31 2018 OFFS'!$AK915,'T1 2019 Pipeline Data Lagasco'!$E:$E,'Dec 31 2018 OFFS'!$U915,'T1 2019 Pipeline Data Lagasco'!$G:$G,'Dec 31 2018 OFFS'!$W915),1))</f>
        <v>0</v>
      </c>
      <c r="AM915" s="274">
        <f t="shared" si="140"/>
        <v>0</v>
      </c>
    </row>
    <row r="916" spans="1:39" ht="12.7">
      <c r="A916" s="193" t="s">
        <v>909</v>
      </c>
      <c r="B916" s="40" t="s">
        <v>918</v>
      </c>
      <c r="C916" s="40" t="s">
        <v>1266</v>
      </c>
      <c r="D916" s="40" t="s">
        <v>336</v>
      </c>
      <c r="E916" s="40" t="s">
        <v>324</v>
      </c>
      <c r="F916" s="40" t="s">
        <v>1051</v>
      </c>
      <c r="G916" s="41" t="s">
        <v>485</v>
      </c>
      <c r="H916" s="42">
        <v>42</v>
      </c>
      <c r="I916" s="43">
        <v>30</v>
      </c>
      <c r="J916" s="44">
        <f>0.684*60</f>
        <v>41.040000000000006</v>
      </c>
      <c r="K916" s="45">
        <v>80</v>
      </c>
      <c r="L916" s="43">
        <v>6</v>
      </c>
      <c r="M916" s="46">
        <f>0.043*60</f>
        <v>2.5799999999999996</v>
      </c>
      <c r="N916" s="41" t="s">
        <v>482</v>
      </c>
      <c r="O916" s="42">
        <v>42</v>
      </c>
      <c r="P916" s="43">
        <v>31</v>
      </c>
      <c r="Q916" s="44">
        <f>0.118*60</f>
        <v>7.08</v>
      </c>
      <c r="R916" s="45">
        <v>80</v>
      </c>
      <c r="S916" s="43">
        <v>4</v>
      </c>
      <c r="T916" s="46">
        <f>0.093*60</f>
        <v>5.58</v>
      </c>
      <c r="U916" s="40">
        <v>6</v>
      </c>
      <c r="V916" s="47">
        <v>9150.6887113739995</v>
      </c>
      <c r="W916" s="48">
        <v>1980</v>
      </c>
      <c r="X916" s="40"/>
      <c r="Y916" s="52" t="s">
        <v>1081</v>
      </c>
      <c r="Z916" s="40" t="s">
        <v>910</v>
      </c>
      <c r="AA916" s="49">
        <f t="shared" si="133"/>
        <v>0</v>
      </c>
      <c r="AB916" s="71">
        <f t="shared" si="134"/>
        <v>0.80</v>
      </c>
      <c r="AC916" s="49">
        <f t="shared" si="135"/>
        <v>0</v>
      </c>
      <c r="AD916" s="50">
        <f t="shared" si="136"/>
        <v>0</v>
      </c>
      <c r="AE916" s="50">
        <f t="shared" si="137"/>
        <v>0</v>
      </c>
      <c r="AF916" s="50">
        <f t="shared" si="138"/>
        <v>0</v>
      </c>
      <c r="AG916" s="199">
        <f t="shared" si="139"/>
        <v>0</v>
      </c>
      <c r="AH916" s="187"/>
      <c r="AI916" s="185" t="s">
        <v>1458</v>
      </c>
      <c r="AJ916" s="185"/>
      <c r="AK916" s="277">
        <f t="shared" si="132"/>
        <v>9150.69</v>
      </c>
      <c r="AL916" s="25">
        <f>(SUMIFS('T1 2019 Pipeline Data Lagasco'!$O:$O,'T1 2019 Pipeline Data Lagasco'!$A:$A,'Dec 31 2018 OFFS'!$AI916,'T1 2019 Pipeline Data Lagasco'!$Q:$Q,'Dec 31 2018 OFFS'!$AK916,'T1 2019 Pipeline Data Lagasco'!$E:$E,'Dec 31 2018 OFFS'!$U916,'T1 2019 Pipeline Data Lagasco'!$G:$G,'Dec 31 2018 OFFS'!$W916))/(MAX(COUNTIFS('T1 2019 Pipeline Data Lagasco'!$A:$A,'Dec 31 2018 OFFS'!$AI916,'T1 2019 Pipeline Data Lagasco'!$Q:$Q,'Dec 31 2018 OFFS'!$AK916,'T1 2019 Pipeline Data Lagasco'!$E:$E,'Dec 31 2018 OFFS'!$U916,'T1 2019 Pipeline Data Lagasco'!$G:$G,'Dec 31 2018 OFFS'!$W916),1))</f>
        <v>0</v>
      </c>
      <c r="AM916" s="274">
        <f t="shared" si="140"/>
        <v>0</v>
      </c>
    </row>
    <row r="917" spans="1:39" ht="12.7">
      <c r="A917" s="193" t="s">
        <v>909</v>
      </c>
      <c r="B917" s="40" t="s">
        <v>918</v>
      </c>
      <c r="C917" s="40" t="s">
        <v>1266</v>
      </c>
      <c r="D917" s="40" t="s">
        <v>336</v>
      </c>
      <c r="E917" s="40" t="s">
        <v>324</v>
      </c>
      <c r="F917" s="40" t="s">
        <v>1051</v>
      </c>
      <c r="G917" s="41" t="s">
        <v>526</v>
      </c>
      <c r="H917" s="42">
        <v>42</v>
      </c>
      <c r="I917" s="43">
        <v>30</v>
      </c>
      <c r="J917" s="44">
        <f>0.874*60</f>
        <v>52.44</v>
      </c>
      <c r="K917" s="45">
        <v>80</v>
      </c>
      <c r="L917" s="43">
        <v>8</v>
      </c>
      <c r="M917" s="46">
        <f>0.225*60</f>
        <v>13.50</v>
      </c>
      <c r="N917" s="40" t="s">
        <v>485</v>
      </c>
      <c r="O917" s="42">
        <v>42</v>
      </c>
      <c r="P917" s="43">
        <v>30</v>
      </c>
      <c r="Q917" s="44">
        <f>0.684*60</f>
        <v>41.040000000000006</v>
      </c>
      <c r="R917" s="45">
        <v>80</v>
      </c>
      <c r="S917" s="43">
        <v>6</v>
      </c>
      <c r="T917" s="46">
        <f>0.043*60</f>
        <v>2.5799999999999996</v>
      </c>
      <c r="U917" s="40">
        <v>6</v>
      </c>
      <c r="V917" s="47">
        <v>9873.1952521299991</v>
      </c>
      <c r="W917" s="48">
        <v>1980</v>
      </c>
      <c r="X917" s="40"/>
      <c r="Y917" s="52" t="s">
        <v>1081</v>
      </c>
      <c r="Z917" s="40" t="s">
        <v>910</v>
      </c>
      <c r="AA917" s="49">
        <f t="shared" si="133"/>
        <v>0</v>
      </c>
      <c r="AB917" s="71">
        <f t="shared" si="134"/>
        <v>0.80</v>
      </c>
      <c r="AC917" s="49">
        <f t="shared" si="135"/>
        <v>0</v>
      </c>
      <c r="AD917" s="50">
        <f t="shared" si="136"/>
        <v>0</v>
      </c>
      <c r="AE917" s="50">
        <f t="shared" si="137"/>
        <v>0</v>
      </c>
      <c r="AF917" s="50">
        <f t="shared" si="138"/>
        <v>0</v>
      </c>
      <c r="AG917" s="199">
        <f t="shared" si="139"/>
        <v>0</v>
      </c>
      <c r="AH917" s="187"/>
      <c r="AI917" s="185" t="s">
        <v>1458</v>
      </c>
      <c r="AJ917" s="185"/>
      <c r="AK917" s="277">
        <f t="shared" si="132"/>
        <v>9873.2000000000007</v>
      </c>
      <c r="AL917" s="25">
        <f>(SUMIFS('T1 2019 Pipeline Data Lagasco'!$O:$O,'T1 2019 Pipeline Data Lagasco'!$A:$A,'Dec 31 2018 OFFS'!$AI917,'T1 2019 Pipeline Data Lagasco'!$Q:$Q,'Dec 31 2018 OFFS'!$AK917,'T1 2019 Pipeline Data Lagasco'!$E:$E,'Dec 31 2018 OFFS'!$U917,'T1 2019 Pipeline Data Lagasco'!$G:$G,'Dec 31 2018 OFFS'!$W917))/(MAX(COUNTIFS('T1 2019 Pipeline Data Lagasco'!$A:$A,'Dec 31 2018 OFFS'!$AI917,'T1 2019 Pipeline Data Lagasco'!$Q:$Q,'Dec 31 2018 OFFS'!$AK917,'T1 2019 Pipeline Data Lagasco'!$E:$E,'Dec 31 2018 OFFS'!$U917,'T1 2019 Pipeline Data Lagasco'!$G:$G,'Dec 31 2018 OFFS'!$W917),1))</f>
        <v>0</v>
      </c>
      <c r="AM917" s="274">
        <f t="shared" si="140"/>
        <v>0</v>
      </c>
    </row>
    <row r="918" spans="1:39" ht="12.7">
      <c r="A918" s="193" t="s">
        <v>909</v>
      </c>
      <c r="B918" s="40" t="s">
        <v>918</v>
      </c>
      <c r="C918" s="40" t="s">
        <v>1266</v>
      </c>
      <c r="D918" s="40" t="s">
        <v>336</v>
      </c>
      <c r="E918" s="40" t="s">
        <v>447</v>
      </c>
      <c r="F918" s="40" t="s">
        <v>1051</v>
      </c>
      <c r="G918" s="41" t="s">
        <v>490</v>
      </c>
      <c r="H918" s="42">
        <v>42</v>
      </c>
      <c r="I918" s="43">
        <v>34</v>
      </c>
      <c r="J918" s="44">
        <v>23.675999999999998</v>
      </c>
      <c r="K918" s="45">
        <v>80</v>
      </c>
      <c r="L918" s="43">
        <v>10</v>
      </c>
      <c r="M918" s="46">
        <v>54.039000000000001</v>
      </c>
      <c r="N918" s="40" t="s">
        <v>487</v>
      </c>
      <c r="O918" s="42">
        <v>42</v>
      </c>
      <c r="P918" s="43">
        <v>34</v>
      </c>
      <c r="Q918" s="44">
        <v>23.28</v>
      </c>
      <c r="R918" s="45">
        <v>80</v>
      </c>
      <c r="S918" s="43">
        <v>10</v>
      </c>
      <c r="T918" s="46">
        <v>18.640999999999998</v>
      </c>
      <c r="U918" s="40">
        <v>3</v>
      </c>
      <c r="V918" s="47">
        <v>2648.95</v>
      </c>
      <c r="W918" s="48">
        <v>1962</v>
      </c>
      <c r="X918" s="40"/>
      <c r="Y918" s="52"/>
      <c r="Z918" s="40" t="s">
        <v>910</v>
      </c>
      <c r="AA918" s="49">
        <f t="shared" si="133"/>
        <v>0</v>
      </c>
      <c r="AB918" s="71">
        <f t="shared" si="134"/>
        <v>0.80</v>
      </c>
      <c r="AC918" s="49">
        <f t="shared" si="135"/>
        <v>0</v>
      </c>
      <c r="AD918" s="50">
        <f t="shared" si="136"/>
        <v>0</v>
      </c>
      <c r="AE918" s="50">
        <f t="shared" si="137"/>
        <v>0</v>
      </c>
      <c r="AF918" s="50">
        <f t="shared" si="138"/>
        <v>0</v>
      </c>
      <c r="AG918" s="199">
        <f t="shared" si="139"/>
        <v>0</v>
      </c>
      <c r="AH918" s="187"/>
      <c r="AI918" s="185" t="s">
        <v>1458</v>
      </c>
      <c r="AJ918" s="185"/>
      <c r="AK918" s="277">
        <f t="shared" si="132"/>
        <v>2648.95</v>
      </c>
      <c r="AL918" s="25">
        <f>(SUMIFS('T1 2019 Pipeline Data Lagasco'!$O:$O,'T1 2019 Pipeline Data Lagasco'!$A:$A,'Dec 31 2018 OFFS'!$AI918,'T1 2019 Pipeline Data Lagasco'!$Q:$Q,'Dec 31 2018 OFFS'!$AK918,'T1 2019 Pipeline Data Lagasco'!$E:$E,'Dec 31 2018 OFFS'!$U918,'T1 2019 Pipeline Data Lagasco'!$G:$G,'Dec 31 2018 OFFS'!$W918))/(MAX(COUNTIFS('T1 2019 Pipeline Data Lagasco'!$A:$A,'Dec 31 2018 OFFS'!$AI918,'T1 2019 Pipeline Data Lagasco'!$Q:$Q,'Dec 31 2018 OFFS'!$AK918,'T1 2019 Pipeline Data Lagasco'!$E:$E,'Dec 31 2018 OFFS'!$U918,'T1 2019 Pipeline Data Lagasco'!$G:$G,'Dec 31 2018 OFFS'!$W918),1))</f>
        <v>0</v>
      </c>
      <c r="AM918" s="274">
        <f t="shared" si="140"/>
        <v>0</v>
      </c>
    </row>
    <row r="919" spans="1:39" ht="12.7">
      <c r="A919" s="193" t="s">
        <v>909</v>
      </c>
      <c r="B919" s="40" t="s">
        <v>918</v>
      </c>
      <c r="C919" s="40" t="s">
        <v>1266</v>
      </c>
      <c r="D919" s="40" t="s">
        <v>336</v>
      </c>
      <c r="E919" s="40" t="s">
        <v>447</v>
      </c>
      <c r="F919" s="40" t="s">
        <v>1051</v>
      </c>
      <c r="G919" s="41" t="s">
        <v>456</v>
      </c>
      <c r="H919" s="42">
        <v>42</v>
      </c>
      <c r="I919" s="43">
        <v>34</v>
      </c>
      <c r="J919" s="44">
        <v>43.02</v>
      </c>
      <c r="K919" s="45">
        <v>80</v>
      </c>
      <c r="L919" s="43">
        <v>11</v>
      </c>
      <c r="M919" s="46">
        <v>31.02</v>
      </c>
      <c r="N919" s="40" t="s">
        <v>488</v>
      </c>
      <c r="O919" s="42">
        <v>42</v>
      </c>
      <c r="P919" s="43">
        <v>34</v>
      </c>
      <c r="Q919" s="44">
        <v>23.100999999999999</v>
      </c>
      <c r="R919" s="45">
        <v>80</v>
      </c>
      <c r="S919" s="43">
        <v>11</v>
      </c>
      <c r="T919" s="46">
        <v>28.395</v>
      </c>
      <c r="U919" s="40">
        <v>3</v>
      </c>
      <c r="V919" s="47">
        <v>2026.08</v>
      </c>
      <c r="W919" s="48">
        <v>1979</v>
      </c>
      <c r="X919" s="40"/>
      <c r="Y919" s="52"/>
      <c r="Z919" s="40" t="s">
        <v>910</v>
      </c>
      <c r="AA919" s="49">
        <f t="shared" si="133"/>
        <v>0</v>
      </c>
      <c r="AB919" s="71">
        <f t="shared" si="134"/>
        <v>0.80</v>
      </c>
      <c r="AC919" s="49">
        <f t="shared" si="135"/>
        <v>0</v>
      </c>
      <c r="AD919" s="50">
        <f t="shared" si="136"/>
        <v>0</v>
      </c>
      <c r="AE919" s="50">
        <f t="shared" si="137"/>
        <v>0</v>
      </c>
      <c r="AF919" s="50">
        <f t="shared" si="138"/>
        <v>0</v>
      </c>
      <c r="AG919" s="199">
        <f t="shared" si="139"/>
        <v>0</v>
      </c>
      <c r="AH919" s="187"/>
      <c r="AI919" s="185" t="s">
        <v>1458</v>
      </c>
      <c r="AJ919" s="185"/>
      <c r="AK919" s="277">
        <f t="shared" si="132"/>
        <v>2026.08</v>
      </c>
      <c r="AL919" s="25">
        <f>(SUMIFS('T1 2019 Pipeline Data Lagasco'!$O:$O,'T1 2019 Pipeline Data Lagasco'!$A:$A,'Dec 31 2018 OFFS'!$AI919,'T1 2019 Pipeline Data Lagasco'!$Q:$Q,'Dec 31 2018 OFFS'!$AK919,'T1 2019 Pipeline Data Lagasco'!$E:$E,'Dec 31 2018 OFFS'!$U919,'T1 2019 Pipeline Data Lagasco'!$G:$G,'Dec 31 2018 OFFS'!$W919))/(MAX(COUNTIFS('T1 2019 Pipeline Data Lagasco'!$A:$A,'Dec 31 2018 OFFS'!$AI919,'T1 2019 Pipeline Data Lagasco'!$Q:$Q,'Dec 31 2018 OFFS'!$AK919,'T1 2019 Pipeline Data Lagasco'!$E:$E,'Dec 31 2018 OFFS'!$U919,'T1 2019 Pipeline Data Lagasco'!$G:$G,'Dec 31 2018 OFFS'!$W919),1))</f>
        <v>0</v>
      </c>
      <c r="AM919" s="274">
        <f t="shared" si="140"/>
        <v>0</v>
      </c>
    </row>
    <row r="920" spans="1:39" ht="12.7">
      <c r="A920" s="193" t="s">
        <v>909</v>
      </c>
      <c r="B920" s="40" t="s">
        <v>918</v>
      </c>
      <c r="C920" s="40" t="s">
        <v>1266</v>
      </c>
      <c r="D920" s="40" t="s">
        <v>336</v>
      </c>
      <c r="E920" s="40" t="s">
        <v>447</v>
      </c>
      <c r="F920" s="40" t="s">
        <v>1051</v>
      </c>
      <c r="G920" s="41" t="s">
        <v>488</v>
      </c>
      <c r="H920" s="42">
        <v>42</v>
      </c>
      <c r="I920" s="43">
        <v>34</v>
      </c>
      <c r="J920" s="44">
        <v>23.100999999999999</v>
      </c>
      <c r="K920" s="45">
        <v>80</v>
      </c>
      <c r="L920" s="43">
        <v>11</v>
      </c>
      <c r="M920" s="46">
        <v>28.395</v>
      </c>
      <c r="N920" s="40" t="s">
        <v>489</v>
      </c>
      <c r="O920" s="42">
        <v>42</v>
      </c>
      <c r="P920" s="43">
        <v>34</v>
      </c>
      <c r="Q920" s="44">
        <v>23.166</v>
      </c>
      <c r="R920" s="45">
        <v>80</v>
      </c>
      <c r="S920" s="43">
        <v>12</v>
      </c>
      <c r="T920" s="46">
        <v>4.4349999999999996</v>
      </c>
      <c r="U920" s="40">
        <v>3</v>
      </c>
      <c r="V920" s="47">
        <v>2696.69</v>
      </c>
      <c r="W920" s="48">
        <v>1978</v>
      </c>
      <c r="X920" s="40"/>
      <c r="Y920" s="52"/>
      <c r="Z920" s="40" t="s">
        <v>910</v>
      </c>
      <c r="AA920" s="49">
        <f t="shared" si="133"/>
        <v>0</v>
      </c>
      <c r="AB920" s="71">
        <f t="shared" si="134"/>
        <v>0.80</v>
      </c>
      <c r="AC920" s="49">
        <f t="shared" si="135"/>
        <v>0</v>
      </c>
      <c r="AD920" s="50">
        <f t="shared" si="136"/>
        <v>0</v>
      </c>
      <c r="AE920" s="50">
        <f t="shared" si="137"/>
        <v>0</v>
      </c>
      <c r="AF920" s="50">
        <f t="shared" si="138"/>
        <v>0</v>
      </c>
      <c r="AG920" s="199">
        <f t="shared" si="139"/>
        <v>0</v>
      </c>
      <c r="AH920" s="187"/>
      <c r="AI920" s="185" t="s">
        <v>1458</v>
      </c>
      <c r="AJ920" s="185"/>
      <c r="AK920" s="277">
        <f t="shared" si="132"/>
        <v>2696.69</v>
      </c>
      <c r="AL920" s="25">
        <f>(SUMIFS('T1 2019 Pipeline Data Lagasco'!$O:$O,'T1 2019 Pipeline Data Lagasco'!$A:$A,'Dec 31 2018 OFFS'!$AI920,'T1 2019 Pipeline Data Lagasco'!$Q:$Q,'Dec 31 2018 OFFS'!$AK920,'T1 2019 Pipeline Data Lagasco'!$E:$E,'Dec 31 2018 OFFS'!$U920,'T1 2019 Pipeline Data Lagasco'!$G:$G,'Dec 31 2018 OFFS'!$W920))/(MAX(COUNTIFS('T1 2019 Pipeline Data Lagasco'!$A:$A,'Dec 31 2018 OFFS'!$AI920,'T1 2019 Pipeline Data Lagasco'!$Q:$Q,'Dec 31 2018 OFFS'!$AK920,'T1 2019 Pipeline Data Lagasco'!$E:$E,'Dec 31 2018 OFFS'!$U920,'T1 2019 Pipeline Data Lagasco'!$G:$G,'Dec 31 2018 OFFS'!$W920),1))</f>
        <v>0</v>
      </c>
      <c r="AM920" s="274">
        <f t="shared" si="140"/>
        <v>0</v>
      </c>
    </row>
    <row r="921" spans="1:39" ht="12.7">
      <c r="A921" s="193" t="s">
        <v>909</v>
      </c>
      <c r="B921" s="40" t="s">
        <v>918</v>
      </c>
      <c r="C921" s="40" t="s">
        <v>1266</v>
      </c>
      <c r="D921" s="40" t="s">
        <v>336</v>
      </c>
      <c r="E921" s="40" t="s">
        <v>447</v>
      </c>
      <c r="F921" s="40" t="s">
        <v>1051</v>
      </c>
      <c r="G921" s="41" t="s">
        <v>488</v>
      </c>
      <c r="H921" s="42">
        <v>42</v>
      </c>
      <c r="I921" s="43">
        <v>34</v>
      </c>
      <c r="J921" s="44">
        <v>23.100999999999999</v>
      </c>
      <c r="K921" s="45">
        <v>80</v>
      </c>
      <c r="L921" s="43">
        <v>11</v>
      </c>
      <c r="M921" s="46">
        <v>28.395</v>
      </c>
      <c r="N921" s="40" t="s">
        <v>490</v>
      </c>
      <c r="O921" s="42">
        <v>42</v>
      </c>
      <c r="P921" s="43">
        <v>34</v>
      </c>
      <c r="Q921" s="44">
        <v>23.675999999999998</v>
      </c>
      <c r="R921" s="45">
        <v>80</v>
      </c>
      <c r="S921" s="43">
        <v>10</v>
      </c>
      <c r="T921" s="46">
        <v>54.039000000000001</v>
      </c>
      <c r="U921" s="40">
        <v>3</v>
      </c>
      <c r="V921" s="47">
        <v>2571.33</v>
      </c>
      <c r="W921" s="48">
        <v>1962</v>
      </c>
      <c r="X921" s="40"/>
      <c r="Y921" s="52"/>
      <c r="Z921" s="40" t="s">
        <v>910</v>
      </c>
      <c r="AA921" s="49">
        <f t="shared" si="133"/>
        <v>0</v>
      </c>
      <c r="AB921" s="71">
        <f t="shared" si="134"/>
        <v>0.80</v>
      </c>
      <c r="AC921" s="49">
        <f t="shared" si="135"/>
        <v>0</v>
      </c>
      <c r="AD921" s="50">
        <f t="shared" si="136"/>
        <v>0</v>
      </c>
      <c r="AE921" s="50">
        <f t="shared" si="137"/>
        <v>0</v>
      </c>
      <c r="AF921" s="50">
        <f t="shared" si="138"/>
        <v>0</v>
      </c>
      <c r="AG921" s="199">
        <f t="shared" si="139"/>
        <v>0</v>
      </c>
      <c r="AH921" s="187"/>
      <c r="AI921" s="185" t="s">
        <v>1458</v>
      </c>
      <c r="AJ921" s="185"/>
      <c r="AK921" s="277">
        <f t="shared" si="132"/>
        <v>2571.33</v>
      </c>
      <c r="AL921" s="25">
        <f>(SUMIFS('T1 2019 Pipeline Data Lagasco'!$O:$O,'T1 2019 Pipeline Data Lagasco'!$A:$A,'Dec 31 2018 OFFS'!$AI921,'T1 2019 Pipeline Data Lagasco'!$Q:$Q,'Dec 31 2018 OFFS'!$AK921,'T1 2019 Pipeline Data Lagasco'!$E:$E,'Dec 31 2018 OFFS'!$U921,'T1 2019 Pipeline Data Lagasco'!$G:$G,'Dec 31 2018 OFFS'!$W921))/(MAX(COUNTIFS('T1 2019 Pipeline Data Lagasco'!$A:$A,'Dec 31 2018 OFFS'!$AI921,'T1 2019 Pipeline Data Lagasco'!$Q:$Q,'Dec 31 2018 OFFS'!$AK921,'T1 2019 Pipeline Data Lagasco'!$E:$E,'Dec 31 2018 OFFS'!$U921,'T1 2019 Pipeline Data Lagasco'!$G:$G,'Dec 31 2018 OFFS'!$W921),1))</f>
        <v>0</v>
      </c>
      <c r="AM921" s="274">
        <f t="shared" si="140"/>
        <v>0</v>
      </c>
    </row>
    <row r="922" spans="1:39" ht="12.7">
      <c r="A922" s="193" t="s">
        <v>909</v>
      </c>
      <c r="B922" s="40" t="s">
        <v>918</v>
      </c>
      <c r="C922" s="40" t="s">
        <v>1266</v>
      </c>
      <c r="D922" s="40" t="s">
        <v>336</v>
      </c>
      <c r="E922" s="40" t="s">
        <v>324</v>
      </c>
      <c r="F922" s="40" t="s">
        <v>1051</v>
      </c>
      <c r="G922" s="41" t="s">
        <v>527</v>
      </c>
      <c r="H922" s="42">
        <v>42</v>
      </c>
      <c r="I922" s="43">
        <v>30</v>
      </c>
      <c r="J922" s="44">
        <v>49.45</v>
      </c>
      <c r="K922" s="45">
        <v>80</v>
      </c>
      <c r="L922" s="43">
        <v>10</v>
      </c>
      <c r="M922" s="46">
        <v>26.173999999999999</v>
      </c>
      <c r="N922" s="40" t="s">
        <v>526</v>
      </c>
      <c r="O922" s="42">
        <v>42</v>
      </c>
      <c r="P922" s="43">
        <v>30</v>
      </c>
      <c r="Q922" s="44">
        <f>0.874*60</f>
        <v>52.44</v>
      </c>
      <c r="R922" s="45">
        <v>80</v>
      </c>
      <c r="S922" s="43">
        <v>8</v>
      </c>
      <c r="T922" s="46">
        <f>0.225*60</f>
        <v>13.50</v>
      </c>
      <c r="U922" s="40">
        <v>6</v>
      </c>
      <c r="V922" s="47">
        <v>9941.2726779799996</v>
      </c>
      <c r="W922" s="48">
        <v>1980</v>
      </c>
      <c r="X922" s="40"/>
      <c r="Y922" s="52" t="s">
        <v>1081</v>
      </c>
      <c r="Z922" s="40" t="s">
        <v>910</v>
      </c>
      <c r="AA922" s="49">
        <f t="shared" si="133"/>
        <v>0</v>
      </c>
      <c r="AB922" s="71">
        <f t="shared" si="134"/>
        <v>0.80</v>
      </c>
      <c r="AC922" s="49">
        <f t="shared" si="135"/>
        <v>0</v>
      </c>
      <c r="AD922" s="50">
        <f t="shared" si="136"/>
        <v>0</v>
      </c>
      <c r="AE922" s="50">
        <f t="shared" si="137"/>
        <v>0</v>
      </c>
      <c r="AF922" s="50">
        <f t="shared" si="138"/>
        <v>0</v>
      </c>
      <c r="AG922" s="199">
        <f t="shared" si="139"/>
        <v>0</v>
      </c>
      <c r="AH922" s="187"/>
      <c r="AI922" s="185" t="s">
        <v>1458</v>
      </c>
      <c r="AJ922" s="185"/>
      <c r="AK922" s="277">
        <f t="shared" si="132"/>
        <v>9941.27</v>
      </c>
      <c r="AL922" s="25">
        <f>(SUMIFS('T1 2019 Pipeline Data Lagasco'!$O:$O,'T1 2019 Pipeline Data Lagasco'!$A:$A,'Dec 31 2018 OFFS'!$AI922,'T1 2019 Pipeline Data Lagasco'!$Q:$Q,'Dec 31 2018 OFFS'!$AK922,'T1 2019 Pipeline Data Lagasco'!$E:$E,'Dec 31 2018 OFFS'!$U922,'T1 2019 Pipeline Data Lagasco'!$G:$G,'Dec 31 2018 OFFS'!$W922))/(MAX(COUNTIFS('T1 2019 Pipeline Data Lagasco'!$A:$A,'Dec 31 2018 OFFS'!$AI922,'T1 2019 Pipeline Data Lagasco'!$Q:$Q,'Dec 31 2018 OFFS'!$AK922,'T1 2019 Pipeline Data Lagasco'!$E:$E,'Dec 31 2018 OFFS'!$U922,'T1 2019 Pipeline Data Lagasco'!$G:$G,'Dec 31 2018 OFFS'!$W922),1))</f>
        <v>0</v>
      </c>
      <c r="AM922" s="274">
        <f t="shared" si="140"/>
        <v>0</v>
      </c>
    </row>
    <row r="923" spans="1:39" ht="12.7">
      <c r="A923" s="193" t="s">
        <v>909</v>
      </c>
      <c r="B923" s="40" t="s">
        <v>918</v>
      </c>
      <c r="C923" s="40" t="s">
        <v>1266</v>
      </c>
      <c r="D923" s="40" t="s">
        <v>336</v>
      </c>
      <c r="E923" s="40" t="s">
        <v>324</v>
      </c>
      <c r="F923" s="40" t="s">
        <v>1051</v>
      </c>
      <c r="G923" s="41" t="s">
        <v>421</v>
      </c>
      <c r="H923" s="42">
        <v>42</v>
      </c>
      <c r="I923" s="43">
        <v>30</v>
      </c>
      <c r="J923" s="44">
        <v>49.098999999999997</v>
      </c>
      <c r="K923" s="45">
        <v>80</v>
      </c>
      <c r="L923" s="43">
        <v>14</v>
      </c>
      <c r="M923" s="46">
        <v>8.5980000000000008</v>
      </c>
      <c r="N923" s="41" t="s">
        <v>491</v>
      </c>
      <c r="O923" s="42">
        <v>42</v>
      </c>
      <c r="P923" s="43">
        <v>31</v>
      </c>
      <c r="Q923" s="44">
        <v>19.405999999999999</v>
      </c>
      <c r="R923" s="45">
        <v>80</v>
      </c>
      <c r="S923" s="43">
        <v>17</v>
      </c>
      <c r="T923" s="46">
        <v>15.603999999999999</v>
      </c>
      <c r="U923" s="40">
        <v>3</v>
      </c>
      <c r="V923" s="47">
        <v>14337.007458816001</v>
      </c>
      <c r="W923" s="48">
        <v>1980</v>
      </c>
      <c r="X923" s="40"/>
      <c r="Y923" s="52" t="s">
        <v>1081</v>
      </c>
      <c r="Z923" s="40" t="s">
        <v>910</v>
      </c>
      <c r="AA923" s="49">
        <f t="shared" si="133"/>
        <v>0</v>
      </c>
      <c r="AB923" s="71">
        <f t="shared" si="134"/>
        <v>0.80</v>
      </c>
      <c r="AC923" s="49">
        <f t="shared" si="135"/>
        <v>0</v>
      </c>
      <c r="AD923" s="50">
        <f t="shared" si="136"/>
        <v>0</v>
      </c>
      <c r="AE923" s="50">
        <f t="shared" si="137"/>
        <v>0</v>
      </c>
      <c r="AF923" s="50">
        <f t="shared" si="138"/>
        <v>0</v>
      </c>
      <c r="AG923" s="199">
        <f t="shared" si="139"/>
        <v>0</v>
      </c>
      <c r="AH923" s="187"/>
      <c r="AI923" s="185" t="s">
        <v>1458</v>
      </c>
      <c r="AJ923" s="185"/>
      <c r="AK923" s="277">
        <f t="shared" si="132"/>
        <v>14337.01</v>
      </c>
      <c r="AL923" s="25">
        <f>(SUMIFS('T1 2019 Pipeline Data Lagasco'!$O:$O,'T1 2019 Pipeline Data Lagasco'!$A:$A,'Dec 31 2018 OFFS'!$AI923,'T1 2019 Pipeline Data Lagasco'!$Q:$Q,'Dec 31 2018 OFFS'!$AK923,'T1 2019 Pipeline Data Lagasco'!$E:$E,'Dec 31 2018 OFFS'!$U923,'T1 2019 Pipeline Data Lagasco'!$G:$G,'Dec 31 2018 OFFS'!$W923))/(MAX(COUNTIFS('T1 2019 Pipeline Data Lagasco'!$A:$A,'Dec 31 2018 OFFS'!$AI923,'T1 2019 Pipeline Data Lagasco'!$Q:$Q,'Dec 31 2018 OFFS'!$AK923,'T1 2019 Pipeline Data Lagasco'!$E:$E,'Dec 31 2018 OFFS'!$U923,'T1 2019 Pipeline Data Lagasco'!$G:$G,'Dec 31 2018 OFFS'!$W923),1))</f>
        <v>0</v>
      </c>
      <c r="AM923" s="274">
        <f t="shared" si="140"/>
        <v>0</v>
      </c>
    </row>
    <row r="924" spans="1:39" ht="12.7">
      <c r="A924" s="193" t="s">
        <v>909</v>
      </c>
      <c r="B924" s="40" t="s">
        <v>918</v>
      </c>
      <c r="C924" s="40" t="s">
        <v>1266</v>
      </c>
      <c r="D924" s="40" t="s">
        <v>336</v>
      </c>
      <c r="E924" s="40" t="s">
        <v>324</v>
      </c>
      <c r="F924" s="40" t="s">
        <v>1051</v>
      </c>
      <c r="G924" s="41" t="s">
        <v>421</v>
      </c>
      <c r="H924" s="42">
        <v>42</v>
      </c>
      <c r="I924" s="43">
        <v>30</v>
      </c>
      <c r="J924" s="44">
        <v>49.098999999999997</v>
      </c>
      <c r="K924" s="45">
        <v>80</v>
      </c>
      <c r="L924" s="43">
        <v>14</v>
      </c>
      <c r="M924" s="46">
        <v>8.5980000000000008</v>
      </c>
      <c r="N924" s="41" t="s">
        <v>527</v>
      </c>
      <c r="O924" s="42">
        <v>42</v>
      </c>
      <c r="P924" s="43">
        <v>30</v>
      </c>
      <c r="Q924" s="44">
        <v>49.45</v>
      </c>
      <c r="R924" s="45">
        <v>80</v>
      </c>
      <c r="S924" s="43">
        <v>10</v>
      </c>
      <c r="T924" s="46">
        <v>26.173999999999999</v>
      </c>
      <c r="U924" s="40">
        <v>6</v>
      </c>
      <c r="V924" s="47">
        <v>16658.595318092001</v>
      </c>
      <c r="W924" s="48">
        <v>1980</v>
      </c>
      <c r="X924" s="40"/>
      <c r="Y924" s="52" t="s">
        <v>1081</v>
      </c>
      <c r="Z924" s="40" t="s">
        <v>910</v>
      </c>
      <c r="AA924" s="49">
        <f t="shared" si="133"/>
        <v>0</v>
      </c>
      <c r="AB924" s="71">
        <f t="shared" si="134"/>
        <v>0.80</v>
      </c>
      <c r="AC924" s="49">
        <f t="shared" si="135"/>
        <v>0</v>
      </c>
      <c r="AD924" s="50">
        <f t="shared" si="136"/>
        <v>0</v>
      </c>
      <c r="AE924" s="50">
        <f t="shared" si="137"/>
        <v>0</v>
      </c>
      <c r="AF924" s="50">
        <f t="shared" si="138"/>
        <v>0</v>
      </c>
      <c r="AG924" s="199">
        <f t="shared" si="139"/>
        <v>0</v>
      </c>
      <c r="AH924" s="187"/>
      <c r="AI924" s="185" t="s">
        <v>1458</v>
      </c>
      <c r="AJ924" s="185"/>
      <c r="AK924" s="277">
        <f t="shared" si="132"/>
        <v>16658.60</v>
      </c>
      <c r="AL924" s="25">
        <f>(SUMIFS('T1 2019 Pipeline Data Lagasco'!$O:$O,'T1 2019 Pipeline Data Lagasco'!$A:$A,'Dec 31 2018 OFFS'!$AI924,'T1 2019 Pipeline Data Lagasco'!$Q:$Q,'Dec 31 2018 OFFS'!$AK924,'T1 2019 Pipeline Data Lagasco'!$E:$E,'Dec 31 2018 OFFS'!$U924,'T1 2019 Pipeline Data Lagasco'!$G:$G,'Dec 31 2018 OFFS'!$W924))/(MAX(COUNTIFS('T1 2019 Pipeline Data Lagasco'!$A:$A,'Dec 31 2018 OFFS'!$AI924,'T1 2019 Pipeline Data Lagasco'!$Q:$Q,'Dec 31 2018 OFFS'!$AK924,'T1 2019 Pipeline Data Lagasco'!$E:$E,'Dec 31 2018 OFFS'!$U924,'T1 2019 Pipeline Data Lagasco'!$G:$G,'Dec 31 2018 OFFS'!$W924),1))</f>
        <v>0</v>
      </c>
      <c r="AM924" s="274">
        <f t="shared" si="140"/>
        <v>0</v>
      </c>
    </row>
    <row r="925" spans="1:39" ht="12.7">
      <c r="A925" s="193" t="s">
        <v>909</v>
      </c>
      <c r="B925" s="40" t="s">
        <v>918</v>
      </c>
      <c r="C925" s="40" t="s">
        <v>1266</v>
      </c>
      <c r="D925" s="40" t="s">
        <v>336</v>
      </c>
      <c r="E925" s="40" t="s">
        <v>1223</v>
      </c>
      <c r="F925" s="40"/>
      <c r="G925" s="41" t="s">
        <v>492</v>
      </c>
      <c r="H925" s="42">
        <v>42</v>
      </c>
      <c r="I925" s="43">
        <v>32</v>
      </c>
      <c r="J925" s="44">
        <v>16.001000000000001</v>
      </c>
      <c r="K925" s="45">
        <v>80</v>
      </c>
      <c r="L925" s="43">
        <v>18</v>
      </c>
      <c r="M925" s="46">
        <v>44.936</v>
      </c>
      <c r="N925" s="40" t="s">
        <v>493</v>
      </c>
      <c r="O925" s="42">
        <v>42</v>
      </c>
      <c r="P925" s="43">
        <v>31</v>
      </c>
      <c r="Q925" s="44">
        <v>25.08</v>
      </c>
      <c r="R925" s="45">
        <v>80</v>
      </c>
      <c r="S925" s="43">
        <v>20</v>
      </c>
      <c r="T925" s="46">
        <v>34.619999999999997</v>
      </c>
      <c r="U925" s="40">
        <v>3</v>
      </c>
      <c r="V925" s="47">
        <v>9696.2923701139989</v>
      </c>
      <c r="W925" s="48">
        <v>1985</v>
      </c>
      <c r="X925" s="40"/>
      <c r="Y925" s="52" t="s">
        <v>1081</v>
      </c>
      <c r="Z925" s="40" t="s">
        <v>910</v>
      </c>
      <c r="AA925" s="49">
        <f t="shared" si="133"/>
        <v>228735.53701098924</v>
      </c>
      <c r="AB925" s="71">
        <f t="shared" si="134"/>
        <v>0.80</v>
      </c>
      <c r="AC925" s="49">
        <f t="shared" si="135"/>
        <v>45747.11</v>
      </c>
      <c r="AD925" s="50">
        <f t="shared" si="136"/>
        <v>0</v>
      </c>
      <c r="AE925" s="50">
        <f t="shared" si="137"/>
        <v>0</v>
      </c>
      <c r="AF925" s="50">
        <f t="shared" si="138"/>
        <v>45747.11</v>
      </c>
      <c r="AG925" s="199">
        <f t="shared" si="139"/>
        <v>45747</v>
      </c>
      <c r="AH925" s="187"/>
      <c r="AI925" s="185" t="s">
        <v>1458</v>
      </c>
      <c r="AJ925" s="185"/>
      <c r="AK925" s="277">
        <f t="shared" si="132"/>
        <v>9696.2900000000009</v>
      </c>
      <c r="AL925" s="25">
        <f>(SUMIFS('T1 2019 Pipeline Data Lagasco'!$O:$O,'T1 2019 Pipeline Data Lagasco'!$A:$A,'Dec 31 2018 OFFS'!$AI925,'T1 2019 Pipeline Data Lagasco'!$Q:$Q,'Dec 31 2018 OFFS'!$AK925,'T1 2019 Pipeline Data Lagasco'!$E:$E,'Dec 31 2018 OFFS'!$U925,'T1 2019 Pipeline Data Lagasco'!$G:$G,'Dec 31 2018 OFFS'!$W925))/(MAX(COUNTIFS('T1 2019 Pipeline Data Lagasco'!$A:$A,'Dec 31 2018 OFFS'!$AI925,'T1 2019 Pipeline Data Lagasco'!$Q:$Q,'Dec 31 2018 OFFS'!$AK925,'T1 2019 Pipeline Data Lagasco'!$E:$E,'Dec 31 2018 OFFS'!$U925,'T1 2019 Pipeline Data Lagasco'!$G:$G,'Dec 31 2018 OFFS'!$W925),1))</f>
        <v>45747</v>
      </c>
      <c r="AM925" s="274">
        <f t="shared" si="140"/>
        <v>0</v>
      </c>
    </row>
    <row r="926" spans="1:39" ht="12.7">
      <c r="A926" s="193" t="s">
        <v>909</v>
      </c>
      <c r="B926" s="40" t="s">
        <v>918</v>
      </c>
      <c r="C926" s="40" t="s">
        <v>1266</v>
      </c>
      <c r="D926" s="40" t="s">
        <v>336</v>
      </c>
      <c r="E926" s="40" t="s">
        <v>324</v>
      </c>
      <c r="F926" s="40"/>
      <c r="G926" s="41" t="s">
        <v>494</v>
      </c>
      <c r="H926" s="42">
        <v>42</v>
      </c>
      <c r="I926" s="43">
        <v>32</v>
      </c>
      <c r="J926" s="44">
        <v>53.58</v>
      </c>
      <c r="K926" s="45">
        <v>80</v>
      </c>
      <c r="L926" s="43">
        <v>19</v>
      </c>
      <c r="M926" s="46">
        <v>25.32</v>
      </c>
      <c r="N926" s="40" t="s">
        <v>492</v>
      </c>
      <c r="O926" s="42">
        <v>42</v>
      </c>
      <c r="P926" s="43">
        <v>32</v>
      </c>
      <c r="Q926" s="44">
        <v>16.001000000000001</v>
      </c>
      <c r="R926" s="45">
        <v>80</v>
      </c>
      <c r="S926" s="43">
        <v>18</v>
      </c>
      <c r="T926" s="46">
        <v>44.936</v>
      </c>
      <c r="U926" s="40">
        <v>3</v>
      </c>
      <c r="V926" s="47">
        <v>4859.2190193819997</v>
      </c>
      <c r="W926" s="48">
        <v>1994</v>
      </c>
      <c r="X926" s="40"/>
      <c r="Y926" s="52" t="s">
        <v>1081</v>
      </c>
      <c r="Z926" s="40" t="s">
        <v>910</v>
      </c>
      <c r="AA926" s="49">
        <f t="shared" si="133"/>
        <v>114628.97666722137</v>
      </c>
      <c r="AB926" s="71">
        <f t="shared" si="134"/>
        <v>0.68</v>
      </c>
      <c r="AC926" s="49">
        <f t="shared" si="135"/>
        <v>36681.269999999997</v>
      </c>
      <c r="AD926" s="50">
        <f t="shared" si="136"/>
        <v>0</v>
      </c>
      <c r="AE926" s="50">
        <f t="shared" si="137"/>
        <v>0</v>
      </c>
      <c r="AF926" s="50">
        <f t="shared" si="138"/>
        <v>36681.269999999997</v>
      </c>
      <c r="AG926" s="199">
        <f t="shared" si="139"/>
        <v>36681</v>
      </c>
      <c r="AH926" s="187"/>
      <c r="AI926" s="185" t="s">
        <v>1458</v>
      </c>
      <c r="AJ926" s="185"/>
      <c r="AK926" s="277">
        <f t="shared" si="132"/>
        <v>4859.22</v>
      </c>
      <c r="AL926" s="25">
        <f>(SUMIFS('T1 2019 Pipeline Data Lagasco'!$O:$O,'T1 2019 Pipeline Data Lagasco'!$A:$A,'Dec 31 2018 OFFS'!$AI926,'T1 2019 Pipeline Data Lagasco'!$Q:$Q,'Dec 31 2018 OFFS'!$AK926,'T1 2019 Pipeline Data Lagasco'!$E:$E,'Dec 31 2018 OFFS'!$U926,'T1 2019 Pipeline Data Lagasco'!$G:$G,'Dec 31 2018 OFFS'!$W926))/(MAX(COUNTIFS('T1 2019 Pipeline Data Lagasco'!$A:$A,'Dec 31 2018 OFFS'!$AI926,'T1 2019 Pipeline Data Lagasco'!$Q:$Q,'Dec 31 2018 OFFS'!$AK926,'T1 2019 Pipeline Data Lagasco'!$E:$E,'Dec 31 2018 OFFS'!$U926,'T1 2019 Pipeline Data Lagasco'!$G:$G,'Dec 31 2018 OFFS'!$W926),1))</f>
        <v>36681</v>
      </c>
      <c r="AM926" s="274">
        <f t="shared" si="140"/>
        <v>0</v>
      </c>
    </row>
    <row r="927" spans="1:39" ht="12.7">
      <c r="A927" s="193" t="s">
        <v>909</v>
      </c>
      <c r="B927" s="40" t="s">
        <v>918</v>
      </c>
      <c r="C927" s="40" t="s">
        <v>1266</v>
      </c>
      <c r="D927" s="40" t="s">
        <v>336</v>
      </c>
      <c r="E927" s="40" t="s">
        <v>324</v>
      </c>
      <c r="F927" s="40" t="s">
        <v>1051</v>
      </c>
      <c r="G927" s="41" t="s">
        <v>494</v>
      </c>
      <c r="H927" s="42">
        <v>42</v>
      </c>
      <c r="I927" s="43">
        <v>32</v>
      </c>
      <c r="J927" s="44">
        <v>53.58</v>
      </c>
      <c r="K927" s="45">
        <v>80</v>
      </c>
      <c r="L927" s="43">
        <v>19</v>
      </c>
      <c r="M927" s="46">
        <v>25.32</v>
      </c>
      <c r="N927" s="40" t="s">
        <v>495</v>
      </c>
      <c r="O927" s="42">
        <v>42</v>
      </c>
      <c r="P927" s="43">
        <v>33</v>
      </c>
      <c r="Q927" s="44">
        <v>16.20</v>
      </c>
      <c r="R927" s="45">
        <v>80</v>
      </c>
      <c r="S927" s="43">
        <v>20</v>
      </c>
      <c r="T927" s="46">
        <v>14.52</v>
      </c>
      <c r="U927" s="40">
        <v>3</v>
      </c>
      <c r="V927" s="47">
        <v>4331</v>
      </c>
      <c r="W927" s="48">
        <v>1994</v>
      </c>
      <c r="X927" s="40"/>
      <c r="Y927" s="52"/>
      <c r="Z927" s="40" t="s">
        <v>910</v>
      </c>
      <c r="AA927" s="49">
        <f t="shared" si="133"/>
        <v>0</v>
      </c>
      <c r="AB927" s="71">
        <f t="shared" si="134"/>
        <v>0.68</v>
      </c>
      <c r="AC927" s="49">
        <f t="shared" si="135"/>
        <v>0</v>
      </c>
      <c r="AD927" s="50">
        <f t="shared" si="136"/>
        <v>0</v>
      </c>
      <c r="AE927" s="50">
        <f t="shared" si="137"/>
        <v>0</v>
      </c>
      <c r="AF927" s="50">
        <f t="shared" si="138"/>
        <v>0</v>
      </c>
      <c r="AG927" s="199">
        <f t="shared" si="139"/>
        <v>0</v>
      </c>
      <c r="AH927" s="187"/>
      <c r="AI927" s="185" t="s">
        <v>1458</v>
      </c>
      <c r="AJ927" s="185"/>
      <c r="AK927" s="277">
        <f t="shared" si="132"/>
        <v>4331</v>
      </c>
      <c r="AL927" s="25">
        <f>(SUMIFS('T1 2019 Pipeline Data Lagasco'!$O:$O,'T1 2019 Pipeline Data Lagasco'!$A:$A,'Dec 31 2018 OFFS'!$AI927,'T1 2019 Pipeline Data Lagasco'!$Q:$Q,'Dec 31 2018 OFFS'!$AK927,'T1 2019 Pipeline Data Lagasco'!$E:$E,'Dec 31 2018 OFFS'!$U927,'T1 2019 Pipeline Data Lagasco'!$G:$G,'Dec 31 2018 OFFS'!$W927))/(MAX(COUNTIFS('T1 2019 Pipeline Data Lagasco'!$A:$A,'Dec 31 2018 OFFS'!$AI927,'T1 2019 Pipeline Data Lagasco'!$Q:$Q,'Dec 31 2018 OFFS'!$AK927,'T1 2019 Pipeline Data Lagasco'!$E:$E,'Dec 31 2018 OFFS'!$U927,'T1 2019 Pipeline Data Lagasco'!$G:$G,'Dec 31 2018 OFFS'!$W927),1))</f>
        <v>0</v>
      </c>
      <c r="AM927" s="274">
        <f t="shared" si="140"/>
        <v>0</v>
      </c>
    </row>
    <row r="928" spans="1:39" ht="12.7">
      <c r="A928" s="193" t="s">
        <v>909</v>
      </c>
      <c r="B928" s="40" t="s">
        <v>918</v>
      </c>
      <c r="C928" s="40" t="s">
        <v>1266</v>
      </c>
      <c r="D928" s="40" t="s">
        <v>336</v>
      </c>
      <c r="E928" s="40" t="s">
        <v>1223</v>
      </c>
      <c r="F928" s="40"/>
      <c r="G928" s="41" t="s">
        <v>494</v>
      </c>
      <c r="H928" s="42">
        <v>42</v>
      </c>
      <c r="I928" s="43">
        <v>32</v>
      </c>
      <c r="J928" s="44">
        <v>53.58</v>
      </c>
      <c r="K928" s="45">
        <v>80</v>
      </c>
      <c r="L928" s="43">
        <v>19</v>
      </c>
      <c r="M928" s="46">
        <v>25.32</v>
      </c>
      <c r="N928" s="40" t="s">
        <v>496</v>
      </c>
      <c r="O928" s="42">
        <v>42</v>
      </c>
      <c r="P928" s="43">
        <v>32</v>
      </c>
      <c r="Q928" s="44">
        <v>49.80</v>
      </c>
      <c r="R928" s="45">
        <v>80</v>
      </c>
      <c r="S928" s="43">
        <v>24</v>
      </c>
      <c r="T928" s="46">
        <v>49.98</v>
      </c>
      <c r="U928" s="40">
        <v>3</v>
      </c>
      <c r="V928" s="47">
        <v>24304.887747574001</v>
      </c>
      <c r="W928" s="48">
        <v>1985</v>
      </c>
      <c r="X928" s="40"/>
      <c r="Y928" s="52" t="s">
        <v>1081</v>
      </c>
      <c r="Z928" s="40" t="s">
        <v>910</v>
      </c>
      <c r="AA928" s="49">
        <f t="shared" si="133"/>
        <v>573352.30196527066</v>
      </c>
      <c r="AB928" s="71">
        <f t="shared" si="134"/>
        <v>0.80</v>
      </c>
      <c r="AC928" s="49">
        <f t="shared" si="135"/>
        <v>114670.46</v>
      </c>
      <c r="AD928" s="50">
        <f t="shared" si="136"/>
        <v>0</v>
      </c>
      <c r="AE928" s="50">
        <f t="shared" si="137"/>
        <v>0</v>
      </c>
      <c r="AF928" s="50">
        <f t="shared" si="138"/>
        <v>114670.46</v>
      </c>
      <c r="AG928" s="199">
        <f t="shared" si="139"/>
        <v>114670</v>
      </c>
      <c r="AH928" s="187"/>
      <c r="AI928" s="185" t="s">
        <v>1458</v>
      </c>
      <c r="AJ928" s="185"/>
      <c r="AK928" s="277">
        <f t="shared" si="132"/>
        <v>24304.89</v>
      </c>
      <c r="AL928" s="25">
        <f>(SUMIFS('T1 2019 Pipeline Data Lagasco'!$O:$O,'T1 2019 Pipeline Data Lagasco'!$A:$A,'Dec 31 2018 OFFS'!$AI928,'T1 2019 Pipeline Data Lagasco'!$Q:$Q,'Dec 31 2018 OFFS'!$AK928,'T1 2019 Pipeline Data Lagasco'!$E:$E,'Dec 31 2018 OFFS'!$U928,'T1 2019 Pipeline Data Lagasco'!$G:$G,'Dec 31 2018 OFFS'!$W928))/(MAX(COUNTIFS('T1 2019 Pipeline Data Lagasco'!$A:$A,'Dec 31 2018 OFFS'!$AI928,'T1 2019 Pipeline Data Lagasco'!$Q:$Q,'Dec 31 2018 OFFS'!$AK928,'T1 2019 Pipeline Data Lagasco'!$E:$E,'Dec 31 2018 OFFS'!$U928,'T1 2019 Pipeline Data Lagasco'!$G:$G,'Dec 31 2018 OFFS'!$W928),1))</f>
        <v>114670</v>
      </c>
      <c r="AM928" s="274">
        <f t="shared" si="140"/>
        <v>0</v>
      </c>
    </row>
    <row r="929" spans="1:39" ht="12.7">
      <c r="A929" s="193" t="s">
        <v>909</v>
      </c>
      <c r="B929" s="40" t="s">
        <v>918</v>
      </c>
      <c r="C929" s="40" t="s">
        <v>1266</v>
      </c>
      <c r="D929" s="40" t="s">
        <v>336</v>
      </c>
      <c r="E929" s="40" t="s">
        <v>324</v>
      </c>
      <c r="F929" s="40" t="s">
        <v>1051</v>
      </c>
      <c r="G929" s="41" t="s">
        <v>491</v>
      </c>
      <c r="H929" s="42">
        <v>42</v>
      </c>
      <c r="I929" s="43">
        <v>31</v>
      </c>
      <c r="J929" s="44">
        <v>19.405999999999999</v>
      </c>
      <c r="K929" s="45">
        <v>80</v>
      </c>
      <c r="L929" s="43">
        <v>17</v>
      </c>
      <c r="M929" s="46">
        <v>15.603999999999999</v>
      </c>
      <c r="N929" s="41" t="s">
        <v>497</v>
      </c>
      <c r="O929" s="42">
        <v>42</v>
      </c>
      <c r="P929" s="43">
        <v>31</v>
      </c>
      <c r="Q929" s="44">
        <v>46.20</v>
      </c>
      <c r="R929" s="45">
        <v>80</v>
      </c>
      <c r="S929" s="43">
        <v>18</v>
      </c>
      <c r="T929" s="46">
        <v>15.42</v>
      </c>
      <c r="U929" s="40">
        <v>3</v>
      </c>
      <c r="V929" s="47">
        <v>5236.3515543919993</v>
      </c>
      <c r="W929" s="48">
        <v>1995</v>
      </c>
      <c r="X929" s="40"/>
      <c r="Y929" s="52" t="s">
        <v>1081</v>
      </c>
      <c r="Z929" s="40" t="s">
        <v>910</v>
      </c>
      <c r="AA929" s="49">
        <f t="shared" si="133"/>
        <v>0</v>
      </c>
      <c r="AB929" s="71">
        <f t="shared" si="134"/>
        <v>0.67</v>
      </c>
      <c r="AC929" s="49">
        <f t="shared" si="135"/>
        <v>0</v>
      </c>
      <c r="AD929" s="50">
        <f t="shared" si="136"/>
        <v>0</v>
      </c>
      <c r="AE929" s="50">
        <f t="shared" si="137"/>
        <v>0</v>
      </c>
      <c r="AF929" s="50">
        <f t="shared" si="138"/>
        <v>0</v>
      </c>
      <c r="AG929" s="199">
        <f t="shared" si="139"/>
        <v>0</v>
      </c>
      <c r="AH929" s="187"/>
      <c r="AI929" s="185" t="s">
        <v>1458</v>
      </c>
      <c r="AJ929" s="185"/>
      <c r="AK929" s="277">
        <f t="shared" si="132"/>
        <v>5236.3500000000004</v>
      </c>
      <c r="AL929" s="25">
        <f>(SUMIFS('T1 2019 Pipeline Data Lagasco'!$O:$O,'T1 2019 Pipeline Data Lagasco'!$A:$A,'Dec 31 2018 OFFS'!$AI929,'T1 2019 Pipeline Data Lagasco'!$Q:$Q,'Dec 31 2018 OFFS'!$AK929,'T1 2019 Pipeline Data Lagasco'!$E:$E,'Dec 31 2018 OFFS'!$U929,'T1 2019 Pipeline Data Lagasco'!$G:$G,'Dec 31 2018 OFFS'!$W929))/(MAX(COUNTIFS('T1 2019 Pipeline Data Lagasco'!$A:$A,'Dec 31 2018 OFFS'!$AI929,'T1 2019 Pipeline Data Lagasco'!$Q:$Q,'Dec 31 2018 OFFS'!$AK929,'T1 2019 Pipeline Data Lagasco'!$E:$E,'Dec 31 2018 OFFS'!$U929,'T1 2019 Pipeline Data Lagasco'!$G:$G,'Dec 31 2018 OFFS'!$W929),1))</f>
        <v>0</v>
      </c>
      <c r="AM929" s="274">
        <f t="shared" si="140"/>
        <v>0</v>
      </c>
    </row>
    <row r="930" spans="1:39" ht="12.7">
      <c r="A930" s="193" t="s">
        <v>909</v>
      </c>
      <c r="B930" s="40" t="s">
        <v>918</v>
      </c>
      <c r="C930" s="40" t="s">
        <v>1266</v>
      </c>
      <c r="D930" s="40" t="s">
        <v>336</v>
      </c>
      <c r="E930" s="40" t="s">
        <v>1223</v>
      </c>
      <c r="F930" s="40"/>
      <c r="G930" s="41" t="s">
        <v>496</v>
      </c>
      <c r="H930" s="42">
        <v>42</v>
      </c>
      <c r="I930" s="43">
        <v>32</v>
      </c>
      <c r="J930" s="44">
        <v>49.80</v>
      </c>
      <c r="K930" s="45">
        <v>80</v>
      </c>
      <c r="L930" s="43">
        <v>24</v>
      </c>
      <c r="M930" s="46">
        <v>49.98</v>
      </c>
      <c r="N930" s="41" t="s">
        <v>498</v>
      </c>
      <c r="O930" s="42">
        <v>42</v>
      </c>
      <c r="P930" s="43">
        <v>33</v>
      </c>
      <c r="Q930" s="44">
        <v>7.80</v>
      </c>
      <c r="R930" s="45">
        <v>80</v>
      </c>
      <c r="S930" s="43">
        <v>25</v>
      </c>
      <c r="T930" s="46">
        <v>32.520000000000003</v>
      </c>
      <c r="U930" s="40">
        <v>3</v>
      </c>
      <c r="V930" s="47">
        <v>3668.6678727580002</v>
      </c>
      <c r="W930" s="48">
        <v>1984</v>
      </c>
      <c r="X930" s="40"/>
      <c r="Y930" s="52"/>
      <c r="Z930" s="40" t="s">
        <v>910</v>
      </c>
      <c r="AA930" s="49">
        <f t="shared" si="133"/>
        <v>86543.875118361218</v>
      </c>
      <c r="AB930" s="71">
        <f t="shared" si="134"/>
        <v>0.80</v>
      </c>
      <c r="AC930" s="49">
        <f t="shared" si="135"/>
        <v>17308.78</v>
      </c>
      <c r="AD930" s="50">
        <f t="shared" si="136"/>
        <v>0</v>
      </c>
      <c r="AE930" s="50">
        <f t="shared" si="137"/>
        <v>0</v>
      </c>
      <c r="AF930" s="50">
        <f t="shared" si="138"/>
        <v>17308.78</v>
      </c>
      <c r="AG930" s="199">
        <f t="shared" si="139"/>
        <v>17308</v>
      </c>
      <c r="AH930" s="187"/>
      <c r="AI930" s="185" t="s">
        <v>1458</v>
      </c>
      <c r="AJ930" s="185"/>
      <c r="AK930" s="277">
        <f t="shared" si="132"/>
        <v>3668.67</v>
      </c>
      <c r="AL930" s="25">
        <f>(SUMIFS('T1 2019 Pipeline Data Lagasco'!$O:$O,'T1 2019 Pipeline Data Lagasco'!$A:$A,'Dec 31 2018 OFFS'!$AI930,'T1 2019 Pipeline Data Lagasco'!$Q:$Q,'Dec 31 2018 OFFS'!$AK930,'T1 2019 Pipeline Data Lagasco'!$E:$E,'Dec 31 2018 OFFS'!$U930,'T1 2019 Pipeline Data Lagasco'!$G:$G,'Dec 31 2018 OFFS'!$W930))/(MAX(COUNTIFS('T1 2019 Pipeline Data Lagasco'!$A:$A,'Dec 31 2018 OFFS'!$AI930,'T1 2019 Pipeline Data Lagasco'!$Q:$Q,'Dec 31 2018 OFFS'!$AK930,'T1 2019 Pipeline Data Lagasco'!$E:$E,'Dec 31 2018 OFFS'!$U930,'T1 2019 Pipeline Data Lagasco'!$G:$G,'Dec 31 2018 OFFS'!$W930),1))</f>
        <v>17308</v>
      </c>
      <c r="AM930" s="274">
        <f t="shared" si="140"/>
        <v>0</v>
      </c>
    </row>
    <row r="931" spans="1:39" ht="12.7">
      <c r="A931" s="193" t="s">
        <v>909</v>
      </c>
      <c r="B931" s="40" t="s">
        <v>918</v>
      </c>
      <c r="C931" s="40" t="s">
        <v>1266</v>
      </c>
      <c r="D931" s="40" t="s">
        <v>336</v>
      </c>
      <c r="E931" s="40" t="s">
        <v>1223</v>
      </c>
      <c r="F931" s="40"/>
      <c r="G931" s="41" t="s">
        <v>496</v>
      </c>
      <c r="H931" s="42">
        <v>42</v>
      </c>
      <c r="I931" s="43">
        <v>32</v>
      </c>
      <c r="J931" s="44">
        <v>49.80</v>
      </c>
      <c r="K931" s="45">
        <v>80</v>
      </c>
      <c r="L931" s="43">
        <v>24</v>
      </c>
      <c r="M931" s="46">
        <v>49.98</v>
      </c>
      <c r="N931" s="40" t="s">
        <v>499</v>
      </c>
      <c r="O931" s="42">
        <v>42</v>
      </c>
      <c r="P931" s="43">
        <v>32</v>
      </c>
      <c r="Q931" s="44">
        <v>29.52</v>
      </c>
      <c r="R931" s="45">
        <v>80</v>
      </c>
      <c r="S931" s="43">
        <v>25</v>
      </c>
      <c r="T931" s="46">
        <v>49.80</v>
      </c>
      <c r="U931" s="40">
        <v>3</v>
      </c>
      <c r="V931" s="47">
        <v>4926.1481513019999</v>
      </c>
      <c r="W931" s="48">
        <v>1995</v>
      </c>
      <c r="X931" s="40"/>
      <c r="Y931" s="52" t="s">
        <v>1081</v>
      </c>
      <c r="Z931" s="40" t="s">
        <v>910</v>
      </c>
      <c r="AA931" s="49">
        <f t="shared" si="133"/>
        <v>116207.83488921418</v>
      </c>
      <c r="AB931" s="71">
        <f t="shared" si="134"/>
        <v>0.67</v>
      </c>
      <c r="AC931" s="49">
        <f t="shared" si="135"/>
        <v>38348.589999999997</v>
      </c>
      <c r="AD931" s="50">
        <f t="shared" si="136"/>
        <v>0</v>
      </c>
      <c r="AE931" s="50">
        <f t="shared" si="137"/>
        <v>0</v>
      </c>
      <c r="AF931" s="50">
        <f t="shared" si="138"/>
        <v>38348.589999999997</v>
      </c>
      <c r="AG931" s="199">
        <f t="shared" si="139"/>
        <v>38348</v>
      </c>
      <c r="AH931" s="187"/>
      <c r="AI931" s="185" t="s">
        <v>1458</v>
      </c>
      <c r="AJ931" s="185"/>
      <c r="AK931" s="277">
        <f t="shared" si="132"/>
        <v>4926.1499999999996</v>
      </c>
      <c r="AL931" s="25">
        <f>(SUMIFS('T1 2019 Pipeline Data Lagasco'!$O:$O,'T1 2019 Pipeline Data Lagasco'!$A:$A,'Dec 31 2018 OFFS'!$AI931,'T1 2019 Pipeline Data Lagasco'!$Q:$Q,'Dec 31 2018 OFFS'!$AK931,'T1 2019 Pipeline Data Lagasco'!$E:$E,'Dec 31 2018 OFFS'!$U931,'T1 2019 Pipeline Data Lagasco'!$G:$G,'Dec 31 2018 OFFS'!$W931))/(MAX(COUNTIFS('T1 2019 Pipeline Data Lagasco'!$A:$A,'Dec 31 2018 OFFS'!$AI931,'T1 2019 Pipeline Data Lagasco'!$Q:$Q,'Dec 31 2018 OFFS'!$AK931,'T1 2019 Pipeline Data Lagasco'!$E:$E,'Dec 31 2018 OFFS'!$U931,'T1 2019 Pipeline Data Lagasco'!$G:$G,'Dec 31 2018 OFFS'!$W931),1))</f>
        <v>38348</v>
      </c>
      <c r="AM931" s="274">
        <f t="shared" si="140"/>
        <v>0</v>
      </c>
    </row>
    <row r="932" spans="1:39" ht="12.7">
      <c r="A932" s="193" t="s">
        <v>909</v>
      </c>
      <c r="B932" s="40" t="s">
        <v>918</v>
      </c>
      <c r="C932" s="40" t="s">
        <v>1266</v>
      </c>
      <c r="D932" s="40" t="s">
        <v>336</v>
      </c>
      <c r="E932" s="40" t="s">
        <v>1223</v>
      </c>
      <c r="F932" s="40"/>
      <c r="G932" s="41" t="s">
        <v>499</v>
      </c>
      <c r="H932" s="42">
        <v>42</v>
      </c>
      <c r="I932" s="43">
        <v>32</v>
      </c>
      <c r="J932" s="44">
        <v>29.52</v>
      </c>
      <c r="K932" s="45">
        <v>80</v>
      </c>
      <c r="L932" s="43">
        <v>25</v>
      </c>
      <c r="M932" s="46">
        <v>49.80</v>
      </c>
      <c r="N932" s="41" t="s">
        <v>500</v>
      </c>
      <c r="O932" s="42">
        <v>42</v>
      </c>
      <c r="P932" s="43">
        <v>31</v>
      </c>
      <c r="Q932" s="44">
        <v>13.98</v>
      </c>
      <c r="R932" s="45">
        <v>80</v>
      </c>
      <c r="S932" s="43">
        <v>27</v>
      </c>
      <c r="T932" s="46">
        <v>31.50</v>
      </c>
      <c r="U932" s="40">
        <v>3</v>
      </c>
      <c r="V932" s="47">
        <v>10791.666354139999</v>
      </c>
      <c r="W932" s="48">
        <v>1995</v>
      </c>
      <c r="X932" s="40"/>
      <c r="Y932" s="52" t="s">
        <v>1081</v>
      </c>
      <c r="Z932" s="40" t="s">
        <v>910</v>
      </c>
      <c r="AA932" s="49">
        <f t="shared" si="133"/>
        <v>254575.40929416259</v>
      </c>
      <c r="AB932" s="71">
        <f t="shared" si="134"/>
        <v>0.67</v>
      </c>
      <c r="AC932" s="49">
        <f t="shared" si="135"/>
        <v>84009.89</v>
      </c>
      <c r="AD932" s="50">
        <f t="shared" si="136"/>
        <v>0</v>
      </c>
      <c r="AE932" s="50">
        <f t="shared" si="137"/>
        <v>0</v>
      </c>
      <c r="AF932" s="50">
        <f t="shared" si="138"/>
        <v>84009.89</v>
      </c>
      <c r="AG932" s="199">
        <f t="shared" si="139"/>
        <v>84009</v>
      </c>
      <c r="AH932" s="187"/>
      <c r="AI932" s="185" t="s">
        <v>1458</v>
      </c>
      <c r="AJ932" s="185"/>
      <c r="AK932" s="277">
        <f t="shared" si="132"/>
        <v>10791.67</v>
      </c>
      <c r="AL932" s="25">
        <f>(SUMIFS('T1 2019 Pipeline Data Lagasco'!$O:$O,'T1 2019 Pipeline Data Lagasco'!$A:$A,'Dec 31 2018 OFFS'!$AI932,'T1 2019 Pipeline Data Lagasco'!$Q:$Q,'Dec 31 2018 OFFS'!$AK932,'T1 2019 Pipeline Data Lagasco'!$E:$E,'Dec 31 2018 OFFS'!$U932,'T1 2019 Pipeline Data Lagasco'!$G:$G,'Dec 31 2018 OFFS'!$W932))/(MAX(COUNTIFS('T1 2019 Pipeline Data Lagasco'!$A:$A,'Dec 31 2018 OFFS'!$AI932,'T1 2019 Pipeline Data Lagasco'!$Q:$Q,'Dec 31 2018 OFFS'!$AK932,'T1 2019 Pipeline Data Lagasco'!$E:$E,'Dec 31 2018 OFFS'!$U932,'T1 2019 Pipeline Data Lagasco'!$G:$G,'Dec 31 2018 OFFS'!$W932),1))</f>
        <v>84009</v>
      </c>
      <c r="AM932" s="274">
        <f t="shared" si="140"/>
        <v>0</v>
      </c>
    </row>
    <row r="933" spans="1:39" ht="12.7">
      <c r="A933" s="193" t="s">
        <v>909</v>
      </c>
      <c r="B933" s="40" t="s">
        <v>918</v>
      </c>
      <c r="C933" s="40" t="s">
        <v>1266</v>
      </c>
      <c r="D933" s="40" t="s">
        <v>336</v>
      </c>
      <c r="E933" s="40" t="s">
        <v>1223</v>
      </c>
      <c r="F933" s="40"/>
      <c r="G933" s="41" t="s">
        <v>500</v>
      </c>
      <c r="H933" s="42">
        <v>42</v>
      </c>
      <c r="I933" s="43">
        <v>31</v>
      </c>
      <c r="J933" s="44">
        <v>13.98</v>
      </c>
      <c r="K933" s="45">
        <v>80</v>
      </c>
      <c r="L933" s="43">
        <v>27</v>
      </c>
      <c r="M933" s="46">
        <v>31.02</v>
      </c>
      <c r="N933" s="41" t="s">
        <v>510</v>
      </c>
      <c r="O933" s="42">
        <v>42</v>
      </c>
      <c r="P933" s="43">
        <v>29</v>
      </c>
      <c r="Q933" s="44">
        <v>58.62</v>
      </c>
      <c r="R933" s="45">
        <v>80</v>
      </c>
      <c r="S933" s="43">
        <v>31</v>
      </c>
      <c r="T933" s="46">
        <v>59.82</v>
      </c>
      <c r="U933" s="40">
        <v>3</v>
      </c>
      <c r="V933" s="47">
        <v>21464</v>
      </c>
      <c r="W933" s="48">
        <v>2006</v>
      </c>
      <c r="X933" s="40" t="s">
        <v>2</v>
      </c>
      <c r="Y933" s="52"/>
      <c r="Z933" s="40" t="s">
        <v>910</v>
      </c>
      <c r="AA933" s="49">
        <f t="shared" si="133"/>
        <v>506335.76</v>
      </c>
      <c r="AB933" s="71">
        <f t="shared" si="134"/>
        <v>0.52</v>
      </c>
      <c r="AC933" s="49">
        <f t="shared" si="135"/>
        <v>243041.16</v>
      </c>
      <c r="AD933" s="50">
        <f t="shared" si="136"/>
        <v>60760.29</v>
      </c>
      <c r="AE933" s="50">
        <f t="shared" si="137"/>
        <v>0</v>
      </c>
      <c r="AF933" s="50">
        <f t="shared" si="138"/>
        <v>182280.87</v>
      </c>
      <c r="AG933" s="199">
        <f t="shared" si="139"/>
        <v>182280</v>
      </c>
      <c r="AH933" s="187"/>
      <c r="AI933" s="185" t="s">
        <v>1458</v>
      </c>
      <c r="AJ933" s="185"/>
      <c r="AK933" s="277">
        <f t="shared" si="132"/>
        <v>21464</v>
      </c>
      <c r="AL933" s="25">
        <f>(SUMIFS('T1 2019 Pipeline Data Lagasco'!$O:$O,'T1 2019 Pipeline Data Lagasco'!$A:$A,'Dec 31 2018 OFFS'!$AI933,'T1 2019 Pipeline Data Lagasco'!$Q:$Q,'Dec 31 2018 OFFS'!$AK933,'T1 2019 Pipeline Data Lagasco'!$E:$E,'Dec 31 2018 OFFS'!$U933,'T1 2019 Pipeline Data Lagasco'!$G:$G,'Dec 31 2018 OFFS'!$W933))/(MAX(COUNTIFS('T1 2019 Pipeline Data Lagasco'!$A:$A,'Dec 31 2018 OFFS'!$AI933,'T1 2019 Pipeline Data Lagasco'!$Q:$Q,'Dec 31 2018 OFFS'!$AK933,'T1 2019 Pipeline Data Lagasco'!$E:$E,'Dec 31 2018 OFFS'!$U933,'T1 2019 Pipeline Data Lagasco'!$G:$G,'Dec 31 2018 OFFS'!$W933),1))</f>
        <v>182280</v>
      </c>
      <c r="AM933" s="274">
        <f t="shared" si="140"/>
        <v>0</v>
      </c>
    </row>
    <row r="934" spans="1:39" ht="12.7">
      <c r="A934" s="193" t="s">
        <v>909</v>
      </c>
      <c r="B934" s="40" t="s">
        <v>918</v>
      </c>
      <c r="C934" s="40" t="s">
        <v>1266</v>
      </c>
      <c r="D934" s="40" t="s">
        <v>336</v>
      </c>
      <c r="E934" s="40" t="s">
        <v>1054</v>
      </c>
      <c r="F934" s="139" t="s">
        <v>1051</v>
      </c>
      <c r="G934" s="41" t="s">
        <v>1247</v>
      </c>
      <c r="H934" s="42">
        <v>42</v>
      </c>
      <c r="I934" s="43">
        <v>33</v>
      </c>
      <c r="J934" s="44">
        <f>60*0.275</f>
        <v>16.50</v>
      </c>
      <c r="K934" s="45">
        <v>80</v>
      </c>
      <c r="L934" s="43">
        <v>34</v>
      </c>
      <c r="M934" s="46">
        <f>60*0.608</f>
        <v>36.479999999999997</v>
      </c>
      <c r="N934" s="40" t="s">
        <v>408</v>
      </c>
      <c r="O934" s="42">
        <v>42</v>
      </c>
      <c r="P934" s="43">
        <v>32</v>
      </c>
      <c r="Q934" s="44">
        <f>60*0.37</f>
        <v>22.20</v>
      </c>
      <c r="R934" s="45">
        <v>80</v>
      </c>
      <c r="S934" s="43">
        <v>33</v>
      </c>
      <c r="T934" s="46">
        <f>60*0.987</f>
        <v>59.22</v>
      </c>
      <c r="U934" s="40">
        <v>3</v>
      </c>
      <c r="V934" s="47">
        <v>6117</v>
      </c>
      <c r="W934" s="48">
        <v>2005</v>
      </c>
      <c r="X934" s="40"/>
      <c r="Y934" s="52"/>
      <c r="Z934" s="40" t="s">
        <v>910</v>
      </c>
      <c r="AA934" s="49">
        <f t="shared" si="133"/>
        <v>0</v>
      </c>
      <c r="AB934" s="71">
        <f t="shared" si="134"/>
        <v>0.54</v>
      </c>
      <c r="AC934" s="49">
        <f t="shared" si="135"/>
        <v>0</v>
      </c>
      <c r="AD934" s="50">
        <f t="shared" si="136"/>
        <v>0</v>
      </c>
      <c r="AE934" s="50">
        <f t="shared" si="137"/>
        <v>0</v>
      </c>
      <c r="AF934" s="50">
        <f t="shared" si="138"/>
        <v>0</v>
      </c>
      <c r="AG934" s="199">
        <f t="shared" si="139"/>
        <v>0</v>
      </c>
      <c r="AH934" s="187"/>
      <c r="AI934" s="185" t="s">
        <v>1458</v>
      </c>
      <c r="AJ934" s="185"/>
      <c r="AK934" s="277">
        <f t="shared" si="132"/>
        <v>6117</v>
      </c>
      <c r="AL934" s="25">
        <f>(SUMIFS('T1 2019 Pipeline Data Lagasco'!$O:$O,'T1 2019 Pipeline Data Lagasco'!$A:$A,'Dec 31 2018 OFFS'!$AI934,'T1 2019 Pipeline Data Lagasco'!$Q:$Q,'Dec 31 2018 OFFS'!$AK934,'T1 2019 Pipeline Data Lagasco'!$E:$E,'Dec 31 2018 OFFS'!$U934,'T1 2019 Pipeline Data Lagasco'!$G:$G,'Dec 31 2018 OFFS'!$W934))/(MAX(COUNTIFS('T1 2019 Pipeline Data Lagasco'!$A:$A,'Dec 31 2018 OFFS'!$AI934,'T1 2019 Pipeline Data Lagasco'!$Q:$Q,'Dec 31 2018 OFFS'!$AK934,'T1 2019 Pipeline Data Lagasco'!$E:$E,'Dec 31 2018 OFFS'!$U934,'T1 2019 Pipeline Data Lagasco'!$G:$G,'Dec 31 2018 OFFS'!$W934),1))</f>
        <v>0</v>
      </c>
      <c r="AM934" s="274">
        <f t="shared" si="140"/>
        <v>0</v>
      </c>
    </row>
    <row r="935" spans="1:39" ht="12.7">
      <c r="A935" s="193" t="s">
        <v>909</v>
      </c>
      <c r="B935" s="40" t="s">
        <v>918</v>
      </c>
      <c r="C935" s="40" t="s">
        <v>1266</v>
      </c>
      <c r="D935" s="40" t="s">
        <v>336</v>
      </c>
      <c r="E935" s="40" t="s">
        <v>1054</v>
      </c>
      <c r="F935" s="139" t="s">
        <v>1051</v>
      </c>
      <c r="G935" s="40" t="s">
        <v>404</v>
      </c>
      <c r="H935" s="42">
        <v>42</v>
      </c>
      <c r="I935" s="43">
        <v>32</v>
      </c>
      <c r="J935" s="44">
        <v>56.46</v>
      </c>
      <c r="K935" s="45">
        <v>80</v>
      </c>
      <c r="L935" s="43">
        <v>32</v>
      </c>
      <c r="M935" s="46">
        <v>1.02</v>
      </c>
      <c r="N935" s="41" t="s">
        <v>403</v>
      </c>
      <c r="O935" s="42">
        <v>42</v>
      </c>
      <c r="P935" s="43">
        <v>32</v>
      </c>
      <c r="Q935" s="44">
        <v>6.30</v>
      </c>
      <c r="R935" s="45">
        <v>80</v>
      </c>
      <c r="S935" s="43">
        <v>32</v>
      </c>
      <c r="T935" s="46">
        <v>3.06</v>
      </c>
      <c r="U935" s="40">
        <v>3</v>
      </c>
      <c r="V935" s="281">
        <v>5082</v>
      </c>
      <c r="W935" s="48">
        <v>2006</v>
      </c>
      <c r="X935" s="40"/>
      <c r="Y935" s="52"/>
      <c r="Z935" s="40" t="s">
        <v>910</v>
      </c>
      <c r="AA935" s="49">
        <f t="shared" si="133"/>
        <v>0</v>
      </c>
      <c r="AB935" s="71">
        <f t="shared" si="134"/>
        <v>0.52</v>
      </c>
      <c r="AC935" s="49">
        <f t="shared" si="135"/>
        <v>0</v>
      </c>
      <c r="AD935" s="50">
        <f t="shared" si="136"/>
        <v>0</v>
      </c>
      <c r="AE935" s="50">
        <f t="shared" si="137"/>
        <v>0</v>
      </c>
      <c r="AF935" s="50">
        <f t="shared" si="138"/>
        <v>0</v>
      </c>
      <c r="AG935" s="199">
        <f t="shared" si="139"/>
        <v>0</v>
      </c>
      <c r="AH935" s="187"/>
      <c r="AI935" s="185" t="s">
        <v>1458</v>
      </c>
      <c r="AJ935" s="185"/>
      <c r="AK935" s="277">
        <f t="shared" si="132"/>
        <v>5082</v>
      </c>
      <c r="AL935" s="25">
        <f>(SUMIFS('T1 2019 Pipeline Data Lagasco'!$O:$O,'T1 2019 Pipeline Data Lagasco'!$A:$A,'Dec 31 2018 OFFS'!$AI935,'T1 2019 Pipeline Data Lagasco'!$Q:$Q,'Dec 31 2018 OFFS'!$AK935,'T1 2019 Pipeline Data Lagasco'!$E:$E,'Dec 31 2018 OFFS'!$U935,'T1 2019 Pipeline Data Lagasco'!$G:$G,'Dec 31 2018 OFFS'!$W935))/(MAX(COUNTIFS('T1 2019 Pipeline Data Lagasco'!$A:$A,'Dec 31 2018 OFFS'!$AI935,'T1 2019 Pipeline Data Lagasco'!$Q:$Q,'Dec 31 2018 OFFS'!$AK935,'T1 2019 Pipeline Data Lagasco'!$E:$E,'Dec 31 2018 OFFS'!$U935,'T1 2019 Pipeline Data Lagasco'!$G:$G,'Dec 31 2018 OFFS'!$W935),1))</f>
        <v>0</v>
      </c>
      <c r="AM935" s="274">
        <f t="shared" si="140"/>
        <v>0</v>
      </c>
    </row>
    <row r="936" spans="1:39" ht="12.7">
      <c r="A936" s="193" t="s">
        <v>909</v>
      </c>
      <c r="B936" s="40" t="s">
        <v>918</v>
      </c>
      <c r="C936" s="40" t="s">
        <v>1266</v>
      </c>
      <c r="D936" s="40" t="s">
        <v>336</v>
      </c>
      <c r="E936" s="40" t="s">
        <v>1054</v>
      </c>
      <c r="F936" s="139" t="s">
        <v>1423</v>
      </c>
      <c r="G936" s="40" t="s">
        <v>404</v>
      </c>
      <c r="H936" s="42">
        <v>42</v>
      </c>
      <c r="I936" s="43">
        <v>32</v>
      </c>
      <c r="J936" s="44">
        <v>56.46</v>
      </c>
      <c r="K936" s="45">
        <v>80</v>
      </c>
      <c r="L936" s="43">
        <v>32</v>
      </c>
      <c r="M936" s="46">
        <v>1.02</v>
      </c>
      <c r="N936" s="41" t="s">
        <v>403</v>
      </c>
      <c r="O936" s="42">
        <v>42</v>
      </c>
      <c r="P936" s="43">
        <v>32</v>
      </c>
      <c r="Q936" s="44">
        <v>6.30</v>
      </c>
      <c r="R936" s="45">
        <v>80</v>
      </c>
      <c r="S936" s="43">
        <v>32</v>
      </c>
      <c r="T936" s="46">
        <v>3.06</v>
      </c>
      <c r="U936" s="40">
        <v>3</v>
      </c>
      <c r="V936" s="281">
        <v>5082</v>
      </c>
      <c r="W936" s="48">
        <v>1999</v>
      </c>
      <c r="X936" s="40"/>
      <c r="Y936" s="52"/>
      <c r="Z936" s="40" t="s">
        <v>910</v>
      </c>
      <c r="AA936" s="49">
        <f t="shared" si="133"/>
        <v>119884.38</v>
      </c>
      <c r="AB936" s="71">
        <f t="shared" si="134"/>
        <v>0.62</v>
      </c>
      <c r="AC936" s="49">
        <f t="shared" si="135"/>
        <v>45556.06</v>
      </c>
      <c r="AD936" s="50">
        <f t="shared" si="136"/>
        <v>0</v>
      </c>
      <c r="AE936" s="50">
        <f t="shared" si="137"/>
        <v>0</v>
      </c>
      <c r="AF936" s="50">
        <f t="shared" si="138"/>
        <v>45556.06</v>
      </c>
      <c r="AG936" s="199">
        <f t="shared" si="139"/>
        <v>45556</v>
      </c>
      <c r="AH936" s="187"/>
      <c r="AI936" s="185" t="s">
        <v>1458</v>
      </c>
      <c r="AJ936" s="185"/>
      <c r="AK936" s="277">
        <f t="shared" si="132"/>
        <v>5082</v>
      </c>
      <c r="AL936" s="25">
        <f>(SUMIFS('T1 2019 Pipeline Data Lagasco'!$O:$O,'T1 2019 Pipeline Data Lagasco'!$A:$A,'Dec 31 2018 OFFS'!$AI936,'T1 2019 Pipeline Data Lagasco'!$Q:$Q,'Dec 31 2018 OFFS'!$AK936,'T1 2019 Pipeline Data Lagasco'!$E:$E,'Dec 31 2018 OFFS'!$U936,'T1 2019 Pipeline Data Lagasco'!$G:$G,'Dec 31 2018 OFFS'!$W936))/(MAX(COUNTIFS('T1 2019 Pipeline Data Lagasco'!$A:$A,'Dec 31 2018 OFFS'!$AI936,'T1 2019 Pipeline Data Lagasco'!$Q:$Q,'Dec 31 2018 OFFS'!$AK936,'T1 2019 Pipeline Data Lagasco'!$E:$E,'Dec 31 2018 OFFS'!$U936,'T1 2019 Pipeline Data Lagasco'!$G:$G,'Dec 31 2018 OFFS'!$W936),1))</f>
        <v>45556</v>
      </c>
      <c r="AM936" s="274">
        <f t="shared" si="140"/>
        <v>0</v>
      </c>
    </row>
    <row r="937" spans="1:39" ht="12.7">
      <c r="A937" s="193" t="s">
        <v>909</v>
      </c>
      <c r="B937" s="40" t="s">
        <v>918</v>
      </c>
      <c r="C937" s="40" t="s">
        <v>1266</v>
      </c>
      <c r="D937" s="40" t="s">
        <v>336</v>
      </c>
      <c r="E937" s="40" t="s">
        <v>1054</v>
      </c>
      <c r="F937" s="40" t="s">
        <v>1051</v>
      </c>
      <c r="G937" s="41" t="s">
        <v>403</v>
      </c>
      <c r="H937" s="42">
        <v>42</v>
      </c>
      <c r="I937" s="43">
        <v>32</v>
      </c>
      <c r="J937" s="44">
        <v>6.2380000000000004</v>
      </c>
      <c r="K937" s="45">
        <v>80</v>
      </c>
      <c r="L937" s="43">
        <v>32</v>
      </c>
      <c r="M937" s="46">
        <v>2.7730000000000001</v>
      </c>
      <c r="N937" s="40" t="s">
        <v>404</v>
      </c>
      <c r="O937" s="42">
        <v>42</v>
      </c>
      <c r="P937" s="43">
        <v>32</v>
      </c>
      <c r="Q937" s="44">
        <v>56.100999999999999</v>
      </c>
      <c r="R937" s="45">
        <v>80</v>
      </c>
      <c r="S937" s="43">
        <v>32</v>
      </c>
      <c r="T937" s="46">
        <v>1.4410000000000001</v>
      </c>
      <c r="U937" s="40">
        <v>2</v>
      </c>
      <c r="V937" s="47">
        <v>5048.7531346279993</v>
      </c>
      <c r="W937" s="48">
        <v>1988</v>
      </c>
      <c r="X937" s="40"/>
      <c r="Y937" s="52"/>
      <c r="Z937" s="40" t="s">
        <v>910</v>
      </c>
      <c r="AA937" s="49">
        <f t="shared" si="133"/>
        <v>0</v>
      </c>
      <c r="AB937" s="71">
        <f t="shared" si="134"/>
        <v>0.76</v>
      </c>
      <c r="AC937" s="49">
        <f t="shared" si="135"/>
        <v>0</v>
      </c>
      <c r="AD937" s="50">
        <f t="shared" si="136"/>
        <v>0</v>
      </c>
      <c r="AE937" s="50">
        <f t="shared" si="137"/>
        <v>0</v>
      </c>
      <c r="AF937" s="50">
        <f t="shared" si="138"/>
        <v>0</v>
      </c>
      <c r="AG937" s="199">
        <f t="shared" si="139"/>
        <v>0</v>
      </c>
      <c r="AH937" s="187"/>
      <c r="AI937" s="185" t="s">
        <v>1458</v>
      </c>
      <c r="AJ937" s="185"/>
      <c r="AK937" s="277">
        <f t="shared" si="132"/>
        <v>5048.75</v>
      </c>
      <c r="AL937" s="25">
        <f>(SUMIFS('T1 2019 Pipeline Data Lagasco'!$O:$O,'T1 2019 Pipeline Data Lagasco'!$A:$A,'Dec 31 2018 OFFS'!$AI937,'T1 2019 Pipeline Data Lagasco'!$Q:$Q,'Dec 31 2018 OFFS'!$AK937,'T1 2019 Pipeline Data Lagasco'!$E:$E,'Dec 31 2018 OFFS'!$U937,'T1 2019 Pipeline Data Lagasco'!$G:$G,'Dec 31 2018 OFFS'!$W937))/(MAX(COUNTIFS('T1 2019 Pipeline Data Lagasco'!$A:$A,'Dec 31 2018 OFFS'!$AI937,'T1 2019 Pipeline Data Lagasco'!$Q:$Q,'Dec 31 2018 OFFS'!$AK937,'T1 2019 Pipeline Data Lagasco'!$E:$E,'Dec 31 2018 OFFS'!$U937,'T1 2019 Pipeline Data Lagasco'!$G:$G,'Dec 31 2018 OFFS'!$W937),1))</f>
        <v>0</v>
      </c>
      <c r="AM937" s="274">
        <f t="shared" si="140"/>
        <v>0</v>
      </c>
    </row>
    <row r="938" spans="1:39" ht="12.7">
      <c r="A938" s="193" t="s">
        <v>909</v>
      </c>
      <c r="B938" s="40" t="s">
        <v>918</v>
      </c>
      <c r="C938" s="40" t="s">
        <v>1266</v>
      </c>
      <c r="D938" s="40" t="s">
        <v>336</v>
      </c>
      <c r="E938" s="40" t="s">
        <v>1054</v>
      </c>
      <c r="F938" s="40" t="s">
        <v>1051</v>
      </c>
      <c r="G938" s="41" t="s">
        <v>405</v>
      </c>
      <c r="H938" s="42">
        <v>42</v>
      </c>
      <c r="I938" s="43">
        <v>32</v>
      </c>
      <c r="J938" s="44">
        <v>12.90</v>
      </c>
      <c r="K938" s="45">
        <v>80</v>
      </c>
      <c r="L938" s="43">
        <v>33</v>
      </c>
      <c r="M938" s="46">
        <v>4.9800000000000004</v>
      </c>
      <c r="N938" s="40" t="s">
        <v>406</v>
      </c>
      <c r="O938" s="42">
        <v>42</v>
      </c>
      <c r="P938" s="43">
        <v>32</v>
      </c>
      <c r="Q938" s="44">
        <v>59.22</v>
      </c>
      <c r="R938" s="45">
        <v>80</v>
      </c>
      <c r="S938" s="43">
        <v>33</v>
      </c>
      <c r="T938" s="46">
        <v>11.88</v>
      </c>
      <c r="U938" s="40">
        <v>2</v>
      </c>
      <c r="V938" s="47">
        <v>4717.4211232259995</v>
      </c>
      <c r="W938" s="48">
        <v>1988</v>
      </c>
      <c r="X938" s="40"/>
      <c r="Y938" s="52"/>
      <c r="Z938" s="40" t="s">
        <v>910</v>
      </c>
      <c r="AA938" s="49">
        <f t="shared" si="133"/>
        <v>0</v>
      </c>
      <c r="AB938" s="71">
        <f t="shared" si="134"/>
        <v>0.76</v>
      </c>
      <c r="AC938" s="49">
        <f t="shared" si="135"/>
        <v>0</v>
      </c>
      <c r="AD938" s="50">
        <f t="shared" si="136"/>
        <v>0</v>
      </c>
      <c r="AE938" s="50">
        <f t="shared" si="137"/>
        <v>0</v>
      </c>
      <c r="AF938" s="50">
        <f t="shared" si="138"/>
        <v>0</v>
      </c>
      <c r="AG938" s="199">
        <f t="shared" si="139"/>
        <v>0</v>
      </c>
      <c r="AH938" s="187"/>
      <c r="AI938" s="185" t="s">
        <v>1458</v>
      </c>
      <c r="AJ938" s="185"/>
      <c r="AK938" s="277">
        <f t="shared" si="132"/>
        <v>4717.42</v>
      </c>
      <c r="AL938" s="25">
        <f>(SUMIFS('T1 2019 Pipeline Data Lagasco'!$O:$O,'T1 2019 Pipeline Data Lagasco'!$A:$A,'Dec 31 2018 OFFS'!$AI938,'T1 2019 Pipeline Data Lagasco'!$Q:$Q,'Dec 31 2018 OFFS'!$AK938,'T1 2019 Pipeline Data Lagasco'!$E:$E,'Dec 31 2018 OFFS'!$U938,'T1 2019 Pipeline Data Lagasco'!$G:$G,'Dec 31 2018 OFFS'!$W938))/(MAX(COUNTIFS('T1 2019 Pipeline Data Lagasco'!$A:$A,'Dec 31 2018 OFFS'!$AI938,'T1 2019 Pipeline Data Lagasco'!$Q:$Q,'Dec 31 2018 OFFS'!$AK938,'T1 2019 Pipeline Data Lagasco'!$E:$E,'Dec 31 2018 OFFS'!$U938,'T1 2019 Pipeline Data Lagasco'!$G:$G,'Dec 31 2018 OFFS'!$W938),1))</f>
        <v>0</v>
      </c>
      <c r="AM938" s="274">
        <f t="shared" si="140"/>
        <v>0</v>
      </c>
    </row>
    <row r="939" spans="1:39" ht="12.7">
      <c r="A939" s="193" t="s">
        <v>909</v>
      </c>
      <c r="B939" s="40" t="s">
        <v>918</v>
      </c>
      <c r="C939" s="40" t="s">
        <v>1266</v>
      </c>
      <c r="D939" s="40" t="s">
        <v>336</v>
      </c>
      <c r="E939" s="40" t="s">
        <v>1054</v>
      </c>
      <c r="F939" s="139" t="s">
        <v>1051</v>
      </c>
      <c r="G939" s="41" t="s">
        <v>407</v>
      </c>
      <c r="H939" s="42">
        <v>42</v>
      </c>
      <c r="I939" s="43">
        <v>31</v>
      </c>
      <c r="J939" s="44">
        <v>29.28</v>
      </c>
      <c r="K939" s="45">
        <v>80</v>
      </c>
      <c r="L939" s="43">
        <v>33</v>
      </c>
      <c r="M939" s="46">
        <v>23.88</v>
      </c>
      <c r="N939" s="40" t="s">
        <v>408</v>
      </c>
      <c r="O939" s="42">
        <v>42</v>
      </c>
      <c r="P939" s="43">
        <v>32</v>
      </c>
      <c r="Q939" s="44">
        <v>22.20</v>
      </c>
      <c r="R939" s="45">
        <v>80</v>
      </c>
      <c r="S939" s="43">
        <v>33</v>
      </c>
      <c r="T939" s="46">
        <v>59.22</v>
      </c>
      <c r="U939" s="40">
        <v>2</v>
      </c>
      <c r="V939" s="47">
        <v>5974.999826964</v>
      </c>
      <c r="W939" s="48">
        <v>1980</v>
      </c>
      <c r="X939" s="40"/>
      <c r="Y939" s="52"/>
      <c r="Z939" s="40" t="s">
        <v>910</v>
      </c>
      <c r="AA939" s="49">
        <f t="shared" si="133"/>
        <v>0</v>
      </c>
      <c r="AB939" s="71">
        <f t="shared" si="134"/>
        <v>0.80</v>
      </c>
      <c r="AC939" s="49">
        <f t="shared" si="135"/>
        <v>0</v>
      </c>
      <c r="AD939" s="50">
        <f t="shared" si="136"/>
        <v>0</v>
      </c>
      <c r="AE939" s="50">
        <f t="shared" si="137"/>
        <v>0</v>
      </c>
      <c r="AF939" s="50">
        <f t="shared" si="138"/>
        <v>0</v>
      </c>
      <c r="AG939" s="199">
        <f t="shared" si="139"/>
        <v>0</v>
      </c>
      <c r="AH939" s="187"/>
      <c r="AI939" s="185" t="s">
        <v>1458</v>
      </c>
      <c r="AJ939" s="185"/>
      <c r="AK939" s="277">
        <f t="shared" si="132"/>
        <v>5975</v>
      </c>
      <c r="AL939" s="25">
        <f>(SUMIFS('T1 2019 Pipeline Data Lagasco'!$O:$O,'T1 2019 Pipeline Data Lagasco'!$A:$A,'Dec 31 2018 OFFS'!$AI939,'T1 2019 Pipeline Data Lagasco'!$Q:$Q,'Dec 31 2018 OFFS'!$AK939,'T1 2019 Pipeline Data Lagasco'!$E:$E,'Dec 31 2018 OFFS'!$U939,'T1 2019 Pipeline Data Lagasco'!$G:$G,'Dec 31 2018 OFFS'!$W939))/(MAX(COUNTIFS('T1 2019 Pipeline Data Lagasco'!$A:$A,'Dec 31 2018 OFFS'!$AI939,'T1 2019 Pipeline Data Lagasco'!$Q:$Q,'Dec 31 2018 OFFS'!$AK939,'T1 2019 Pipeline Data Lagasco'!$E:$E,'Dec 31 2018 OFFS'!$U939,'T1 2019 Pipeline Data Lagasco'!$G:$G,'Dec 31 2018 OFFS'!$W939),1))</f>
        <v>0</v>
      </c>
      <c r="AM939" s="274">
        <f t="shared" si="140"/>
        <v>0</v>
      </c>
    </row>
    <row r="940" spans="1:39" ht="12.7">
      <c r="A940" s="193" t="s">
        <v>909</v>
      </c>
      <c r="B940" s="40" t="s">
        <v>918</v>
      </c>
      <c r="C940" s="40" t="s">
        <v>1266</v>
      </c>
      <c r="D940" s="40" t="s">
        <v>336</v>
      </c>
      <c r="E940" s="40" t="s">
        <v>1054</v>
      </c>
      <c r="F940" s="139" t="s">
        <v>1051</v>
      </c>
      <c r="G940" s="41" t="s">
        <v>408</v>
      </c>
      <c r="H940" s="42">
        <v>42</v>
      </c>
      <c r="I940" s="43">
        <v>32</v>
      </c>
      <c r="J940" s="44">
        <v>22.20</v>
      </c>
      <c r="K940" s="45">
        <v>80</v>
      </c>
      <c r="L940" s="43">
        <v>33</v>
      </c>
      <c r="M940" s="46">
        <v>59.22</v>
      </c>
      <c r="N940" s="40" t="s">
        <v>405</v>
      </c>
      <c r="O940" s="42">
        <v>42</v>
      </c>
      <c r="P940" s="43">
        <v>32</v>
      </c>
      <c r="Q940" s="44">
        <v>12.90</v>
      </c>
      <c r="R940" s="45">
        <v>80</v>
      </c>
      <c r="S940" s="43">
        <v>33</v>
      </c>
      <c r="T940" s="46">
        <v>4.9800000000000004</v>
      </c>
      <c r="U940" s="40">
        <v>3</v>
      </c>
      <c r="V940" s="47">
        <v>4163</v>
      </c>
      <c r="W940" s="48">
        <v>1967</v>
      </c>
      <c r="X940" s="40"/>
      <c r="Y940" s="52"/>
      <c r="Z940" s="40" t="s">
        <v>910</v>
      </c>
      <c r="AA940" s="49">
        <f t="shared" si="133"/>
        <v>0</v>
      </c>
      <c r="AB940" s="71">
        <f t="shared" si="134"/>
        <v>0.80</v>
      </c>
      <c r="AC940" s="49">
        <f t="shared" si="135"/>
        <v>0</v>
      </c>
      <c r="AD940" s="50">
        <f t="shared" si="136"/>
        <v>0</v>
      </c>
      <c r="AE940" s="50">
        <f t="shared" si="137"/>
        <v>0</v>
      </c>
      <c r="AF940" s="50">
        <f t="shared" si="138"/>
        <v>0</v>
      </c>
      <c r="AG940" s="199">
        <f t="shared" si="139"/>
        <v>0</v>
      </c>
      <c r="AH940" s="187"/>
      <c r="AI940" s="185" t="s">
        <v>1458</v>
      </c>
      <c r="AJ940" s="185"/>
      <c r="AK940" s="277">
        <f t="shared" si="132"/>
        <v>4163</v>
      </c>
      <c r="AL940" s="25">
        <f>(SUMIFS('T1 2019 Pipeline Data Lagasco'!$O:$O,'T1 2019 Pipeline Data Lagasco'!$A:$A,'Dec 31 2018 OFFS'!$AI940,'T1 2019 Pipeline Data Lagasco'!$Q:$Q,'Dec 31 2018 OFFS'!$AK940,'T1 2019 Pipeline Data Lagasco'!$E:$E,'Dec 31 2018 OFFS'!$U940,'T1 2019 Pipeline Data Lagasco'!$G:$G,'Dec 31 2018 OFFS'!$W940))/(MAX(COUNTIFS('T1 2019 Pipeline Data Lagasco'!$A:$A,'Dec 31 2018 OFFS'!$AI940,'T1 2019 Pipeline Data Lagasco'!$Q:$Q,'Dec 31 2018 OFFS'!$AK940,'T1 2019 Pipeline Data Lagasco'!$E:$E,'Dec 31 2018 OFFS'!$U940,'T1 2019 Pipeline Data Lagasco'!$G:$G,'Dec 31 2018 OFFS'!$W940),1))</f>
        <v>0</v>
      </c>
      <c r="AM940" s="274">
        <f t="shared" si="140"/>
        <v>0</v>
      </c>
    </row>
    <row r="941" spans="1:39" ht="12.7">
      <c r="A941" s="193" t="s">
        <v>909</v>
      </c>
      <c r="B941" s="40" t="s">
        <v>918</v>
      </c>
      <c r="C941" s="40" t="s">
        <v>1266</v>
      </c>
      <c r="D941" s="40" t="s">
        <v>336</v>
      </c>
      <c r="E941" s="40" t="s">
        <v>1054</v>
      </c>
      <c r="F941" s="40" t="s">
        <v>1051</v>
      </c>
      <c r="G941" s="41" t="s">
        <v>409</v>
      </c>
      <c r="H941" s="42">
        <v>42</v>
      </c>
      <c r="I941" s="43">
        <v>31</v>
      </c>
      <c r="J941" s="44">
        <v>30.60</v>
      </c>
      <c r="K941" s="45">
        <v>80</v>
      </c>
      <c r="L941" s="43">
        <v>32</v>
      </c>
      <c r="M941" s="46">
        <v>31.50</v>
      </c>
      <c r="N941" s="40" t="s">
        <v>410</v>
      </c>
      <c r="O941" s="42">
        <v>42</v>
      </c>
      <c r="P941" s="43">
        <v>32</v>
      </c>
      <c r="Q941" s="44">
        <v>3.4180000000000001</v>
      </c>
      <c r="R941" s="45">
        <v>80</v>
      </c>
      <c r="S941" s="43">
        <v>30</v>
      </c>
      <c r="T941" s="46">
        <v>9.1809999999999992</v>
      </c>
      <c r="U941" s="40">
        <v>2</v>
      </c>
      <c r="V941" s="47">
        <v>11161.843508774</v>
      </c>
      <c r="W941" s="48">
        <v>1987</v>
      </c>
      <c r="X941" s="40"/>
      <c r="Y941" s="52"/>
      <c r="Z941" s="40" t="s">
        <v>910</v>
      </c>
      <c r="AA941" s="49">
        <f t="shared" si="133"/>
        <v>0</v>
      </c>
      <c r="AB941" s="71">
        <f t="shared" si="134"/>
        <v>0.78</v>
      </c>
      <c r="AC941" s="49">
        <f t="shared" si="135"/>
        <v>0</v>
      </c>
      <c r="AD941" s="50">
        <f t="shared" si="136"/>
        <v>0</v>
      </c>
      <c r="AE941" s="50">
        <f t="shared" si="137"/>
        <v>0</v>
      </c>
      <c r="AF941" s="50">
        <f t="shared" si="138"/>
        <v>0</v>
      </c>
      <c r="AG941" s="199">
        <f t="shared" si="139"/>
        <v>0</v>
      </c>
      <c r="AH941" s="187"/>
      <c r="AI941" s="185" t="s">
        <v>1458</v>
      </c>
      <c r="AJ941" s="185"/>
      <c r="AK941" s="277">
        <f t="shared" si="132"/>
        <v>11161.84</v>
      </c>
      <c r="AL941" s="25">
        <f>(SUMIFS('T1 2019 Pipeline Data Lagasco'!$O:$O,'T1 2019 Pipeline Data Lagasco'!$A:$A,'Dec 31 2018 OFFS'!$AI941,'T1 2019 Pipeline Data Lagasco'!$Q:$Q,'Dec 31 2018 OFFS'!$AK941,'T1 2019 Pipeline Data Lagasco'!$E:$E,'Dec 31 2018 OFFS'!$U941,'T1 2019 Pipeline Data Lagasco'!$G:$G,'Dec 31 2018 OFFS'!$W941))/(MAX(COUNTIFS('T1 2019 Pipeline Data Lagasco'!$A:$A,'Dec 31 2018 OFFS'!$AI941,'T1 2019 Pipeline Data Lagasco'!$Q:$Q,'Dec 31 2018 OFFS'!$AK941,'T1 2019 Pipeline Data Lagasco'!$E:$E,'Dec 31 2018 OFFS'!$U941,'T1 2019 Pipeline Data Lagasco'!$G:$G,'Dec 31 2018 OFFS'!$W941),1))</f>
        <v>0</v>
      </c>
      <c r="AM941" s="274">
        <f t="shared" si="140"/>
        <v>0</v>
      </c>
    </row>
    <row r="942" spans="1:39" ht="12.7">
      <c r="A942" s="193" t="s">
        <v>909</v>
      </c>
      <c r="B942" s="40" t="s">
        <v>918</v>
      </c>
      <c r="C942" s="40" t="s">
        <v>1266</v>
      </c>
      <c r="D942" s="40" t="s">
        <v>336</v>
      </c>
      <c r="E942" s="40" t="s">
        <v>1054</v>
      </c>
      <c r="F942" s="40" t="s">
        <v>1051</v>
      </c>
      <c r="G942" s="41" t="s">
        <v>409</v>
      </c>
      <c r="H942" s="42">
        <v>42</v>
      </c>
      <c r="I942" s="43">
        <v>31</v>
      </c>
      <c r="J942" s="44">
        <v>30.60</v>
      </c>
      <c r="K942" s="45">
        <v>80</v>
      </c>
      <c r="L942" s="43">
        <v>32</v>
      </c>
      <c r="M942" s="46">
        <v>31.50</v>
      </c>
      <c r="N942" s="40" t="s">
        <v>405</v>
      </c>
      <c r="O942" s="42">
        <v>42</v>
      </c>
      <c r="P942" s="43">
        <v>32</v>
      </c>
      <c r="Q942" s="44">
        <v>12.90</v>
      </c>
      <c r="R942" s="45">
        <v>80</v>
      </c>
      <c r="S942" s="43">
        <v>33</v>
      </c>
      <c r="T942" s="46">
        <v>4.9800000000000004</v>
      </c>
      <c r="U942" s="40">
        <v>2</v>
      </c>
      <c r="V942" s="47">
        <v>4961.8764967240004</v>
      </c>
      <c r="W942" s="48">
        <v>1988</v>
      </c>
      <c r="X942" s="40"/>
      <c r="Y942" s="52"/>
      <c r="Z942" s="40" t="s">
        <v>910</v>
      </c>
      <c r="AA942" s="49">
        <f t="shared" si="133"/>
        <v>0</v>
      </c>
      <c r="AB942" s="71">
        <f t="shared" si="134"/>
        <v>0.76</v>
      </c>
      <c r="AC942" s="49">
        <f t="shared" si="135"/>
        <v>0</v>
      </c>
      <c r="AD942" s="50">
        <f t="shared" si="136"/>
        <v>0</v>
      </c>
      <c r="AE942" s="50">
        <f t="shared" si="137"/>
        <v>0</v>
      </c>
      <c r="AF942" s="50">
        <f t="shared" si="138"/>
        <v>0</v>
      </c>
      <c r="AG942" s="199">
        <f t="shared" si="139"/>
        <v>0</v>
      </c>
      <c r="AH942" s="187"/>
      <c r="AI942" s="185" t="s">
        <v>1458</v>
      </c>
      <c r="AJ942" s="185"/>
      <c r="AK942" s="277">
        <f t="shared" si="132"/>
        <v>4961.88</v>
      </c>
      <c r="AL942" s="25">
        <f>(SUMIFS('T1 2019 Pipeline Data Lagasco'!$O:$O,'T1 2019 Pipeline Data Lagasco'!$A:$A,'Dec 31 2018 OFFS'!$AI942,'T1 2019 Pipeline Data Lagasco'!$Q:$Q,'Dec 31 2018 OFFS'!$AK942,'T1 2019 Pipeline Data Lagasco'!$E:$E,'Dec 31 2018 OFFS'!$U942,'T1 2019 Pipeline Data Lagasco'!$G:$G,'Dec 31 2018 OFFS'!$W942))/(MAX(COUNTIFS('T1 2019 Pipeline Data Lagasco'!$A:$A,'Dec 31 2018 OFFS'!$AI942,'T1 2019 Pipeline Data Lagasco'!$Q:$Q,'Dec 31 2018 OFFS'!$AK942,'T1 2019 Pipeline Data Lagasco'!$E:$E,'Dec 31 2018 OFFS'!$U942,'T1 2019 Pipeline Data Lagasco'!$G:$G,'Dec 31 2018 OFFS'!$W942),1))</f>
        <v>0</v>
      </c>
      <c r="AM942" s="274">
        <f t="shared" si="140"/>
        <v>0</v>
      </c>
    </row>
    <row r="943" spans="1:39" ht="12.7">
      <c r="A943" s="193" t="s">
        <v>909</v>
      </c>
      <c r="B943" s="40" t="s">
        <v>918</v>
      </c>
      <c r="C943" s="40" t="s">
        <v>1266</v>
      </c>
      <c r="D943" s="40" t="s">
        <v>336</v>
      </c>
      <c r="E943" s="40" t="s">
        <v>1054</v>
      </c>
      <c r="F943" s="139" t="s">
        <v>1051</v>
      </c>
      <c r="G943" s="41" t="s">
        <v>409</v>
      </c>
      <c r="H943" s="42">
        <v>42</v>
      </c>
      <c r="I943" s="43">
        <v>31</v>
      </c>
      <c r="J943" s="44">
        <v>30.60</v>
      </c>
      <c r="K943" s="45">
        <v>80</v>
      </c>
      <c r="L943" s="43">
        <v>32</v>
      </c>
      <c r="M943" s="46">
        <v>31.50</v>
      </c>
      <c r="N943" s="40" t="s">
        <v>405</v>
      </c>
      <c r="O943" s="42">
        <v>42</v>
      </c>
      <c r="P943" s="43">
        <v>32</v>
      </c>
      <c r="Q943" s="44">
        <v>12.90</v>
      </c>
      <c r="R943" s="45">
        <v>80</v>
      </c>
      <c r="S943" s="43">
        <v>33</v>
      </c>
      <c r="T943" s="46">
        <v>4.9800000000000004</v>
      </c>
      <c r="U943" s="40">
        <v>3</v>
      </c>
      <c r="V943" s="47">
        <v>4925</v>
      </c>
      <c r="W943" s="48">
        <v>2008</v>
      </c>
      <c r="X943" s="40"/>
      <c r="Y943" s="52"/>
      <c r="Z943" s="40" t="s">
        <v>910</v>
      </c>
      <c r="AA943" s="49">
        <f t="shared" si="133"/>
        <v>0</v>
      </c>
      <c r="AB943" s="71">
        <f t="shared" si="134"/>
        <v>0.49</v>
      </c>
      <c r="AC943" s="49">
        <f t="shared" si="135"/>
        <v>0</v>
      </c>
      <c r="AD943" s="50">
        <f t="shared" si="136"/>
        <v>0</v>
      </c>
      <c r="AE943" s="50">
        <f t="shared" si="137"/>
        <v>0</v>
      </c>
      <c r="AF943" s="50">
        <f t="shared" si="138"/>
        <v>0</v>
      </c>
      <c r="AG943" s="199">
        <f t="shared" si="139"/>
        <v>0</v>
      </c>
      <c r="AH943" s="187"/>
      <c r="AI943" s="185" t="s">
        <v>1458</v>
      </c>
      <c r="AJ943" s="185"/>
      <c r="AK943" s="277">
        <f t="shared" si="132"/>
        <v>4925</v>
      </c>
      <c r="AL943" s="25">
        <f>(SUMIFS('T1 2019 Pipeline Data Lagasco'!$O:$O,'T1 2019 Pipeline Data Lagasco'!$A:$A,'Dec 31 2018 OFFS'!$AI943,'T1 2019 Pipeline Data Lagasco'!$Q:$Q,'Dec 31 2018 OFFS'!$AK943,'T1 2019 Pipeline Data Lagasco'!$E:$E,'Dec 31 2018 OFFS'!$U943,'T1 2019 Pipeline Data Lagasco'!$G:$G,'Dec 31 2018 OFFS'!$W943))/(MAX(COUNTIFS('T1 2019 Pipeline Data Lagasco'!$A:$A,'Dec 31 2018 OFFS'!$AI943,'T1 2019 Pipeline Data Lagasco'!$Q:$Q,'Dec 31 2018 OFFS'!$AK943,'T1 2019 Pipeline Data Lagasco'!$E:$E,'Dec 31 2018 OFFS'!$U943,'T1 2019 Pipeline Data Lagasco'!$G:$G,'Dec 31 2018 OFFS'!$W943),1))</f>
        <v>0</v>
      </c>
      <c r="AM943" s="274">
        <f t="shared" si="140"/>
        <v>0</v>
      </c>
    </row>
    <row r="944" spans="1:39" ht="12.7">
      <c r="A944" s="193" t="s">
        <v>909</v>
      </c>
      <c r="B944" s="40" t="s">
        <v>918</v>
      </c>
      <c r="C944" s="40" t="s">
        <v>1266</v>
      </c>
      <c r="D944" s="40" t="s">
        <v>336</v>
      </c>
      <c r="E944" s="40" t="s">
        <v>1054</v>
      </c>
      <c r="F944" s="40" t="s">
        <v>1051</v>
      </c>
      <c r="G944" s="41" t="s">
        <v>409</v>
      </c>
      <c r="H944" s="42">
        <v>42</v>
      </c>
      <c r="I944" s="43">
        <v>31</v>
      </c>
      <c r="J944" s="44">
        <v>30.60</v>
      </c>
      <c r="K944" s="45">
        <v>80</v>
      </c>
      <c r="L944" s="43">
        <v>32</v>
      </c>
      <c r="M944" s="46">
        <v>31.50</v>
      </c>
      <c r="N944" s="40" t="s">
        <v>407</v>
      </c>
      <c r="O944" s="42">
        <v>42</v>
      </c>
      <c r="P944" s="43">
        <v>31</v>
      </c>
      <c r="Q944" s="44">
        <v>29.28</v>
      </c>
      <c r="R944" s="45">
        <v>80</v>
      </c>
      <c r="S944" s="43">
        <v>33</v>
      </c>
      <c r="T944" s="46">
        <v>23.88</v>
      </c>
      <c r="U944" s="40">
        <v>2</v>
      </c>
      <c r="V944" s="47">
        <v>3924.4421435660001</v>
      </c>
      <c r="W944" s="48">
        <v>1992</v>
      </c>
      <c r="X944" s="40"/>
      <c r="Y944" s="52"/>
      <c r="Z944" s="40" t="s">
        <v>910</v>
      </c>
      <c r="AA944" s="49">
        <f t="shared" si="133"/>
        <v>0</v>
      </c>
      <c r="AB944" s="71">
        <f t="shared" si="134"/>
        <v>0.71</v>
      </c>
      <c r="AC944" s="49">
        <f t="shared" si="135"/>
        <v>0</v>
      </c>
      <c r="AD944" s="50">
        <f t="shared" si="136"/>
        <v>0</v>
      </c>
      <c r="AE944" s="50">
        <f t="shared" si="137"/>
        <v>0</v>
      </c>
      <c r="AF944" s="50">
        <f t="shared" si="138"/>
        <v>0</v>
      </c>
      <c r="AG944" s="199">
        <f t="shared" si="139"/>
        <v>0</v>
      </c>
      <c r="AH944" s="187"/>
      <c r="AI944" s="185" t="s">
        <v>1458</v>
      </c>
      <c r="AJ944" s="185"/>
      <c r="AK944" s="277">
        <f t="shared" si="132"/>
        <v>3924.44</v>
      </c>
      <c r="AL944" s="25">
        <f>(SUMIFS('T1 2019 Pipeline Data Lagasco'!$O:$O,'T1 2019 Pipeline Data Lagasco'!$A:$A,'Dec 31 2018 OFFS'!$AI944,'T1 2019 Pipeline Data Lagasco'!$Q:$Q,'Dec 31 2018 OFFS'!$AK944,'T1 2019 Pipeline Data Lagasco'!$E:$E,'Dec 31 2018 OFFS'!$U944,'T1 2019 Pipeline Data Lagasco'!$G:$G,'Dec 31 2018 OFFS'!$W944))/(MAX(COUNTIFS('T1 2019 Pipeline Data Lagasco'!$A:$A,'Dec 31 2018 OFFS'!$AI944,'T1 2019 Pipeline Data Lagasco'!$Q:$Q,'Dec 31 2018 OFFS'!$AK944,'T1 2019 Pipeline Data Lagasco'!$E:$E,'Dec 31 2018 OFFS'!$U944,'T1 2019 Pipeline Data Lagasco'!$G:$G,'Dec 31 2018 OFFS'!$W944),1))</f>
        <v>0</v>
      </c>
      <c r="AM944" s="274">
        <f t="shared" si="140"/>
        <v>0</v>
      </c>
    </row>
    <row r="945" spans="1:39" ht="12.7">
      <c r="A945" s="193" t="s">
        <v>909</v>
      </c>
      <c r="B945" s="40" t="s">
        <v>918</v>
      </c>
      <c r="C945" s="40" t="s">
        <v>1266</v>
      </c>
      <c r="D945" s="40" t="s">
        <v>336</v>
      </c>
      <c r="E945" s="40" t="s">
        <v>1054</v>
      </c>
      <c r="F945" s="139" t="s">
        <v>1051</v>
      </c>
      <c r="G945" s="41" t="s">
        <v>409</v>
      </c>
      <c r="H945" s="40" t="s">
        <v>78</v>
      </c>
      <c r="I945" s="43">
        <v>31</v>
      </c>
      <c r="J945" s="44">
        <v>30.60</v>
      </c>
      <c r="K945" s="45">
        <v>80</v>
      </c>
      <c r="L945" s="43">
        <v>32</v>
      </c>
      <c r="M945" s="46">
        <v>31.50</v>
      </c>
      <c r="N945" s="40" t="s">
        <v>407</v>
      </c>
      <c r="O945" s="42">
        <v>42</v>
      </c>
      <c r="P945" s="43">
        <v>31</v>
      </c>
      <c r="Q945" s="44">
        <v>29.28</v>
      </c>
      <c r="R945" s="45">
        <v>80</v>
      </c>
      <c r="S945" s="43">
        <v>33</v>
      </c>
      <c r="T945" s="46">
        <v>23.88</v>
      </c>
      <c r="U945" s="40">
        <v>3</v>
      </c>
      <c r="V945" s="47">
        <v>3912</v>
      </c>
      <c r="W945" s="48">
        <v>2009</v>
      </c>
      <c r="X945" s="40"/>
      <c r="Y945" s="52"/>
      <c r="Z945" s="40" t="s">
        <v>910</v>
      </c>
      <c r="AA945" s="49">
        <f t="shared" si="133"/>
        <v>0</v>
      </c>
      <c r="AB945" s="71">
        <f t="shared" si="134"/>
        <v>0.44</v>
      </c>
      <c r="AC945" s="49">
        <f t="shared" si="135"/>
        <v>0</v>
      </c>
      <c r="AD945" s="50">
        <f t="shared" si="136"/>
        <v>0</v>
      </c>
      <c r="AE945" s="50">
        <f t="shared" si="137"/>
        <v>0</v>
      </c>
      <c r="AF945" s="50">
        <f t="shared" si="138"/>
        <v>0</v>
      </c>
      <c r="AG945" s="199">
        <f t="shared" si="139"/>
        <v>0</v>
      </c>
      <c r="AH945" s="187"/>
      <c r="AI945" s="185" t="s">
        <v>1458</v>
      </c>
      <c r="AJ945" s="185"/>
      <c r="AK945" s="277">
        <f t="shared" si="132"/>
        <v>3912</v>
      </c>
      <c r="AL945" s="25">
        <f>(SUMIFS('T1 2019 Pipeline Data Lagasco'!$O:$O,'T1 2019 Pipeline Data Lagasco'!$A:$A,'Dec 31 2018 OFFS'!$AI945,'T1 2019 Pipeline Data Lagasco'!$Q:$Q,'Dec 31 2018 OFFS'!$AK945,'T1 2019 Pipeline Data Lagasco'!$E:$E,'Dec 31 2018 OFFS'!$U945,'T1 2019 Pipeline Data Lagasco'!$G:$G,'Dec 31 2018 OFFS'!$W945))/(MAX(COUNTIFS('T1 2019 Pipeline Data Lagasco'!$A:$A,'Dec 31 2018 OFFS'!$AI945,'T1 2019 Pipeline Data Lagasco'!$Q:$Q,'Dec 31 2018 OFFS'!$AK945,'T1 2019 Pipeline Data Lagasco'!$E:$E,'Dec 31 2018 OFFS'!$U945,'T1 2019 Pipeline Data Lagasco'!$G:$G,'Dec 31 2018 OFFS'!$W945),1))</f>
        <v>0</v>
      </c>
      <c r="AM945" s="274">
        <f t="shared" si="140"/>
        <v>0</v>
      </c>
    </row>
    <row r="946" spans="1:39" ht="12.7">
      <c r="A946" s="193" t="s">
        <v>909</v>
      </c>
      <c r="B946" s="40" t="s">
        <v>918</v>
      </c>
      <c r="C946" s="40" t="s">
        <v>1266</v>
      </c>
      <c r="D946" s="40" t="s">
        <v>336</v>
      </c>
      <c r="E946" s="40" t="s">
        <v>1054</v>
      </c>
      <c r="F946" s="139" t="s">
        <v>1051</v>
      </c>
      <c r="G946" s="41" t="s">
        <v>409</v>
      </c>
      <c r="H946" s="42">
        <v>42</v>
      </c>
      <c r="I946" s="43">
        <v>31</v>
      </c>
      <c r="J946" s="44">
        <v>30.60</v>
      </c>
      <c r="K946" s="45">
        <v>80</v>
      </c>
      <c r="L946" s="43">
        <v>32</v>
      </c>
      <c r="M946" s="46">
        <v>31.50</v>
      </c>
      <c r="N946" s="40" t="s">
        <v>403</v>
      </c>
      <c r="O946" s="42">
        <v>42</v>
      </c>
      <c r="P946" s="43">
        <v>32</v>
      </c>
      <c r="Q946" s="44">
        <v>6.2380000000000004</v>
      </c>
      <c r="R946" s="45">
        <v>80</v>
      </c>
      <c r="S946" s="43">
        <v>32</v>
      </c>
      <c r="T946" s="46">
        <v>2.7730000000000001</v>
      </c>
      <c r="U946" s="40">
        <v>4</v>
      </c>
      <c r="V946" s="47">
        <v>4200.2295371539994</v>
      </c>
      <c r="W946" s="48">
        <v>1988</v>
      </c>
      <c r="X946" s="40"/>
      <c r="Y946" s="52"/>
      <c r="Z946" s="40" t="s">
        <v>910</v>
      </c>
      <c r="AA946" s="49">
        <f t="shared" si="133"/>
        <v>0</v>
      </c>
      <c r="AB946" s="71">
        <f t="shared" si="134"/>
        <v>0.76</v>
      </c>
      <c r="AC946" s="49">
        <f t="shared" si="135"/>
        <v>0</v>
      </c>
      <c r="AD946" s="50">
        <f t="shared" si="136"/>
        <v>0</v>
      </c>
      <c r="AE946" s="50">
        <f t="shared" si="137"/>
        <v>0</v>
      </c>
      <c r="AF946" s="50">
        <f t="shared" si="138"/>
        <v>0</v>
      </c>
      <c r="AG946" s="199">
        <f t="shared" si="139"/>
        <v>0</v>
      </c>
      <c r="AH946" s="187"/>
      <c r="AI946" s="185" t="s">
        <v>1458</v>
      </c>
      <c r="AJ946" s="185"/>
      <c r="AK946" s="277">
        <f t="shared" si="132"/>
        <v>4200.2299999999996</v>
      </c>
      <c r="AL946" s="25">
        <f>(SUMIFS('T1 2019 Pipeline Data Lagasco'!$O:$O,'T1 2019 Pipeline Data Lagasco'!$A:$A,'Dec 31 2018 OFFS'!$AI946,'T1 2019 Pipeline Data Lagasco'!$Q:$Q,'Dec 31 2018 OFFS'!$AK946,'T1 2019 Pipeline Data Lagasco'!$E:$E,'Dec 31 2018 OFFS'!$U946,'T1 2019 Pipeline Data Lagasco'!$G:$G,'Dec 31 2018 OFFS'!$W946))/(MAX(COUNTIFS('T1 2019 Pipeline Data Lagasco'!$A:$A,'Dec 31 2018 OFFS'!$AI946,'T1 2019 Pipeline Data Lagasco'!$Q:$Q,'Dec 31 2018 OFFS'!$AK946,'T1 2019 Pipeline Data Lagasco'!$E:$E,'Dec 31 2018 OFFS'!$U946,'T1 2019 Pipeline Data Lagasco'!$G:$G,'Dec 31 2018 OFFS'!$W946),1))</f>
        <v>0</v>
      </c>
      <c r="AM946" s="274">
        <f t="shared" si="140"/>
        <v>0</v>
      </c>
    </row>
    <row r="947" spans="1:39" ht="12.7">
      <c r="A947" s="193" t="s">
        <v>909</v>
      </c>
      <c r="B947" s="40" t="s">
        <v>918</v>
      </c>
      <c r="C947" s="40" t="s">
        <v>1266</v>
      </c>
      <c r="D947" s="40" t="s">
        <v>336</v>
      </c>
      <c r="E947" s="40" t="s">
        <v>1054</v>
      </c>
      <c r="F947" s="139" t="s">
        <v>1380</v>
      </c>
      <c r="G947" s="41" t="s">
        <v>409</v>
      </c>
      <c r="H947" s="42">
        <v>42</v>
      </c>
      <c r="I947" s="43">
        <v>31</v>
      </c>
      <c r="J947" s="44">
        <v>30.60</v>
      </c>
      <c r="K947" s="45">
        <v>80</v>
      </c>
      <c r="L947" s="43">
        <v>32</v>
      </c>
      <c r="M947" s="46">
        <v>31.50</v>
      </c>
      <c r="N947" s="40" t="s">
        <v>403</v>
      </c>
      <c r="O947" s="42">
        <v>42</v>
      </c>
      <c r="P947" s="43">
        <v>32</v>
      </c>
      <c r="Q947" s="44">
        <v>6.2380000000000004</v>
      </c>
      <c r="R947" s="45">
        <v>80</v>
      </c>
      <c r="S947" s="43">
        <v>32</v>
      </c>
      <c r="T947" s="46">
        <v>2.7730000000000001</v>
      </c>
      <c r="U947" s="40">
        <v>3</v>
      </c>
      <c r="V947" s="280">
        <v>4200</v>
      </c>
      <c r="W947" s="48">
        <v>2006</v>
      </c>
      <c r="X947" s="40"/>
      <c r="Y947" s="52"/>
      <c r="Z947" s="40" t="s">
        <v>910</v>
      </c>
      <c r="AA947" s="49">
        <f t="shared" si="133"/>
        <v>99078</v>
      </c>
      <c r="AB947" s="71">
        <f t="shared" si="134"/>
        <v>0.52</v>
      </c>
      <c r="AC947" s="49">
        <f t="shared" si="135"/>
        <v>47557.44</v>
      </c>
      <c r="AD947" s="50">
        <f t="shared" si="136"/>
        <v>0</v>
      </c>
      <c r="AE947" s="50">
        <f t="shared" si="137"/>
        <v>0</v>
      </c>
      <c r="AF947" s="50">
        <f t="shared" si="138"/>
        <v>47557.44</v>
      </c>
      <c r="AG947" s="199">
        <f t="shared" si="139"/>
        <v>47557</v>
      </c>
      <c r="AH947" s="187"/>
      <c r="AI947" s="185" t="s">
        <v>1458</v>
      </c>
      <c r="AJ947" s="185"/>
      <c r="AK947" s="277">
        <f t="shared" si="132"/>
        <v>4200</v>
      </c>
      <c r="AL947" s="25">
        <f>(SUMIFS('T1 2019 Pipeline Data Lagasco'!$O:$O,'T1 2019 Pipeline Data Lagasco'!$A:$A,'Dec 31 2018 OFFS'!$AI947,'T1 2019 Pipeline Data Lagasco'!$Q:$Q,'Dec 31 2018 OFFS'!$AK947,'T1 2019 Pipeline Data Lagasco'!$E:$E,'Dec 31 2018 OFFS'!$U947,'T1 2019 Pipeline Data Lagasco'!$G:$G,'Dec 31 2018 OFFS'!$W947))/(MAX(COUNTIFS('T1 2019 Pipeline Data Lagasco'!$A:$A,'Dec 31 2018 OFFS'!$AI947,'T1 2019 Pipeline Data Lagasco'!$Q:$Q,'Dec 31 2018 OFFS'!$AK947,'T1 2019 Pipeline Data Lagasco'!$E:$E,'Dec 31 2018 OFFS'!$U947,'T1 2019 Pipeline Data Lagasco'!$G:$G,'Dec 31 2018 OFFS'!$W947),1))</f>
        <v>47557</v>
      </c>
      <c r="AM947" s="274">
        <f t="shared" si="140"/>
        <v>0</v>
      </c>
    </row>
    <row r="948" spans="1:39" ht="12.7">
      <c r="A948" s="193" t="s">
        <v>909</v>
      </c>
      <c r="B948" s="40" t="s">
        <v>918</v>
      </c>
      <c r="C948" s="40" t="s">
        <v>1266</v>
      </c>
      <c r="D948" s="40" t="s">
        <v>336</v>
      </c>
      <c r="E948" s="40" t="s">
        <v>1054</v>
      </c>
      <c r="F948" s="139" t="s">
        <v>1051</v>
      </c>
      <c r="G948" s="41" t="s">
        <v>511</v>
      </c>
      <c r="H948" s="42">
        <v>42</v>
      </c>
      <c r="I948" s="43">
        <v>30</v>
      </c>
      <c r="J948" s="44">
        <v>52.021999999999998</v>
      </c>
      <c r="K948" s="45">
        <v>80</v>
      </c>
      <c r="L948" s="43">
        <v>31</v>
      </c>
      <c r="M948" s="46">
        <v>58.698999999999998</v>
      </c>
      <c r="N948" s="40" t="s">
        <v>409</v>
      </c>
      <c r="O948" s="42">
        <v>42</v>
      </c>
      <c r="P948" s="43">
        <v>31</v>
      </c>
      <c r="Q948" s="44">
        <v>30.60</v>
      </c>
      <c r="R948" s="45">
        <v>80</v>
      </c>
      <c r="S948" s="43">
        <v>32</v>
      </c>
      <c r="T948" s="46">
        <v>31.50</v>
      </c>
      <c r="U948" s="40">
        <v>4</v>
      </c>
      <c r="V948" s="47">
        <v>4613.582543556</v>
      </c>
      <c r="W948" s="48">
        <v>1988</v>
      </c>
      <c r="X948" s="40"/>
      <c r="Y948" s="52"/>
      <c r="Z948" s="40" t="s">
        <v>910</v>
      </c>
      <c r="AA948" s="49">
        <f t="shared" si="133"/>
        <v>0</v>
      </c>
      <c r="AB948" s="71">
        <f t="shared" si="134"/>
        <v>0.76</v>
      </c>
      <c r="AC948" s="49">
        <f t="shared" si="135"/>
        <v>0</v>
      </c>
      <c r="AD948" s="50">
        <f t="shared" si="136"/>
        <v>0</v>
      </c>
      <c r="AE948" s="50">
        <f t="shared" si="137"/>
        <v>0</v>
      </c>
      <c r="AF948" s="50">
        <f t="shared" si="138"/>
        <v>0</v>
      </c>
      <c r="AG948" s="199">
        <f t="shared" si="139"/>
        <v>0</v>
      </c>
      <c r="AH948" s="187"/>
      <c r="AI948" s="185" t="s">
        <v>1458</v>
      </c>
      <c r="AJ948" s="185"/>
      <c r="AK948" s="277">
        <f t="shared" si="132"/>
        <v>4613.58</v>
      </c>
      <c r="AL948" s="25">
        <f>(SUMIFS('T1 2019 Pipeline Data Lagasco'!$O:$O,'T1 2019 Pipeline Data Lagasco'!$A:$A,'Dec 31 2018 OFFS'!$AI948,'T1 2019 Pipeline Data Lagasco'!$Q:$Q,'Dec 31 2018 OFFS'!$AK948,'T1 2019 Pipeline Data Lagasco'!$E:$E,'Dec 31 2018 OFFS'!$U948,'T1 2019 Pipeline Data Lagasco'!$G:$G,'Dec 31 2018 OFFS'!$W948))/(MAX(COUNTIFS('T1 2019 Pipeline Data Lagasco'!$A:$A,'Dec 31 2018 OFFS'!$AI948,'T1 2019 Pipeline Data Lagasco'!$Q:$Q,'Dec 31 2018 OFFS'!$AK948,'T1 2019 Pipeline Data Lagasco'!$E:$E,'Dec 31 2018 OFFS'!$U948,'T1 2019 Pipeline Data Lagasco'!$G:$G,'Dec 31 2018 OFFS'!$W948),1))</f>
        <v>0</v>
      </c>
      <c r="AM948" s="274">
        <f t="shared" si="140"/>
        <v>0</v>
      </c>
    </row>
    <row r="949" spans="1:39" ht="12.7">
      <c r="A949" s="193" t="s">
        <v>909</v>
      </c>
      <c r="B949" s="40" t="s">
        <v>918</v>
      </c>
      <c r="C949" s="40" t="s">
        <v>1266</v>
      </c>
      <c r="D949" s="40" t="s">
        <v>336</v>
      </c>
      <c r="E949" s="40" t="s">
        <v>1054</v>
      </c>
      <c r="F949" s="139" t="s">
        <v>1423</v>
      </c>
      <c r="G949" s="155" t="s">
        <v>1424</v>
      </c>
      <c r="H949" s="42">
        <v>42</v>
      </c>
      <c r="I949" s="43">
        <v>30</v>
      </c>
      <c r="J949" s="44">
        <v>52.021999999999998</v>
      </c>
      <c r="K949" s="45">
        <v>80</v>
      </c>
      <c r="L949" s="43">
        <v>31</v>
      </c>
      <c r="M949" s="46">
        <v>58.698999999999998</v>
      </c>
      <c r="N949" s="139" t="s">
        <v>1425</v>
      </c>
      <c r="O949" s="42">
        <v>42</v>
      </c>
      <c r="P949" s="43">
        <v>31</v>
      </c>
      <c r="Q949" s="44">
        <v>30.60</v>
      </c>
      <c r="R949" s="45">
        <v>80</v>
      </c>
      <c r="S949" s="43">
        <v>32</v>
      </c>
      <c r="T949" s="46">
        <v>31.50</v>
      </c>
      <c r="U949" s="40">
        <v>3</v>
      </c>
      <c r="V949" s="280">
        <v>5500</v>
      </c>
      <c r="W949" s="48">
        <v>1999</v>
      </c>
      <c r="X949" s="40"/>
      <c r="Y949" s="52"/>
      <c r="Z949" s="40" t="s">
        <v>910</v>
      </c>
      <c r="AA949" s="49">
        <f t="shared" si="133"/>
        <v>129745</v>
      </c>
      <c r="AB949" s="71">
        <f t="shared" si="134"/>
        <v>0.62</v>
      </c>
      <c r="AC949" s="49">
        <f t="shared" si="135"/>
        <v>49303.10</v>
      </c>
      <c r="AD949" s="50">
        <f t="shared" si="136"/>
        <v>0</v>
      </c>
      <c r="AE949" s="50">
        <f t="shared" si="137"/>
        <v>0</v>
      </c>
      <c r="AF949" s="50">
        <f t="shared" si="138"/>
        <v>49303.10</v>
      </c>
      <c r="AG949" s="199">
        <f t="shared" si="139"/>
        <v>49303</v>
      </c>
      <c r="AH949" s="187"/>
      <c r="AI949" s="185" t="s">
        <v>1458</v>
      </c>
      <c r="AJ949" s="185"/>
      <c r="AK949" s="277">
        <f t="shared" si="132"/>
        <v>5500</v>
      </c>
      <c r="AL949" s="25">
        <f>(SUMIFS('T1 2019 Pipeline Data Lagasco'!$O:$O,'T1 2019 Pipeline Data Lagasco'!$A:$A,'Dec 31 2018 OFFS'!$AI949,'T1 2019 Pipeline Data Lagasco'!$Q:$Q,'Dec 31 2018 OFFS'!$AK949,'T1 2019 Pipeline Data Lagasco'!$E:$E,'Dec 31 2018 OFFS'!$U949,'T1 2019 Pipeline Data Lagasco'!$G:$G,'Dec 31 2018 OFFS'!$W949))/(MAX(COUNTIFS('T1 2019 Pipeline Data Lagasco'!$A:$A,'Dec 31 2018 OFFS'!$AI949,'T1 2019 Pipeline Data Lagasco'!$Q:$Q,'Dec 31 2018 OFFS'!$AK949,'T1 2019 Pipeline Data Lagasco'!$E:$E,'Dec 31 2018 OFFS'!$U949,'T1 2019 Pipeline Data Lagasco'!$G:$G,'Dec 31 2018 OFFS'!$W949),1))</f>
        <v>49303</v>
      </c>
      <c r="AM949" s="274">
        <f t="shared" si="140"/>
        <v>0</v>
      </c>
    </row>
    <row r="950" spans="1:39" ht="12.7">
      <c r="A950" s="193" t="s">
        <v>909</v>
      </c>
      <c r="B950" s="40" t="s">
        <v>918</v>
      </c>
      <c r="C950" s="40" t="s">
        <v>1266</v>
      </c>
      <c r="D950" s="40" t="s">
        <v>336</v>
      </c>
      <c r="E950" s="40" t="s">
        <v>1054</v>
      </c>
      <c r="F950" s="139" t="s">
        <v>1423</v>
      </c>
      <c r="G950" s="155" t="s">
        <v>354</v>
      </c>
      <c r="H950" s="42">
        <v>42</v>
      </c>
      <c r="I950" s="43">
        <v>30</v>
      </c>
      <c r="J950" s="44">
        <v>52.021999999999998</v>
      </c>
      <c r="K950" s="45">
        <v>80</v>
      </c>
      <c r="L950" s="43">
        <v>31</v>
      </c>
      <c r="M950" s="46">
        <v>58.698999999999998</v>
      </c>
      <c r="N950" s="139" t="s">
        <v>1424</v>
      </c>
      <c r="O950" s="42">
        <v>42</v>
      </c>
      <c r="P950" s="43">
        <v>31</v>
      </c>
      <c r="Q950" s="44">
        <v>30.60</v>
      </c>
      <c r="R950" s="45">
        <v>80</v>
      </c>
      <c r="S950" s="43">
        <v>32</v>
      </c>
      <c r="T950" s="46">
        <v>31.50</v>
      </c>
      <c r="U950" s="40">
        <v>3</v>
      </c>
      <c r="V950" s="280">
        <v>3868</v>
      </c>
      <c r="W950" s="48">
        <v>2002</v>
      </c>
      <c r="X950" s="40"/>
      <c r="Y950" s="52"/>
      <c r="Z950" s="40" t="s">
        <v>910</v>
      </c>
      <c r="AA950" s="49">
        <f t="shared" si="133"/>
        <v>91246.12</v>
      </c>
      <c r="AB950" s="71">
        <f t="shared" si="134"/>
        <v>0.56999999999999995</v>
      </c>
      <c r="AC950" s="49">
        <f t="shared" si="135"/>
        <v>39235.83</v>
      </c>
      <c r="AD950" s="50">
        <f t="shared" si="136"/>
        <v>0</v>
      </c>
      <c r="AE950" s="50">
        <f t="shared" si="137"/>
        <v>0</v>
      </c>
      <c r="AF950" s="50">
        <f t="shared" si="138"/>
        <v>39235.83</v>
      </c>
      <c r="AG950" s="199">
        <f t="shared" si="139"/>
        <v>39235</v>
      </c>
      <c r="AH950" s="187"/>
      <c r="AI950" s="185" t="s">
        <v>1458</v>
      </c>
      <c r="AJ950" s="185"/>
      <c r="AK950" s="277">
        <f t="shared" si="132"/>
        <v>3868</v>
      </c>
      <c r="AL950" s="25">
        <f>(SUMIFS('T1 2019 Pipeline Data Lagasco'!$O:$O,'T1 2019 Pipeline Data Lagasco'!$A:$A,'Dec 31 2018 OFFS'!$AI950,'T1 2019 Pipeline Data Lagasco'!$Q:$Q,'Dec 31 2018 OFFS'!$AK950,'T1 2019 Pipeline Data Lagasco'!$E:$E,'Dec 31 2018 OFFS'!$U950,'T1 2019 Pipeline Data Lagasco'!$G:$G,'Dec 31 2018 OFFS'!$W950))/(MAX(COUNTIFS('T1 2019 Pipeline Data Lagasco'!$A:$A,'Dec 31 2018 OFFS'!$AI950,'T1 2019 Pipeline Data Lagasco'!$Q:$Q,'Dec 31 2018 OFFS'!$AK950,'T1 2019 Pipeline Data Lagasco'!$E:$E,'Dec 31 2018 OFFS'!$U950,'T1 2019 Pipeline Data Lagasco'!$G:$G,'Dec 31 2018 OFFS'!$W950),1))</f>
        <v>39235</v>
      </c>
      <c r="AM950" s="274">
        <f t="shared" si="140"/>
        <v>0</v>
      </c>
    </row>
    <row r="951" spans="1:39" ht="12.7">
      <c r="A951" s="193" t="s">
        <v>909</v>
      </c>
      <c r="B951" s="40" t="s">
        <v>918</v>
      </c>
      <c r="C951" s="40" t="s">
        <v>1266</v>
      </c>
      <c r="D951" s="40" t="s">
        <v>336</v>
      </c>
      <c r="E951" s="40" t="s">
        <v>1054</v>
      </c>
      <c r="F951" s="40" t="s">
        <v>1051</v>
      </c>
      <c r="G951" s="41" t="s">
        <v>412</v>
      </c>
      <c r="H951" s="42">
        <v>42</v>
      </c>
      <c r="I951" s="43">
        <v>30</v>
      </c>
      <c r="J951" s="44">
        <v>39.42</v>
      </c>
      <c r="K951" s="45">
        <v>80</v>
      </c>
      <c r="L951" s="43">
        <v>34</v>
      </c>
      <c r="M951" s="46">
        <v>0.48</v>
      </c>
      <c r="N951" s="40" t="s">
        <v>411</v>
      </c>
      <c r="O951" s="42">
        <v>42</v>
      </c>
      <c r="P951" s="43">
        <v>31</v>
      </c>
      <c r="Q951" s="44">
        <v>28.62</v>
      </c>
      <c r="R951" s="45">
        <v>80</v>
      </c>
      <c r="S951" s="43">
        <v>34</v>
      </c>
      <c r="T951" s="46">
        <v>32.520000000000003</v>
      </c>
      <c r="U951" s="40">
        <v>2</v>
      </c>
      <c r="V951" s="47">
        <v>5528.44</v>
      </c>
      <c r="W951" s="48">
        <v>1974</v>
      </c>
      <c r="X951" s="40"/>
      <c r="Y951" s="52"/>
      <c r="Z951" s="40" t="s">
        <v>910</v>
      </c>
      <c r="AA951" s="49">
        <f t="shared" si="133"/>
        <v>0</v>
      </c>
      <c r="AB951" s="71">
        <f t="shared" si="134"/>
        <v>0.80</v>
      </c>
      <c r="AC951" s="49">
        <f t="shared" si="135"/>
        <v>0</v>
      </c>
      <c r="AD951" s="50">
        <f t="shared" si="136"/>
        <v>0</v>
      </c>
      <c r="AE951" s="50">
        <f t="shared" si="137"/>
        <v>0</v>
      </c>
      <c r="AF951" s="50">
        <f t="shared" si="138"/>
        <v>0</v>
      </c>
      <c r="AG951" s="199">
        <f t="shared" si="139"/>
        <v>0</v>
      </c>
      <c r="AH951" s="187"/>
      <c r="AI951" s="185" t="s">
        <v>1458</v>
      </c>
      <c r="AJ951" s="185"/>
      <c r="AK951" s="277">
        <f t="shared" si="132"/>
        <v>5528.44</v>
      </c>
      <c r="AL951" s="25">
        <f>(SUMIFS('T1 2019 Pipeline Data Lagasco'!$O:$O,'T1 2019 Pipeline Data Lagasco'!$A:$A,'Dec 31 2018 OFFS'!$AI951,'T1 2019 Pipeline Data Lagasco'!$Q:$Q,'Dec 31 2018 OFFS'!$AK951,'T1 2019 Pipeline Data Lagasco'!$E:$E,'Dec 31 2018 OFFS'!$U951,'T1 2019 Pipeline Data Lagasco'!$G:$G,'Dec 31 2018 OFFS'!$W951))/(MAX(COUNTIFS('T1 2019 Pipeline Data Lagasco'!$A:$A,'Dec 31 2018 OFFS'!$AI951,'T1 2019 Pipeline Data Lagasco'!$Q:$Q,'Dec 31 2018 OFFS'!$AK951,'T1 2019 Pipeline Data Lagasco'!$E:$E,'Dec 31 2018 OFFS'!$U951,'T1 2019 Pipeline Data Lagasco'!$G:$G,'Dec 31 2018 OFFS'!$W951),1))</f>
        <v>0</v>
      </c>
      <c r="AM951" s="274">
        <f t="shared" si="140"/>
        <v>0</v>
      </c>
    </row>
    <row r="952" spans="1:39" ht="12.7">
      <c r="A952" s="193" t="s">
        <v>909</v>
      </c>
      <c r="B952" s="40" t="s">
        <v>918</v>
      </c>
      <c r="C952" s="40" t="s">
        <v>1266</v>
      </c>
      <c r="D952" s="40" t="s">
        <v>336</v>
      </c>
      <c r="E952" s="40" t="s">
        <v>1054</v>
      </c>
      <c r="F952" s="40" t="s">
        <v>1051</v>
      </c>
      <c r="G952" s="41" t="s">
        <v>356</v>
      </c>
      <c r="H952" s="42">
        <v>42</v>
      </c>
      <c r="I952" s="43">
        <v>30</v>
      </c>
      <c r="J952" s="44">
        <v>20.22</v>
      </c>
      <c r="K952" s="45">
        <v>80</v>
      </c>
      <c r="L952" s="43">
        <v>34</v>
      </c>
      <c r="M952" s="46">
        <v>32.58</v>
      </c>
      <c r="N952" s="40" t="s">
        <v>412</v>
      </c>
      <c r="O952" s="42">
        <v>42</v>
      </c>
      <c r="P952" s="43">
        <v>30</v>
      </c>
      <c r="Q952" s="44">
        <v>39.42</v>
      </c>
      <c r="R952" s="45">
        <v>80</v>
      </c>
      <c r="S952" s="43">
        <v>34</v>
      </c>
      <c r="T952" s="46">
        <v>0.48</v>
      </c>
      <c r="U952" s="40">
        <v>2</v>
      </c>
      <c r="V952" s="47">
        <v>3091.6337687340001</v>
      </c>
      <c r="W952" s="48">
        <v>1990</v>
      </c>
      <c r="X952" s="40"/>
      <c r="Y952" s="52"/>
      <c r="Z952" s="40" t="s">
        <v>910</v>
      </c>
      <c r="AA952" s="49">
        <f t="shared" si="133"/>
        <v>0</v>
      </c>
      <c r="AB952" s="71">
        <f t="shared" si="134"/>
        <v>0.73</v>
      </c>
      <c r="AC952" s="49">
        <f t="shared" si="135"/>
        <v>0</v>
      </c>
      <c r="AD952" s="50">
        <f t="shared" si="136"/>
        <v>0</v>
      </c>
      <c r="AE952" s="50">
        <f t="shared" si="137"/>
        <v>0</v>
      </c>
      <c r="AF952" s="50">
        <f t="shared" si="138"/>
        <v>0</v>
      </c>
      <c r="AG952" s="199">
        <f t="shared" si="139"/>
        <v>0</v>
      </c>
      <c r="AH952" s="187"/>
      <c r="AI952" s="185" t="s">
        <v>1458</v>
      </c>
      <c r="AJ952" s="185"/>
      <c r="AK952" s="277">
        <f t="shared" si="132"/>
        <v>3091.63</v>
      </c>
      <c r="AL952" s="25">
        <f>(SUMIFS('T1 2019 Pipeline Data Lagasco'!$O:$O,'T1 2019 Pipeline Data Lagasco'!$A:$A,'Dec 31 2018 OFFS'!$AI952,'T1 2019 Pipeline Data Lagasco'!$Q:$Q,'Dec 31 2018 OFFS'!$AK952,'T1 2019 Pipeline Data Lagasco'!$E:$E,'Dec 31 2018 OFFS'!$U952,'T1 2019 Pipeline Data Lagasco'!$G:$G,'Dec 31 2018 OFFS'!$W952))/(MAX(COUNTIFS('T1 2019 Pipeline Data Lagasco'!$A:$A,'Dec 31 2018 OFFS'!$AI952,'T1 2019 Pipeline Data Lagasco'!$Q:$Q,'Dec 31 2018 OFFS'!$AK952,'T1 2019 Pipeline Data Lagasco'!$E:$E,'Dec 31 2018 OFFS'!$U952,'T1 2019 Pipeline Data Lagasco'!$G:$G,'Dec 31 2018 OFFS'!$W952),1))</f>
        <v>0</v>
      </c>
      <c r="AM952" s="274">
        <f t="shared" si="140"/>
        <v>0</v>
      </c>
    </row>
    <row r="953" spans="1:39" ht="12.7">
      <c r="A953" s="193" t="s">
        <v>909</v>
      </c>
      <c r="B953" s="40" t="s">
        <v>918</v>
      </c>
      <c r="C953" s="40" t="s">
        <v>1266</v>
      </c>
      <c r="D953" s="40" t="s">
        <v>336</v>
      </c>
      <c r="E953" s="40" t="s">
        <v>1054</v>
      </c>
      <c r="F953" s="40" t="s">
        <v>1051</v>
      </c>
      <c r="G953" s="41" t="s">
        <v>1304</v>
      </c>
      <c r="H953" s="42">
        <v>42</v>
      </c>
      <c r="I953" s="43">
        <v>30</v>
      </c>
      <c r="J953" s="44">
        <v>20.22</v>
      </c>
      <c r="K953" s="45">
        <v>80</v>
      </c>
      <c r="L953" s="43">
        <v>34</v>
      </c>
      <c r="M953" s="46">
        <v>32.58</v>
      </c>
      <c r="N953" s="40" t="s">
        <v>412</v>
      </c>
      <c r="O953" s="42">
        <v>42</v>
      </c>
      <c r="P953" s="43">
        <v>30</v>
      </c>
      <c r="Q953" s="44">
        <v>39.42</v>
      </c>
      <c r="R953" s="45">
        <v>80</v>
      </c>
      <c r="S953" s="43">
        <v>34</v>
      </c>
      <c r="T953" s="46">
        <v>0.48</v>
      </c>
      <c r="U953" s="40">
        <v>3</v>
      </c>
      <c r="V953" s="47">
        <v>3091.63</v>
      </c>
      <c r="W953" s="48">
        <v>2002</v>
      </c>
      <c r="X953" s="40"/>
      <c r="Y953" s="52"/>
      <c r="Z953" s="40" t="s">
        <v>910</v>
      </c>
      <c r="AA953" s="49">
        <f t="shared" si="133"/>
        <v>0</v>
      </c>
      <c r="AB953" s="71">
        <f t="shared" si="134"/>
        <v>0.56999999999999995</v>
      </c>
      <c r="AC953" s="49">
        <f t="shared" si="135"/>
        <v>0</v>
      </c>
      <c r="AD953" s="50">
        <f t="shared" si="136"/>
        <v>0</v>
      </c>
      <c r="AE953" s="50">
        <f t="shared" si="137"/>
        <v>0</v>
      </c>
      <c r="AF953" s="50">
        <f t="shared" si="138"/>
        <v>0</v>
      </c>
      <c r="AG953" s="199">
        <f t="shared" si="139"/>
        <v>0</v>
      </c>
      <c r="AH953" s="187"/>
      <c r="AI953" s="185" t="s">
        <v>1458</v>
      </c>
      <c r="AJ953" s="185"/>
      <c r="AK953" s="277">
        <f t="shared" si="132"/>
        <v>3091.63</v>
      </c>
      <c r="AL953" s="25">
        <f>(SUMIFS('T1 2019 Pipeline Data Lagasco'!$O:$O,'T1 2019 Pipeline Data Lagasco'!$A:$A,'Dec 31 2018 OFFS'!$AI953,'T1 2019 Pipeline Data Lagasco'!$Q:$Q,'Dec 31 2018 OFFS'!$AK953,'T1 2019 Pipeline Data Lagasco'!$E:$E,'Dec 31 2018 OFFS'!$U953,'T1 2019 Pipeline Data Lagasco'!$G:$G,'Dec 31 2018 OFFS'!$W953))/(MAX(COUNTIFS('T1 2019 Pipeline Data Lagasco'!$A:$A,'Dec 31 2018 OFFS'!$AI953,'T1 2019 Pipeline Data Lagasco'!$Q:$Q,'Dec 31 2018 OFFS'!$AK953,'T1 2019 Pipeline Data Lagasco'!$E:$E,'Dec 31 2018 OFFS'!$U953,'T1 2019 Pipeline Data Lagasco'!$G:$G,'Dec 31 2018 OFFS'!$W953),1))</f>
        <v>0</v>
      </c>
      <c r="AM953" s="274">
        <f t="shared" si="140"/>
        <v>0</v>
      </c>
    </row>
    <row r="954" spans="1:39" ht="12.7">
      <c r="A954" s="193" t="s">
        <v>909</v>
      </c>
      <c r="B954" s="40" t="s">
        <v>918</v>
      </c>
      <c r="C954" s="40" t="s">
        <v>1266</v>
      </c>
      <c r="D954" s="40" t="s">
        <v>336</v>
      </c>
      <c r="E954" s="40" t="s">
        <v>1054</v>
      </c>
      <c r="F954" s="40" t="s">
        <v>1051</v>
      </c>
      <c r="G954" s="41" t="s">
        <v>1304</v>
      </c>
      <c r="H954" s="42">
        <v>42</v>
      </c>
      <c r="I954" s="43">
        <v>30</v>
      </c>
      <c r="J954" s="44">
        <v>20.22</v>
      </c>
      <c r="K954" s="45">
        <v>80</v>
      </c>
      <c r="L954" s="43">
        <v>34</v>
      </c>
      <c r="M954" s="46">
        <v>32.58</v>
      </c>
      <c r="N954" s="40" t="s">
        <v>413</v>
      </c>
      <c r="O954" s="42">
        <v>42</v>
      </c>
      <c r="P954" s="43">
        <v>30</v>
      </c>
      <c r="Q954" s="44">
        <v>42.965</v>
      </c>
      <c r="R954" s="45">
        <v>80</v>
      </c>
      <c r="S954" s="43">
        <v>35</v>
      </c>
      <c r="T954" s="46">
        <v>14.308999999999999</v>
      </c>
      <c r="U954" s="40">
        <v>2</v>
      </c>
      <c r="V954" s="47">
        <v>3881.9880765539997</v>
      </c>
      <c r="W954" s="48">
        <v>1986</v>
      </c>
      <c r="X954" s="40"/>
      <c r="Y954" s="52"/>
      <c r="Z954" s="40" t="s">
        <v>910</v>
      </c>
      <c r="AA954" s="49">
        <f t="shared" si="133"/>
        <v>0</v>
      </c>
      <c r="AB954" s="71">
        <f t="shared" si="134"/>
        <v>0.79</v>
      </c>
      <c r="AC954" s="49">
        <f t="shared" si="135"/>
        <v>0</v>
      </c>
      <c r="AD954" s="50">
        <f t="shared" si="136"/>
        <v>0</v>
      </c>
      <c r="AE954" s="50">
        <f t="shared" si="137"/>
        <v>0</v>
      </c>
      <c r="AF954" s="50">
        <f t="shared" si="138"/>
        <v>0</v>
      </c>
      <c r="AG954" s="199">
        <f t="shared" si="139"/>
        <v>0</v>
      </c>
      <c r="AH954" s="187"/>
      <c r="AI954" s="185" t="s">
        <v>1458</v>
      </c>
      <c r="AJ954" s="185"/>
      <c r="AK954" s="277">
        <f t="shared" si="132"/>
        <v>3881.99</v>
      </c>
      <c r="AL954" s="25">
        <f>(SUMIFS('T1 2019 Pipeline Data Lagasco'!$O:$O,'T1 2019 Pipeline Data Lagasco'!$A:$A,'Dec 31 2018 OFFS'!$AI954,'T1 2019 Pipeline Data Lagasco'!$Q:$Q,'Dec 31 2018 OFFS'!$AK954,'T1 2019 Pipeline Data Lagasco'!$E:$E,'Dec 31 2018 OFFS'!$U954,'T1 2019 Pipeline Data Lagasco'!$G:$G,'Dec 31 2018 OFFS'!$W954))/(MAX(COUNTIFS('T1 2019 Pipeline Data Lagasco'!$A:$A,'Dec 31 2018 OFFS'!$AI954,'T1 2019 Pipeline Data Lagasco'!$Q:$Q,'Dec 31 2018 OFFS'!$AK954,'T1 2019 Pipeline Data Lagasco'!$E:$E,'Dec 31 2018 OFFS'!$U954,'T1 2019 Pipeline Data Lagasco'!$G:$G,'Dec 31 2018 OFFS'!$W954),1))</f>
        <v>0</v>
      </c>
      <c r="AM954" s="274">
        <f t="shared" si="140"/>
        <v>0</v>
      </c>
    </row>
    <row r="955" spans="1:39" ht="12.7">
      <c r="A955" s="193" t="s">
        <v>909</v>
      </c>
      <c r="B955" s="40" t="s">
        <v>918</v>
      </c>
      <c r="C955" s="40" t="s">
        <v>1266</v>
      </c>
      <c r="D955" s="40" t="s">
        <v>336</v>
      </c>
      <c r="E955" s="40" t="s">
        <v>1054</v>
      </c>
      <c r="F955" s="40"/>
      <c r="G955" s="40" t="s">
        <v>413</v>
      </c>
      <c r="H955" s="42">
        <v>42</v>
      </c>
      <c r="I955" s="43">
        <v>30</v>
      </c>
      <c r="J955" s="44">
        <f>0.703*60</f>
        <v>42.18</v>
      </c>
      <c r="K955" s="45">
        <v>80</v>
      </c>
      <c r="L955" s="43">
        <v>35</v>
      </c>
      <c r="M955" s="46">
        <f>0.238*60</f>
        <v>14.28</v>
      </c>
      <c r="N955" s="41" t="s">
        <v>1304</v>
      </c>
      <c r="O955" s="42">
        <v>42</v>
      </c>
      <c r="P955" s="43">
        <v>30</v>
      </c>
      <c r="Q955" s="44">
        <f>0.343*60</f>
        <v>20.58</v>
      </c>
      <c r="R955" s="45">
        <v>80</v>
      </c>
      <c r="S955" s="43">
        <v>34</v>
      </c>
      <c r="T955" s="46">
        <f>0.547*60</f>
        <v>32.82</v>
      </c>
      <c r="U955" s="40">
        <v>3</v>
      </c>
      <c r="V955" s="47">
        <v>3750</v>
      </c>
      <c r="W955" s="48">
        <v>2010</v>
      </c>
      <c r="X955" s="40"/>
      <c r="Y955" s="52"/>
      <c r="Z955" s="40" t="s">
        <v>910</v>
      </c>
      <c r="AA955" s="49">
        <f t="shared" si="133"/>
        <v>88462.50</v>
      </c>
      <c r="AB955" s="71">
        <f t="shared" si="134"/>
        <v>0.39</v>
      </c>
      <c r="AC955" s="49">
        <f t="shared" si="135"/>
        <v>53962.13</v>
      </c>
      <c r="AD955" s="50">
        <f t="shared" si="136"/>
        <v>0</v>
      </c>
      <c r="AE955" s="50">
        <f t="shared" si="137"/>
        <v>0</v>
      </c>
      <c r="AF955" s="50">
        <f t="shared" si="138"/>
        <v>53962.13</v>
      </c>
      <c r="AG955" s="199">
        <f t="shared" si="139"/>
        <v>53962</v>
      </c>
      <c r="AH955" s="187"/>
      <c r="AI955" s="185" t="s">
        <v>1458</v>
      </c>
      <c r="AJ955" s="185"/>
      <c r="AK955" s="277">
        <f t="shared" si="132"/>
        <v>3750</v>
      </c>
      <c r="AL955" s="25">
        <f>(SUMIFS('T1 2019 Pipeline Data Lagasco'!$O:$O,'T1 2019 Pipeline Data Lagasco'!$A:$A,'Dec 31 2018 OFFS'!$AI955,'T1 2019 Pipeline Data Lagasco'!$Q:$Q,'Dec 31 2018 OFFS'!$AK955,'T1 2019 Pipeline Data Lagasco'!$E:$E,'Dec 31 2018 OFFS'!$U955,'T1 2019 Pipeline Data Lagasco'!$G:$G,'Dec 31 2018 OFFS'!$W955))/(MAX(COUNTIFS('T1 2019 Pipeline Data Lagasco'!$A:$A,'Dec 31 2018 OFFS'!$AI955,'T1 2019 Pipeline Data Lagasco'!$Q:$Q,'Dec 31 2018 OFFS'!$AK955,'T1 2019 Pipeline Data Lagasco'!$E:$E,'Dec 31 2018 OFFS'!$U955,'T1 2019 Pipeline Data Lagasco'!$G:$G,'Dec 31 2018 OFFS'!$W955),1))</f>
        <v>53962</v>
      </c>
      <c r="AM955" s="274">
        <f t="shared" si="140"/>
        <v>0</v>
      </c>
    </row>
    <row r="956" spans="1:39" ht="12.7">
      <c r="A956" s="193" t="s">
        <v>909</v>
      </c>
      <c r="B956" s="40" t="s">
        <v>918</v>
      </c>
      <c r="C956" s="40" t="s">
        <v>1266</v>
      </c>
      <c r="D956" s="40" t="s">
        <v>336</v>
      </c>
      <c r="E956" s="40" t="s">
        <v>1054</v>
      </c>
      <c r="F956" s="40"/>
      <c r="G956" s="41" t="s">
        <v>413</v>
      </c>
      <c r="H956" s="42">
        <v>42</v>
      </c>
      <c r="I956" s="43">
        <v>30</v>
      </c>
      <c r="J956" s="44">
        <v>42.965</v>
      </c>
      <c r="K956" s="45">
        <v>80</v>
      </c>
      <c r="L956" s="43">
        <v>35</v>
      </c>
      <c r="M956" s="46">
        <v>14.308999999999999</v>
      </c>
      <c r="N956" s="40" t="s">
        <v>414</v>
      </c>
      <c r="O956" s="42">
        <v>42</v>
      </c>
      <c r="P956" s="43">
        <v>31</v>
      </c>
      <c r="Q956" s="44">
        <v>21.42</v>
      </c>
      <c r="R956" s="45">
        <v>80</v>
      </c>
      <c r="S956" s="43">
        <v>35</v>
      </c>
      <c r="T956" s="46">
        <v>28.50</v>
      </c>
      <c r="U956" s="40">
        <v>2</v>
      </c>
      <c r="V956" s="47">
        <v>4035.3017204080002</v>
      </c>
      <c r="W956" s="48">
        <v>1986</v>
      </c>
      <c r="X956" s="40"/>
      <c r="Y956" s="52"/>
      <c r="Z956" s="40" t="s">
        <v>910</v>
      </c>
      <c r="AA956" s="49">
        <f t="shared" si="133"/>
        <v>65533.299939425917</v>
      </c>
      <c r="AB956" s="71">
        <f t="shared" si="134"/>
        <v>0.79</v>
      </c>
      <c r="AC956" s="49">
        <f t="shared" si="135"/>
        <v>13761.99</v>
      </c>
      <c r="AD956" s="50">
        <f t="shared" si="136"/>
        <v>0</v>
      </c>
      <c r="AE956" s="50">
        <f t="shared" si="137"/>
        <v>0</v>
      </c>
      <c r="AF956" s="50">
        <f t="shared" si="138"/>
        <v>13761.99</v>
      </c>
      <c r="AG956" s="199">
        <f t="shared" si="139"/>
        <v>13761</v>
      </c>
      <c r="AH956" s="187"/>
      <c r="AI956" s="185" t="s">
        <v>1458</v>
      </c>
      <c r="AJ956" s="185"/>
      <c r="AK956" s="277">
        <f t="shared" si="132"/>
        <v>4035.30</v>
      </c>
      <c r="AL956" s="25">
        <f>(SUMIFS('T1 2019 Pipeline Data Lagasco'!$O:$O,'T1 2019 Pipeline Data Lagasco'!$A:$A,'Dec 31 2018 OFFS'!$AI956,'T1 2019 Pipeline Data Lagasco'!$Q:$Q,'Dec 31 2018 OFFS'!$AK956,'T1 2019 Pipeline Data Lagasco'!$E:$E,'Dec 31 2018 OFFS'!$U956,'T1 2019 Pipeline Data Lagasco'!$G:$G,'Dec 31 2018 OFFS'!$W956))/(MAX(COUNTIFS('T1 2019 Pipeline Data Lagasco'!$A:$A,'Dec 31 2018 OFFS'!$AI956,'T1 2019 Pipeline Data Lagasco'!$Q:$Q,'Dec 31 2018 OFFS'!$AK956,'T1 2019 Pipeline Data Lagasco'!$E:$E,'Dec 31 2018 OFFS'!$U956,'T1 2019 Pipeline Data Lagasco'!$G:$G,'Dec 31 2018 OFFS'!$W956),1))</f>
        <v>13761</v>
      </c>
      <c r="AM956" s="274">
        <f t="shared" si="140"/>
        <v>0</v>
      </c>
    </row>
    <row r="957" spans="1:39" ht="12.7">
      <c r="A957" s="193" t="s">
        <v>909</v>
      </c>
      <c r="B957" s="40" t="s">
        <v>918</v>
      </c>
      <c r="C957" s="40" t="s">
        <v>1266</v>
      </c>
      <c r="D957" s="40" t="s">
        <v>336</v>
      </c>
      <c r="E957" s="40" t="s">
        <v>1054</v>
      </c>
      <c r="F957" s="40"/>
      <c r="G957" s="139" t="s">
        <v>1410</v>
      </c>
      <c r="H957" s="42">
        <v>42</v>
      </c>
      <c r="I957" s="43">
        <v>30</v>
      </c>
      <c r="J957" s="44">
        <f>60*0.283</f>
        <v>16.979999999999997</v>
      </c>
      <c r="K957" s="45">
        <v>80</v>
      </c>
      <c r="L957" s="43">
        <v>41</v>
      </c>
      <c r="M957" s="46">
        <f>60*0.796</f>
        <v>47.760000000000005</v>
      </c>
      <c r="N957" s="139" t="s">
        <v>1411</v>
      </c>
      <c r="O957" s="42">
        <v>42</v>
      </c>
      <c r="P957" s="43">
        <v>30</v>
      </c>
      <c r="Q957" s="44">
        <f>60*0.729</f>
        <v>43.74</v>
      </c>
      <c r="R957" s="45">
        <v>80</v>
      </c>
      <c r="S957" s="43">
        <v>43</v>
      </c>
      <c r="T957" s="46">
        <f>60*0.707</f>
        <v>42.419999999999995</v>
      </c>
      <c r="U957" s="40">
        <v>4</v>
      </c>
      <c r="V957" s="47">
        <v>8976</v>
      </c>
      <c r="W957" s="48">
        <v>2005</v>
      </c>
      <c r="X957" s="139"/>
      <c r="Y957" s="52"/>
      <c r="Z957" s="40" t="s">
        <v>910</v>
      </c>
      <c r="AA957" s="49">
        <f t="shared" si="133"/>
        <v>237415.19999999998</v>
      </c>
      <c r="AB957" s="71">
        <f t="shared" si="134"/>
        <v>0.54</v>
      </c>
      <c r="AC957" s="49">
        <f t="shared" si="135"/>
        <v>109210.99</v>
      </c>
      <c r="AD957" s="50">
        <f t="shared" si="136"/>
        <v>0</v>
      </c>
      <c r="AE957" s="50">
        <f t="shared" si="137"/>
        <v>0</v>
      </c>
      <c r="AF957" s="50">
        <f t="shared" si="138"/>
        <v>109210.99</v>
      </c>
      <c r="AG957" s="199">
        <f t="shared" si="139"/>
        <v>109210</v>
      </c>
      <c r="AI957" s="185" t="s">
        <v>1458</v>
      </c>
      <c r="AJ957" s="185"/>
      <c r="AK957" s="282">
        <f t="shared" si="132"/>
        <v>8976</v>
      </c>
      <c r="AL957" s="25">
        <f>(SUMIFS('T1 2019 Pipeline Data Lagasco'!$O:$O,'T1 2019 Pipeline Data Lagasco'!$A:$A,'Dec 31 2018 OFFS'!$AI957,'T1 2019 Pipeline Data Lagasco'!$Q:$Q,'Dec 31 2018 OFFS'!$AK957,'T1 2019 Pipeline Data Lagasco'!$E:$E,'Dec 31 2018 OFFS'!$U957,'T1 2019 Pipeline Data Lagasco'!$G:$G,'Dec 31 2018 OFFS'!$W957))/(MAX(COUNTIFS('T1 2019 Pipeline Data Lagasco'!$A:$A,'Dec 31 2018 OFFS'!$AI957,'T1 2019 Pipeline Data Lagasco'!$Q:$Q,'Dec 31 2018 OFFS'!$AK957,'T1 2019 Pipeline Data Lagasco'!$E:$E,'Dec 31 2018 OFFS'!$U957,'T1 2019 Pipeline Data Lagasco'!$G:$G,'Dec 31 2018 OFFS'!$W957),1))</f>
        <v>109210</v>
      </c>
      <c r="AM957" s="274">
        <f t="shared" si="140"/>
        <v>0</v>
      </c>
    </row>
    <row r="958" spans="1:39" ht="12.7">
      <c r="A958" s="194" t="s">
        <v>909</v>
      </c>
      <c r="B958" s="97" t="s">
        <v>918</v>
      </c>
      <c r="C958" s="97" t="s">
        <v>1266</v>
      </c>
      <c r="D958" s="97" t="s">
        <v>336</v>
      </c>
      <c r="E958" s="97" t="s">
        <v>1223</v>
      </c>
      <c r="F958" s="97"/>
      <c r="G958" s="97" t="s">
        <v>1292</v>
      </c>
      <c r="H958" s="98">
        <v>42</v>
      </c>
      <c r="I958" s="99">
        <v>28</v>
      </c>
      <c r="J958" s="100">
        <v>8.10</v>
      </c>
      <c r="K958" s="101">
        <v>80</v>
      </c>
      <c r="L958" s="99">
        <v>19</v>
      </c>
      <c r="M958" s="102">
        <v>9.90</v>
      </c>
      <c r="N958" s="103" t="s">
        <v>1294</v>
      </c>
      <c r="O958" s="98">
        <v>42</v>
      </c>
      <c r="P958" s="99">
        <v>29</v>
      </c>
      <c r="Q958" s="100">
        <v>15.42</v>
      </c>
      <c r="R958" s="101">
        <v>80</v>
      </c>
      <c r="S958" s="99">
        <v>19</v>
      </c>
      <c r="T958" s="102">
        <v>43.38</v>
      </c>
      <c r="U958" s="97">
        <v>3</v>
      </c>
      <c r="V958" s="104">
        <v>7262</v>
      </c>
      <c r="W958" s="105">
        <v>2006</v>
      </c>
      <c r="X958" s="97"/>
      <c r="Y958" s="97" t="s">
        <v>1081</v>
      </c>
      <c r="Z958" s="97" t="s">
        <v>910</v>
      </c>
      <c r="AA958" s="49">
        <f t="shared" si="133"/>
        <v>171310.58</v>
      </c>
      <c r="AB958" s="71">
        <f t="shared" si="134"/>
        <v>0.52</v>
      </c>
      <c r="AC958" s="49">
        <f t="shared" si="135"/>
        <v>82229.08</v>
      </c>
      <c r="AD958" s="50">
        <f t="shared" si="136"/>
        <v>0</v>
      </c>
      <c r="AE958" s="50">
        <f t="shared" si="137"/>
        <v>0</v>
      </c>
      <c r="AF958" s="50">
        <f t="shared" si="138"/>
        <v>82229.08</v>
      </c>
      <c r="AG958" s="199">
        <f t="shared" si="139"/>
        <v>82229</v>
      </c>
      <c r="AH958" s="187"/>
      <c r="AI958" s="185" t="s">
        <v>1458</v>
      </c>
      <c r="AJ958" s="185"/>
      <c r="AK958" s="277">
        <f t="shared" si="132"/>
        <v>7262</v>
      </c>
      <c r="AL958" s="25">
        <f>(SUMIFS('T1 2019 Pipeline Data Lagasco'!$O:$O,'T1 2019 Pipeline Data Lagasco'!$A:$A,'Dec 31 2018 OFFS'!$AI958,'T1 2019 Pipeline Data Lagasco'!$Q:$Q,'Dec 31 2018 OFFS'!$AK958,'T1 2019 Pipeline Data Lagasco'!$E:$E,'Dec 31 2018 OFFS'!$U958,'T1 2019 Pipeline Data Lagasco'!$G:$G,'Dec 31 2018 OFFS'!$W958))/(MAX(COUNTIFS('T1 2019 Pipeline Data Lagasco'!$A:$A,'Dec 31 2018 OFFS'!$AI958,'T1 2019 Pipeline Data Lagasco'!$Q:$Q,'Dec 31 2018 OFFS'!$AK958,'T1 2019 Pipeline Data Lagasco'!$E:$E,'Dec 31 2018 OFFS'!$U958,'T1 2019 Pipeline Data Lagasco'!$G:$G,'Dec 31 2018 OFFS'!$W958),1))</f>
        <v>82229</v>
      </c>
      <c r="AM958" s="274">
        <f t="shared" si="140"/>
        <v>0</v>
      </c>
    </row>
    <row r="959" spans="1:39" ht="12.7">
      <c r="A959" s="195" t="s">
        <v>909</v>
      </c>
      <c r="B959" s="88" t="s">
        <v>918</v>
      </c>
      <c r="C959" s="88" t="s">
        <v>1266</v>
      </c>
      <c r="D959" s="88" t="s">
        <v>336</v>
      </c>
      <c r="E959" s="88" t="s">
        <v>1223</v>
      </c>
      <c r="F959" s="88"/>
      <c r="G959" s="88" t="s">
        <v>1293</v>
      </c>
      <c r="H959" s="89">
        <v>42</v>
      </c>
      <c r="I959" s="90">
        <v>31</v>
      </c>
      <c r="J959" s="91">
        <v>37.14</v>
      </c>
      <c r="K959" s="92">
        <v>80</v>
      </c>
      <c r="L959" s="90">
        <v>23</v>
      </c>
      <c r="M959" s="93">
        <v>38.520000000000003</v>
      </c>
      <c r="N959" s="94" t="s">
        <v>496</v>
      </c>
      <c r="O959" s="89">
        <v>42</v>
      </c>
      <c r="P959" s="90">
        <v>32</v>
      </c>
      <c r="Q959" s="91">
        <v>0.012999999999999999</v>
      </c>
      <c r="R959" s="92">
        <v>80</v>
      </c>
      <c r="S959" s="90">
        <v>24</v>
      </c>
      <c r="T959" s="93">
        <v>49.98</v>
      </c>
      <c r="U959" s="88">
        <v>3</v>
      </c>
      <c r="V959" s="95">
        <v>9087</v>
      </c>
      <c r="W959" s="96">
        <v>2006</v>
      </c>
      <c r="X959" s="88"/>
      <c r="Y959" s="88" t="s">
        <v>1081</v>
      </c>
      <c r="Z959" s="88" t="s">
        <v>910</v>
      </c>
      <c r="AA959" s="49">
        <f t="shared" si="133"/>
        <v>214362.33</v>
      </c>
      <c r="AB959" s="71">
        <f t="shared" si="134"/>
        <v>0.52</v>
      </c>
      <c r="AC959" s="49">
        <f t="shared" si="135"/>
        <v>102893.92</v>
      </c>
      <c r="AD959" s="50">
        <f t="shared" si="136"/>
        <v>0</v>
      </c>
      <c r="AE959" s="50">
        <f t="shared" si="137"/>
        <v>0</v>
      </c>
      <c r="AF959" s="50">
        <f t="shared" si="138"/>
        <v>102893.92</v>
      </c>
      <c r="AG959" s="199">
        <f t="shared" si="139"/>
        <v>102893</v>
      </c>
      <c r="AH959" s="187"/>
      <c r="AI959" s="185" t="s">
        <v>1458</v>
      </c>
      <c r="AJ959" s="185"/>
      <c r="AK959" s="277">
        <f t="shared" si="132"/>
        <v>9087</v>
      </c>
      <c r="AL959" s="25">
        <f>(SUMIFS('T1 2019 Pipeline Data Lagasco'!$O:$O,'T1 2019 Pipeline Data Lagasco'!$A:$A,'Dec 31 2018 OFFS'!$AI959,'T1 2019 Pipeline Data Lagasco'!$Q:$Q,'Dec 31 2018 OFFS'!$AK959,'T1 2019 Pipeline Data Lagasco'!$E:$E,'Dec 31 2018 OFFS'!$U959,'T1 2019 Pipeline Data Lagasco'!$G:$G,'Dec 31 2018 OFFS'!$W959))/(MAX(COUNTIFS('T1 2019 Pipeline Data Lagasco'!$A:$A,'Dec 31 2018 OFFS'!$AI959,'T1 2019 Pipeline Data Lagasco'!$Q:$Q,'Dec 31 2018 OFFS'!$AK959,'T1 2019 Pipeline Data Lagasco'!$E:$E,'Dec 31 2018 OFFS'!$U959,'T1 2019 Pipeline Data Lagasco'!$G:$G,'Dec 31 2018 OFFS'!$W959),1))</f>
        <v>102893</v>
      </c>
      <c r="AM959" s="274">
        <f t="shared" si="140"/>
        <v>0</v>
      </c>
    </row>
    <row r="960" spans="1:39" ht="12.7">
      <c r="A960" s="195" t="s">
        <v>909</v>
      </c>
      <c r="B960" s="88" t="s">
        <v>918</v>
      </c>
      <c r="C960" s="88" t="s">
        <v>1266</v>
      </c>
      <c r="D960" s="88" t="s">
        <v>336</v>
      </c>
      <c r="E960" s="88" t="s">
        <v>1054</v>
      </c>
      <c r="F960" s="88"/>
      <c r="G960" s="88" t="s">
        <v>1291</v>
      </c>
      <c r="H960" s="89">
        <v>42</v>
      </c>
      <c r="I960" s="90">
        <v>32</v>
      </c>
      <c r="J960" s="91">
        <v>5.04</v>
      </c>
      <c r="K960" s="92">
        <v>80</v>
      </c>
      <c r="L960" s="90">
        <v>27</v>
      </c>
      <c r="M960" s="93">
        <v>32.520000000000003</v>
      </c>
      <c r="N960" s="94" t="s">
        <v>500</v>
      </c>
      <c r="O960" s="89">
        <v>42</v>
      </c>
      <c r="P960" s="90">
        <v>31</v>
      </c>
      <c r="Q960" s="91">
        <v>13.98</v>
      </c>
      <c r="R960" s="92">
        <v>80</v>
      </c>
      <c r="S960" s="90">
        <v>27</v>
      </c>
      <c r="T960" s="93">
        <v>31.02</v>
      </c>
      <c r="U960" s="88">
        <v>3</v>
      </c>
      <c r="V960" s="95">
        <v>5172</v>
      </c>
      <c r="W960" s="96">
        <v>2006</v>
      </c>
      <c r="X960" s="88"/>
      <c r="Y960" s="88" t="s">
        <v>1081</v>
      </c>
      <c r="Z960" s="88" t="s">
        <v>910</v>
      </c>
      <c r="AA960" s="49">
        <f t="shared" si="133"/>
        <v>122007.48</v>
      </c>
      <c r="AB960" s="71">
        <f t="shared" si="134"/>
        <v>0.52</v>
      </c>
      <c r="AC960" s="49">
        <f t="shared" si="135"/>
        <v>58563.59</v>
      </c>
      <c r="AD960" s="50">
        <f t="shared" si="136"/>
        <v>0</v>
      </c>
      <c r="AE960" s="50">
        <f t="shared" si="137"/>
        <v>0</v>
      </c>
      <c r="AF960" s="50">
        <f t="shared" si="138"/>
        <v>58563.59</v>
      </c>
      <c r="AG960" s="199">
        <f t="shared" si="139"/>
        <v>58563</v>
      </c>
      <c r="AH960" s="187">
        <f>SUM(AF700:AF960)</f>
        <v>5735709.9800000004</v>
      </c>
      <c r="AI960" s="185" t="s">
        <v>1458</v>
      </c>
      <c r="AJ960" s="185"/>
      <c r="AK960" s="277">
        <f t="shared" si="132"/>
        <v>5172</v>
      </c>
      <c r="AL960" s="25">
        <f>(SUMIFS('T1 2019 Pipeline Data Lagasco'!$O:$O,'T1 2019 Pipeline Data Lagasco'!$A:$A,'Dec 31 2018 OFFS'!$AI960,'T1 2019 Pipeline Data Lagasco'!$Q:$Q,'Dec 31 2018 OFFS'!$AK960,'T1 2019 Pipeline Data Lagasco'!$E:$E,'Dec 31 2018 OFFS'!$U960,'T1 2019 Pipeline Data Lagasco'!$G:$G,'Dec 31 2018 OFFS'!$W960))/(MAX(COUNTIFS('T1 2019 Pipeline Data Lagasco'!$A:$A,'Dec 31 2018 OFFS'!$AI960,'T1 2019 Pipeline Data Lagasco'!$Q:$Q,'Dec 31 2018 OFFS'!$AK960,'T1 2019 Pipeline Data Lagasco'!$E:$E,'Dec 31 2018 OFFS'!$U960,'T1 2019 Pipeline Data Lagasco'!$G:$G,'Dec 31 2018 OFFS'!$W960),1))</f>
        <v>58563</v>
      </c>
      <c r="AM960" s="274">
        <f t="shared" si="140"/>
        <v>0</v>
      </c>
    </row>
    <row r="961" spans="1:39" ht="12.7">
      <c r="A961" s="193" t="s">
        <v>909</v>
      </c>
      <c r="B961" s="40" t="s">
        <v>917</v>
      </c>
      <c r="C961" s="40" t="s">
        <v>921</v>
      </c>
      <c r="D961" s="40" t="s">
        <v>835</v>
      </c>
      <c r="E961" s="40" t="s">
        <v>1222</v>
      </c>
      <c r="F961" s="40"/>
      <c r="G961" s="41" t="s">
        <v>834</v>
      </c>
      <c r="H961" s="42">
        <v>42</v>
      </c>
      <c r="I961" s="43">
        <v>16</v>
      </c>
      <c r="J961" s="44">
        <f>0.539*60</f>
        <v>32.340000000000003</v>
      </c>
      <c r="K961" s="45">
        <v>81</v>
      </c>
      <c r="L961" s="43">
        <v>49</v>
      </c>
      <c r="M961" s="46">
        <f>0.242*60</f>
        <v>14.52</v>
      </c>
      <c r="N961" s="41" t="s">
        <v>824</v>
      </c>
      <c r="O961" s="42">
        <v>42</v>
      </c>
      <c r="P961" s="43">
        <v>18</v>
      </c>
      <c r="Q961" s="44">
        <f>0.801*60</f>
        <v>48.06</v>
      </c>
      <c r="R961" s="45">
        <v>81</v>
      </c>
      <c r="S961" s="43">
        <v>49</v>
      </c>
      <c r="T961" s="46">
        <f>0.033*60</f>
        <v>1.98</v>
      </c>
      <c r="U961" s="57">
        <v>4</v>
      </c>
      <c r="V961" s="47">
        <v>13771.489102490001</v>
      </c>
      <c r="W961" s="48">
        <v>1994</v>
      </c>
      <c r="X961" s="40"/>
      <c r="Y961" s="53" t="s">
        <v>1082</v>
      </c>
      <c r="Z961" s="40" t="s">
        <v>910</v>
      </c>
      <c r="AA961" s="49">
        <f t="shared" si="133"/>
        <v>364255.88676086051</v>
      </c>
      <c r="AB961" s="71">
        <f t="shared" si="134"/>
        <v>0.68</v>
      </c>
      <c r="AC961" s="49">
        <f t="shared" si="135"/>
        <v>116561.88</v>
      </c>
      <c r="AD961" s="50">
        <f t="shared" si="136"/>
        <v>0</v>
      </c>
      <c r="AE961" s="50">
        <f t="shared" si="137"/>
        <v>0</v>
      </c>
      <c r="AF961" s="50">
        <f t="shared" si="138"/>
        <v>116561.88</v>
      </c>
      <c r="AG961" s="199">
        <f t="shared" si="139"/>
        <v>116561</v>
      </c>
      <c r="AH961" s="187"/>
      <c r="AI961" s="185" t="s">
        <v>1459</v>
      </c>
      <c r="AJ961" s="185"/>
      <c r="AK961" s="277">
        <f t="shared" si="132"/>
        <v>13771.49</v>
      </c>
      <c r="AL961" s="25">
        <f>(SUMIFS('T1 2019 Pipeline Data Lagasco'!$O:$O,'T1 2019 Pipeline Data Lagasco'!$A:$A,'Dec 31 2018 OFFS'!$AI961,'T1 2019 Pipeline Data Lagasco'!$Q:$Q,'Dec 31 2018 OFFS'!$AK961,'T1 2019 Pipeline Data Lagasco'!$E:$E,'Dec 31 2018 OFFS'!$U961,'T1 2019 Pipeline Data Lagasco'!$G:$G,'Dec 31 2018 OFFS'!$W961))/(MAX(COUNTIFS('T1 2019 Pipeline Data Lagasco'!$A:$A,'Dec 31 2018 OFFS'!$AI961,'T1 2019 Pipeline Data Lagasco'!$Q:$Q,'Dec 31 2018 OFFS'!$AK961,'T1 2019 Pipeline Data Lagasco'!$E:$E,'Dec 31 2018 OFFS'!$U961,'T1 2019 Pipeline Data Lagasco'!$G:$G,'Dec 31 2018 OFFS'!$W961),1))</f>
        <v>116561</v>
      </c>
      <c r="AM961" s="274">
        <f t="shared" si="140"/>
        <v>0</v>
      </c>
    </row>
    <row r="962" spans="1:39" ht="12.7">
      <c r="A962" s="193" t="s">
        <v>909</v>
      </c>
      <c r="B962" s="40" t="s">
        <v>917</v>
      </c>
      <c r="C962" s="40" t="s">
        <v>921</v>
      </c>
      <c r="D962" s="40" t="s">
        <v>835</v>
      </c>
      <c r="E962" s="40" t="s">
        <v>1222</v>
      </c>
      <c r="F962" s="40"/>
      <c r="G962" s="41" t="s">
        <v>836</v>
      </c>
      <c r="H962" s="42">
        <v>42</v>
      </c>
      <c r="I962" s="43">
        <v>14</v>
      </c>
      <c r="J962" s="44">
        <v>31.08</v>
      </c>
      <c r="K962" s="45">
        <v>81</v>
      </c>
      <c r="L962" s="43">
        <v>50</v>
      </c>
      <c r="M962" s="46">
        <v>28.98</v>
      </c>
      <c r="N962" s="41" t="s">
        <v>834</v>
      </c>
      <c r="O962" s="42">
        <v>42</v>
      </c>
      <c r="P962" s="43">
        <v>16</v>
      </c>
      <c r="Q962" s="44">
        <f>0.539*60</f>
        <v>32.340000000000003</v>
      </c>
      <c r="R962" s="45">
        <v>81</v>
      </c>
      <c r="S962" s="43">
        <v>49</v>
      </c>
      <c r="T962" s="46">
        <f>0.242*60</f>
        <v>14.52</v>
      </c>
      <c r="U962" s="40">
        <v>4</v>
      </c>
      <c r="V962" s="47">
        <v>13492.092785122</v>
      </c>
      <c r="W962" s="48">
        <v>1994</v>
      </c>
      <c r="X962" s="40"/>
      <c r="Y962" s="53" t="s">
        <v>1082</v>
      </c>
      <c r="Z962" s="40" t="s">
        <v>910</v>
      </c>
      <c r="AA962" s="49">
        <f t="shared" si="133"/>
        <v>356865.85416647687</v>
      </c>
      <c r="AB962" s="71">
        <f t="shared" si="134"/>
        <v>0.68</v>
      </c>
      <c r="AC962" s="49">
        <f t="shared" si="135"/>
        <v>114197.07</v>
      </c>
      <c r="AD962" s="50">
        <f t="shared" si="136"/>
        <v>0</v>
      </c>
      <c r="AE962" s="50">
        <f t="shared" si="137"/>
        <v>0</v>
      </c>
      <c r="AF962" s="50">
        <f t="shared" si="138"/>
        <v>114197.07</v>
      </c>
      <c r="AG962" s="199">
        <f t="shared" si="139"/>
        <v>114197</v>
      </c>
      <c r="AH962" s="187"/>
      <c r="AI962" s="185" t="s">
        <v>1459</v>
      </c>
      <c r="AJ962" s="185"/>
      <c r="AK962" s="277">
        <f t="shared" si="132"/>
        <v>13492.09</v>
      </c>
      <c r="AL962" s="25">
        <f>(SUMIFS('T1 2019 Pipeline Data Lagasco'!$O:$O,'T1 2019 Pipeline Data Lagasco'!$A:$A,'Dec 31 2018 OFFS'!$AI962,'T1 2019 Pipeline Data Lagasco'!$Q:$Q,'Dec 31 2018 OFFS'!$AK962,'T1 2019 Pipeline Data Lagasco'!$E:$E,'Dec 31 2018 OFFS'!$U962,'T1 2019 Pipeline Data Lagasco'!$G:$G,'Dec 31 2018 OFFS'!$W962))/(MAX(COUNTIFS('T1 2019 Pipeline Data Lagasco'!$A:$A,'Dec 31 2018 OFFS'!$AI962,'T1 2019 Pipeline Data Lagasco'!$Q:$Q,'Dec 31 2018 OFFS'!$AK962,'T1 2019 Pipeline Data Lagasco'!$E:$E,'Dec 31 2018 OFFS'!$U962,'T1 2019 Pipeline Data Lagasco'!$G:$G,'Dec 31 2018 OFFS'!$W962),1))</f>
        <v>114197</v>
      </c>
      <c r="AM962" s="274">
        <f t="shared" si="140"/>
        <v>0</v>
      </c>
    </row>
    <row r="963" spans="1:39" ht="12.7">
      <c r="A963" s="193" t="s">
        <v>909</v>
      </c>
      <c r="B963" s="40" t="s">
        <v>917</v>
      </c>
      <c r="C963" s="40" t="s">
        <v>921</v>
      </c>
      <c r="D963" s="40" t="s">
        <v>835</v>
      </c>
      <c r="E963" s="40" t="s">
        <v>1222</v>
      </c>
      <c r="F963" s="40"/>
      <c r="G963" s="40" t="s">
        <v>837</v>
      </c>
      <c r="H963" s="42">
        <v>42</v>
      </c>
      <c r="I963" s="43">
        <v>13</v>
      </c>
      <c r="J963" s="44">
        <f>0.03*60</f>
        <v>1.7999999999999998</v>
      </c>
      <c r="K963" s="45">
        <v>81</v>
      </c>
      <c r="L963" s="43">
        <v>56</v>
      </c>
      <c r="M963" s="46">
        <f>0.248*60</f>
        <v>14.88</v>
      </c>
      <c r="N963" s="41" t="s">
        <v>836</v>
      </c>
      <c r="O963" s="42">
        <v>42</v>
      </c>
      <c r="P963" s="43">
        <v>14</v>
      </c>
      <c r="Q963" s="44">
        <v>31.08</v>
      </c>
      <c r="R963" s="45">
        <v>81</v>
      </c>
      <c r="S963" s="43">
        <v>50</v>
      </c>
      <c r="T963" s="46">
        <v>28.98</v>
      </c>
      <c r="U963" s="40">
        <v>4</v>
      </c>
      <c r="V963" s="47">
        <v>27548.490015844</v>
      </c>
      <c r="W963" s="48">
        <v>1994</v>
      </c>
      <c r="X963" s="40"/>
      <c r="Y963" s="53" t="s">
        <v>1082</v>
      </c>
      <c r="Z963" s="40" t="s">
        <v>910</v>
      </c>
      <c r="AA963" s="49">
        <f t="shared" si="133"/>
        <v>728657.56091907376</v>
      </c>
      <c r="AB963" s="71">
        <f t="shared" si="134"/>
        <v>0.68</v>
      </c>
      <c r="AC963" s="49">
        <f t="shared" si="135"/>
        <v>233170.42</v>
      </c>
      <c r="AD963" s="50">
        <f t="shared" si="136"/>
        <v>0</v>
      </c>
      <c r="AE963" s="50">
        <f t="shared" si="137"/>
        <v>0</v>
      </c>
      <c r="AF963" s="50">
        <f t="shared" si="138"/>
        <v>233170.42</v>
      </c>
      <c r="AG963" s="199">
        <f t="shared" si="139"/>
        <v>233170</v>
      </c>
      <c r="AH963" s="187"/>
      <c r="AI963" s="185" t="s">
        <v>1459</v>
      </c>
      <c r="AJ963" s="185"/>
      <c r="AK963" s="277">
        <f t="shared" si="141" ref="AK963:AK1026">ROUND(V963,2)</f>
        <v>27548.49</v>
      </c>
      <c r="AL963" s="25">
        <f>(SUMIFS('T1 2019 Pipeline Data Lagasco'!$O:$O,'T1 2019 Pipeline Data Lagasco'!$A:$A,'Dec 31 2018 OFFS'!$AI963,'T1 2019 Pipeline Data Lagasco'!$Q:$Q,'Dec 31 2018 OFFS'!$AK963,'T1 2019 Pipeline Data Lagasco'!$E:$E,'Dec 31 2018 OFFS'!$U963,'T1 2019 Pipeline Data Lagasco'!$G:$G,'Dec 31 2018 OFFS'!$W963))/(MAX(COUNTIFS('T1 2019 Pipeline Data Lagasco'!$A:$A,'Dec 31 2018 OFFS'!$AI963,'T1 2019 Pipeline Data Lagasco'!$Q:$Q,'Dec 31 2018 OFFS'!$AK963,'T1 2019 Pipeline Data Lagasco'!$E:$E,'Dec 31 2018 OFFS'!$U963,'T1 2019 Pipeline Data Lagasco'!$G:$G,'Dec 31 2018 OFFS'!$W963),1))</f>
        <v>233170</v>
      </c>
      <c r="AM963" s="274">
        <f t="shared" si="140"/>
        <v>0</v>
      </c>
    </row>
    <row r="964" spans="1:39" ht="12.7">
      <c r="A964" s="193" t="s">
        <v>909</v>
      </c>
      <c r="B964" s="40" t="s">
        <v>917</v>
      </c>
      <c r="C964" s="40" t="s">
        <v>921</v>
      </c>
      <c r="D964" s="40" t="s">
        <v>835</v>
      </c>
      <c r="E964" s="40" t="s">
        <v>1222</v>
      </c>
      <c r="F964" s="40"/>
      <c r="G964" s="40" t="s">
        <v>777</v>
      </c>
      <c r="H964" s="42">
        <v>42</v>
      </c>
      <c r="I964" s="43">
        <v>12</v>
      </c>
      <c r="J964" s="44">
        <v>53.59</v>
      </c>
      <c r="K964" s="45">
        <v>81</v>
      </c>
      <c r="L964" s="43">
        <v>56</v>
      </c>
      <c r="M964" s="46">
        <v>50.59</v>
      </c>
      <c r="N964" s="40" t="s">
        <v>837</v>
      </c>
      <c r="O964" s="42">
        <v>42</v>
      </c>
      <c r="P964" s="43">
        <v>13</v>
      </c>
      <c r="Q964" s="44">
        <f>0.03*60</f>
        <v>1.7999999999999998</v>
      </c>
      <c r="R964" s="45">
        <v>81</v>
      </c>
      <c r="S964" s="43">
        <v>56</v>
      </c>
      <c r="T964" s="46">
        <f>0.248*60</f>
        <v>14.88</v>
      </c>
      <c r="U964" s="40">
        <v>4</v>
      </c>
      <c r="V964" s="47">
        <v>2812.82800253</v>
      </c>
      <c r="W964" s="48">
        <v>1994</v>
      </c>
      <c r="X964" s="40"/>
      <c r="Y964" s="53" t="s">
        <v>1082</v>
      </c>
      <c r="Z964" s="40" t="s">
        <v>910</v>
      </c>
      <c r="AA964" s="49">
        <f t="shared" si="142" ref="AA964:AA1027">IF(F964="ABAND",0,(IF(Z964="steel",VLOOKUP(U964,steelrates,2,FALSE)*V964,VLOOKUP(U964,plasticrates,2,FALSE)*V964)))</f>
        <v>74399.300666918498</v>
      </c>
      <c r="AB964" s="71">
        <f t="shared" si="143" ref="AB964:AB1027">IF(W964=0,0,(VLOOKUP(W964,depreciation,2)))</f>
        <v>0.68</v>
      </c>
      <c r="AC964" s="49">
        <f t="shared" si="144" ref="AC964:AC1027">ROUND(+AA964-(+AA964*AB964),2)</f>
        <v>23807.78</v>
      </c>
      <c r="AD964" s="50">
        <f t="shared" si="145" ref="AD964:AD1027">(IF(X964="LOOP",AC964*0.25,0))</f>
        <v>0</v>
      </c>
      <c r="AE964" s="50">
        <f t="shared" si="146" ref="AE964:AE1027">(IF(F964="SUSP",AC964*0.2,0))</f>
        <v>0</v>
      </c>
      <c r="AF964" s="50">
        <f t="shared" si="147" ref="AF964:AF1027">+AC964-AD964-AE964</f>
        <v>23807.78</v>
      </c>
      <c r="AG964" s="199">
        <f t="shared" si="148" ref="AG964:AG1027">ROUNDDOWN(AF964,0)</f>
        <v>23807</v>
      </c>
      <c r="AH964" s="187">
        <f>SUM(AF961:AF964)</f>
        <v>487737.15</v>
      </c>
      <c r="AI964" s="185" t="s">
        <v>1459</v>
      </c>
      <c r="AJ964" s="185"/>
      <c r="AK964" s="277">
        <f t="shared" si="141"/>
        <v>2812.83</v>
      </c>
      <c r="AL964" s="25">
        <f>(SUMIFS('T1 2019 Pipeline Data Lagasco'!$O:$O,'T1 2019 Pipeline Data Lagasco'!$A:$A,'Dec 31 2018 OFFS'!$AI964,'T1 2019 Pipeline Data Lagasco'!$Q:$Q,'Dec 31 2018 OFFS'!$AK964,'T1 2019 Pipeline Data Lagasco'!$E:$E,'Dec 31 2018 OFFS'!$U964,'T1 2019 Pipeline Data Lagasco'!$G:$G,'Dec 31 2018 OFFS'!$W964))/(MAX(COUNTIFS('T1 2019 Pipeline Data Lagasco'!$A:$A,'Dec 31 2018 OFFS'!$AI964,'T1 2019 Pipeline Data Lagasco'!$Q:$Q,'Dec 31 2018 OFFS'!$AK964,'T1 2019 Pipeline Data Lagasco'!$E:$E,'Dec 31 2018 OFFS'!$U964,'T1 2019 Pipeline Data Lagasco'!$G:$G,'Dec 31 2018 OFFS'!$W964),1))</f>
        <v>23807</v>
      </c>
      <c r="AM964" s="274">
        <f t="shared" si="149" ref="AM964:AM1027">AG964-AL964</f>
        <v>0</v>
      </c>
    </row>
    <row r="965" spans="1:39" ht="12.7">
      <c r="A965" s="193" t="s">
        <v>909</v>
      </c>
      <c r="B965" s="40" t="s">
        <v>917</v>
      </c>
      <c r="C965" s="40" t="s">
        <v>921</v>
      </c>
      <c r="D965" s="40" t="s">
        <v>791</v>
      </c>
      <c r="E965" s="40" t="s">
        <v>783</v>
      </c>
      <c r="F965" s="40" t="s">
        <v>1051</v>
      </c>
      <c r="G965" s="41" t="s">
        <v>966</v>
      </c>
      <c r="H965" s="42">
        <v>42</v>
      </c>
      <c r="I965" s="43">
        <v>14</v>
      </c>
      <c r="J965" s="44">
        <v>28.44</v>
      </c>
      <c r="K965" s="45">
        <v>81</v>
      </c>
      <c r="L965" s="43">
        <v>39</v>
      </c>
      <c r="M965" s="46">
        <v>35.700000000000003</v>
      </c>
      <c r="N965" s="40" t="s">
        <v>817</v>
      </c>
      <c r="O965" s="42">
        <v>42</v>
      </c>
      <c r="P965" s="43">
        <v>14</v>
      </c>
      <c r="Q965" s="44">
        <v>11.40</v>
      </c>
      <c r="R965" s="45">
        <v>81</v>
      </c>
      <c r="S965" s="43">
        <v>40</v>
      </c>
      <c r="T965" s="46">
        <v>4.92</v>
      </c>
      <c r="U965" s="40">
        <v>4</v>
      </c>
      <c r="V965" s="47">
        <v>2794.03</v>
      </c>
      <c r="W965" s="48">
        <v>1978</v>
      </c>
      <c r="X965" s="40"/>
      <c r="Y965" s="52"/>
      <c r="Z965" s="40" t="s">
        <v>910</v>
      </c>
      <c r="AA965" s="49">
        <f t="shared" si="142"/>
        <v>0</v>
      </c>
      <c r="AB965" s="71">
        <f t="shared" si="143"/>
        <v>0.80</v>
      </c>
      <c r="AC965" s="49">
        <f t="shared" si="144"/>
        <v>0</v>
      </c>
      <c r="AD965" s="50">
        <f t="shared" si="145"/>
        <v>0</v>
      </c>
      <c r="AE965" s="50">
        <f t="shared" si="146"/>
        <v>0</v>
      </c>
      <c r="AF965" s="50">
        <f t="shared" si="147"/>
        <v>0</v>
      </c>
      <c r="AG965" s="199">
        <f t="shared" si="148"/>
        <v>0</v>
      </c>
      <c r="AH965" s="187"/>
      <c r="AI965" s="185" t="s">
        <v>1460</v>
      </c>
      <c r="AJ965" s="185"/>
      <c r="AK965" s="277">
        <f t="shared" si="141"/>
        <v>2794.03</v>
      </c>
      <c r="AL965" s="25">
        <f>(SUMIFS('T1 2019 Pipeline Data Lagasco'!$O:$O,'T1 2019 Pipeline Data Lagasco'!$A:$A,'Dec 31 2018 OFFS'!$AI965,'T1 2019 Pipeline Data Lagasco'!$Q:$Q,'Dec 31 2018 OFFS'!$AK965,'T1 2019 Pipeline Data Lagasco'!$E:$E,'Dec 31 2018 OFFS'!$U965,'T1 2019 Pipeline Data Lagasco'!$G:$G,'Dec 31 2018 OFFS'!$W965))/(MAX(COUNTIFS('T1 2019 Pipeline Data Lagasco'!$A:$A,'Dec 31 2018 OFFS'!$AI965,'T1 2019 Pipeline Data Lagasco'!$Q:$Q,'Dec 31 2018 OFFS'!$AK965,'T1 2019 Pipeline Data Lagasco'!$E:$E,'Dec 31 2018 OFFS'!$U965,'T1 2019 Pipeline Data Lagasco'!$G:$G,'Dec 31 2018 OFFS'!$W965),1))</f>
        <v>0</v>
      </c>
      <c r="AM965" s="274">
        <f t="shared" si="149"/>
        <v>0</v>
      </c>
    </row>
    <row r="966" spans="1:39" ht="12.7">
      <c r="A966" s="193" t="s">
        <v>909</v>
      </c>
      <c r="B966" s="40" t="s">
        <v>917</v>
      </c>
      <c r="C966" s="40" t="s">
        <v>921</v>
      </c>
      <c r="D966" s="40" t="s">
        <v>791</v>
      </c>
      <c r="E966" s="40" t="s">
        <v>783</v>
      </c>
      <c r="F966" s="40"/>
      <c r="G966" s="41" t="s">
        <v>1133</v>
      </c>
      <c r="H966" s="42" t="s">
        <v>78</v>
      </c>
      <c r="I966" s="43">
        <v>10</v>
      </c>
      <c r="J966" s="44">
        <v>57.06</v>
      </c>
      <c r="K966" s="45" t="s">
        <v>969</v>
      </c>
      <c r="L966" s="43">
        <v>30</v>
      </c>
      <c r="M966" s="46">
        <v>48.06</v>
      </c>
      <c r="N966" s="41" t="s">
        <v>1134</v>
      </c>
      <c r="O966" s="42" t="s">
        <v>78</v>
      </c>
      <c r="P966" s="43">
        <v>10</v>
      </c>
      <c r="Q966" s="44">
        <v>49.68</v>
      </c>
      <c r="R966" s="45" t="s">
        <v>969</v>
      </c>
      <c r="S966" s="43">
        <v>31</v>
      </c>
      <c r="T966" s="46">
        <v>24</v>
      </c>
      <c r="U966" s="40">
        <v>6</v>
      </c>
      <c r="V966" s="47">
        <v>2750</v>
      </c>
      <c r="W966" s="48">
        <v>2001</v>
      </c>
      <c r="X966" s="40" t="s">
        <v>2</v>
      </c>
      <c r="Y966" s="53" t="s">
        <v>1082</v>
      </c>
      <c r="Z966" s="40" t="s">
        <v>910</v>
      </c>
      <c r="AA966" s="49">
        <f t="shared" si="142"/>
        <v>95232.50</v>
      </c>
      <c r="AB966" s="71">
        <f t="shared" si="143"/>
        <v>0.59</v>
      </c>
      <c r="AC966" s="49">
        <f t="shared" si="144"/>
        <v>39045.33</v>
      </c>
      <c r="AD966" s="50">
        <f t="shared" si="145"/>
        <v>9761.3325000000004</v>
      </c>
      <c r="AE966" s="50">
        <f t="shared" si="146"/>
        <v>0</v>
      </c>
      <c r="AF966" s="50">
        <f t="shared" si="147"/>
        <v>29283.997500000001</v>
      </c>
      <c r="AG966" s="199">
        <f t="shared" si="148"/>
        <v>29283</v>
      </c>
      <c r="AH966" s="187"/>
      <c r="AI966" s="185" t="s">
        <v>1460</v>
      </c>
      <c r="AJ966" s="185"/>
      <c r="AK966" s="277">
        <f t="shared" si="141"/>
        <v>2750</v>
      </c>
      <c r="AL966" s="25">
        <f>(SUMIFS('T1 2019 Pipeline Data Lagasco'!$O:$O,'T1 2019 Pipeline Data Lagasco'!$A:$A,'Dec 31 2018 OFFS'!$AI966,'T1 2019 Pipeline Data Lagasco'!$Q:$Q,'Dec 31 2018 OFFS'!$AK966,'T1 2019 Pipeline Data Lagasco'!$E:$E,'Dec 31 2018 OFFS'!$U966,'T1 2019 Pipeline Data Lagasco'!$G:$G,'Dec 31 2018 OFFS'!$W966))/(MAX(COUNTIFS('T1 2019 Pipeline Data Lagasco'!$A:$A,'Dec 31 2018 OFFS'!$AI966,'T1 2019 Pipeline Data Lagasco'!$Q:$Q,'Dec 31 2018 OFFS'!$AK966,'T1 2019 Pipeline Data Lagasco'!$E:$E,'Dec 31 2018 OFFS'!$U966,'T1 2019 Pipeline Data Lagasco'!$G:$G,'Dec 31 2018 OFFS'!$W966),1))</f>
        <v>29283</v>
      </c>
      <c r="AM966" s="274">
        <f t="shared" si="149"/>
        <v>0</v>
      </c>
    </row>
    <row r="967" spans="1:39" ht="12.7">
      <c r="A967" s="193" t="s">
        <v>909</v>
      </c>
      <c r="B967" s="40" t="s">
        <v>917</v>
      </c>
      <c r="C967" s="40" t="s">
        <v>921</v>
      </c>
      <c r="D967" s="40" t="s">
        <v>791</v>
      </c>
      <c r="E967" s="40" t="s">
        <v>1054</v>
      </c>
      <c r="F967" s="40"/>
      <c r="G967" s="41" t="s">
        <v>975</v>
      </c>
      <c r="H967" s="42" t="s">
        <v>78</v>
      </c>
      <c r="I967" s="43" t="s">
        <v>967</v>
      </c>
      <c r="J967" s="44" t="s">
        <v>976</v>
      </c>
      <c r="K967" s="45" t="s">
        <v>969</v>
      </c>
      <c r="L967" s="43" t="s">
        <v>977</v>
      </c>
      <c r="M967" s="46" t="s">
        <v>978</v>
      </c>
      <c r="N967" s="41" t="s">
        <v>979</v>
      </c>
      <c r="O967" s="42" t="s">
        <v>78</v>
      </c>
      <c r="P967" s="43" t="s">
        <v>967</v>
      </c>
      <c r="Q967" s="44" t="s">
        <v>980</v>
      </c>
      <c r="R967" s="45" t="s">
        <v>969</v>
      </c>
      <c r="S967" s="43" t="s">
        <v>79</v>
      </c>
      <c r="T967" s="46" t="s">
        <v>981</v>
      </c>
      <c r="U967" s="40">
        <v>6</v>
      </c>
      <c r="V967" s="47">
        <v>9367.8799999999992</v>
      </c>
      <c r="W967" s="48">
        <v>1999</v>
      </c>
      <c r="X967" s="40"/>
      <c r="Y967" s="53"/>
      <c r="Z967" s="40" t="s">
        <v>910</v>
      </c>
      <c r="AA967" s="49">
        <f t="shared" si="142"/>
        <v>324409.68439999997</v>
      </c>
      <c r="AB967" s="71">
        <f t="shared" si="143"/>
        <v>0.62</v>
      </c>
      <c r="AC967" s="49">
        <f t="shared" si="144"/>
        <v>123275.68</v>
      </c>
      <c r="AD967" s="50">
        <f t="shared" si="145"/>
        <v>0</v>
      </c>
      <c r="AE967" s="50">
        <f t="shared" si="146"/>
        <v>0</v>
      </c>
      <c r="AF967" s="50">
        <f t="shared" si="147"/>
        <v>123275.68</v>
      </c>
      <c r="AG967" s="199">
        <f t="shared" si="148"/>
        <v>123275</v>
      </c>
      <c r="AH967" s="187"/>
      <c r="AI967" s="185" t="s">
        <v>1460</v>
      </c>
      <c r="AJ967" s="185"/>
      <c r="AK967" s="277">
        <f t="shared" si="141"/>
        <v>9367.8799999999992</v>
      </c>
      <c r="AL967" s="25">
        <f>(SUMIFS('T1 2019 Pipeline Data Lagasco'!$O:$O,'T1 2019 Pipeline Data Lagasco'!$A:$A,'Dec 31 2018 OFFS'!$AI967,'T1 2019 Pipeline Data Lagasco'!$Q:$Q,'Dec 31 2018 OFFS'!$AK967,'T1 2019 Pipeline Data Lagasco'!$E:$E,'Dec 31 2018 OFFS'!$U967,'T1 2019 Pipeline Data Lagasco'!$G:$G,'Dec 31 2018 OFFS'!$W967))/(MAX(COUNTIFS('T1 2019 Pipeline Data Lagasco'!$A:$A,'Dec 31 2018 OFFS'!$AI967,'T1 2019 Pipeline Data Lagasco'!$Q:$Q,'Dec 31 2018 OFFS'!$AK967,'T1 2019 Pipeline Data Lagasco'!$E:$E,'Dec 31 2018 OFFS'!$U967,'T1 2019 Pipeline Data Lagasco'!$G:$G,'Dec 31 2018 OFFS'!$W967),1))</f>
        <v>123275</v>
      </c>
      <c r="AM967" s="274">
        <f t="shared" si="149"/>
        <v>0</v>
      </c>
    </row>
    <row r="968" spans="1:39" ht="12.7">
      <c r="A968" s="193" t="s">
        <v>909</v>
      </c>
      <c r="B968" s="40" t="s">
        <v>917</v>
      </c>
      <c r="C968" s="40" t="s">
        <v>921</v>
      </c>
      <c r="D968" s="40" t="s">
        <v>791</v>
      </c>
      <c r="E968" s="40" t="s">
        <v>783</v>
      </c>
      <c r="F968" s="40"/>
      <c r="G968" s="41" t="s">
        <v>827</v>
      </c>
      <c r="H968" s="42" t="s">
        <v>78</v>
      </c>
      <c r="I968" s="43" t="s">
        <v>967</v>
      </c>
      <c r="J968" s="44" t="s">
        <v>968</v>
      </c>
      <c r="K968" s="45" t="s">
        <v>969</v>
      </c>
      <c r="L968" s="43" t="s">
        <v>970</v>
      </c>
      <c r="M968" s="46" t="s">
        <v>971</v>
      </c>
      <c r="N968" s="41" t="s">
        <v>972</v>
      </c>
      <c r="O968" s="42" t="s">
        <v>78</v>
      </c>
      <c r="P968" s="43" t="s">
        <v>967</v>
      </c>
      <c r="Q968" s="44">
        <v>27.90</v>
      </c>
      <c r="R968" s="45" t="s">
        <v>969</v>
      </c>
      <c r="S968" s="43" t="s">
        <v>973</v>
      </c>
      <c r="T968" s="46" t="s">
        <v>974</v>
      </c>
      <c r="U968" s="40">
        <v>6</v>
      </c>
      <c r="V968" s="47">
        <v>12000.85</v>
      </c>
      <c r="W968" s="48">
        <v>1999</v>
      </c>
      <c r="X968" s="40"/>
      <c r="Y968" s="53" t="s">
        <v>1082</v>
      </c>
      <c r="Z968" s="40" t="s">
        <v>910</v>
      </c>
      <c r="AA968" s="49">
        <f t="shared" si="142"/>
        <v>415589.43550000002</v>
      </c>
      <c r="AB968" s="71">
        <f t="shared" si="143"/>
        <v>0.62</v>
      </c>
      <c r="AC968" s="49">
        <f t="shared" si="144"/>
        <v>157923.99</v>
      </c>
      <c r="AD968" s="50">
        <f t="shared" si="145"/>
        <v>0</v>
      </c>
      <c r="AE968" s="50">
        <f t="shared" si="146"/>
        <v>0</v>
      </c>
      <c r="AF968" s="50">
        <f t="shared" si="147"/>
        <v>157923.99</v>
      </c>
      <c r="AG968" s="199">
        <f t="shared" si="148"/>
        <v>157923</v>
      </c>
      <c r="AH968" s="187"/>
      <c r="AI968" s="185" t="s">
        <v>1460</v>
      </c>
      <c r="AJ968" s="185"/>
      <c r="AK968" s="277">
        <f t="shared" si="141"/>
        <v>12000.85</v>
      </c>
      <c r="AL968" s="25">
        <f>(SUMIFS('T1 2019 Pipeline Data Lagasco'!$O:$O,'T1 2019 Pipeline Data Lagasco'!$A:$A,'Dec 31 2018 OFFS'!$AI968,'T1 2019 Pipeline Data Lagasco'!$Q:$Q,'Dec 31 2018 OFFS'!$AK968,'T1 2019 Pipeline Data Lagasco'!$E:$E,'Dec 31 2018 OFFS'!$U968,'T1 2019 Pipeline Data Lagasco'!$G:$G,'Dec 31 2018 OFFS'!$W968))/(MAX(COUNTIFS('T1 2019 Pipeline Data Lagasco'!$A:$A,'Dec 31 2018 OFFS'!$AI968,'T1 2019 Pipeline Data Lagasco'!$Q:$Q,'Dec 31 2018 OFFS'!$AK968,'T1 2019 Pipeline Data Lagasco'!$E:$E,'Dec 31 2018 OFFS'!$U968,'T1 2019 Pipeline Data Lagasco'!$G:$G,'Dec 31 2018 OFFS'!$W968),1))</f>
        <v>157923</v>
      </c>
      <c r="AM968" s="274">
        <f t="shared" si="149"/>
        <v>0</v>
      </c>
    </row>
    <row r="969" spans="1:39" ht="12.7">
      <c r="A969" s="193" t="s">
        <v>909</v>
      </c>
      <c r="B969" s="40" t="s">
        <v>917</v>
      </c>
      <c r="C969" s="40" t="s">
        <v>921</v>
      </c>
      <c r="D969" s="40" t="s">
        <v>791</v>
      </c>
      <c r="E969" s="40" t="s">
        <v>1054</v>
      </c>
      <c r="F969" s="40"/>
      <c r="G969" s="41" t="s">
        <v>827</v>
      </c>
      <c r="H969" s="42">
        <v>42</v>
      </c>
      <c r="I969" s="43">
        <v>21</v>
      </c>
      <c r="J969" s="44">
        <v>11.40</v>
      </c>
      <c r="K969" s="45">
        <v>81</v>
      </c>
      <c r="L969" s="43">
        <v>49</v>
      </c>
      <c r="M969" s="46">
        <v>28.38</v>
      </c>
      <c r="N969" s="41" t="s">
        <v>828</v>
      </c>
      <c r="O969" s="42">
        <v>42</v>
      </c>
      <c r="P969" s="43">
        <v>20</v>
      </c>
      <c r="Q969" s="44">
        <f>0.691*60</f>
        <v>41.459999999999994</v>
      </c>
      <c r="R969" s="45">
        <v>81</v>
      </c>
      <c r="S969" s="43">
        <v>48</v>
      </c>
      <c r="T969" s="46">
        <f>0.673*60</f>
        <v>40.380000000000003</v>
      </c>
      <c r="U969" s="40">
        <v>6</v>
      </c>
      <c r="V969" s="47">
        <v>4709.3830657159997</v>
      </c>
      <c r="W969" s="48">
        <v>1995</v>
      </c>
      <c r="X969" s="40" t="s">
        <v>2</v>
      </c>
      <c r="Y969" s="53"/>
      <c r="Z969" s="40" t="s">
        <v>910</v>
      </c>
      <c r="AA969" s="49">
        <f t="shared" si="142"/>
        <v>163085.93556574508</v>
      </c>
      <c r="AB969" s="71">
        <f t="shared" si="143"/>
        <v>0.67</v>
      </c>
      <c r="AC969" s="49">
        <f t="shared" si="144"/>
        <v>53818.36</v>
      </c>
      <c r="AD969" s="50">
        <f t="shared" si="145"/>
        <v>13454.59</v>
      </c>
      <c r="AE969" s="50">
        <f t="shared" si="146"/>
        <v>0</v>
      </c>
      <c r="AF969" s="50">
        <f t="shared" si="147"/>
        <v>40363.770000000004</v>
      </c>
      <c r="AG969" s="199">
        <f t="shared" si="148"/>
        <v>40363</v>
      </c>
      <c r="AH969" s="187"/>
      <c r="AI969" s="185" t="s">
        <v>1460</v>
      </c>
      <c r="AJ969" s="185"/>
      <c r="AK969" s="277">
        <f t="shared" si="141"/>
        <v>4709.38</v>
      </c>
      <c r="AL969" s="25">
        <f>(SUMIFS('T1 2019 Pipeline Data Lagasco'!$O:$O,'T1 2019 Pipeline Data Lagasco'!$A:$A,'Dec 31 2018 OFFS'!$AI969,'T1 2019 Pipeline Data Lagasco'!$Q:$Q,'Dec 31 2018 OFFS'!$AK969,'T1 2019 Pipeline Data Lagasco'!$E:$E,'Dec 31 2018 OFFS'!$U969,'T1 2019 Pipeline Data Lagasco'!$G:$G,'Dec 31 2018 OFFS'!$W969))/(MAX(COUNTIFS('T1 2019 Pipeline Data Lagasco'!$A:$A,'Dec 31 2018 OFFS'!$AI969,'T1 2019 Pipeline Data Lagasco'!$Q:$Q,'Dec 31 2018 OFFS'!$AK969,'T1 2019 Pipeline Data Lagasco'!$E:$E,'Dec 31 2018 OFFS'!$U969,'T1 2019 Pipeline Data Lagasco'!$G:$G,'Dec 31 2018 OFFS'!$W969),1))</f>
        <v>40363</v>
      </c>
      <c r="AM969" s="274">
        <f t="shared" si="149"/>
        <v>0</v>
      </c>
    </row>
    <row r="970" spans="1:39" ht="12.7">
      <c r="A970" s="193" t="s">
        <v>909</v>
      </c>
      <c r="B970" s="40" t="s">
        <v>917</v>
      </c>
      <c r="C970" s="40" t="s">
        <v>921</v>
      </c>
      <c r="D970" s="40" t="s">
        <v>791</v>
      </c>
      <c r="E970" s="40" t="s">
        <v>1222</v>
      </c>
      <c r="F970" s="40"/>
      <c r="G970" s="41" t="s">
        <v>825</v>
      </c>
      <c r="H970" s="42">
        <v>42</v>
      </c>
      <c r="I970" s="43">
        <v>21</v>
      </c>
      <c r="J970" s="44">
        <f>0.026*60</f>
        <v>1.5599999999999998</v>
      </c>
      <c r="K970" s="45">
        <v>81</v>
      </c>
      <c r="L970" s="43">
        <v>49</v>
      </c>
      <c r="M970" s="46">
        <f>0.36*60</f>
        <v>21.60</v>
      </c>
      <c r="N970" s="41" t="s">
        <v>826</v>
      </c>
      <c r="O970" s="42">
        <v>42</v>
      </c>
      <c r="P970" s="43">
        <v>21</v>
      </c>
      <c r="Q970" s="44">
        <v>28</v>
      </c>
      <c r="R970" s="45">
        <v>81</v>
      </c>
      <c r="S970" s="43">
        <v>49</v>
      </c>
      <c r="T970" s="46">
        <v>56</v>
      </c>
      <c r="U970" s="40">
        <v>4</v>
      </c>
      <c r="V970" s="47">
        <v>3719.6849316479997</v>
      </c>
      <c r="W970" s="48">
        <v>1994</v>
      </c>
      <c r="X970" s="40"/>
      <c r="Y970" s="53" t="s">
        <v>1082</v>
      </c>
      <c r="Z970" s="40" t="s">
        <v>910</v>
      </c>
      <c r="AA970" s="49">
        <f t="shared" si="142"/>
        <v>98385.666442089598</v>
      </c>
      <c r="AB970" s="71">
        <f t="shared" si="143"/>
        <v>0.68</v>
      </c>
      <c r="AC970" s="49">
        <f t="shared" si="144"/>
        <v>31483.41</v>
      </c>
      <c r="AD970" s="50">
        <f t="shared" si="145"/>
        <v>0</v>
      </c>
      <c r="AE970" s="50">
        <f t="shared" si="146"/>
        <v>0</v>
      </c>
      <c r="AF970" s="50">
        <f t="shared" si="147"/>
        <v>31483.41</v>
      </c>
      <c r="AG970" s="199">
        <f t="shared" si="148"/>
        <v>31483</v>
      </c>
      <c r="AH970" s="187"/>
      <c r="AI970" s="185" t="s">
        <v>1460</v>
      </c>
      <c r="AJ970" s="185"/>
      <c r="AK970" s="277">
        <f t="shared" si="141"/>
        <v>3719.68</v>
      </c>
      <c r="AL970" s="25">
        <f>(SUMIFS('T1 2019 Pipeline Data Lagasco'!$O:$O,'T1 2019 Pipeline Data Lagasco'!$A:$A,'Dec 31 2018 OFFS'!$AI970,'T1 2019 Pipeline Data Lagasco'!$Q:$Q,'Dec 31 2018 OFFS'!$AK970,'T1 2019 Pipeline Data Lagasco'!$E:$E,'Dec 31 2018 OFFS'!$U970,'T1 2019 Pipeline Data Lagasco'!$G:$G,'Dec 31 2018 OFFS'!$W970))/(MAX(COUNTIFS('T1 2019 Pipeline Data Lagasco'!$A:$A,'Dec 31 2018 OFFS'!$AI970,'T1 2019 Pipeline Data Lagasco'!$Q:$Q,'Dec 31 2018 OFFS'!$AK970,'T1 2019 Pipeline Data Lagasco'!$E:$E,'Dec 31 2018 OFFS'!$U970,'T1 2019 Pipeline Data Lagasco'!$G:$G,'Dec 31 2018 OFFS'!$W970),1))</f>
        <v>31483</v>
      </c>
      <c r="AM970" s="274">
        <f t="shared" si="149"/>
        <v>0</v>
      </c>
    </row>
    <row r="971" spans="1:39" ht="12.7">
      <c r="A971" s="193" t="s">
        <v>909</v>
      </c>
      <c r="B971" s="40" t="s">
        <v>917</v>
      </c>
      <c r="C971" s="40" t="s">
        <v>921</v>
      </c>
      <c r="D971" s="40" t="s">
        <v>791</v>
      </c>
      <c r="E971" s="40" t="s">
        <v>783</v>
      </c>
      <c r="F971" s="40"/>
      <c r="G971" s="41" t="s">
        <v>972</v>
      </c>
      <c r="H971" s="42" t="s">
        <v>78</v>
      </c>
      <c r="I971" s="43" t="s">
        <v>967</v>
      </c>
      <c r="J971" s="44">
        <v>27.90</v>
      </c>
      <c r="K971" s="45" t="s">
        <v>969</v>
      </c>
      <c r="L971" s="43" t="s">
        <v>973</v>
      </c>
      <c r="M971" s="46" t="s">
        <v>974</v>
      </c>
      <c r="N971" s="41" t="s">
        <v>975</v>
      </c>
      <c r="O971" s="42" t="s">
        <v>78</v>
      </c>
      <c r="P971" s="43" t="s">
        <v>967</v>
      </c>
      <c r="Q971" s="44" t="s">
        <v>976</v>
      </c>
      <c r="R971" s="45" t="s">
        <v>969</v>
      </c>
      <c r="S971" s="43" t="s">
        <v>977</v>
      </c>
      <c r="T971" s="46" t="s">
        <v>978</v>
      </c>
      <c r="U971" s="40">
        <v>6</v>
      </c>
      <c r="V971" s="47">
        <v>11942.81</v>
      </c>
      <c r="W971" s="48">
        <v>1999</v>
      </c>
      <c r="X971" s="40"/>
      <c r="Y971" s="53" t="s">
        <v>1082</v>
      </c>
      <c r="Z971" s="40" t="s">
        <v>910</v>
      </c>
      <c r="AA971" s="49">
        <f t="shared" si="142"/>
        <v>413579.51030000002</v>
      </c>
      <c r="AB971" s="71">
        <f t="shared" si="143"/>
        <v>0.62</v>
      </c>
      <c r="AC971" s="49">
        <f t="shared" si="144"/>
        <v>157160.21</v>
      </c>
      <c r="AD971" s="50">
        <f t="shared" si="145"/>
        <v>0</v>
      </c>
      <c r="AE971" s="50">
        <f t="shared" si="146"/>
        <v>0</v>
      </c>
      <c r="AF971" s="50">
        <f t="shared" si="147"/>
        <v>157160.21</v>
      </c>
      <c r="AG971" s="199">
        <f t="shared" si="148"/>
        <v>157160</v>
      </c>
      <c r="AH971" s="187"/>
      <c r="AI971" s="185" t="s">
        <v>1460</v>
      </c>
      <c r="AJ971" s="185"/>
      <c r="AK971" s="277">
        <f t="shared" si="141"/>
        <v>11942.81</v>
      </c>
      <c r="AL971" s="25">
        <f>(SUMIFS('T1 2019 Pipeline Data Lagasco'!$O:$O,'T1 2019 Pipeline Data Lagasco'!$A:$A,'Dec 31 2018 OFFS'!$AI971,'T1 2019 Pipeline Data Lagasco'!$Q:$Q,'Dec 31 2018 OFFS'!$AK971,'T1 2019 Pipeline Data Lagasco'!$E:$E,'Dec 31 2018 OFFS'!$U971,'T1 2019 Pipeline Data Lagasco'!$G:$G,'Dec 31 2018 OFFS'!$W971))/(MAX(COUNTIFS('T1 2019 Pipeline Data Lagasco'!$A:$A,'Dec 31 2018 OFFS'!$AI971,'T1 2019 Pipeline Data Lagasco'!$Q:$Q,'Dec 31 2018 OFFS'!$AK971,'T1 2019 Pipeline Data Lagasco'!$E:$E,'Dec 31 2018 OFFS'!$U971,'T1 2019 Pipeline Data Lagasco'!$G:$G,'Dec 31 2018 OFFS'!$W971),1))</f>
        <v>157160</v>
      </c>
      <c r="AM971" s="274">
        <f t="shared" si="149"/>
        <v>0</v>
      </c>
    </row>
    <row r="972" spans="1:39" ht="12.7">
      <c r="A972" s="193" t="s">
        <v>909</v>
      </c>
      <c r="B972" s="40" t="s">
        <v>917</v>
      </c>
      <c r="C972" s="40" t="s">
        <v>921</v>
      </c>
      <c r="D972" s="40" t="s">
        <v>791</v>
      </c>
      <c r="E972" s="40" t="s">
        <v>783</v>
      </c>
      <c r="F972" s="40"/>
      <c r="G972" s="41" t="s">
        <v>828</v>
      </c>
      <c r="H972" s="42">
        <v>42</v>
      </c>
      <c r="I972" s="43">
        <v>20</v>
      </c>
      <c r="J972" s="44">
        <f>0.691*60</f>
        <v>41.459999999999994</v>
      </c>
      <c r="K972" s="45">
        <v>81</v>
      </c>
      <c r="L972" s="43">
        <v>48</v>
      </c>
      <c r="M972" s="46">
        <f>0.673*60</f>
        <v>40.380000000000003</v>
      </c>
      <c r="N972" s="41" t="s">
        <v>829</v>
      </c>
      <c r="O972" s="42">
        <v>42</v>
      </c>
      <c r="P972" s="43">
        <v>19</v>
      </c>
      <c r="Q972" s="44">
        <f>0.503*60</f>
        <v>30.18</v>
      </c>
      <c r="R972" s="45">
        <v>81</v>
      </c>
      <c r="S972" s="43">
        <v>46</v>
      </c>
      <c r="T972" s="46">
        <f>0.808*60</f>
        <v>48.48</v>
      </c>
      <c r="U972" s="40">
        <v>6</v>
      </c>
      <c r="V972" s="47">
        <v>11077.296267128</v>
      </c>
      <c r="W972" s="48">
        <v>1995</v>
      </c>
      <c r="X972" s="40" t="s">
        <v>2</v>
      </c>
      <c r="Y972" s="53" t="s">
        <v>1082</v>
      </c>
      <c r="Z972" s="40" t="s">
        <v>910</v>
      </c>
      <c r="AA972" s="49">
        <f t="shared" si="142"/>
        <v>383606.76973064267</v>
      </c>
      <c r="AB972" s="71">
        <f t="shared" si="143"/>
        <v>0.67</v>
      </c>
      <c r="AC972" s="49">
        <f t="shared" si="144"/>
        <v>126590.23</v>
      </c>
      <c r="AD972" s="50">
        <f t="shared" si="145"/>
        <v>31647.557499999999</v>
      </c>
      <c r="AE972" s="50">
        <f t="shared" si="146"/>
        <v>0</v>
      </c>
      <c r="AF972" s="50">
        <f t="shared" si="147"/>
        <v>94942.672500000001</v>
      </c>
      <c r="AG972" s="199">
        <f t="shared" si="148"/>
        <v>94942</v>
      </c>
      <c r="AH972" s="187"/>
      <c r="AI972" s="185" t="s">
        <v>1460</v>
      </c>
      <c r="AJ972" s="185"/>
      <c r="AK972" s="277">
        <f t="shared" si="141"/>
        <v>11077.30</v>
      </c>
      <c r="AL972" s="25">
        <f>(SUMIFS('T1 2019 Pipeline Data Lagasco'!$O:$O,'T1 2019 Pipeline Data Lagasco'!$A:$A,'Dec 31 2018 OFFS'!$AI972,'T1 2019 Pipeline Data Lagasco'!$Q:$Q,'Dec 31 2018 OFFS'!$AK972,'T1 2019 Pipeline Data Lagasco'!$E:$E,'Dec 31 2018 OFFS'!$U972,'T1 2019 Pipeline Data Lagasco'!$G:$G,'Dec 31 2018 OFFS'!$W972))/(MAX(COUNTIFS('T1 2019 Pipeline Data Lagasco'!$A:$A,'Dec 31 2018 OFFS'!$AI972,'T1 2019 Pipeline Data Lagasco'!$Q:$Q,'Dec 31 2018 OFFS'!$AK972,'T1 2019 Pipeline Data Lagasco'!$E:$E,'Dec 31 2018 OFFS'!$U972,'T1 2019 Pipeline Data Lagasco'!$G:$G,'Dec 31 2018 OFFS'!$W972),1))</f>
        <v>94942</v>
      </c>
      <c r="AM972" s="274">
        <f t="shared" si="149"/>
        <v>0</v>
      </c>
    </row>
    <row r="973" spans="1:39" ht="12.7">
      <c r="A973" s="193" t="s">
        <v>909</v>
      </c>
      <c r="B973" s="40" t="s">
        <v>917</v>
      </c>
      <c r="C973" s="40" t="s">
        <v>921</v>
      </c>
      <c r="D973" s="40" t="s">
        <v>791</v>
      </c>
      <c r="E973" s="40" t="s">
        <v>783</v>
      </c>
      <c r="F973" s="139" t="s">
        <v>1051</v>
      </c>
      <c r="G973" s="41" t="s">
        <v>1142</v>
      </c>
      <c r="H973" s="42" t="s">
        <v>78</v>
      </c>
      <c r="I973" s="43">
        <v>20</v>
      </c>
      <c r="J973" s="44">
        <v>10.68</v>
      </c>
      <c r="K973" s="45" t="s">
        <v>969</v>
      </c>
      <c r="L973" s="43">
        <v>47</v>
      </c>
      <c r="M973" s="46">
        <v>48.06</v>
      </c>
      <c r="N973" s="41" t="s">
        <v>1143</v>
      </c>
      <c r="O973" s="42" t="s">
        <v>78</v>
      </c>
      <c r="P973" s="43">
        <v>21</v>
      </c>
      <c r="Q973" s="44">
        <v>9.42</v>
      </c>
      <c r="R973" s="45" t="s">
        <v>969</v>
      </c>
      <c r="S973" s="43">
        <v>49</v>
      </c>
      <c r="T973" s="46">
        <v>27.18</v>
      </c>
      <c r="U973" s="40">
        <v>6</v>
      </c>
      <c r="V973" s="281">
        <v>9600</v>
      </c>
      <c r="W973" s="48">
        <v>2001</v>
      </c>
      <c r="X973" s="40" t="s">
        <v>2</v>
      </c>
      <c r="Y973" s="53" t="s">
        <v>1082</v>
      </c>
      <c r="Z973" s="40" t="s">
        <v>910</v>
      </c>
      <c r="AA973" s="49">
        <f t="shared" si="142"/>
        <v>0</v>
      </c>
      <c r="AB973" s="71">
        <f t="shared" si="143"/>
        <v>0.59</v>
      </c>
      <c r="AC973" s="49">
        <f t="shared" si="144"/>
        <v>0</v>
      </c>
      <c r="AD973" s="50">
        <f t="shared" si="145"/>
        <v>0</v>
      </c>
      <c r="AE973" s="50">
        <f t="shared" si="146"/>
        <v>0</v>
      </c>
      <c r="AF973" s="50">
        <f t="shared" si="147"/>
        <v>0</v>
      </c>
      <c r="AG973" s="199">
        <f t="shared" si="148"/>
        <v>0</v>
      </c>
      <c r="AH973" s="187"/>
      <c r="AI973" s="185" t="s">
        <v>1460</v>
      </c>
      <c r="AJ973" s="185"/>
      <c r="AK973" s="277">
        <f t="shared" si="141"/>
        <v>9600</v>
      </c>
      <c r="AL973" s="25">
        <f>(SUMIFS('T1 2019 Pipeline Data Lagasco'!$O:$O,'T1 2019 Pipeline Data Lagasco'!$A:$A,'Dec 31 2018 OFFS'!$AI973,'T1 2019 Pipeline Data Lagasco'!$Q:$Q,'Dec 31 2018 OFFS'!$AK973,'T1 2019 Pipeline Data Lagasco'!$E:$E,'Dec 31 2018 OFFS'!$U973,'T1 2019 Pipeline Data Lagasco'!$G:$G,'Dec 31 2018 OFFS'!$W973))/(MAX(COUNTIFS('T1 2019 Pipeline Data Lagasco'!$A:$A,'Dec 31 2018 OFFS'!$AI973,'T1 2019 Pipeline Data Lagasco'!$Q:$Q,'Dec 31 2018 OFFS'!$AK973,'T1 2019 Pipeline Data Lagasco'!$E:$E,'Dec 31 2018 OFFS'!$U973,'T1 2019 Pipeline Data Lagasco'!$G:$G,'Dec 31 2018 OFFS'!$W973),1))</f>
        <v>0</v>
      </c>
      <c r="AM973" s="274">
        <f t="shared" si="149"/>
        <v>0</v>
      </c>
    </row>
    <row r="974" spans="1:39" ht="12.7">
      <c r="A974" s="193" t="s">
        <v>909</v>
      </c>
      <c r="B974" s="40" t="s">
        <v>917</v>
      </c>
      <c r="C974" s="40" t="s">
        <v>921</v>
      </c>
      <c r="D974" s="40" t="s">
        <v>791</v>
      </c>
      <c r="E974" s="40" t="s">
        <v>783</v>
      </c>
      <c r="F974" s="40"/>
      <c r="G974" s="41" t="s">
        <v>829</v>
      </c>
      <c r="H974" s="42">
        <v>42</v>
      </c>
      <c r="I974" s="43">
        <v>19</v>
      </c>
      <c r="J974" s="44">
        <f>0.503*60</f>
        <v>30.18</v>
      </c>
      <c r="K974" s="45">
        <v>81</v>
      </c>
      <c r="L974" s="43">
        <v>46</v>
      </c>
      <c r="M974" s="46">
        <f>0.808*60</f>
        <v>48.48</v>
      </c>
      <c r="N974" s="41" t="s">
        <v>830</v>
      </c>
      <c r="O974" s="42">
        <v>42</v>
      </c>
      <c r="P974" s="43">
        <v>19</v>
      </c>
      <c r="Q974" s="44">
        <f>0.051*60</f>
        <v>3.0599999999999996</v>
      </c>
      <c r="R974" s="45">
        <v>81</v>
      </c>
      <c r="S974" s="43">
        <v>46</v>
      </c>
      <c r="T974" s="46">
        <f>0.13*60</f>
        <v>7.8000000000000007</v>
      </c>
      <c r="U974" s="40">
        <v>6</v>
      </c>
      <c r="V974" s="47">
        <v>4108.1363639680003</v>
      </c>
      <c r="W974" s="48">
        <v>1995</v>
      </c>
      <c r="X974" s="40" t="s">
        <v>2</v>
      </c>
      <c r="Y974" s="53" t="s">
        <v>1082</v>
      </c>
      <c r="Z974" s="40" t="s">
        <v>910</v>
      </c>
      <c r="AA974" s="49">
        <f t="shared" si="142"/>
        <v>142264.76228421187</v>
      </c>
      <c r="AB974" s="71">
        <f t="shared" si="143"/>
        <v>0.67</v>
      </c>
      <c r="AC974" s="49">
        <f t="shared" si="144"/>
        <v>46947.37</v>
      </c>
      <c r="AD974" s="50">
        <f t="shared" si="145"/>
        <v>11736.842500000001</v>
      </c>
      <c r="AE974" s="50">
        <f t="shared" si="146"/>
        <v>0</v>
      </c>
      <c r="AF974" s="50">
        <f t="shared" si="147"/>
        <v>35210.527500000004</v>
      </c>
      <c r="AG974" s="199">
        <f t="shared" si="148"/>
        <v>35210</v>
      </c>
      <c r="AH974" s="187"/>
      <c r="AI974" s="185" t="s">
        <v>1460</v>
      </c>
      <c r="AJ974" s="185"/>
      <c r="AK974" s="277">
        <f t="shared" si="141"/>
        <v>4108.1400000000003</v>
      </c>
      <c r="AL974" s="25">
        <f>(SUMIFS('T1 2019 Pipeline Data Lagasco'!$O:$O,'T1 2019 Pipeline Data Lagasco'!$A:$A,'Dec 31 2018 OFFS'!$AI974,'T1 2019 Pipeline Data Lagasco'!$Q:$Q,'Dec 31 2018 OFFS'!$AK974,'T1 2019 Pipeline Data Lagasco'!$E:$E,'Dec 31 2018 OFFS'!$U974,'T1 2019 Pipeline Data Lagasco'!$G:$G,'Dec 31 2018 OFFS'!$W974))/(MAX(COUNTIFS('T1 2019 Pipeline Data Lagasco'!$A:$A,'Dec 31 2018 OFFS'!$AI974,'T1 2019 Pipeline Data Lagasco'!$Q:$Q,'Dec 31 2018 OFFS'!$AK974,'T1 2019 Pipeline Data Lagasco'!$E:$E,'Dec 31 2018 OFFS'!$U974,'T1 2019 Pipeline Data Lagasco'!$G:$G,'Dec 31 2018 OFFS'!$W974),1))</f>
        <v>35210</v>
      </c>
      <c r="AM974" s="274">
        <f t="shared" si="149"/>
        <v>0</v>
      </c>
    </row>
    <row r="975" spans="1:39" ht="12.7">
      <c r="A975" s="193" t="s">
        <v>909</v>
      </c>
      <c r="B975" s="40" t="s">
        <v>917</v>
      </c>
      <c r="C975" s="40" t="s">
        <v>921</v>
      </c>
      <c r="D975" s="40" t="s">
        <v>791</v>
      </c>
      <c r="E975" s="40" t="s">
        <v>783</v>
      </c>
      <c r="F975" s="40"/>
      <c r="G975" s="41" t="s">
        <v>830</v>
      </c>
      <c r="H975" s="42">
        <v>42</v>
      </c>
      <c r="I975" s="43">
        <v>19</v>
      </c>
      <c r="J975" s="44">
        <f>0.051*60</f>
        <v>3.0599999999999996</v>
      </c>
      <c r="K975" s="45">
        <v>81</v>
      </c>
      <c r="L975" s="43">
        <v>46</v>
      </c>
      <c r="M975" s="46">
        <f>0.13*60</f>
        <v>7.8000000000000007</v>
      </c>
      <c r="N975" s="41" t="s">
        <v>793</v>
      </c>
      <c r="O975" s="42">
        <v>42</v>
      </c>
      <c r="P975" s="43">
        <v>17</v>
      </c>
      <c r="Q975" s="44">
        <v>54.84</v>
      </c>
      <c r="R975" s="45">
        <v>81</v>
      </c>
      <c r="S975" s="43">
        <v>44</v>
      </c>
      <c r="T975" s="46">
        <v>4.92</v>
      </c>
      <c r="U975" s="40">
        <v>6</v>
      </c>
      <c r="V975" s="47">
        <v>11530.18339312</v>
      </c>
      <c r="W975" s="48">
        <v>1995</v>
      </c>
      <c r="X975" s="40" t="s">
        <v>2</v>
      </c>
      <c r="Y975" s="53" t="s">
        <v>1082</v>
      </c>
      <c r="Z975" s="40" t="s">
        <v>910</v>
      </c>
      <c r="AA975" s="49">
        <f t="shared" si="142"/>
        <v>399290.25090374565</v>
      </c>
      <c r="AB975" s="71">
        <f t="shared" si="143"/>
        <v>0.67</v>
      </c>
      <c r="AC975" s="49">
        <f t="shared" si="144"/>
        <v>131765.78</v>
      </c>
      <c r="AD975" s="50">
        <f t="shared" si="145"/>
        <v>32941.445</v>
      </c>
      <c r="AE975" s="50">
        <f t="shared" si="146"/>
        <v>0</v>
      </c>
      <c r="AF975" s="50">
        <f t="shared" si="147"/>
        <v>98824.334999999992</v>
      </c>
      <c r="AG975" s="199">
        <f t="shared" si="148"/>
        <v>98824</v>
      </c>
      <c r="AH975" s="187"/>
      <c r="AI975" s="185" t="s">
        <v>1460</v>
      </c>
      <c r="AJ975" s="185"/>
      <c r="AK975" s="277">
        <f t="shared" si="141"/>
        <v>11530.18</v>
      </c>
      <c r="AL975" s="25">
        <f>(SUMIFS('T1 2019 Pipeline Data Lagasco'!$O:$O,'T1 2019 Pipeline Data Lagasco'!$A:$A,'Dec 31 2018 OFFS'!$AI975,'T1 2019 Pipeline Data Lagasco'!$Q:$Q,'Dec 31 2018 OFFS'!$AK975,'T1 2019 Pipeline Data Lagasco'!$E:$E,'Dec 31 2018 OFFS'!$U975,'T1 2019 Pipeline Data Lagasco'!$G:$G,'Dec 31 2018 OFFS'!$W975))/(MAX(COUNTIFS('T1 2019 Pipeline Data Lagasco'!$A:$A,'Dec 31 2018 OFFS'!$AI975,'T1 2019 Pipeline Data Lagasco'!$Q:$Q,'Dec 31 2018 OFFS'!$AK975,'T1 2019 Pipeline Data Lagasco'!$E:$E,'Dec 31 2018 OFFS'!$U975,'T1 2019 Pipeline Data Lagasco'!$G:$G,'Dec 31 2018 OFFS'!$W975),1))</f>
        <v>98824</v>
      </c>
      <c r="AM975" s="274">
        <f t="shared" si="149"/>
        <v>0</v>
      </c>
    </row>
    <row r="976" spans="1:39" ht="12.7">
      <c r="A976" s="193" t="s">
        <v>909</v>
      </c>
      <c r="B976" s="40" t="s">
        <v>917</v>
      </c>
      <c r="C976" s="40" t="s">
        <v>921</v>
      </c>
      <c r="D976" s="40" t="s">
        <v>791</v>
      </c>
      <c r="E976" s="40" t="s">
        <v>1222</v>
      </c>
      <c r="F976" s="40"/>
      <c r="G976" s="41" t="s">
        <v>824</v>
      </c>
      <c r="H976" s="42">
        <v>42</v>
      </c>
      <c r="I976" s="43">
        <v>18</v>
      </c>
      <c r="J976" s="44">
        <f>0.801*60</f>
        <v>48.06</v>
      </c>
      <c r="K976" s="45">
        <v>81</v>
      </c>
      <c r="L976" s="43">
        <v>49</v>
      </c>
      <c r="M976" s="46">
        <f>0.033*60</f>
        <v>1.98</v>
      </c>
      <c r="N976" s="41" t="s">
        <v>825</v>
      </c>
      <c r="O976" s="42">
        <v>42</v>
      </c>
      <c r="P976" s="43">
        <v>21</v>
      </c>
      <c r="Q976" s="44">
        <f>0.026*60</f>
        <v>1.5599999999999998</v>
      </c>
      <c r="R976" s="45">
        <v>81</v>
      </c>
      <c r="S976" s="43">
        <v>49</v>
      </c>
      <c r="T976" s="46">
        <f>0.36*60</f>
        <v>21.60</v>
      </c>
      <c r="U976" s="40">
        <v>4</v>
      </c>
      <c r="V976" s="47">
        <v>13594.651837269997</v>
      </c>
      <c r="W976" s="48">
        <v>1994</v>
      </c>
      <c r="X976" s="40"/>
      <c r="Y976" s="53" t="s">
        <v>1082</v>
      </c>
      <c r="Z976" s="40" t="s">
        <v>910</v>
      </c>
      <c r="AA976" s="49">
        <f t="shared" si="142"/>
        <v>359578.54109579144</v>
      </c>
      <c r="AB976" s="71">
        <f t="shared" si="143"/>
        <v>0.68</v>
      </c>
      <c r="AC976" s="49">
        <f t="shared" si="144"/>
        <v>115065.13</v>
      </c>
      <c r="AD976" s="50">
        <f t="shared" si="145"/>
        <v>0</v>
      </c>
      <c r="AE976" s="50">
        <f t="shared" si="146"/>
        <v>0</v>
      </c>
      <c r="AF976" s="50">
        <f t="shared" si="147"/>
        <v>115065.13</v>
      </c>
      <c r="AG976" s="199">
        <f t="shared" si="148"/>
        <v>115065</v>
      </c>
      <c r="AH976" s="187"/>
      <c r="AI976" s="185" t="s">
        <v>1460</v>
      </c>
      <c r="AJ976" s="185"/>
      <c r="AK976" s="277">
        <f t="shared" si="141"/>
        <v>13594.65</v>
      </c>
      <c r="AL976" s="25">
        <f>(SUMIFS('T1 2019 Pipeline Data Lagasco'!$O:$O,'T1 2019 Pipeline Data Lagasco'!$A:$A,'Dec 31 2018 OFFS'!$AI976,'T1 2019 Pipeline Data Lagasco'!$Q:$Q,'Dec 31 2018 OFFS'!$AK976,'T1 2019 Pipeline Data Lagasco'!$E:$E,'Dec 31 2018 OFFS'!$U976,'T1 2019 Pipeline Data Lagasco'!$G:$G,'Dec 31 2018 OFFS'!$W976))/(MAX(COUNTIFS('T1 2019 Pipeline Data Lagasco'!$A:$A,'Dec 31 2018 OFFS'!$AI976,'T1 2019 Pipeline Data Lagasco'!$Q:$Q,'Dec 31 2018 OFFS'!$AK976,'T1 2019 Pipeline Data Lagasco'!$E:$E,'Dec 31 2018 OFFS'!$U976,'T1 2019 Pipeline Data Lagasco'!$G:$G,'Dec 31 2018 OFFS'!$W976),1))</f>
        <v>115065</v>
      </c>
      <c r="AM976" s="274">
        <f t="shared" si="149"/>
        <v>0</v>
      </c>
    </row>
    <row r="977" spans="1:39" ht="12.7">
      <c r="A977" s="193" t="s">
        <v>909</v>
      </c>
      <c r="B977" s="40" t="s">
        <v>917</v>
      </c>
      <c r="C977" s="40" t="s">
        <v>921</v>
      </c>
      <c r="D977" s="40" t="s">
        <v>791</v>
      </c>
      <c r="E977" s="40" t="s">
        <v>1222</v>
      </c>
      <c r="F977" s="40"/>
      <c r="G977" s="40" t="s">
        <v>823</v>
      </c>
      <c r="H977" s="42">
        <v>42</v>
      </c>
      <c r="I977" s="43">
        <v>18</v>
      </c>
      <c r="J977" s="44">
        <v>42.69</v>
      </c>
      <c r="K977" s="45">
        <v>81</v>
      </c>
      <c r="L977" s="43">
        <v>49</v>
      </c>
      <c r="M977" s="46">
        <v>2.69</v>
      </c>
      <c r="N977" s="41" t="s">
        <v>824</v>
      </c>
      <c r="O977" s="42">
        <v>42</v>
      </c>
      <c r="P977" s="43">
        <v>18</v>
      </c>
      <c r="Q977" s="44">
        <f>0.801*60</f>
        <v>48.06</v>
      </c>
      <c r="R977" s="45">
        <v>81</v>
      </c>
      <c r="S977" s="43">
        <v>49</v>
      </c>
      <c r="T977" s="46">
        <f>0.033*60</f>
        <v>1.98</v>
      </c>
      <c r="U977" s="40">
        <v>4</v>
      </c>
      <c r="V977" s="47">
        <v>546.22701830200003</v>
      </c>
      <c r="W977" s="48">
        <v>1994</v>
      </c>
      <c r="X977" s="40"/>
      <c r="Y977" s="53" t="s">
        <v>1082</v>
      </c>
      <c r="Z977" s="40" t="s">
        <v>910</v>
      </c>
      <c r="AA977" s="49">
        <f t="shared" si="142"/>
        <v>14447.704634087901</v>
      </c>
      <c r="AB977" s="71">
        <f t="shared" si="143"/>
        <v>0.68</v>
      </c>
      <c r="AC977" s="49">
        <f t="shared" si="144"/>
        <v>4623.2700000000004</v>
      </c>
      <c r="AD977" s="50">
        <f t="shared" si="145"/>
        <v>0</v>
      </c>
      <c r="AE977" s="50">
        <f t="shared" si="146"/>
        <v>0</v>
      </c>
      <c r="AF977" s="50">
        <f t="shared" si="147"/>
        <v>4623.2700000000004</v>
      </c>
      <c r="AG977" s="199">
        <f t="shared" si="148"/>
        <v>4623</v>
      </c>
      <c r="AH977" s="187"/>
      <c r="AI977" s="185" t="s">
        <v>1460</v>
      </c>
      <c r="AJ977" s="185"/>
      <c r="AK977" s="277">
        <f t="shared" si="141"/>
        <v>546.23</v>
      </c>
      <c r="AL977" s="25">
        <f>(SUMIFS('T1 2019 Pipeline Data Lagasco'!$O:$O,'T1 2019 Pipeline Data Lagasco'!$A:$A,'Dec 31 2018 OFFS'!$AI977,'T1 2019 Pipeline Data Lagasco'!$Q:$Q,'Dec 31 2018 OFFS'!$AK977,'T1 2019 Pipeline Data Lagasco'!$E:$E,'Dec 31 2018 OFFS'!$U977,'T1 2019 Pipeline Data Lagasco'!$G:$G,'Dec 31 2018 OFFS'!$W977))/(MAX(COUNTIFS('T1 2019 Pipeline Data Lagasco'!$A:$A,'Dec 31 2018 OFFS'!$AI977,'T1 2019 Pipeline Data Lagasco'!$Q:$Q,'Dec 31 2018 OFFS'!$AK977,'T1 2019 Pipeline Data Lagasco'!$E:$E,'Dec 31 2018 OFFS'!$U977,'T1 2019 Pipeline Data Lagasco'!$G:$G,'Dec 31 2018 OFFS'!$W977),1))</f>
        <v>4623</v>
      </c>
      <c r="AM977" s="274">
        <f t="shared" si="149"/>
        <v>0</v>
      </c>
    </row>
    <row r="978" spans="1:39" ht="12.7">
      <c r="A978" s="193" t="s">
        <v>909</v>
      </c>
      <c r="B978" s="40" t="s">
        <v>917</v>
      </c>
      <c r="C978" s="40" t="s">
        <v>921</v>
      </c>
      <c r="D978" s="40" t="s">
        <v>791</v>
      </c>
      <c r="E978" s="40" t="s">
        <v>783</v>
      </c>
      <c r="F978" s="40" t="s">
        <v>1051</v>
      </c>
      <c r="G978" s="41" t="s">
        <v>1141</v>
      </c>
      <c r="H978" s="42" t="s">
        <v>78</v>
      </c>
      <c r="I978" s="43">
        <v>18</v>
      </c>
      <c r="J978" s="44">
        <v>59.40</v>
      </c>
      <c r="K978" s="45" t="s">
        <v>969</v>
      </c>
      <c r="L978" s="43">
        <v>45</v>
      </c>
      <c r="M978" s="46">
        <v>47.16</v>
      </c>
      <c r="N978" s="41" t="s">
        <v>1142</v>
      </c>
      <c r="O978" s="42" t="s">
        <v>78</v>
      </c>
      <c r="P978" s="43">
        <v>20</v>
      </c>
      <c r="Q978" s="44">
        <v>10.68</v>
      </c>
      <c r="R978" s="45" t="s">
        <v>969</v>
      </c>
      <c r="S978" s="43">
        <v>47</v>
      </c>
      <c r="T978" s="46">
        <v>48.06</v>
      </c>
      <c r="U978" s="40">
        <v>6</v>
      </c>
      <c r="V978" s="47">
        <v>11731</v>
      </c>
      <c r="W978" s="48">
        <v>2001</v>
      </c>
      <c r="X978" s="40" t="s">
        <v>2</v>
      </c>
      <c r="Y978" s="53" t="s">
        <v>1082</v>
      </c>
      <c r="Z978" s="40" t="s">
        <v>910</v>
      </c>
      <c r="AA978" s="49">
        <f t="shared" si="142"/>
        <v>0</v>
      </c>
      <c r="AB978" s="71">
        <f t="shared" si="143"/>
        <v>0.59</v>
      </c>
      <c r="AC978" s="49">
        <f t="shared" si="144"/>
        <v>0</v>
      </c>
      <c r="AD978" s="50">
        <f t="shared" si="145"/>
        <v>0</v>
      </c>
      <c r="AE978" s="50">
        <f t="shared" si="146"/>
        <v>0</v>
      </c>
      <c r="AF978" s="50">
        <f t="shared" si="147"/>
        <v>0</v>
      </c>
      <c r="AG978" s="199">
        <f t="shared" si="148"/>
        <v>0</v>
      </c>
      <c r="AH978" s="187"/>
      <c r="AI978" s="185" t="s">
        <v>1460</v>
      </c>
      <c r="AJ978" s="185"/>
      <c r="AK978" s="277">
        <f t="shared" si="141"/>
        <v>11731</v>
      </c>
      <c r="AL978" s="25">
        <f>(SUMIFS('T1 2019 Pipeline Data Lagasco'!$O:$O,'T1 2019 Pipeline Data Lagasco'!$A:$A,'Dec 31 2018 OFFS'!$AI978,'T1 2019 Pipeline Data Lagasco'!$Q:$Q,'Dec 31 2018 OFFS'!$AK978,'T1 2019 Pipeline Data Lagasco'!$E:$E,'Dec 31 2018 OFFS'!$U978,'T1 2019 Pipeline Data Lagasco'!$G:$G,'Dec 31 2018 OFFS'!$W978))/(MAX(COUNTIFS('T1 2019 Pipeline Data Lagasco'!$A:$A,'Dec 31 2018 OFFS'!$AI978,'T1 2019 Pipeline Data Lagasco'!$Q:$Q,'Dec 31 2018 OFFS'!$AK978,'T1 2019 Pipeline Data Lagasco'!$E:$E,'Dec 31 2018 OFFS'!$U978,'T1 2019 Pipeline Data Lagasco'!$G:$G,'Dec 31 2018 OFFS'!$W978),1))</f>
        <v>0</v>
      </c>
      <c r="AM978" s="274">
        <f t="shared" si="149"/>
        <v>0</v>
      </c>
    </row>
    <row r="979" spans="1:39" ht="12.7">
      <c r="A979" s="193" t="s">
        <v>909</v>
      </c>
      <c r="B979" s="40" t="s">
        <v>917</v>
      </c>
      <c r="C979" s="40" t="s">
        <v>921</v>
      </c>
      <c r="D979" s="40" t="s">
        <v>791</v>
      </c>
      <c r="E979" s="40" t="s">
        <v>783</v>
      </c>
      <c r="F979" s="139" t="s">
        <v>1051</v>
      </c>
      <c r="G979" s="41" t="s">
        <v>792</v>
      </c>
      <c r="H979" s="42">
        <v>42</v>
      </c>
      <c r="I979" s="43">
        <v>18</v>
      </c>
      <c r="J979" s="44">
        <v>5.58</v>
      </c>
      <c r="K979" s="45">
        <v>81</v>
      </c>
      <c r="L979" s="43">
        <v>42</v>
      </c>
      <c r="M979" s="46">
        <v>47.98</v>
      </c>
      <c r="N979" s="40" t="s">
        <v>793</v>
      </c>
      <c r="O979" s="42">
        <v>42</v>
      </c>
      <c r="P979" s="43">
        <v>17</v>
      </c>
      <c r="Q979" s="44">
        <v>54.84</v>
      </c>
      <c r="R979" s="45">
        <v>81</v>
      </c>
      <c r="S979" s="43">
        <v>44</v>
      </c>
      <c r="T979" s="46">
        <v>4.92</v>
      </c>
      <c r="U979" s="40">
        <v>3</v>
      </c>
      <c r="V979" s="47">
        <v>5883.3331629519998</v>
      </c>
      <c r="W979" s="48">
        <v>1995</v>
      </c>
      <c r="X979" s="40"/>
      <c r="Y979" s="53" t="s">
        <v>1082</v>
      </c>
      <c r="Z979" s="40" t="s">
        <v>910</v>
      </c>
      <c r="AA979" s="49">
        <f t="shared" si="142"/>
        <v>0</v>
      </c>
      <c r="AB979" s="71">
        <f t="shared" si="143"/>
        <v>0.67</v>
      </c>
      <c r="AC979" s="49">
        <f t="shared" si="144"/>
        <v>0</v>
      </c>
      <c r="AD979" s="50">
        <f t="shared" si="145"/>
        <v>0</v>
      </c>
      <c r="AE979" s="50">
        <f t="shared" si="146"/>
        <v>0</v>
      </c>
      <c r="AF979" s="50">
        <f t="shared" si="147"/>
        <v>0</v>
      </c>
      <c r="AG979" s="199">
        <f t="shared" si="148"/>
        <v>0</v>
      </c>
      <c r="AH979" s="187"/>
      <c r="AI979" s="185" t="s">
        <v>1460</v>
      </c>
      <c r="AJ979" s="185"/>
      <c r="AK979" s="277">
        <f t="shared" si="141"/>
        <v>5883.33</v>
      </c>
      <c r="AL979" s="25">
        <f>(SUMIFS('T1 2019 Pipeline Data Lagasco'!$O:$O,'T1 2019 Pipeline Data Lagasco'!$A:$A,'Dec 31 2018 OFFS'!$AI979,'T1 2019 Pipeline Data Lagasco'!$Q:$Q,'Dec 31 2018 OFFS'!$AK979,'T1 2019 Pipeline Data Lagasco'!$E:$E,'Dec 31 2018 OFFS'!$U979,'T1 2019 Pipeline Data Lagasco'!$G:$G,'Dec 31 2018 OFFS'!$W979))/(MAX(COUNTIFS('T1 2019 Pipeline Data Lagasco'!$A:$A,'Dec 31 2018 OFFS'!$AI979,'T1 2019 Pipeline Data Lagasco'!$Q:$Q,'Dec 31 2018 OFFS'!$AK979,'T1 2019 Pipeline Data Lagasco'!$E:$E,'Dec 31 2018 OFFS'!$U979,'T1 2019 Pipeline Data Lagasco'!$G:$G,'Dec 31 2018 OFFS'!$W979),1))</f>
        <v>0</v>
      </c>
      <c r="AM979" s="274">
        <f t="shared" si="149"/>
        <v>0</v>
      </c>
    </row>
    <row r="980" spans="1:39" ht="12.7">
      <c r="A980" s="193" t="s">
        <v>909</v>
      </c>
      <c r="B980" s="40" t="s">
        <v>917</v>
      </c>
      <c r="C980" s="40" t="s">
        <v>921</v>
      </c>
      <c r="D980" s="40" t="s">
        <v>791</v>
      </c>
      <c r="E980" s="40" t="s">
        <v>783</v>
      </c>
      <c r="F980" s="40" t="s">
        <v>1051</v>
      </c>
      <c r="G980" s="41" t="s">
        <v>1140</v>
      </c>
      <c r="H980" s="42" t="s">
        <v>78</v>
      </c>
      <c r="I980" s="43">
        <v>17</v>
      </c>
      <c r="J980" s="44">
        <v>47.64</v>
      </c>
      <c r="K980" s="45" t="s">
        <v>969</v>
      </c>
      <c r="L980" s="43">
        <v>43</v>
      </c>
      <c r="M980" s="46">
        <v>47.10</v>
      </c>
      <c r="N980" s="41" t="s">
        <v>1141</v>
      </c>
      <c r="O980" s="42" t="s">
        <v>78</v>
      </c>
      <c r="P980" s="43">
        <v>18</v>
      </c>
      <c r="Q980" s="44">
        <v>59.40</v>
      </c>
      <c r="R980" s="45" t="s">
        <v>969</v>
      </c>
      <c r="S980" s="43">
        <v>45</v>
      </c>
      <c r="T980" s="46">
        <v>47.16</v>
      </c>
      <c r="U980" s="40">
        <v>6</v>
      </c>
      <c r="V980" s="47">
        <v>11724</v>
      </c>
      <c r="W980" s="48">
        <v>2001</v>
      </c>
      <c r="X980" s="40" t="s">
        <v>2</v>
      </c>
      <c r="Y980" s="53" t="s">
        <v>1082</v>
      </c>
      <c r="Z980" s="40" t="s">
        <v>910</v>
      </c>
      <c r="AA980" s="49">
        <f t="shared" si="142"/>
        <v>0</v>
      </c>
      <c r="AB980" s="71">
        <f t="shared" si="143"/>
        <v>0.59</v>
      </c>
      <c r="AC980" s="49">
        <f t="shared" si="144"/>
        <v>0</v>
      </c>
      <c r="AD980" s="50">
        <f t="shared" si="145"/>
        <v>0</v>
      </c>
      <c r="AE980" s="50">
        <f t="shared" si="146"/>
        <v>0</v>
      </c>
      <c r="AF980" s="50">
        <f t="shared" si="147"/>
        <v>0</v>
      </c>
      <c r="AG980" s="199">
        <f t="shared" si="148"/>
        <v>0</v>
      </c>
      <c r="AH980" s="187"/>
      <c r="AI980" s="185" t="s">
        <v>1460</v>
      </c>
      <c r="AJ980" s="185"/>
      <c r="AK980" s="277">
        <f t="shared" si="141"/>
        <v>11724</v>
      </c>
      <c r="AL980" s="25">
        <f>(SUMIFS('T1 2019 Pipeline Data Lagasco'!$O:$O,'T1 2019 Pipeline Data Lagasco'!$A:$A,'Dec 31 2018 OFFS'!$AI980,'T1 2019 Pipeline Data Lagasco'!$Q:$Q,'Dec 31 2018 OFFS'!$AK980,'T1 2019 Pipeline Data Lagasco'!$E:$E,'Dec 31 2018 OFFS'!$U980,'T1 2019 Pipeline Data Lagasco'!$G:$G,'Dec 31 2018 OFFS'!$W980))/(MAX(COUNTIFS('T1 2019 Pipeline Data Lagasco'!$A:$A,'Dec 31 2018 OFFS'!$AI980,'T1 2019 Pipeline Data Lagasco'!$Q:$Q,'Dec 31 2018 OFFS'!$AK980,'T1 2019 Pipeline Data Lagasco'!$E:$E,'Dec 31 2018 OFFS'!$U980,'T1 2019 Pipeline Data Lagasco'!$G:$G,'Dec 31 2018 OFFS'!$W980),1))</f>
        <v>0</v>
      </c>
      <c r="AM980" s="274">
        <f t="shared" si="149"/>
        <v>0</v>
      </c>
    </row>
    <row r="981" spans="1:39" ht="12.7">
      <c r="A981" s="193" t="s">
        <v>909</v>
      </c>
      <c r="B981" s="40" t="s">
        <v>917</v>
      </c>
      <c r="C981" s="40" t="s">
        <v>921</v>
      </c>
      <c r="D981" s="40" t="s">
        <v>791</v>
      </c>
      <c r="E981" s="40" t="s">
        <v>783</v>
      </c>
      <c r="F981" s="40"/>
      <c r="G981" s="41" t="s">
        <v>793</v>
      </c>
      <c r="H981" s="42">
        <v>42</v>
      </c>
      <c r="I981" s="43">
        <v>17</v>
      </c>
      <c r="J981" s="44">
        <v>54.84</v>
      </c>
      <c r="K981" s="45">
        <v>81</v>
      </c>
      <c r="L981" s="43">
        <v>44</v>
      </c>
      <c r="M981" s="46">
        <v>4.92</v>
      </c>
      <c r="N981" s="41" t="s">
        <v>831</v>
      </c>
      <c r="O981" s="42">
        <v>42</v>
      </c>
      <c r="P981" s="43">
        <v>16</v>
      </c>
      <c r="Q981" s="44">
        <f>0.565*60</f>
        <v>33.90</v>
      </c>
      <c r="R981" s="45">
        <v>81</v>
      </c>
      <c r="S981" s="43">
        <v>41</v>
      </c>
      <c r="T981" s="46">
        <f>0.988*60</f>
        <v>59.28</v>
      </c>
      <c r="U981" s="40">
        <v>6</v>
      </c>
      <c r="V981" s="47">
        <v>12502.689926636</v>
      </c>
      <c r="W981" s="48">
        <v>1995</v>
      </c>
      <c r="X981" s="40" t="s">
        <v>2</v>
      </c>
      <c r="Y981" s="53" t="s">
        <v>1082</v>
      </c>
      <c r="Z981" s="40" t="s">
        <v>910</v>
      </c>
      <c r="AA981" s="49">
        <f t="shared" si="142"/>
        <v>432968.15215940471</v>
      </c>
      <c r="AB981" s="71">
        <f t="shared" si="143"/>
        <v>0.67</v>
      </c>
      <c r="AC981" s="49">
        <f t="shared" si="144"/>
        <v>142879.49</v>
      </c>
      <c r="AD981" s="50">
        <f t="shared" si="145"/>
        <v>35719.872499999998</v>
      </c>
      <c r="AE981" s="50">
        <f t="shared" si="146"/>
        <v>0</v>
      </c>
      <c r="AF981" s="50">
        <f t="shared" si="147"/>
        <v>107159.61749999999</v>
      </c>
      <c r="AG981" s="199">
        <f t="shared" si="148"/>
        <v>107159</v>
      </c>
      <c r="AH981" s="187"/>
      <c r="AI981" s="185" t="s">
        <v>1460</v>
      </c>
      <c r="AJ981" s="185"/>
      <c r="AK981" s="277">
        <f t="shared" si="141"/>
        <v>12502.69</v>
      </c>
      <c r="AL981" s="25">
        <f>(SUMIFS('T1 2019 Pipeline Data Lagasco'!$O:$O,'T1 2019 Pipeline Data Lagasco'!$A:$A,'Dec 31 2018 OFFS'!$AI981,'T1 2019 Pipeline Data Lagasco'!$Q:$Q,'Dec 31 2018 OFFS'!$AK981,'T1 2019 Pipeline Data Lagasco'!$E:$E,'Dec 31 2018 OFFS'!$U981,'T1 2019 Pipeline Data Lagasco'!$G:$G,'Dec 31 2018 OFFS'!$W981))/(MAX(COUNTIFS('T1 2019 Pipeline Data Lagasco'!$A:$A,'Dec 31 2018 OFFS'!$AI981,'T1 2019 Pipeline Data Lagasco'!$Q:$Q,'Dec 31 2018 OFFS'!$AK981,'T1 2019 Pipeline Data Lagasco'!$E:$E,'Dec 31 2018 OFFS'!$U981,'T1 2019 Pipeline Data Lagasco'!$G:$G,'Dec 31 2018 OFFS'!$W981),1))</f>
        <v>107159</v>
      </c>
      <c r="AM981" s="274">
        <f t="shared" si="149"/>
        <v>0</v>
      </c>
    </row>
    <row r="982" spans="1:39" ht="12.7">
      <c r="A982" s="193" t="s">
        <v>909</v>
      </c>
      <c r="B982" s="40" t="s">
        <v>917</v>
      </c>
      <c r="C982" s="40" t="s">
        <v>921</v>
      </c>
      <c r="D982" s="40" t="s">
        <v>791</v>
      </c>
      <c r="E982" s="40" t="s">
        <v>783</v>
      </c>
      <c r="F982" s="40" t="s">
        <v>1051</v>
      </c>
      <c r="G982" s="41" t="s">
        <v>831</v>
      </c>
      <c r="H982" s="42" t="s">
        <v>78</v>
      </c>
      <c r="I982" s="43">
        <v>16</v>
      </c>
      <c r="J982" s="44">
        <v>20.40</v>
      </c>
      <c r="K982" s="45" t="s">
        <v>969</v>
      </c>
      <c r="L982" s="43">
        <v>41</v>
      </c>
      <c r="M982" s="46">
        <v>36</v>
      </c>
      <c r="N982" s="41" t="s">
        <v>1140</v>
      </c>
      <c r="O982" s="42" t="s">
        <v>78</v>
      </c>
      <c r="P982" s="43">
        <v>17</v>
      </c>
      <c r="Q982" s="44">
        <v>47.64</v>
      </c>
      <c r="R982" s="45" t="s">
        <v>969</v>
      </c>
      <c r="S982" s="43">
        <v>43</v>
      </c>
      <c r="T982" s="46">
        <v>47.10</v>
      </c>
      <c r="U982" s="40">
        <v>6</v>
      </c>
      <c r="V982" s="47">
        <v>13213</v>
      </c>
      <c r="W982" s="48">
        <v>2001</v>
      </c>
      <c r="X982" s="40" t="s">
        <v>2</v>
      </c>
      <c r="Y982" s="53" t="s">
        <v>1082</v>
      </c>
      <c r="Z982" s="40" t="s">
        <v>910</v>
      </c>
      <c r="AA982" s="49">
        <f t="shared" si="142"/>
        <v>0</v>
      </c>
      <c r="AB982" s="71">
        <f t="shared" si="143"/>
        <v>0.59</v>
      </c>
      <c r="AC982" s="49">
        <f t="shared" si="144"/>
        <v>0</v>
      </c>
      <c r="AD982" s="50">
        <f t="shared" si="145"/>
        <v>0</v>
      </c>
      <c r="AE982" s="50">
        <f t="shared" si="146"/>
        <v>0</v>
      </c>
      <c r="AF982" s="50">
        <f t="shared" si="147"/>
        <v>0</v>
      </c>
      <c r="AG982" s="199">
        <f t="shared" si="148"/>
        <v>0</v>
      </c>
      <c r="AH982" s="187"/>
      <c r="AI982" s="185" t="s">
        <v>1460</v>
      </c>
      <c r="AJ982" s="185"/>
      <c r="AK982" s="277">
        <f t="shared" si="141"/>
        <v>13213</v>
      </c>
      <c r="AL982" s="25">
        <f>(SUMIFS('T1 2019 Pipeline Data Lagasco'!$O:$O,'T1 2019 Pipeline Data Lagasco'!$A:$A,'Dec 31 2018 OFFS'!$AI982,'T1 2019 Pipeline Data Lagasco'!$Q:$Q,'Dec 31 2018 OFFS'!$AK982,'T1 2019 Pipeline Data Lagasco'!$E:$E,'Dec 31 2018 OFFS'!$U982,'T1 2019 Pipeline Data Lagasco'!$G:$G,'Dec 31 2018 OFFS'!$W982))/(MAX(COUNTIFS('T1 2019 Pipeline Data Lagasco'!$A:$A,'Dec 31 2018 OFFS'!$AI982,'T1 2019 Pipeline Data Lagasco'!$Q:$Q,'Dec 31 2018 OFFS'!$AK982,'T1 2019 Pipeline Data Lagasco'!$E:$E,'Dec 31 2018 OFFS'!$U982,'T1 2019 Pipeline Data Lagasco'!$G:$G,'Dec 31 2018 OFFS'!$W982),1))</f>
        <v>0</v>
      </c>
      <c r="AM982" s="274">
        <f t="shared" si="149"/>
        <v>0</v>
      </c>
    </row>
    <row r="983" spans="1:39" ht="12.7">
      <c r="A983" s="193" t="s">
        <v>909</v>
      </c>
      <c r="B983" s="40" t="s">
        <v>917</v>
      </c>
      <c r="C983" s="40" t="s">
        <v>921</v>
      </c>
      <c r="D983" s="40" t="s">
        <v>791</v>
      </c>
      <c r="E983" s="40" t="s">
        <v>783</v>
      </c>
      <c r="F983" s="40"/>
      <c r="G983" s="41" t="s">
        <v>831</v>
      </c>
      <c r="H983" s="42">
        <v>42</v>
      </c>
      <c r="I983" s="43">
        <v>16</v>
      </c>
      <c r="J983" s="44">
        <f>0.565*60</f>
        <v>33.90</v>
      </c>
      <c r="K983" s="45">
        <v>81</v>
      </c>
      <c r="L983" s="43">
        <v>41</v>
      </c>
      <c r="M983" s="46">
        <f>0.988*60</f>
        <v>59.28</v>
      </c>
      <c r="N983" s="41" t="s">
        <v>832</v>
      </c>
      <c r="O983" s="42">
        <v>42</v>
      </c>
      <c r="P983" s="43">
        <v>15</v>
      </c>
      <c r="Q983" s="44">
        <f>0.344*60</f>
        <v>20.639999999999997</v>
      </c>
      <c r="R983" s="45">
        <v>81</v>
      </c>
      <c r="S983" s="43">
        <v>40</v>
      </c>
      <c r="T983" s="46">
        <f>0.359*60</f>
        <v>21.54</v>
      </c>
      <c r="U983" s="40">
        <v>6</v>
      </c>
      <c r="V983" s="47">
        <v>10440.61649554</v>
      </c>
      <c r="W983" s="48">
        <v>1995</v>
      </c>
      <c r="X983" s="40" t="s">
        <v>2</v>
      </c>
      <c r="Y983" s="53" t="s">
        <v>1082</v>
      </c>
      <c r="Z983" s="40" t="s">
        <v>910</v>
      </c>
      <c r="AA983" s="49">
        <f t="shared" si="142"/>
        <v>361558.5492405502</v>
      </c>
      <c r="AB983" s="71">
        <f t="shared" si="143"/>
        <v>0.67</v>
      </c>
      <c r="AC983" s="49">
        <f t="shared" si="144"/>
        <v>119314.32</v>
      </c>
      <c r="AD983" s="50">
        <f t="shared" si="145"/>
        <v>29828.58</v>
      </c>
      <c r="AE983" s="50">
        <f t="shared" si="146"/>
        <v>0</v>
      </c>
      <c r="AF983" s="50">
        <f t="shared" si="147"/>
        <v>89485.74</v>
      </c>
      <c r="AG983" s="199">
        <f t="shared" si="148"/>
        <v>89485</v>
      </c>
      <c r="AH983" s="187"/>
      <c r="AI983" s="185" t="s">
        <v>1460</v>
      </c>
      <c r="AJ983" s="185"/>
      <c r="AK983" s="277">
        <f t="shared" si="141"/>
        <v>10440.620000000001</v>
      </c>
      <c r="AL983" s="25">
        <f>(SUMIFS('T1 2019 Pipeline Data Lagasco'!$O:$O,'T1 2019 Pipeline Data Lagasco'!$A:$A,'Dec 31 2018 OFFS'!$AI983,'T1 2019 Pipeline Data Lagasco'!$Q:$Q,'Dec 31 2018 OFFS'!$AK983,'T1 2019 Pipeline Data Lagasco'!$E:$E,'Dec 31 2018 OFFS'!$U983,'T1 2019 Pipeline Data Lagasco'!$G:$G,'Dec 31 2018 OFFS'!$W983))/(MAX(COUNTIFS('T1 2019 Pipeline Data Lagasco'!$A:$A,'Dec 31 2018 OFFS'!$AI983,'T1 2019 Pipeline Data Lagasco'!$Q:$Q,'Dec 31 2018 OFFS'!$AK983,'T1 2019 Pipeline Data Lagasco'!$E:$E,'Dec 31 2018 OFFS'!$U983,'T1 2019 Pipeline Data Lagasco'!$G:$G,'Dec 31 2018 OFFS'!$W983),1))</f>
        <v>89485</v>
      </c>
      <c r="AM983" s="274">
        <f t="shared" si="149"/>
        <v>0</v>
      </c>
    </row>
    <row r="984" spans="1:39" ht="12.7">
      <c r="A984" s="193" t="s">
        <v>909</v>
      </c>
      <c r="B984" s="40" t="s">
        <v>917</v>
      </c>
      <c r="C984" s="40" t="s">
        <v>921</v>
      </c>
      <c r="D984" s="40" t="s">
        <v>791</v>
      </c>
      <c r="E984" s="40" t="s">
        <v>783</v>
      </c>
      <c r="F984" s="40"/>
      <c r="G984" s="41" t="s">
        <v>832</v>
      </c>
      <c r="H984" s="42">
        <v>42</v>
      </c>
      <c r="I984" s="43">
        <v>15</v>
      </c>
      <c r="J984" s="44">
        <f>0.344*60</f>
        <v>20.639999999999997</v>
      </c>
      <c r="K984" s="45">
        <v>81</v>
      </c>
      <c r="L984" s="43">
        <v>40</v>
      </c>
      <c r="M984" s="46">
        <f>0.359*60</f>
        <v>21.54</v>
      </c>
      <c r="N984" s="41" t="s">
        <v>833</v>
      </c>
      <c r="O984" s="42">
        <v>42</v>
      </c>
      <c r="P984" s="43">
        <v>14</v>
      </c>
      <c r="Q984" s="44">
        <v>53.52</v>
      </c>
      <c r="R984" s="45">
        <v>81</v>
      </c>
      <c r="S984" s="43">
        <v>39</v>
      </c>
      <c r="T984" s="46">
        <v>55.98</v>
      </c>
      <c r="U984" s="40">
        <v>6</v>
      </c>
      <c r="V984" s="47">
        <v>3347</v>
      </c>
      <c r="W984" s="48">
        <v>1995</v>
      </c>
      <c r="X984" s="40" t="s">
        <v>2</v>
      </c>
      <c r="Y984" s="53" t="s">
        <v>1082</v>
      </c>
      <c r="Z984" s="40" t="s">
        <v>910</v>
      </c>
      <c r="AA984" s="49">
        <f t="shared" si="142"/>
        <v>115906.61000000002</v>
      </c>
      <c r="AB984" s="71">
        <f t="shared" si="143"/>
        <v>0.67</v>
      </c>
      <c r="AC984" s="49">
        <f t="shared" si="144"/>
        <v>38249.18</v>
      </c>
      <c r="AD984" s="50">
        <f t="shared" si="145"/>
        <v>9562.2950000000001</v>
      </c>
      <c r="AE984" s="50">
        <f t="shared" si="146"/>
        <v>0</v>
      </c>
      <c r="AF984" s="50">
        <f t="shared" si="147"/>
        <v>28686.885000000002</v>
      </c>
      <c r="AG984" s="199">
        <f t="shared" si="148"/>
        <v>28686</v>
      </c>
      <c r="AH984" s="187"/>
      <c r="AI984" s="185" t="s">
        <v>1460</v>
      </c>
      <c r="AJ984" s="185"/>
      <c r="AK984" s="277">
        <f t="shared" si="141"/>
        <v>3347</v>
      </c>
      <c r="AL984" s="25">
        <f>(SUMIFS('T1 2019 Pipeline Data Lagasco'!$O:$O,'T1 2019 Pipeline Data Lagasco'!$A:$A,'Dec 31 2018 OFFS'!$AI984,'T1 2019 Pipeline Data Lagasco'!$Q:$Q,'Dec 31 2018 OFFS'!$AK984,'T1 2019 Pipeline Data Lagasco'!$E:$E,'Dec 31 2018 OFFS'!$U984,'T1 2019 Pipeline Data Lagasco'!$G:$G,'Dec 31 2018 OFFS'!$W984))/(MAX(COUNTIFS('T1 2019 Pipeline Data Lagasco'!$A:$A,'Dec 31 2018 OFFS'!$AI984,'T1 2019 Pipeline Data Lagasco'!$Q:$Q,'Dec 31 2018 OFFS'!$AK984,'T1 2019 Pipeline Data Lagasco'!$E:$E,'Dec 31 2018 OFFS'!$U984,'T1 2019 Pipeline Data Lagasco'!$G:$G,'Dec 31 2018 OFFS'!$W984),1))</f>
        <v>28686</v>
      </c>
      <c r="AM984" s="274">
        <f t="shared" si="149"/>
        <v>0</v>
      </c>
    </row>
    <row r="985" spans="1:39" ht="12.7">
      <c r="A985" s="193" t="s">
        <v>909</v>
      </c>
      <c r="B985" s="40" t="s">
        <v>917</v>
      </c>
      <c r="C985" s="40" t="s">
        <v>921</v>
      </c>
      <c r="D985" s="40" t="s">
        <v>784</v>
      </c>
      <c r="E985" s="40" t="s">
        <v>783</v>
      </c>
      <c r="F985" s="40"/>
      <c r="G985" s="41" t="s">
        <v>1145</v>
      </c>
      <c r="H985" s="42" t="s">
        <v>78</v>
      </c>
      <c r="I985" s="43">
        <v>12</v>
      </c>
      <c r="J985" s="44">
        <v>16.50</v>
      </c>
      <c r="K985" s="45" t="s">
        <v>969</v>
      </c>
      <c r="L985" s="43">
        <v>25</v>
      </c>
      <c r="M985" s="46">
        <v>47</v>
      </c>
      <c r="N985" s="41" t="s">
        <v>781</v>
      </c>
      <c r="O985" s="42">
        <v>42</v>
      </c>
      <c r="P985" s="43">
        <v>11</v>
      </c>
      <c r="Q985" s="44">
        <v>41.34</v>
      </c>
      <c r="R985" s="45">
        <v>81</v>
      </c>
      <c r="S985" s="43">
        <v>25</v>
      </c>
      <c r="T985" s="46">
        <v>43.56</v>
      </c>
      <c r="U985" s="40">
        <v>3</v>
      </c>
      <c r="V985" s="47">
        <v>3550</v>
      </c>
      <c r="W985" s="48">
        <v>2001</v>
      </c>
      <c r="X985" s="40"/>
      <c r="Y985" s="53" t="s">
        <v>1082</v>
      </c>
      <c r="Z985" s="40" t="s">
        <v>910</v>
      </c>
      <c r="AA985" s="49">
        <f t="shared" si="142"/>
        <v>83744.50</v>
      </c>
      <c r="AB985" s="71">
        <f t="shared" si="143"/>
        <v>0.59</v>
      </c>
      <c r="AC985" s="49">
        <f t="shared" si="144"/>
        <v>34335.25</v>
      </c>
      <c r="AD985" s="50">
        <f t="shared" si="145"/>
        <v>0</v>
      </c>
      <c r="AE985" s="50">
        <f t="shared" si="146"/>
        <v>0</v>
      </c>
      <c r="AF985" s="50">
        <f t="shared" si="147"/>
        <v>34335.25</v>
      </c>
      <c r="AG985" s="199">
        <f t="shared" si="148"/>
        <v>34335</v>
      </c>
      <c r="AH985" s="187"/>
      <c r="AI985" s="216" t="s">
        <v>1461</v>
      </c>
      <c r="AJ985" s="185" t="s">
        <v>1562</v>
      </c>
      <c r="AK985" s="277">
        <f t="shared" si="141"/>
        <v>3550</v>
      </c>
      <c r="AL985" s="25">
        <f>(SUMIFS('T1 2019 Pipeline Data Lagasco'!$O:$O,'T1 2019 Pipeline Data Lagasco'!$A:$A,'Dec 31 2018 OFFS'!$AI985,'T1 2019 Pipeline Data Lagasco'!$Q:$Q,'Dec 31 2018 OFFS'!$AK985,'T1 2019 Pipeline Data Lagasco'!$E:$E,'Dec 31 2018 OFFS'!$U985,'T1 2019 Pipeline Data Lagasco'!$G:$G,'Dec 31 2018 OFFS'!$W985))/(MAX(COUNTIFS('T1 2019 Pipeline Data Lagasco'!$A:$A,'Dec 31 2018 OFFS'!$AI985,'T1 2019 Pipeline Data Lagasco'!$Q:$Q,'Dec 31 2018 OFFS'!$AK985,'T1 2019 Pipeline Data Lagasco'!$E:$E,'Dec 31 2018 OFFS'!$U985,'T1 2019 Pipeline Data Lagasco'!$G:$G,'Dec 31 2018 OFFS'!$W985),1))</f>
        <v>34335</v>
      </c>
      <c r="AM985" s="274">
        <f t="shared" si="149"/>
        <v>0</v>
      </c>
    </row>
    <row r="986" spans="1:39" ht="12.7">
      <c r="A986" s="193" t="s">
        <v>909</v>
      </c>
      <c r="B986" s="40" t="s">
        <v>917</v>
      </c>
      <c r="C986" s="40" t="s">
        <v>921</v>
      </c>
      <c r="D986" s="40" t="s">
        <v>791</v>
      </c>
      <c r="E986" s="40" t="s">
        <v>783</v>
      </c>
      <c r="F986" s="40"/>
      <c r="G986" s="41" t="s">
        <v>1132</v>
      </c>
      <c r="H986" s="42" t="s">
        <v>78</v>
      </c>
      <c r="I986" s="43">
        <v>11</v>
      </c>
      <c r="J986" s="44">
        <v>19.920000000000002</v>
      </c>
      <c r="K986" s="45" t="s">
        <v>969</v>
      </c>
      <c r="L986" s="43">
        <v>28</v>
      </c>
      <c r="M986" s="46">
        <v>15.60</v>
      </c>
      <c r="N986" s="41" t="s">
        <v>1133</v>
      </c>
      <c r="O986" s="42" t="s">
        <v>78</v>
      </c>
      <c r="P986" s="43">
        <v>10</v>
      </c>
      <c r="Q986" s="44">
        <v>57.06</v>
      </c>
      <c r="R986" s="45" t="s">
        <v>969</v>
      </c>
      <c r="S986" s="43">
        <v>30</v>
      </c>
      <c r="T986" s="46">
        <v>48.06</v>
      </c>
      <c r="U986" s="40">
        <v>6</v>
      </c>
      <c r="V986" s="47">
        <v>11758</v>
      </c>
      <c r="W986" s="48">
        <v>2001</v>
      </c>
      <c r="X986" s="40" t="s">
        <v>2</v>
      </c>
      <c r="Y986" s="53" t="s">
        <v>1082</v>
      </c>
      <c r="Z986" s="40" t="s">
        <v>910</v>
      </c>
      <c r="AA986" s="49">
        <f t="shared" si="142"/>
        <v>407179.54000000004</v>
      </c>
      <c r="AB986" s="71">
        <f t="shared" si="143"/>
        <v>0.59</v>
      </c>
      <c r="AC986" s="49">
        <f t="shared" si="144"/>
        <v>166943.60999999999</v>
      </c>
      <c r="AD986" s="50">
        <f t="shared" si="145"/>
        <v>41735.902499999997</v>
      </c>
      <c r="AE986" s="50">
        <f t="shared" si="146"/>
        <v>0</v>
      </c>
      <c r="AF986" s="50">
        <f t="shared" si="147"/>
        <v>125207.70749999999</v>
      </c>
      <c r="AG986" s="199">
        <f t="shared" si="148"/>
        <v>125207</v>
      </c>
      <c r="AH986" s="187"/>
      <c r="AI986" s="185" t="s">
        <v>1460</v>
      </c>
      <c r="AJ986" s="185"/>
      <c r="AK986" s="277">
        <f t="shared" si="141"/>
        <v>11758</v>
      </c>
      <c r="AL986" s="25">
        <f>(SUMIFS('T1 2019 Pipeline Data Lagasco'!$O:$O,'T1 2019 Pipeline Data Lagasco'!$A:$A,'Dec 31 2018 OFFS'!$AI986,'T1 2019 Pipeline Data Lagasco'!$Q:$Q,'Dec 31 2018 OFFS'!$AK986,'T1 2019 Pipeline Data Lagasco'!$E:$E,'Dec 31 2018 OFFS'!$U986,'T1 2019 Pipeline Data Lagasco'!$G:$G,'Dec 31 2018 OFFS'!$W986))/(MAX(COUNTIFS('T1 2019 Pipeline Data Lagasco'!$A:$A,'Dec 31 2018 OFFS'!$AI986,'T1 2019 Pipeline Data Lagasco'!$Q:$Q,'Dec 31 2018 OFFS'!$AK986,'T1 2019 Pipeline Data Lagasco'!$E:$E,'Dec 31 2018 OFFS'!$U986,'T1 2019 Pipeline Data Lagasco'!$G:$G,'Dec 31 2018 OFFS'!$W986),1))</f>
        <v>125207</v>
      </c>
      <c r="AM986" s="274">
        <f t="shared" si="149"/>
        <v>0</v>
      </c>
    </row>
    <row r="987" spans="1:39" ht="12.7">
      <c r="A987" s="193" t="s">
        <v>909</v>
      </c>
      <c r="B987" s="40" t="s">
        <v>917</v>
      </c>
      <c r="C987" s="40" t="s">
        <v>921</v>
      </c>
      <c r="D987" s="40" t="s">
        <v>791</v>
      </c>
      <c r="E987" s="40" t="s">
        <v>783</v>
      </c>
      <c r="F987" s="40"/>
      <c r="G987" s="41" t="s">
        <v>1130</v>
      </c>
      <c r="H987" s="42" t="s">
        <v>78</v>
      </c>
      <c r="I987" s="43">
        <v>10</v>
      </c>
      <c r="J987" s="44">
        <v>19.44</v>
      </c>
      <c r="K987" s="45" t="s">
        <v>969</v>
      </c>
      <c r="L987" s="43">
        <v>28</v>
      </c>
      <c r="M987" s="46">
        <v>21.90</v>
      </c>
      <c r="N987" s="41" t="s">
        <v>1129</v>
      </c>
      <c r="O987" s="42" t="s">
        <v>78</v>
      </c>
      <c r="P987" s="43">
        <v>11</v>
      </c>
      <c r="Q987" s="44">
        <v>19.38</v>
      </c>
      <c r="R987" s="45" t="s">
        <v>969</v>
      </c>
      <c r="S987" s="43">
        <v>28</v>
      </c>
      <c r="T987" s="46">
        <v>15.72</v>
      </c>
      <c r="U987" s="40">
        <v>3</v>
      </c>
      <c r="V987" s="47">
        <v>6079</v>
      </c>
      <c r="W987" s="48">
        <v>2001</v>
      </c>
      <c r="X987" s="40"/>
      <c r="Y987" s="53" t="s">
        <v>1082</v>
      </c>
      <c r="Z987" s="40" t="s">
        <v>910</v>
      </c>
      <c r="AA987" s="49">
        <f t="shared" si="142"/>
        <v>143403.60999999999</v>
      </c>
      <c r="AB987" s="71">
        <f t="shared" si="143"/>
        <v>0.59</v>
      </c>
      <c r="AC987" s="49">
        <f t="shared" si="144"/>
        <v>58795.48</v>
      </c>
      <c r="AD987" s="50">
        <f t="shared" si="145"/>
        <v>0</v>
      </c>
      <c r="AE987" s="50">
        <f t="shared" si="146"/>
        <v>0</v>
      </c>
      <c r="AF987" s="50">
        <f t="shared" si="147"/>
        <v>58795.48</v>
      </c>
      <c r="AG987" s="199">
        <f t="shared" si="148"/>
        <v>58795</v>
      </c>
      <c r="AH987" s="187"/>
      <c r="AI987" s="185" t="s">
        <v>1460</v>
      </c>
      <c r="AJ987" s="185"/>
      <c r="AK987" s="277">
        <f t="shared" si="141"/>
        <v>6079</v>
      </c>
      <c r="AL987" s="25">
        <f>(SUMIFS('T1 2019 Pipeline Data Lagasco'!$O:$O,'T1 2019 Pipeline Data Lagasco'!$A:$A,'Dec 31 2018 OFFS'!$AI987,'T1 2019 Pipeline Data Lagasco'!$Q:$Q,'Dec 31 2018 OFFS'!$AK987,'T1 2019 Pipeline Data Lagasco'!$E:$E,'Dec 31 2018 OFFS'!$U987,'T1 2019 Pipeline Data Lagasco'!$G:$G,'Dec 31 2018 OFFS'!$W987))/(MAX(COUNTIFS('T1 2019 Pipeline Data Lagasco'!$A:$A,'Dec 31 2018 OFFS'!$AI987,'T1 2019 Pipeline Data Lagasco'!$Q:$Q,'Dec 31 2018 OFFS'!$AK987,'T1 2019 Pipeline Data Lagasco'!$E:$E,'Dec 31 2018 OFFS'!$U987,'T1 2019 Pipeline Data Lagasco'!$G:$G,'Dec 31 2018 OFFS'!$W987),1))</f>
        <v>58795</v>
      </c>
      <c r="AM987" s="274">
        <f t="shared" si="149"/>
        <v>0</v>
      </c>
    </row>
    <row r="988" spans="1:39" ht="12.7">
      <c r="A988" s="193" t="s">
        <v>909</v>
      </c>
      <c r="B988" s="40" t="s">
        <v>917</v>
      </c>
      <c r="C988" s="40" t="s">
        <v>921</v>
      </c>
      <c r="D988" s="40" t="s">
        <v>791</v>
      </c>
      <c r="E988" s="40" t="s">
        <v>783</v>
      </c>
      <c r="F988" s="40" t="s">
        <v>1051</v>
      </c>
      <c r="G988" s="41" t="s">
        <v>800</v>
      </c>
      <c r="H988" s="42">
        <v>42</v>
      </c>
      <c r="I988" s="43">
        <v>12</v>
      </c>
      <c r="J988" s="44">
        <v>18.420000000000002</v>
      </c>
      <c r="K988" s="45">
        <v>81</v>
      </c>
      <c r="L988" s="43">
        <v>30</v>
      </c>
      <c r="M988" s="46">
        <v>21.96</v>
      </c>
      <c r="N988" s="40" t="s">
        <v>801</v>
      </c>
      <c r="O988" s="42">
        <v>42</v>
      </c>
      <c r="P988" s="43">
        <v>12</v>
      </c>
      <c r="Q988" s="44">
        <v>16.62</v>
      </c>
      <c r="R988" s="45">
        <v>81</v>
      </c>
      <c r="S988" s="43">
        <v>29</v>
      </c>
      <c r="T988" s="46">
        <v>43.32</v>
      </c>
      <c r="U988" s="40">
        <v>4</v>
      </c>
      <c r="V988" s="47">
        <v>2913.78</v>
      </c>
      <c r="W988" s="48">
        <v>1978</v>
      </c>
      <c r="X988" s="40"/>
      <c r="Y988" s="53" t="s">
        <v>1082</v>
      </c>
      <c r="Z988" s="40" t="s">
        <v>910</v>
      </c>
      <c r="AA988" s="49">
        <f t="shared" si="142"/>
        <v>0</v>
      </c>
      <c r="AB988" s="71">
        <f t="shared" si="143"/>
        <v>0.80</v>
      </c>
      <c r="AC988" s="49">
        <f t="shared" si="144"/>
        <v>0</v>
      </c>
      <c r="AD988" s="50">
        <f t="shared" si="145"/>
        <v>0</v>
      </c>
      <c r="AE988" s="50">
        <f t="shared" si="146"/>
        <v>0</v>
      </c>
      <c r="AF988" s="50">
        <f t="shared" si="147"/>
        <v>0</v>
      </c>
      <c r="AG988" s="199">
        <f t="shared" si="148"/>
        <v>0</v>
      </c>
      <c r="AH988" s="187"/>
      <c r="AI988" s="185" t="s">
        <v>1460</v>
      </c>
      <c r="AJ988" s="185"/>
      <c r="AK988" s="277">
        <f t="shared" si="141"/>
        <v>2913.78</v>
      </c>
      <c r="AL988" s="25">
        <f>(SUMIFS('T1 2019 Pipeline Data Lagasco'!$O:$O,'T1 2019 Pipeline Data Lagasco'!$A:$A,'Dec 31 2018 OFFS'!$AI988,'T1 2019 Pipeline Data Lagasco'!$Q:$Q,'Dec 31 2018 OFFS'!$AK988,'T1 2019 Pipeline Data Lagasco'!$E:$E,'Dec 31 2018 OFFS'!$U988,'T1 2019 Pipeline Data Lagasco'!$G:$G,'Dec 31 2018 OFFS'!$W988))/(MAX(COUNTIFS('T1 2019 Pipeline Data Lagasco'!$A:$A,'Dec 31 2018 OFFS'!$AI988,'T1 2019 Pipeline Data Lagasco'!$Q:$Q,'Dec 31 2018 OFFS'!$AK988,'T1 2019 Pipeline Data Lagasco'!$E:$E,'Dec 31 2018 OFFS'!$U988,'T1 2019 Pipeline Data Lagasco'!$G:$G,'Dec 31 2018 OFFS'!$W988),1))</f>
        <v>0</v>
      </c>
      <c r="AM988" s="274">
        <f t="shared" si="149"/>
        <v>0</v>
      </c>
    </row>
    <row r="989" spans="1:39" ht="12.7">
      <c r="A989" s="193" t="s">
        <v>909</v>
      </c>
      <c r="B989" s="40" t="s">
        <v>917</v>
      </c>
      <c r="C989" s="40" t="s">
        <v>921</v>
      </c>
      <c r="D989" s="40" t="s">
        <v>791</v>
      </c>
      <c r="E989" s="40" t="s">
        <v>783</v>
      </c>
      <c r="F989" s="139" t="s">
        <v>1051</v>
      </c>
      <c r="G989" s="41" t="s">
        <v>802</v>
      </c>
      <c r="H989" s="42">
        <v>42</v>
      </c>
      <c r="I989" s="43">
        <v>12</v>
      </c>
      <c r="J989" s="44">
        <v>16.079999999999998</v>
      </c>
      <c r="K989" s="45">
        <v>81</v>
      </c>
      <c r="L989" s="43">
        <v>32</v>
      </c>
      <c r="M989" s="46">
        <v>24.36</v>
      </c>
      <c r="N989" s="40" t="s">
        <v>803</v>
      </c>
      <c r="O989" s="42">
        <v>42</v>
      </c>
      <c r="P989" s="43">
        <v>11</v>
      </c>
      <c r="Q989" s="44">
        <v>57.54</v>
      </c>
      <c r="R989" s="45">
        <v>81</v>
      </c>
      <c r="S989" s="43">
        <v>32</v>
      </c>
      <c r="T989" s="46">
        <v>2.40</v>
      </c>
      <c r="U989" s="40">
        <v>4</v>
      </c>
      <c r="V989" s="281">
        <v>2500.787329152</v>
      </c>
      <c r="W989" s="48">
        <v>1978</v>
      </c>
      <c r="X989" s="40"/>
      <c r="Y989" s="53" t="s">
        <v>1082</v>
      </c>
      <c r="Z989" s="40" t="s">
        <v>910</v>
      </c>
      <c r="AA989" s="49">
        <f t="shared" si="142"/>
        <v>0</v>
      </c>
      <c r="AB989" s="71">
        <f t="shared" si="143"/>
        <v>0.80</v>
      </c>
      <c r="AC989" s="49">
        <f t="shared" si="144"/>
        <v>0</v>
      </c>
      <c r="AD989" s="50">
        <f t="shared" si="145"/>
        <v>0</v>
      </c>
      <c r="AE989" s="50">
        <f t="shared" si="146"/>
        <v>0</v>
      </c>
      <c r="AF989" s="50">
        <f t="shared" si="147"/>
        <v>0</v>
      </c>
      <c r="AG989" s="199">
        <f t="shared" si="148"/>
        <v>0</v>
      </c>
      <c r="AH989" s="187"/>
      <c r="AI989" s="185" t="s">
        <v>1460</v>
      </c>
      <c r="AJ989" s="185"/>
      <c r="AK989" s="277">
        <f t="shared" si="141"/>
        <v>2500.79</v>
      </c>
      <c r="AL989" s="25">
        <f>(SUMIFS('T1 2019 Pipeline Data Lagasco'!$O:$O,'T1 2019 Pipeline Data Lagasco'!$A:$A,'Dec 31 2018 OFFS'!$AI989,'T1 2019 Pipeline Data Lagasco'!$Q:$Q,'Dec 31 2018 OFFS'!$AK989,'T1 2019 Pipeline Data Lagasco'!$E:$E,'Dec 31 2018 OFFS'!$U989,'T1 2019 Pipeline Data Lagasco'!$G:$G,'Dec 31 2018 OFFS'!$W989))/(MAX(COUNTIFS('T1 2019 Pipeline Data Lagasco'!$A:$A,'Dec 31 2018 OFFS'!$AI989,'T1 2019 Pipeline Data Lagasco'!$Q:$Q,'Dec 31 2018 OFFS'!$AK989,'T1 2019 Pipeline Data Lagasco'!$E:$E,'Dec 31 2018 OFFS'!$U989,'T1 2019 Pipeline Data Lagasco'!$G:$G,'Dec 31 2018 OFFS'!$W989),1))</f>
        <v>0</v>
      </c>
      <c r="AM989" s="274">
        <f t="shared" si="149"/>
        <v>0</v>
      </c>
    </row>
    <row r="990" spans="1:39" ht="12.7">
      <c r="A990" s="193" t="s">
        <v>909</v>
      </c>
      <c r="B990" s="40" t="s">
        <v>917</v>
      </c>
      <c r="C990" s="40" t="s">
        <v>921</v>
      </c>
      <c r="D990" s="40" t="s">
        <v>791</v>
      </c>
      <c r="E990" s="40" t="s">
        <v>783</v>
      </c>
      <c r="F990" s="139" t="s">
        <v>1380</v>
      </c>
      <c r="G990" s="41" t="s">
        <v>802</v>
      </c>
      <c r="H990" s="42">
        <v>42</v>
      </c>
      <c r="I990" s="43">
        <v>12</v>
      </c>
      <c r="J990" s="44">
        <v>16.079999999999998</v>
      </c>
      <c r="K990" s="45">
        <v>81</v>
      </c>
      <c r="L990" s="43">
        <v>32</v>
      </c>
      <c r="M990" s="46">
        <v>24.36</v>
      </c>
      <c r="N990" s="40" t="s">
        <v>803</v>
      </c>
      <c r="O990" s="42">
        <v>42</v>
      </c>
      <c r="P990" s="43">
        <v>11</v>
      </c>
      <c r="Q990" s="44">
        <v>57.54</v>
      </c>
      <c r="R990" s="45">
        <v>81</v>
      </c>
      <c r="S990" s="43">
        <v>32</v>
      </c>
      <c r="T990" s="46">
        <v>2.40</v>
      </c>
      <c r="U990" s="40">
        <v>4</v>
      </c>
      <c r="V990" s="281">
        <v>2500.787329152</v>
      </c>
      <c r="W990" s="48">
        <v>2000</v>
      </c>
      <c r="X990" s="40"/>
      <c r="Y990" s="53"/>
      <c r="Z990" s="139" t="s">
        <v>910</v>
      </c>
      <c r="AA990" s="49">
        <f t="shared" si="142"/>
        <v>66145.824856070394</v>
      </c>
      <c r="AB990" s="71">
        <f t="shared" si="143"/>
        <v>0.61</v>
      </c>
      <c r="AC990" s="49">
        <f t="shared" si="144"/>
        <v>25796.87</v>
      </c>
      <c r="AD990" s="50">
        <f t="shared" si="145"/>
        <v>0</v>
      </c>
      <c r="AE990" s="50">
        <f t="shared" si="146"/>
        <v>0</v>
      </c>
      <c r="AF990" s="50">
        <f t="shared" si="147"/>
        <v>25796.87</v>
      </c>
      <c r="AG990" s="199">
        <f t="shared" si="148"/>
        <v>25796</v>
      </c>
      <c r="AH990" s="187"/>
      <c r="AI990" s="185" t="s">
        <v>1460</v>
      </c>
      <c r="AJ990" s="185"/>
      <c r="AK990" s="277">
        <f t="shared" si="141"/>
        <v>2500.79</v>
      </c>
      <c r="AL990" s="25">
        <f>(SUMIFS('T1 2019 Pipeline Data Lagasco'!$O:$O,'T1 2019 Pipeline Data Lagasco'!$A:$A,'Dec 31 2018 OFFS'!$AI990,'T1 2019 Pipeline Data Lagasco'!$Q:$Q,'Dec 31 2018 OFFS'!$AK990,'T1 2019 Pipeline Data Lagasco'!$E:$E,'Dec 31 2018 OFFS'!$U990,'T1 2019 Pipeline Data Lagasco'!$G:$G,'Dec 31 2018 OFFS'!$W990))/(MAX(COUNTIFS('T1 2019 Pipeline Data Lagasco'!$A:$A,'Dec 31 2018 OFFS'!$AI990,'T1 2019 Pipeline Data Lagasco'!$Q:$Q,'Dec 31 2018 OFFS'!$AK990,'T1 2019 Pipeline Data Lagasco'!$E:$E,'Dec 31 2018 OFFS'!$U990,'T1 2019 Pipeline Data Lagasco'!$G:$G,'Dec 31 2018 OFFS'!$W990),1))</f>
        <v>25796</v>
      </c>
      <c r="AM990" s="274">
        <f t="shared" si="149"/>
        <v>0</v>
      </c>
    </row>
    <row r="991" spans="1:39" ht="12.7">
      <c r="A991" s="193" t="s">
        <v>909</v>
      </c>
      <c r="B991" s="40" t="s">
        <v>917</v>
      </c>
      <c r="C991" s="40" t="s">
        <v>921</v>
      </c>
      <c r="D991" s="40" t="s">
        <v>791</v>
      </c>
      <c r="E991" s="40" t="s">
        <v>783</v>
      </c>
      <c r="F991" s="40"/>
      <c r="G991" s="41" t="s">
        <v>804</v>
      </c>
      <c r="H991" s="42">
        <v>42</v>
      </c>
      <c r="I991" s="43">
        <v>12</v>
      </c>
      <c r="J991" s="44">
        <v>36.119999999999997</v>
      </c>
      <c r="K991" s="45">
        <v>81</v>
      </c>
      <c r="L991" s="43">
        <v>33</v>
      </c>
      <c r="M991" s="46">
        <v>28.44</v>
      </c>
      <c r="N991" s="40" t="s">
        <v>805</v>
      </c>
      <c r="O991" s="42">
        <v>42</v>
      </c>
      <c r="P991" s="43">
        <v>12</v>
      </c>
      <c r="Q991" s="44">
        <v>21.12</v>
      </c>
      <c r="R991" s="45">
        <v>81</v>
      </c>
      <c r="S991" s="43">
        <v>33</v>
      </c>
      <c r="T991" s="46">
        <v>47.10</v>
      </c>
      <c r="U991" s="40">
        <v>4</v>
      </c>
      <c r="V991" s="47">
        <v>2068.24140992</v>
      </c>
      <c r="W991" s="48">
        <v>1978</v>
      </c>
      <c r="X991" s="40"/>
      <c r="Y991" s="53" t="s">
        <v>1082</v>
      </c>
      <c r="Z991" s="40" t="s">
        <v>910</v>
      </c>
      <c r="AA991" s="49">
        <f t="shared" si="142"/>
        <v>54704.985292384001</v>
      </c>
      <c r="AB991" s="71">
        <f t="shared" si="143"/>
        <v>0.80</v>
      </c>
      <c r="AC991" s="49">
        <f t="shared" si="144"/>
        <v>10941</v>
      </c>
      <c r="AD991" s="50">
        <f t="shared" si="145"/>
        <v>0</v>
      </c>
      <c r="AE991" s="50">
        <f t="shared" si="146"/>
        <v>0</v>
      </c>
      <c r="AF991" s="50">
        <f t="shared" si="147"/>
        <v>10941</v>
      </c>
      <c r="AG991" s="199">
        <f t="shared" si="148"/>
        <v>10941</v>
      </c>
      <c r="AH991" s="187"/>
      <c r="AI991" s="185" t="s">
        <v>1460</v>
      </c>
      <c r="AJ991" s="185"/>
      <c r="AK991" s="277">
        <f t="shared" si="141"/>
        <v>2068.2399999999998</v>
      </c>
      <c r="AL991" s="25">
        <f>(SUMIFS('T1 2019 Pipeline Data Lagasco'!$O:$O,'T1 2019 Pipeline Data Lagasco'!$A:$A,'Dec 31 2018 OFFS'!$AI991,'T1 2019 Pipeline Data Lagasco'!$Q:$Q,'Dec 31 2018 OFFS'!$AK991,'T1 2019 Pipeline Data Lagasco'!$E:$E,'Dec 31 2018 OFFS'!$U991,'T1 2019 Pipeline Data Lagasco'!$G:$G,'Dec 31 2018 OFFS'!$W991))/(MAX(COUNTIFS('T1 2019 Pipeline Data Lagasco'!$A:$A,'Dec 31 2018 OFFS'!$AI991,'T1 2019 Pipeline Data Lagasco'!$Q:$Q,'Dec 31 2018 OFFS'!$AK991,'T1 2019 Pipeline Data Lagasco'!$E:$E,'Dec 31 2018 OFFS'!$U991,'T1 2019 Pipeline Data Lagasco'!$G:$G,'Dec 31 2018 OFFS'!$W991),1))</f>
        <v>10940</v>
      </c>
      <c r="AM991" s="274">
        <f t="shared" si="149"/>
        <v>1</v>
      </c>
    </row>
    <row r="992" spans="1:39" ht="12.7">
      <c r="A992" s="193" t="s">
        <v>909</v>
      </c>
      <c r="B992" s="40" t="s">
        <v>917</v>
      </c>
      <c r="C992" s="40" t="s">
        <v>921</v>
      </c>
      <c r="D992" s="40" t="s">
        <v>791</v>
      </c>
      <c r="E992" s="40" t="s">
        <v>783</v>
      </c>
      <c r="F992" s="40"/>
      <c r="G992" s="41" t="s">
        <v>804</v>
      </c>
      <c r="H992" s="42">
        <v>42</v>
      </c>
      <c r="I992" s="43">
        <v>12</v>
      </c>
      <c r="J992" s="44">
        <v>36.119999999999997</v>
      </c>
      <c r="K992" s="45">
        <v>81</v>
      </c>
      <c r="L992" s="43">
        <v>33</v>
      </c>
      <c r="M992" s="46">
        <v>28.44</v>
      </c>
      <c r="N992" s="40" t="s">
        <v>802</v>
      </c>
      <c r="O992" s="42">
        <v>42</v>
      </c>
      <c r="P992" s="43">
        <v>12</v>
      </c>
      <c r="Q992" s="44">
        <v>16.079999999999998</v>
      </c>
      <c r="R992" s="45">
        <v>81</v>
      </c>
      <c r="S992" s="43">
        <v>32</v>
      </c>
      <c r="T992" s="46">
        <v>24.36</v>
      </c>
      <c r="U992" s="40">
        <v>4</v>
      </c>
      <c r="V992" s="47">
        <v>5231.8568038659996</v>
      </c>
      <c r="W992" s="48">
        <v>1978</v>
      </c>
      <c r="X992" s="40"/>
      <c r="Y992" s="53" t="s">
        <v>1082</v>
      </c>
      <c r="Z992" s="40" t="s">
        <v>910</v>
      </c>
      <c r="AA992" s="49">
        <f t="shared" si="142"/>
        <v>138382.6124622557</v>
      </c>
      <c r="AB992" s="71">
        <f t="shared" si="143"/>
        <v>0.80</v>
      </c>
      <c r="AC992" s="49">
        <f t="shared" si="144"/>
        <v>27676.52</v>
      </c>
      <c r="AD992" s="50">
        <f t="shared" si="145"/>
        <v>0</v>
      </c>
      <c r="AE992" s="50">
        <f t="shared" si="146"/>
        <v>0</v>
      </c>
      <c r="AF992" s="50">
        <f t="shared" si="147"/>
        <v>27676.52</v>
      </c>
      <c r="AG992" s="199">
        <f t="shared" si="148"/>
        <v>27676</v>
      </c>
      <c r="AH992" s="187"/>
      <c r="AI992" s="185" t="s">
        <v>1460</v>
      </c>
      <c r="AJ992" s="185"/>
      <c r="AK992" s="277">
        <f t="shared" si="141"/>
        <v>5231.8599999999997</v>
      </c>
      <c r="AL992" s="25">
        <f>(SUMIFS('T1 2019 Pipeline Data Lagasco'!$O:$O,'T1 2019 Pipeline Data Lagasco'!$A:$A,'Dec 31 2018 OFFS'!$AI992,'T1 2019 Pipeline Data Lagasco'!$Q:$Q,'Dec 31 2018 OFFS'!$AK992,'T1 2019 Pipeline Data Lagasco'!$E:$E,'Dec 31 2018 OFFS'!$U992,'T1 2019 Pipeline Data Lagasco'!$G:$G,'Dec 31 2018 OFFS'!$W992))/(MAX(COUNTIFS('T1 2019 Pipeline Data Lagasco'!$A:$A,'Dec 31 2018 OFFS'!$AI992,'T1 2019 Pipeline Data Lagasco'!$Q:$Q,'Dec 31 2018 OFFS'!$AK992,'T1 2019 Pipeline Data Lagasco'!$E:$E,'Dec 31 2018 OFFS'!$U992,'T1 2019 Pipeline Data Lagasco'!$G:$G,'Dec 31 2018 OFFS'!$W992),1))</f>
        <v>27676</v>
      </c>
      <c r="AM992" s="274">
        <f t="shared" si="149"/>
        <v>0</v>
      </c>
    </row>
    <row r="993" spans="1:39" ht="12.7">
      <c r="A993" s="193" t="s">
        <v>909</v>
      </c>
      <c r="B993" s="40" t="s">
        <v>917</v>
      </c>
      <c r="C993" s="40" t="s">
        <v>921</v>
      </c>
      <c r="D993" s="40" t="s">
        <v>791</v>
      </c>
      <c r="E993" s="40" t="s">
        <v>783</v>
      </c>
      <c r="F993" s="40"/>
      <c r="G993" s="41" t="s">
        <v>1137</v>
      </c>
      <c r="H993" s="42" t="s">
        <v>78</v>
      </c>
      <c r="I993" s="43">
        <v>12</v>
      </c>
      <c r="J993" s="44">
        <v>36.119999999999997</v>
      </c>
      <c r="K993" s="45" t="s">
        <v>969</v>
      </c>
      <c r="L993" s="43">
        <v>33</v>
      </c>
      <c r="M993" s="46">
        <v>28.44</v>
      </c>
      <c r="N993" s="41" t="s">
        <v>1135</v>
      </c>
      <c r="O993" s="42" t="s">
        <v>78</v>
      </c>
      <c r="P993" s="43">
        <v>11</v>
      </c>
      <c r="Q993" s="44">
        <v>9.06</v>
      </c>
      <c r="R993" s="45" t="s">
        <v>969</v>
      </c>
      <c r="S993" s="43">
        <v>31</v>
      </c>
      <c r="T993" s="46">
        <v>46.44</v>
      </c>
      <c r="U993" s="40">
        <v>6</v>
      </c>
      <c r="V993" s="47">
        <v>11736</v>
      </c>
      <c r="W993" s="48">
        <v>2001</v>
      </c>
      <c r="X993" s="40" t="s">
        <v>2</v>
      </c>
      <c r="Y993" s="53" t="s">
        <v>1082</v>
      </c>
      <c r="Z993" s="40" t="s">
        <v>910</v>
      </c>
      <c r="AA993" s="49">
        <f t="shared" si="142"/>
        <v>406417.68000000005</v>
      </c>
      <c r="AB993" s="71">
        <f t="shared" si="143"/>
        <v>0.59</v>
      </c>
      <c r="AC993" s="49">
        <f t="shared" si="144"/>
        <v>166631.25</v>
      </c>
      <c r="AD993" s="50">
        <f t="shared" si="145"/>
        <v>41657.8125</v>
      </c>
      <c r="AE993" s="50">
        <f t="shared" si="146"/>
        <v>0</v>
      </c>
      <c r="AF993" s="50">
        <f t="shared" si="147"/>
        <v>124973.4375</v>
      </c>
      <c r="AG993" s="199">
        <f t="shared" si="148"/>
        <v>124973</v>
      </c>
      <c r="AH993" s="187"/>
      <c r="AI993" s="185" t="s">
        <v>1460</v>
      </c>
      <c r="AJ993" s="185"/>
      <c r="AK993" s="277">
        <f t="shared" si="141"/>
        <v>11736</v>
      </c>
      <c r="AL993" s="25">
        <f>(SUMIFS('T1 2019 Pipeline Data Lagasco'!$O:$O,'T1 2019 Pipeline Data Lagasco'!$A:$A,'Dec 31 2018 OFFS'!$AI993,'T1 2019 Pipeline Data Lagasco'!$Q:$Q,'Dec 31 2018 OFFS'!$AK993,'T1 2019 Pipeline Data Lagasco'!$E:$E,'Dec 31 2018 OFFS'!$U993,'T1 2019 Pipeline Data Lagasco'!$G:$G,'Dec 31 2018 OFFS'!$W993))/(MAX(COUNTIFS('T1 2019 Pipeline Data Lagasco'!$A:$A,'Dec 31 2018 OFFS'!$AI993,'T1 2019 Pipeline Data Lagasco'!$Q:$Q,'Dec 31 2018 OFFS'!$AK993,'T1 2019 Pipeline Data Lagasco'!$E:$E,'Dec 31 2018 OFFS'!$U993,'T1 2019 Pipeline Data Lagasco'!$G:$G,'Dec 31 2018 OFFS'!$W993),1))</f>
        <v>124973</v>
      </c>
      <c r="AM993" s="274">
        <f t="shared" si="149"/>
        <v>0</v>
      </c>
    </row>
    <row r="994" spans="1:39" ht="12.7">
      <c r="A994" s="193" t="s">
        <v>909</v>
      </c>
      <c r="B994" s="40" t="s">
        <v>917</v>
      </c>
      <c r="C994" s="40" t="s">
        <v>921</v>
      </c>
      <c r="D994" s="40" t="s">
        <v>791</v>
      </c>
      <c r="E994" s="40" t="s">
        <v>783</v>
      </c>
      <c r="F994" s="40"/>
      <c r="G994" s="41" t="s">
        <v>1137</v>
      </c>
      <c r="H994" s="42" t="s">
        <v>78</v>
      </c>
      <c r="I994" s="43">
        <v>12</v>
      </c>
      <c r="J994" s="44">
        <v>36.119999999999997</v>
      </c>
      <c r="K994" s="45" t="s">
        <v>969</v>
      </c>
      <c r="L994" s="43">
        <v>33</v>
      </c>
      <c r="M994" s="46">
        <v>28.44</v>
      </c>
      <c r="N994" s="41" t="s">
        <v>1138</v>
      </c>
      <c r="O994" s="42" t="s">
        <v>78</v>
      </c>
      <c r="P994" s="43">
        <v>13</v>
      </c>
      <c r="Q994" s="44">
        <v>26.82</v>
      </c>
      <c r="R994" s="45" t="s">
        <v>969</v>
      </c>
      <c r="S994" s="43">
        <v>36</v>
      </c>
      <c r="T994" s="46">
        <v>3.72</v>
      </c>
      <c r="U994" s="40">
        <v>6</v>
      </c>
      <c r="V994" s="47">
        <v>12903</v>
      </c>
      <c r="W994" s="48">
        <v>2001</v>
      </c>
      <c r="X994" s="40" t="s">
        <v>2</v>
      </c>
      <c r="Y994" s="53" t="s">
        <v>1082</v>
      </c>
      <c r="Z994" s="40" t="s">
        <v>910</v>
      </c>
      <c r="AA994" s="49">
        <f t="shared" si="142"/>
        <v>446830.89</v>
      </c>
      <c r="AB994" s="71">
        <f t="shared" si="143"/>
        <v>0.59</v>
      </c>
      <c r="AC994" s="49">
        <f t="shared" si="144"/>
        <v>183200.66</v>
      </c>
      <c r="AD994" s="50">
        <f t="shared" si="145"/>
        <v>45800.165000000001</v>
      </c>
      <c r="AE994" s="50">
        <f t="shared" si="146"/>
        <v>0</v>
      </c>
      <c r="AF994" s="50">
        <f t="shared" si="147"/>
        <v>137400.495</v>
      </c>
      <c r="AG994" s="199">
        <f t="shared" si="148"/>
        <v>137400</v>
      </c>
      <c r="AH994" s="187"/>
      <c r="AI994" s="185" t="s">
        <v>1460</v>
      </c>
      <c r="AJ994" s="185"/>
      <c r="AK994" s="277">
        <f t="shared" si="141"/>
        <v>12903</v>
      </c>
      <c r="AL994" s="25">
        <f>(SUMIFS('T1 2019 Pipeline Data Lagasco'!$O:$O,'T1 2019 Pipeline Data Lagasco'!$A:$A,'Dec 31 2018 OFFS'!$AI994,'T1 2019 Pipeline Data Lagasco'!$Q:$Q,'Dec 31 2018 OFFS'!$AK994,'T1 2019 Pipeline Data Lagasco'!$E:$E,'Dec 31 2018 OFFS'!$U994,'T1 2019 Pipeline Data Lagasco'!$G:$G,'Dec 31 2018 OFFS'!$W994))/(MAX(COUNTIFS('T1 2019 Pipeline Data Lagasco'!$A:$A,'Dec 31 2018 OFFS'!$AI994,'T1 2019 Pipeline Data Lagasco'!$Q:$Q,'Dec 31 2018 OFFS'!$AK994,'T1 2019 Pipeline Data Lagasco'!$E:$E,'Dec 31 2018 OFFS'!$U994,'T1 2019 Pipeline Data Lagasco'!$G:$G,'Dec 31 2018 OFFS'!$W994),1))</f>
        <v>137400</v>
      </c>
      <c r="AM994" s="274">
        <f t="shared" si="149"/>
        <v>0</v>
      </c>
    </row>
    <row r="995" spans="1:39" ht="12.7">
      <c r="A995" s="193" t="s">
        <v>909</v>
      </c>
      <c r="B995" s="40" t="s">
        <v>917</v>
      </c>
      <c r="C995" s="40" t="s">
        <v>921</v>
      </c>
      <c r="D995" s="40" t="s">
        <v>791</v>
      </c>
      <c r="E995" s="40" t="s">
        <v>783</v>
      </c>
      <c r="F995" s="40"/>
      <c r="G995" s="41" t="s">
        <v>806</v>
      </c>
      <c r="H995" s="42">
        <v>42</v>
      </c>
      <c r="I995" s="43">
        <v>12</v>
      </c>
      <c r="J995" s="44">
        <v>36.119999999999997</v>
      </c>
      <c r="K995" s="45">
        <v>81</v>
      </c>
      <c r="L995" s="43">
        <v>34</v>
      </c>
      <c r="M995" s="46">
        <v>17.88</v>
      </c>
      <c r="N995" s="40" t="s">
        <v>804</v>
      </c>
      <c r="O995" s="42">
        <v>42</v>
      </c>
      <c r="P995" s="43">
        <v>12</v>
      </c>
      <c r="Q995" s="44">
        <v>36.119999999999997</v>
      </c>
      <c r="R995" s="45">
        <v>81</v>
      </c>
      <c r="S995" s="43">
        <v>33</v>
      </c>
      <c r="T995" s="46">
        <v>28.44</v>
      </c>
      <c r="U995" s="40">
        <v>4</v>
      </c>
      <c r="V995" s="47">
        <v>3720.6035667919996</v>
      </c>
      <c r="W995" s="48">
        <v>1978</v>
      </c>
      <c r="X995" s="40"/>
      <c r="Y995" s="53" t="s">
        <v>1082</v>
      </c>
      <c r="Z995" s="40" t="s">
        <v>910</v>
      </c>
      <c r="AA995" s="49">
        <f t="shared" si="142"/>
        <v>98409.964341648389</v>
      </c>
      <c r="AB995" s="71">
        <f t="shared" si="143"/>
        <v>0.80</v>
      </c>
      <c r="AC995" s="49">
        <f t="shared" si="144"/>
        <v>19681.990000000002</v>
      </c>
      <c r="AD995" s="50">
        <f t="shared" si="145"/>
        <v>0</v>
      </c>
      <c r="AE995" s="50">
        <f t="shared" si="146"/>
        <v>0</v>
      </c>
      <c r="AF995" s="50">
        <f t="shared" si="147"/>
        <v>19681.990000000002</v>
      </c>
      <c r="AG995" s="199">
        <f t="shared" si="148"/>
        <v>19681</v>
      </c>
      <c r="AH995" s="187"/>
      <c r="AI995" s="185" t="s">
        <v>1460</v>
      </c>
      <c r="AJ995" s="185"/>
      <c r="AK995" s="277">
        <f t="shared" si="141"/>
        <v>3720.60</v>
      </c>
      <c r="AL995" s="25">
        <f>(SUMIFS('T1 2019 Pipeline Data Lagasco'!$O:$O,'T1 2019 Pipeline Data Lagasco'!$A:$A,'Dec 31 2018 OFFS'!$AI995,'T1 2019 Pipeline Data Lagasco'!$Q:$Q,'Dec 31 2018 OFFS'!$AK995,'T1 2019 Pipeline Data Lagasco'!$E:$E,'Dec 31 2018 OFFS'!$U995,'T1 2019 Pipeline Data Lagasco'!$G:$G,'Dec 31 2018 OFFS'!$W995))/(MAX(COUNTIFS('T1 2019 Pipeline Data Lagasco'!$A:$A,'Dec 31 2018 OFFS'!$AI995,'T1 2019 Pipeline Data Lagasco'!$Q:$Q,'Dec 31 2018 OFFS'!$AK995,'T1 2019 Pipeline Data Lagasco'!$E:$E,'Dec 31 2018 OFFS'!$U995,'T1 2019 Pipeline Data Lagasco'!$G:$G,'Dec 31 2018 OFFS'!$W995),1))</f>
        <v>19681</v>
      </c>
      <c r="AM995" s="274">
        <f t="shared" si="149"/>
        <v>0</v>
      </c>
    </row>
    <row r="996" spans="1:39" ht="12.7">
      <c r="A996" s="193" t="s">
        <v>909</v>
      </c>
      <c r="B996" s="40" t="s">
        <v>917</v>
      </c>
      <c r="C996" s="40" t="s">
        <v>921</v>
      </c>
      <c r="D996" s="40" t="s">
        <v>791</v>
      </c>
      <c r="E996" s="40" t="s">
        <v>783</v>
      </c>
      <c r="F996" s="40"/>
      <c r="G996" s="155" t="s">
        <v>1412</v>
      </c>
      <c r="H996" s="42">
        <v>42</v>
      </c>
      <c r="I996" s="43">
        <v>11</v>
      </c>
      <c r="J996" s="44">
        <v>11.452</v>
      </c>
      <c r="K996" s="45">
        <v>81</v>
      </c>
      <c r="L996" s="43">
        <v>34</v>
      </c>
      <c r="M996" s="46">
        <v>42.798000000000002</v>
      </c>
      <c r="N996" s="40" t="s">
        <v>808</v>
      </c>
      <c r="O996" s="42">
        <v>42</v>
      </c>
      <c r="P996" s="43">
        <v>10</v>
      </c>
      <c r="Q996" s="44">
        <v>20.04</v>
      </c>
      <c r="R996" s="45">
        <v>81</v>
      </c>
      <c r="S996" s="43">
        <v>33</v>
      </c>
      <c r="T996" s="46">
        <v>18.60</v>
      </c>
      <c r="U996" s="40">
        <v>4</v>
      </c>
      <c r="V996" s="47">
        <v>8201.9682664079992</v>
      </c>
      <c r="W996" s="48">
        <v>1978</v>
      </c>
      <c r="X996" s="40"/>
      <c r="Y996" s="53" t="s">
        <v>1082</v>
      </c>
      <c r="Z996" s="40" t="s">
        <v>910</v>
      </c>
      <c r="AA996" s="49">
        <f t="shared" si="142"/>
        <v>216942.06064649156</v>
      </c>
      <c r="AB996" s="71">
        <f t="shared" si="143"/>
        <v>0.80</v>
      </c>
      <c r="AC996" s="49">
        <f t="shared" si="144"/>
        <v>43388.41</v>
      </c>
      <c r="AD996" s="50">
        <f t="shared" si="145"/>
        <v>0</v>
      </c>
      <c r="AE996" s="50">
        <f t="shared" si="146"/>
        <v>0</v>
      </c>
      <c r="AF996" s="50">
        <f t="shared" si="147"/>
        <v>43388.41</v>
      </c>
      <c r="AG996" s="199">
        <f t="shared" si="148"/>
        <v>43388</v>
      </c>
      <c r="AH996" s="187"/>
      <c r="AI996" s="185" t="s">
        <v>1460</v>
      </c>
      <c r="AJ996" s="185"/>
      <c r="AK996" s="277">
        <f t="shared" si="141"/>
        <v>8201.9699999999993</v>
      </c>
      <c r="AL996" s="25">
        <f>(SUMIFS('T1 2019 Pipeline Data Lagasco'!$O:$O,'T1 2019 Pipeline Data Lagasco'!$A:$A,'Dec 31 2018 OFFS'!$AI996,'T1 2019 Pipeline Data Lagasco'!$Q:$Q,'Dec 31 2018 OFFS'!$AK996,'T1 2019 Pipeline Data Lagasco'!$E:$E,'Dec 31 2018 OFFS'!$U996,'T1 2019 Pipeline Data Lagasco'!$G:$G,'Dec 31 2018 OFFS'!$W996))/(MAX(COUNTIFS('T1 2019 Pipeline Data Lagasco'!$A:$A,'Dec 31 2018 OFFS'!$AI996,'T1 2019 Pipeline Data Lagasco'!$Q:$Q,'Dec 31 2018 OFFS'!$AK996,'T1 2019 Pipeline Data Lagasco'!$E:$E,'Dec 31 2018 OFFS'!$U996,'T1 2019 Pipeline Data Lagasco'!$G:$G,'Dec 31 2018 OFFS'!$W996),1))</f>
        <v>43388</v>
      </c>
      <c r="AM996" s="274">
        <f t="shared" si="149"/>
        <v>0</v>
      </c>
    </row>
    <row r="997" spans="1:39" ht="12.7">
      <c r="A997" s="193" t="s">
        <v>909</v>
      </c>
      <c r="B997" s="40" t="s">
        <v>917</v>
      </c>
      <c r="C997" s="40" t="s">
        <v>921</v>
      </c>
      <c r="D997" s="40" t="s">
        <v>791</v>
      </c>
      <c r="E997" s="40" t="s">
        <v>783</v>
      </c>
      <c r="F997" s="40"/>
      <c r="G997" s="41" t="s">
        <v>803</v>
      </c>
      <c r="H997" s="42">
        <v>42</v>
      </c>
      <c r="I997" s="43">
        <v>11</v>
      </c>
      <c r="J997" s="44">
        <v>57.54</v>
      </c>
      <c r="K997" s="45">
        <v>81</v>
      </c>
      <c r="L997" s="43">
        <v>32</v>
      </c>
      <c r="M997" s="46">
        <v>2.40</v>
      </c>
      <c r="N997" s="40" t="s">
        <v>800</v>
      </c>
      <c r="O997" s="42">
        <v>42</v>
      </c>
      <c r="P997" s="43">
        <v>12</v>
      </c>
      <c r="Q997" s="44">
        <v>18.420000000000002</v>
      </c>
      <c r="R997" s="45">
        <v>81</v>
      </c>
      <c r="S997" s="43">
        <v>30</v>
      </c>
      <c r="T997" s="46">
        <v>21.96</v>
      </c>
      <c r="U997" s="40">
        <v>4</v>
      </c>
      <c r="V997" s="47">
        <v>7849.4420298980003</v>
      </c>
      <c r="W997" s="48">
        <v>1978</v>
      </c>
      <c r="X997" s="40"/>
      <c r="Y997" s="53" t="s">
        <v>1082</v>
      </c>
      <c r="Z997" s="40" t="s">
        <v>910</v>
      </c>
      <c r="AA997" s="49">
        <f t="shared" si="142"/>
        <v>207617.7416908021</v>
      </c>
      <c r="AB997" s="71">
        <f t="shared" si="143"/>
        <v>0.80</v>
      </c>
      <c r="AC997" s="49">
        <f t="shared" si="144"/>
        <v>41523.550000000003</v>
      </c>
      <c r="AD997" s="50">
        <f t="shared" si="145"/>
        <v>0</v>
      </c>
      <c r="AE997" s="50">
        <f t="shared" si="146"/>
        <v>0</v>
      </c>
      <c r="AF997" s="50">
        <f t="shared" si="147"/>
        <v>41523.550000000003</v>
      </c>
      <c r="AG997" s="199">
        <f t="shared" si="148"/>
        <v>41523</v>
      </c>
      <c r="AH997" s="187"/>
      <c r="AI997" s="185" t="s">
        <v>1460</v>
      </c>
      <c r="AJ997" s="185"/>
      <c r="AK997" s="277">
        <f t="shared" si="141"/>
        <v>7849.44</v>
      </c>
      <c r="AL997" s="25">
        <f>(SUMIFS('T1 2019 Pipeline Data Lagasco'!$O:$O,'T1 2019 Pipeline Data Lagasco'!$A:$A,'Dec 31 2018 OFFS'!$AI997,'T1 2019 Pipeline Data Lagasco'!$Q:$Q,'Dec 31 2018 OFFS'!$AK997,'T1 2019 Pipeline Data Lagasco'!$E:$E,'Dec 31 2018 OFFS'!$U997,'T1 2019 Pipeline Data Lagasco'!$G:$G,'Dec 31 2018 OFFS'!$W997))/(MAX(COUNTIFS('T1 2019 Pipeline Data Lagasco'!$A:$A,'Dec 31 2018 OFFS'!$AI997,'T1 2019 Pipeline Data Lagasco'!$Q:$Q,'Dec 31 2018 OFFS'!$AK997,'T1 2019 Pipeline Data Lagasco'!$E:$E,'Dec 31 2018 OFFS'!$U997,'T1 2019 Pipeline Data Lagasco'!$G:$G,'Dec 31 2018 OFFS'!$W997),1))</f>
        <v>41523</v>
      </c>
      <c r="AM997" s="274">
        <f t="shared" si="149"/>
        <v>0</v>
      </c>
    </row>
    <row r="998" spans="1:39" ht="12.7">
      <c r="A998" s="193" t="s">
        <v>909</v>
      </c>
      <c r="B998" s="40" t="s">
        <v>917</v>
      </c>
      <c r="C998" s="40" t="s">
        <v>921</v>
      </c>
      <c r="D998" s="40" t="s">
        <v>791</v>
      </c>
      <c r="E998" s="40" t="s">
        <v>783</v>
      </c>
      <c r="F998" s="40" t="s">
        <v>1051</v>
      </c>
      <c r="G998" s="41" t="s">
        <v>803</v>
      </c>
      <c r="H998" s="42">
        <v>42</v>
      </c>
      <c r="I998" s="43">
        <v>11</v>
      </c>
      <c r="J998" s="44">
        <v>57.54</v>
      </c>
      <c r="K998" s="45">
        <v>81</v>
      </c>
      <c r="L998" s="43">
        <v>32</v>
      </c>
      <c r="M998" s="46">
        <v>2.40</v>
      </c>
      <c r="N998" s="40" t="s">
        <v>809</v>
      </c>
      <c r="O998" s="42">
        <v>42</v>
      </c>
      <c r="P998" s="43">
        <v>11</v>
      </c>
      <c r="Q998" s="44">
        <v>42.96</v>
      </c>
      <c r="R998" s="45">
        <v>81</v>
      </c>
      <c r="S998" s="43">
        <v>30</v>
      </c>
      <c r="T998" s="46">
        <v>31.38</v>
      </c>
      <c r="U998" s="40">
        <v>4</v>
      </c>
      <c r="V998" s="47">
        <v>7008.2347051779998</v>
      </c>
      <c r="W998" s="48">
        <v>1978</v>
      </c>
      <c r="X998" s="40"/>
      <c r="Y998" s="53" t="s">
        <v>1082</v>
      </c>
      <c r="Z998" s="40" t="s">
        <v>910</v>
      </c>
      <c r="AA998" s="49">
        <f t="shared" si="142"/>
        <v>0</v>
      </c>
      <c r="AB998" s="71">
        <f t="shared" si="143"/>
        <v>0.80</v>
      </c>
      <c r="AC998" s="49">
        <f t="shared" si="144"/>
        <v>0</v>
      </c>
      <c r="AD998" s="50">
        <f t="shared" si="145"/>
        <v>0</v>
      </c>
      <c r="AE998" s="50">
        <f t="shared" si="146"/>
        <v>0</v>
      </c>
      <c r="AF998" s="50">
        <f t="shared" si="147"/>
        <v>0</v>
      </c>
      <c r="AG998" s="199">
        <f t="shared" si="148"/>
        <v>0</v>
      </c>
      <c r="AH998" s="187"/>
      <c r="AI998" s="185" t="s">
        <v>1460</v>
      </c>
      <c r="AJ998" s="185"/>
      <c r="AK998" s="277">
        <f t="shared" si="141"/>
        <v>7008.23</v>
      </c>
      <c r="AL998" s="25">
        <f>(SUMIFS('T1 2019 Pipeline Data Lagasco'!$O:$O,'T1 2019 Pipeline Data Lagasco'!$A:$A,'Dec 31 2018 OFFS'!$AI998,'T1 2019 Pipeline Data Lagasco'!$Q:$Q,'Dec 31 2018 OFFS'!$AK998,'T1 2019 Pipeline Data Lagasco'!$E:$E,'Dec 31 2018 OFFS'!$U998,'T1 2019 Pipeline Data Lagasco'!$G:$G,'Dec 31 2018 OFFS'!$W998))/(MAX(COUNTIFS('T1 2019 Pipeline Data Lagasco'!$A:$A,'Dec 31 2018 OFFS'!$AI998,'T1 2019 Pipeline Data Lagasco'!$Q:$Q,'Dec 31 2018 OFFS'!$AK998,'T1 2019 Pipeline Data Lagasco'!$E:$E,'Dec 31 2018 OFFS'!$U998,'T1 2019 Pipeline Data Lagasco'!$G:$G,'Dec 31 2018 OFFS'!$W998),1))</f>
        <v>0</v>
      </c>
      <c r="AM998" s="274">
        <f t="shared" si="149"/>
        <v>0</v>
      </c>
    </row>
    <row r="999" spans="1:39" ht="12.7">
      <c r="A999" s="193" t="s">
        <v>909</v>
      </c>
      <c r="B999" s="40" t="s">
        <v>917</v>
      </c>
      <c r="C999" s="40" t="s">
        <v>921</v>
      </c>
      <c r="D999" s="40" t="s">
        <v>791</v>
      </c>
      <c r="E999" s="40" t="s">
        <v>783</v>
      </c>
      <c r="F999" s="40"/>
      <c r="G999" s="41" t="s">
        <v>1135</v>
      </c>
      <c r="H999" s="42" t="s">
        <v>78</v>
      </c>
      <c r="I999" s="43">
        <v>11</v>
      </c>
      <c r="J999" s="44">
        <v>9.06</v>
      </c>
      <c r="K999" s="45" t="s">
        <v>969</v>
      </c>
      <c r="L999" s="43">
        <v>31</v>
      </c>
      <c r="M999" s="46">
        <v>46.44</v>
      </c>
      <c r="N999" s="41" t="s">
        <v>1136</v>
      </c>
      <c r="O999" s="42" t="s">
        <v>78</v>
      </c>
      <c r="P999" s="43">
        <v>10</v>
      </c>
      <c r="Q999" s="44">
        <v>49.68</v>
      </c>
      <c r="R999" s="45" t="s">
        <v>969</v>
      </c>
      <c r="S999" s="43">
        <v>31</v>
      </c>
      <c r="T999" s="46">
        <v>24</v>
      </c>
      <c r="U999" s="40">
        <v>6</v>
      </c>
      <c r="V999" s="47">
        <v>2565</v>
      </c>
      <c r="W999" s="48">
        <v>2001</v>
      </c>
      <c r="X999" s="40" t="s">
        <v>2</v>
      </c>
      <c r="Y999" s="53" t="s">
        <v>1082</v>
      </c>
      <c r="Z999" s="40" t="s">
        <v>910</v>
      </c>
      <c r="AA999" s="49">
        <f t="shared" si="142"/>
        <v>88825.950000000012</v>
      </c>
      <c r="AB999" s="71">
        <f t="shared" si="143"/>
        <v>0.59</v>
      </c>
      <c r="AC999" s="49">
        <f t="shared" si="144"/>
        <v>36418.64</v>
      </c>
      <c r="AD999" s="50">
        <f t="shared" si="145"/>
        <v>9104.66</v>
      </c>
      <c r="AE999" s="50">
        <f t="shared" si="146"/>
        <v>0</v>
      </c>
      <c r="AF999" s="50">
        <f t="shared" si="147"/>
        <v>27313.98</v>
      </c>
      <c r="AG999" s="199">
        <f t="shared" si="148"/>
        <v>27313</v>
      </c>
      <c r="AH999" s="187"/>
      <c r="AI999" s="185" t="s">
        <v>1460</v>
      </c>
      <c r="AJ999" s="185"/>
      <c r="AK999" s="277">
        <f t="shared" si="141"/>
        <v>2565</v>
      </c>
      <c r="AL999" s="25">
        <f>(SUMIFS('T1 2019 Pipeline Data Lagasco'!$O:$O,'T1 2019 Pipeline Data Lagasco'!$A:$A,'Dec 31 2018 OFFS'!$AI999,'T1 2019 Pipeline Data Lagasco'!$Q:$Q,'Dec 31 2018 OFFS'!$AK999,'T1 2019 Pipeline Data Lagasco'!$E:$E,'Dec 31 2018 OFFS'!$U999,'T1 2019 Pipeline Data Lagasco'!$G:$G,'Dec 31 2018 OFFS'!$W999))/(MAX(COUNTIFS('T1 2019 Pipeline Data Lagasco'!$A:$A,'Dec 31 2018 OFFS'!$AI999,'T1 2019 Pipeline Data Lagasco'!$Q:$Q,'Dec 31 2018 OFFS'!$AK999,'T1 2019 Pipeline Data Lagasco'!$E:$E,'Dec 31 2018 OFFS'!$U999,'T1 2019 Pipeline Data Lagasco'!$G:$G,'Dec 31 2018 OFFS'!$W999),1))</f>
        <v>27313</v>
      </c>
      <c r="AM999" s="274">
        <f t="shared" si="149"/>
        <v>0</v>
      </c>
    </row>
    <row r="1000" spans="1:39" ht="12.7">
      <c r="A1000" s="193" t="s">
        <v>909</v>
      </c>
      <c r="B1000" s="40" t="s">
        <v>917</v>
      </c>
      <c r="C1000" s="40" t="s">
        <v>921</v>
      </c>
      <c r="D1000" s="40" t="s">
        <v>791</v>
      </c>
      <c r="E1000" s="40" t="s">
        <v>783</v>
      </c>
      <c r="F1000" s="40"/>
      <c r="G1000" s="41" t="s">
        <v>810</v>
      </c>
      <c r="H1000" s="42">
        <v>42</v>
      </c>
      <c r="I1000" s="43">
        <v>10</v>
      </c>
      <c r="J1000" s="44">
        <v>4.4400000000000004</v>
      </c>
      <c r="K1000" s="45">
        <v>81</v>
      </c>
      <c r="L1000" s="43">
        <v>31</v>
      </c>
      <c r="M1000" s="46">
        <v>40.799999999999997</v>
      </c>
      <c r="N1000" s="40" t="s">
        <v>811</v>
      </c>
      <c r="O1000" s="42">
        <v>42</v>
      </c>
      <c r="P1000" s="43">
        <v>10</v>
      </c>
      <c r="Q1000" s="44">
        <v>49.68</v>
      </c>
      <c r="R1000" s="45">
        <v>81</v>
      </c>
      <c r="S1000" s="43">
        <v>31</v>
      </c>
      <c r="T1000" s="46">
        <v>24</v>
      </c>
      <c r="U1000" s="40">
        <v>4</v>
      </c>
      <c r="V1000" s="47">
        <v>4750.9841143799995</v>
      </c>
      <c r="W1000" s="48">
        <v>1985</v>
      </c>
      <c r="X1000" s="40"/>
      <c r="Y1000" s="53" t="s">
        <v>1082</v>
      </c>
      <c r="Z1000" s="40" t="s">
        <v>910</v>
      </c>
      <c r="AA1000" s="49">
        <f t="shared" si="142"/>
        <v>125663.52982535098</v>
      </c>
      <c r="AB1000" s="71">
        <f t="shared" si="143"/>
        <v>0.80</v>
      </c>
      <c r="AC1000" s="49">
        <f t="shared" si="144"/>
        <v>25132.71</v>
      </c>
      <c r="AD1000" s="50">
        <f t="shared" si="145"/>
        <v>0</v>
      </c>
      <c r="AE1000" s="50">
        <f t="shared" si="146"/>
        <v>0</v>
      </c>
      <c r="AF1000" s="50">
        <f t="shared" si="147"/>
        <v>25132.71</v>
      </c>
      <c r="AG1000" s="199">
        <f t="shared" si="148"/>
        <v>25132</v>
      </c>
      <c r="AH1000" s="187"/>
      <c r="AI1000" s="185" t="s">
        <v>1460</v>
      </c>
      <c r="AJ1000" s="185"/>
      <c r="AK1000" s="277">
        <f t="shared" si="141"/>
        <v>4750.9799999999996</v>
      </c>
      <c r="AL1000" s="25">
        <f>(SUMIFS('T1 2019 Pipeline Data Lagasco'!$O:$O,'T1 2019 Pipeline Data Lagasco'!$A:$A,'Dec 31 2018 OFFS'!$AI1000,'T1 2019 Pipeline Data Lagasco'!$Q:$Q,'Dec 31 2018 OFFS'!$AK1000,'T1 2019 Pipeline Data Lagasco'!$E:$E,'Dec 31 2018 OFFS'!$U1000,'T1 2019 Pipeline Data Lagasco'!$G:$G,'Dec 31 2018 OFFS'!$W1000))/(MAX(COUNTIFS('T1 2019 Pipeline Data Lagasco'!$A:$A,'Dec 31 2018 OFFS'!$AI1000,'T1 2019 Pipeline Data Lagasco'!$Q:$Q,'Dec 31 2018 OFFS'!$AK1000,'T1 2019 Pipeline Data Lagasco'!$E:$E,'Dec 31 2018 OFFS'!$U1000,'T1 2019 Pipeline Data Lagasco'!$G:$G,'Dec 31 2018 OFFS'!$W1000),1))</f>
        <v>25132</v>
      </c>
      <c r="AM1000" s="274">
        <f t="shared" si="149"/>
        <v>0</v>
      </c>
    </row>
    <row r="1001" spans="1:39" ht="12.7">
      <c r="A1001" s="193" t="s">
        <v>909</v>
      </c>
      <c r="B1001" s="40" t="s">
        <v>917</v>
      </c>
      <c r="C1001" s="40" t="s">
        <v>921</v>
      </c>
      <c r="D1001" s="40" t="s">
        <v>791</v>
      </c>
      <c r="E1001" s="40" t="s">
        <v>783</v>
      </c>
      <c r="F1001" s="40"/>
      <c r="G1001" s="41" t="s">
        <v>810</v>
      </c>
      <c r="H1001" s="42">
        <v>42</v>
      </c>
      <c r="I1001" s="43">
        <v>10</v>
      </c>
      <c r="J1001" s="44">
        <v>4.4400000000000004</v>
      </c>
      <c r="K1001" s="45">
        <v>81</v>
      </c>
      <c r="L1001" s="43">
        <v>31</v>
      </c>
      <c r="M1001" s="46">
        <v>40.799999999999997</v>
      </c>
      <c r="N1001" s="41" t="s">
        <v>796</v>
      </c>
      <c r="O1001" s="42">
        <v>42</v>
      </c>
      <c r="P1001" s="43">
        <v>9</v>
      </c>
      <c r="Q1001" s="44">
        <v>44.34</v>
      </c>
      <c r="R1001" s="45">
        <v>81</v>
      </c>
      <c r="S1001" s="43">
        <v>29</v>
      </c>
      <c r="T1001" s="46">
        <v>22.38</v>
      </c>
      <c r="U1001" s="40">
        <v>4</v>
      </c>
      <c r="V1001" s="47">
        <v>10620.833025754</v>
      </c>
      <c r="W1001" s="48">
        <v>1985</v>
      </c>
      <c r="X1001" s="40"/>
      <c r="Y1001" s="53" t="s">
        <v>1082</v>
      </c>
      <c r="Z1001" s="40" t="s">
        <v>910</v>
      </c>
      <c r="AA1001" s="49">
        <f t="shared" si="142"/>
        <v>280921.03353119327</v>
      </c>
      <c r="AB1001" s="71">
        <f t="shared" si="143"/>
        <v>0.80</v>
      </c>
      <c r="AC1001" s="49">
        <f t="shared" si="144"/>
        <v>56184.21</v>
      </c>
      <c r="AD1001" s="50">
        <f t="shared" si="145"/>
        <v>0</v>
      </c>
      <c r="AE1001" s="50">
        <f t="shared" si="146"/>
        <v>0</v>
      </c>
      <c r="AF1001" s="50">
        <f t="shared" si="147"/>
        <v>56184.21</v>
      </c>
      <c r="AG1001" s="199">
        <f t="shared" si="148"/>
        <v>56184</v>
      </c>
      <c r="AH1001" s="187"/>
      <c r="AI1001" s="185" t="s">
        <v>1460</v>
      </c>
      <c r="AJ1001" s="185"/>
      <c r="AK1001" s="277">
        <f t="shared" si="141"/>
        <v>10620.83</v>
      </c>
      <c r="AL1001" s="25">
        <f>(SUMIFS('T1 2019 Pipeline Data Lagasco'!$O:$O,'T1 2019 Pipeline Data Lagasco'!$A:$A,'Dec 31 2018 OFFS'!$AI1001,'T1 2019 Pipeline Data Lagasco'!$Q:$Q,'Dec 31 2018 OFFS'!$AK1001,'T1 2019 Pipeline Data Lagasco'!$E:$E,'Dec 31 2018 OFFS'!$U1001,'T1 2019 Pipeline Data Lagasco'!$G:$G,'Dec 31 2018 OFFS'!$W1001))/(MAX(COUNTIFS('T1 2019 Pipeline Data Lagasco'!$A:$A,'Dec 31 2018 OFFS'!$AI1001,'T1 2019 Pipeline Data Lagasco'!$Q:$Q,'Dec 31 2018 OFFS'!$AK1001,'T1 2019 Pipeline Data Lagasco'!$E:$E,'Dec 31 2018 OFFS'!$U1001,'T1 2019 Pipeline Data Lagasco'!$G:$G,'Dec 31 2018 OFFS'!$W1001),1))</f>
        <v>56184</v>
      </c>
      <c r="AM1001" s="274">
        <f t="shared" si="149"/>
        <v>0</v>
      </c>
    </row>
    <row r="1002" spans="1:39" ht="12.7">
      <c r="A1002" s="193" t="s">
        <v>909</v>
      </c>
      <c r="B1002" s="40" t="s">
        <v>917</v>
      </c>
      <c r="C1002" s="40" t="s">
        <v>921</v>
      </c>
      <c r="D1002" s="40" t="s">
        <v>791</v>
      </c>
      <c r="E1002" s="40" t="s">
        <v>783</v>
      </c>
      <c r="F1002" s="40"/>
      <c r="G1002" s="41" t="s">
        <v>808</v>
      </c>
      <c r="H1002" s="42">
        <v>42</v>
      </c>
      <c r="I1002" s="43">
        <v>10</v>
      </c>
      <c r="J1002" s="44">
        <v>20.04</v>
      </c>
      <c r="K1002" s="45">
        <v>81</v>
      </c>
      <c r="L1002" s="43">
        <v>33</v>
      </c>
      <c r="M1002" s="46">
        <v>18.60</v>
      </c>
      <c r="N1002" s="41" t="s">
        <v>1103</v>
      </c>
      <c r="O1002" s="42" t="s">
        <v>78</v>
      </c>
      <c r="P1002" s="43" t="s">
        <v>985</v>
      </c>
      <c r="Q1002" s="44" t="s">
        <v>1104</v>
      </c>
      <c r="R1002" s="45" t="s">
        <v>969</v>
      </c>
      <c r="S1002" s="43" t="s">
        <v>1105</v>
      </c>
      <c r="T1002" s="46" t="s">
        <v>1106</v>
      </c>
      <c r="U1002" s="40">
        <v>4</v>
      </c>
      <c r="V1002" s="47">
        <v>895</v>
      </c>
      <c r="W1002" s="48">
        <v>1994</v>
      </c>
      <c r="X1002" s="40"/>
      <c r="Y1002" s="53" t="s">
        <v>1082</v>
      </c>
      <c r="Z1002" s="40" t="s">
        <v>910</v>
      </c>
      <c r="AA1002" s="49">
        <f t="shared" si="142"/>
        <v>23672.75</v>
      </c>
      <c r="AB1002" s="71">
        <f t="shared" si="143"/>
        <v>0.68</v>
      </c>
      <c r="AC1002" s="49">
        <f t="shared" si="144"/>
        <v>7575.28</v>
      </c>
      <c r="AD1002" s="50">
        <f t="shared" si="145"/>
        <v>0</v>
      </c>
      <c r="AE1002" s="50">
        <f t="shared" si="146"/>
        <v>0</v>
      </c>
      <c r="AF1002" s="50">
        <f t="shared" si="147"/>
        <v>7575.28</v>
      </c>
      <c r="AG1002" s="199">
        <f t="shared" si="148"/>
        <v>7575</v>
      </c>
      <c r="AH1002" s="187"/>
      <c r="AI1002" s="185" t="s">
        <v>1460</v>
      </c>
      <c r="AJ1002" s="185"/>
      <c r="AK1002" s="277">
        <f t="shared" si="141"/>
        <v>895</v>
      </c>
      <c r="AL1002" s="25">
        <f>(SUMIFS('T1 2019 Pipeline Data Lagasco'!$O:$O,'T1 2019 Pipeline Data Lagasco'!$A:$A,'Dec 31 2018 OFFS'!$AI1002,'T1 2019 Pipeline Data Lagasco'!$Q:$Q,'Dec 31 2018 OFFS'!$AK1002,'T1 2019 Pipeline Data Lagasco'!$E:$E,'Dec 31 2018 OFFS'!$U1002,'T1 2019 Pipeline Data Lagasco'!$G:$G,'Dec 31 2018 OFFS'!$W1002))/(MAX(COUNTIFS('T1 2019 Pipeline Data Lagasco'!$A:$A,'Dec 31 2018 OFFS'!$AI1002,'T1 2019 Pipeline Data Lagasco'!$Q:$Q,'Dec 31 2018 OFFS'!$AK1002,'T1 2019 Pipeline Data Lagasco'!$E:$E,'Dec 31 2018 OFFS'!$U1002,'T1 2019 Pipeline Data Lagasco'!$G:$G,'Dec 31 2018 OFFS'!$W1002),1))</f>
        <v>7575</v>
      </c>
      <c r="AM1002" s="274">
        <f t="shared" si="149"/>
        <v>0</v>
      </c>
    </row>
    <row r="1003" spans="1:39" ht="12.7">
      <c r="A1003" s="193" t="s">
        <v>909</v>
      </c>
      <c r="B1003" s="40" t="s">
        <v>917</v>
      </c>
      <c r="C1003" s="40" t="s">
        <v>921</v>
      </c>
      <c r="D1003" s="40" t="s">
        <v>791</v>
      </c>
      <c r="E1003" s="40" t="s">
        <v>783</v>
      </c>
      <c r="F1003" s="40"/>
      <c r="G1003" s="41" t="s">
        <v>808</v>
      </c>
      <c r="H1003" s="42">
        <v>42</v>
      </c>
      <c r="I1003" s="43">
        <v>10</v>
      </c>
      <c r="J1003" s="44">
        <v>20.04</v>
      </c>
      <c r="K1003" s="45">
        <v>81</v>
      </c>
      <c r="L1003" s="43">
        <v>33</v>
      </c>
      <c r="M1003" s="46">
        <v>18.60</v>
      </c>
      <c r="N1003" s="40" t="s">
        <v>810</v>
      </c>
      <c r="O1003" s="42">
        <v>42</v>
      </c>
      <c r="P1003" s="43">
        <v>10</v>
      </c>
      <c r="Q1003" s="44">
        <v>4.4400000000000004</v>
      </c>
      <c r="R1003" s="45">
        <v>81</v>
      </c>
      <c r="S1003" s="43">
        <v>31</v>
      </c>
      <c r="T1003" s="46">
        <v>40.799999999999997</v>
      </c>
      <c r="U1003" s="40">
        <v>4</v>
      </c>
      <c r="V1003" s="47">
        <v>7531.9551624519991</v>
      </c>
      <c r="W1003" s="48">
        <v>1978</v>
      </c>
      <c r="X1003" s="40"/>
      <c r="Y1003" s="53" t="s">
        <v>1082</v>
      </c>
      <c r="Z1003" s="40" t="s">
        <v>910</v>
      </c>
      <c r="AA1003" s="49">
        <f t="shared" si="142"/>
        <v>199220.21404685537</v>
      </c>
      <c r="AB1003" s="71">
        <f t="shared" si="143"/>
        <v>0.80</v>
      </c>
      <c r="AC1003" s="49">
        <f t="shared" si="144"/>
        <v>39844.04</v>
      </c>
      <c r="AD1003" s="50">
        <f t="shared" si="145"/>
        <v>0</v>
      </c>
      <c r="AE1003" s="50">
        <f t="shared" si="146"/>
        <v>0</v>
      </c>
      <c r="AF1003" s="50">
        <f t="shared" si="147"/>
        <v>39844.04</v>
      </c>
      <c r="AG1003" s="199">
        <f t="shared" si="148"/>
        <v>39844</v>
      </c>
      <c r="AH1003" s="187"/>
      <c r="AI1003" s="185" t="s">
        <v>1460</v>
      </c>
      <c r="AJ1003" s="185"/>
      <c r="AK1003" s="277">
        <f t="shared" si="141"/>
        <v>7531.96</v>
      </c>
      <c r="AL1003" s="25">
        <f>(SUMIFS('T1 2019 Pipeline Data Lagasco'!$O:$O,'T1 2019 Pipeline Data Lagasco'!$A:$A,'Dec 31 2018 OFFS'!$AI1003,'T1 2019 Pipeline Data Lagasco'!$Q:$Q,'Dec 31 2018 OFFS'!$AK1003,'T1 2019 Pipeline Data Lagasco'!$E:$E,'Dec 31 2018 OFFS'!$U1003,'T1 2019 Pipeline Data Lagasco'!$G:$G,'Dec 31 2018 OFFS'!$W1003))/(MAX(COUNTIFS('T1 2019 Pipeline Data Lagasco'!$A:$A,'Dec 31 2018 OFFS'!$AI1003,'T1 2019 Pipeline Data Lagasco'!$Q:$Q,'Dec 31 2018 OFFS'!$AK1003,'T1 2019 Pipeline Data Lagasco'!$E:$E,'Dec 31 2018 OFFS'!$U1003,'T1 2019 Pipeline Data Lagasco'!$G:$G,'Dec 31 2018 OFFS'!$W1003),1))</f>
        <v>39844</v>
      </c>
      <c r="AM1003" s="274">
        <f t="shared" si="149"/>
        <v>0</v>
      </c>
    </row>
    <row r="1004" spans="1:39" ht="12.7">
      <c r="A1004" s="193" t="s">
        <v>909</v>
      </c>
      <c r="B1004" s="40" t="s">
        <v>917</v>
      </c>
      <c r="C1004" s="40" t="s">
        <v>921</v>
      </c>
      <c r="D1004" s="40" t="s">
        <v>791</v>
      </c>
      <c r="E1004" s="40" t="s">
        <v>783</v>
      </c>
      <c r="F1004" s="40"/>
      <c r="G1004" s="41" t="s">
        <v>1139</v>
      </c>
      <c r="H1004" s="42" t="s">
        <v>78</v>
      </c>
      <c r="I1004" s="43">
        <v>14</v>
      </c>
      <c r="J1004" s="44">
        <v>22.92</v>
      </c>
      <c r="K1004" s="45" t="s">
        <v>969</v>
      </c>
      <c r="L1004" s="43">
        <v>38</v>
      </c>
      <c r="M1004" s="46">
        <v>39.96</v>
      </c>
      <c r="N1004" s="41" t="s">
        <v>833</v>
      </c>
      <c r="O1004" s="42" t="s">
        <v>78</v>
      </c>
      <c r="P1004" s="43">
        <v>14</v>
      </c>
      <c r="Q1004" s="44">
        <v>28.44</v>
      </c>
      <c r="R1004" s="45" t="s">
        <v>969</v>
      </c>
      <c r="S1004" s="43">
        <v>39</v>
      </c>
      <c r="T1004" s="46">
        <v>35.700000000000003</v>
      </c>
      <c r="U1004" s="40">
        <v>6</v>
      </c>
      <c r="V1004" s="47">
        <v>6350</v>
      </c>
      <c r="W1004" s="48">
        <v>2001</v>
      </c>
      <c r="X1004" s="40" t="s">
        <v>2</v>
      </c>
      <c r="Y1004" s="53" t="s">
        <v>1082</v>
      </c>
      <c r="Z1004" s="40" t="s">
        <v>910</v>
      </c>
      <c r="AA1004" s="49">
        <f t="shared" si="142"/>
        <v>219900.50000000003</v>
      </c>
      <c r="AB1004" s="71">
        <f t="shared" si="143"/>
        <v>0.59</v>
      </c>
      <c r="AC1004" s="49">
        <f t="shared" si="144"/>
        <v>90159.21</v>
      </c>
      <c r="AD1004" s="50">
        <f t="shared" si="145"/>
        <v>22539.802500000002</v>
      </c>
      <c r="AE1004" s="50">
        <f t="shared" si="146"/>
        <v>0</v>
      </c>
      <c r="AF1004" s="50">
        <f t="shared" si="147"/>
        <v>67619.407500000001</v>
      </c>
      <c r="AG1004" s="199">
        <f t="shared" si="148"/>
        <v>67619</v>
      </c>
      <c r="AH1004" s="187"/>
      <c r="AI1004" s="185" t="s">
        <v>1460</v>
      </c>
      <c r="AJ1004" s="185"/>
      <c r="AK1004" s="277">
        <f t="shared" si="141"/>
        <v>6350</v>
      </c>
      <c r="AL1004" s="25">
        <f>(SUMIFS('T1 2019 Pipeline Data Lagasco'!$O:$O,'T1 2019 Pipeline Data Lagasco'!$A:$A,'Dec 31 2018 OFFS'!$AI1004,'T1 2019 Pipeline Data Lagasco'!$Q:$Q,'Dec 31 2018 OFFS'!$AK1004,'T1 2019 Pipeline Data Lagasco'!$E:$E,'Dec 31 2018 OFFS'!$U1004,'T1 2019 Pipeline Data Lagasco'!$G:$G,'Dec 31 2018 OFFS'!$W1004))/(MAX(COUNTIFS('T1 2019 Pipeline Data Lagasco'!$A:$A,'Dec 31 2018 OFFS'!$AI1004,'T1 2019 Pipeline Data Lagasco'!$Q:$Q,'Dec 31 2018 OFFS'!$AK1004,'T1 2019 Pipeline Data Lagasco'!$E:$E,'Dec 31 2018 OFFS'!$U1004,'T1 2019 Pipeline Data Lagasco'!$G:$G,'Dec 31 2018 OFFS'!$W1004),1))</f>
        <v>67619</v>
      </c>
      <c r="AM1004" s="274">
        <f t="shared" si="149"/>
        <v>0</v>
      </c>
    </row>
    <row r="1005" spans="1:39" ht="12.7">
      <c r="A1005" s="193" t="s">
        <v>909</v>
      </c>
      <c r="B1005" s="40" t="s">
        <v>917</v>
      </c>
      <c r="C1005" s="40" t="s">
        <v>921</v>
      </c>
      <c r="D1005" s="40" t="s">
        <v>791</v>
      </c>
      <c r="E1005" s="40" t="s">
        <v>783</v>
      </c>
      <c r="F1005" s="40" t="s">
        <v>1051</v>
      </c>
      <c r="G1005" s="41" t="s">
        <v>833</v>
      </c>
      <c r="H1005" s="42" t="s">
        <v>78</v>
      </c>
      <c r="I1005" s="43">
        <v>14</v>
      </c>
      <c r="J1005" s="44">
        <v>28.44</v>
      </c>
      <c r="K1005" s="45" t="s">
        <v>969</v>
      </c>
      <c r="L1005" s="43">
        <v>39</v>
      </c>
      <c r="M1005" s="46">
        <v>35.700000000000003</v>
      </c>
      <c r="N1005" s="41" t="s">
        <v>831</v>
      </c>
      <c r="O1005" s="42" t="s">
        <v>78</v>
      </c>
      <c r="P1005" s="43">
        <v>16</v>
      </c>
      <c r="Q1005" s="44">
        <v>20.40</v>
      </c>
      <c r="R1005" s="45" t="s">
        <v>969</v>
      </c>
      <c r="S1005" s="43">
        <v>41</v>
      </c>
      <c r="T1005" s="46">
        <v>36</v>
      </c>
      <c r="U1005" s="40">
        <v>6</v>
      </c>
      <c r="V1005" s="47">
        <v>11749</v>
      </c>
      <c r="W1005" s="48">
        <v>2001</v>
      </c>
      <c r="X1005" s="40" t="s">
        <v>2</v>
      </c>
      <c r="Y1005" s="53" t="s">
        <v>1082</v>
      </c>
      <c r="Z1005" s="40" t="s">
        <v>910</v>
      </c>
      <c r="AA1005" s="49">
        <f t="shared" si="142"/>
        <v>0</v>
      </c>
      <c r="AB1005" s="71">
        <f t="shared" si="143"/>
        <v>0.59</v>
      </c>
      <c r="AC1005" s="49">
        <f t="shared" si="144"/>
        <v>0</v>
      </c>
      <c r="AD1005" s="50">
        <f t="shared" si="145"/>
        <v>0</v>
      </c>
      <c r="AE1005" s="50">
        <f t="shared" si="146"/>
        <v>0</v>
      </c>
      <c r="AF1005" s="50">
        <f t="shared" si="147"/>
        <v>0</v>
      </c>
      <c r="AG1005" s="199">
        <f t="shared" si="148"/>
        <v>0</v>
      </c>
      <c r="AH1005" s="187"/>
      <c r="AI1005" s="185" t="s">
        <v>1460</v>
      </c>
      <c r="AJ1005" s="185"/>
      <c r="AK1005" s="277">
        <f t="shared" si="141"/>
        <v>11749</v>
      </c>
      <c r="AL1005" s="25">
        <f>(SUMIFS('T1 2019 Pipeline Data Lagasco'!$O:$O,'T1 2019 Pipeline Data Lagasco'!$A:$A,'Dec 31 2018 OFFS'!$AI1005,'T1 2019 Pipeline Data Lagasco'!$Q:$Q,'Dec 31 2018 OFFS'!$AK1005,'T1 2019 Pipeline Data Lagasco'!$E:$E,'Dec 31 2018 OFFS'!$U1005,'T1 2019 Pipeline Data Lagasco'!$G:$G,'Dec 31 2018 OFFS'!$W1005))/(MAX(COUNTIFS('T1 2019 Pipeline Data Lagasco'!$A:$A,'Dec 31 2018 OFFS'!$AI1005,'T1 2019 Pipeline Data Lagasco'!$Q:$Q,'Dec 31 2018 OFFS'!$AK1005,'T1 2019 Pipeline Data Lagasco'!$E:$E,'Dec 31 2018 OFFS'!$U1005,'T1 2019 Pipeline Data Lagasco'!$G:$G,'Dec 31 2018 OFFS'!$W1005),1))</f>
        <v>0</v>
      </c>
      <c r="AM1005" s="274">
        <f t="shared" si="149"/>
        <v>0</v>
      </c>
    </row>
    <row r="1006" spans="1:39" ht="12.7">
      <c r="A1006" s="193" t="s">
        <v>909</v>
      </c>
      <c r="B1006" s="40" t="s">
        <v>917</v>
      </c>
      <c r="C1006" s="40" t="s">
        <v>921</v>
      </c>
      <c r="D1006" s="40" t="s">
        <v>791</v>
      </c>
      <c r="E1006" s="40" t="s">
        <v>783</v>
      </c>
      <c r="F1006" s="40" t="s">
        <v>1051</v>
      </c>
      <c r="G1006" s="41" t="s">
        <v>812</v>
      </c>
      <c r="H1006" s="42">
        <v>42</v>
      </c>
      <c r="I1006" s="43">
        <v>14</v>
      </c>
      <c r="J1006" s="44">
        <v>53.52</v>
      </c>
      <c r="K1006" s="45">
        <v>81</v>
      </c>
      <c r="L1006" s="43">
        <v>39</v>
      </c>
      <c r="M1006" s="46">
        <v>55.98</v>
      </c>
      <c r="N1006" s="40" t="s">
        <v>813</v>
      </c>
      <c r="O1006" s="42">
        <v>42</v>
      </c>
      <c r="P1006" s="43">
        <v>14</v>
      </c>
      <c r="Q1006" s="44">
        <v>16.88</v>
      </c>
      <c r="R1006" s="45">
        <v>81</v>
      </c>
      <c r="S1006" s="43">
        <v>32</v>
      </c>
      <c r="T1006" s="46">
        <v>14.89</v>
      </c>
      <c r="U1006" s="40">
        <v>4</v>
      </c>
      <c r="V1006" s="47">
        <v>34900.687965653997</v>
      </c>
      <c r="W1006" s="48">
        <v>1979</v>
      </c>
      <c r="X1006" s="40"/>
      <c r="Y1006" s="53" t="s">
        <v>1082</v>
      </c>
      <c r="Z1006" s="40" t="s">
        <v>910</v>
      </c>
      <c r="AA1006" s="49">
        <f t="shared" si="142"/>
        <v>0</v>
      </c>
      <c r="AB1006" s="71">
        <f t="shared" si="143"/>
        <v>0.80</v>
      </c>
      <c r="AC1006" s="49">
        <f t="shared" si="144"/>
        <v>0</v>
      </c>
      <c r="AD1006" s="50">
        <f t="shared" si="145"/>
        <v>0</v>
      </c>
      <c r="AE1006" s="50">
        <f t="shared" si="146"/>
        <v>0</v>
      </c>
      <c r="AF1006" s="50">
        <f t="shared" si="147"/>
        <v>0</v>
      </c>
      <c r="AG1006" s="199">
        <f t="shared" si="148"/>
        <v>0</v>
      </c>
      <c r="AH1006" s="187"/>
      <c r="AI1006" s="185" t="s">
        <v>1460</v>
      </c>
      <c r="AJ1006" s="185"/>
      <c r="AK1006" s="277">
        <f t="shared" si="141"/>
        <v>34900.69</v>
      </c>
      <c r="AL1006" s="25">
        <f>(SUMIFS('T1 2019 Pipeline Data Lagasco'!$O:$O,'T1 2019 Pipeline Data Lagasco'!$A:$A,'Dec 31 2018 OFFS'!$AI1006,'T1 2019 Pipeline Data Lagasco'!$Q:$Q,'Dec 31 2018 OFFS'!$AK1006,'T1 2019 Pipeline Data Lagasco'!$E:$E,'Dec 31 2018 OFFS'!$U1006,'T1 2019 Pipeline Data Lagasco'!$G:$G,'Dec 31 2018 OFFS'!$W1006))/(MAX(COUNTIFS('T1 2019 Pipeline Data Lagasco'!$A:$A,'Dec 31 2018 OFFS'!$AI1006,'T1 2019 Pipeline Data Lagasco'!$Q:$Q,'Dec 31 2018 OFFS'!$AK1006,'T1 2019 Pipeline Data Lagasco'!$E:$E,'Dec 31 2018 OFFS'!$U1006,'T1 2019 Pipeline Data Lagasco'!$G:$G,'Dec 31 2018 OFFS'!$W1006),1))</f>
        <v>0</v>
      </c>
      <c r="AM1006" s="274">
        <f t="shared" si="149"/>
        <v>0</v>
      </c>
    </row>
    <row r="1007" spans="1:39" ht="12.7">
      <c r="A1007" s="193" t="s">
        <v>909</v>
      </c>
      <c r="B1007" s="40" t="s">
        <v>917</v>
      </c>
      <c r="C1007" s="40" t="s">
        <v>921</v>
      </c>
      <c r="D1007" s="40" t="s">
        <v>791</v>
      </c>
      <c r="E1007" s="40" t="s">
        <v>783</v>
      </c>
      <c r="F1007" s="40"/>
      <c r="G1007" s="41" t="s">
        <v>812</v>
      </c>
      <c r="H1007" s="42">
        <v>42</v>
      </c>
      <c r="I1007" s="43">
        <v>14</v>
      </c>
      <c r="J1007" s="44">
        <v>53.52</v>
      </c>
      <c r="K1007" s="45">
        <v>81</v>
      </c>
      <c r="L1007" s="43">
        <v>39</v>
      </c>
      <c r="M1007" s="46">
        <v>55.98</v>
      </c>
      <c r="N1007" s="41" t="s">
        <v>814</v>
      </c>
      <c r="O1007" s="42">
        <v>42</v>
      </c>
      <c r="P1007" s="43">
        <v>13</v>
      </c>
      <c r="Q1007" s="44">
        <v>2.2200000000000002</v>
      </c>
      <c r="R1007" s="45">
        <v>81</v>
      </c>
      <c r="S1007" s="43">
        <v>36</v>
      </c>
      <c r="T1007" s="46">
        <v>33.06</v>
      </c>
      <c r="U1007" s="40">
        <v>4</v>
      </c>
      <c r="V1007" s="47">
        <v>18972.899713011997</v>
      </c>
      <c r="W1007" s="48">
        <v>1979</v>
      </c>
      <c r="X1007" s="40"/>
      <c r="Y1007" s="53" t="s">
        <v>1082</v>
      </c>
      <c r="Z1007" s="40" t="s">
        <v>910</v>
      </c>
      <c r="AA1007" s="49">
        <f t="shared" si="142"/>
        <v>501833.1974091673</v>
      </c>
      <c r="AB1007" s="71">
        <f t="shared" si="143"/>
        <v>0.80</v>
      </c>
      <c r="AC1007" s="49">
        <f t="shared" si="144"/>
        <v>100366.64</v>
      </c>
      <c r="AD1007" s="50">
        <f t="shared" si="145"/>
        <v>0</v>
      </c>
      <c r="AE1007" s="50">
        <f t="shared" si="146"/>
        <v>0</v>
      </c>
      <c r="AF1007" s="50">
        <f t="shared" si="147"/>
        <v>100366.64</v>
      </c>
      <c r="AG1007" s="199">
        <f t="shared" si="148"/>
        <v>100366</v>
      </c>
      <c r="AH1007" s="187"/>
      <c r="AI1007" s="185" t="s">
        <v>1460</v>
      </c>
      <c r="AJ1007" s="185"/>
      <c r="AK1007" s="277">
        <f t="shared" si="141"/>
        <v>18972.900000000001</v>
      </c>
      <c r="AL1007" s="25">
        <f>(SUMIFS('T1 2019 Pipeline Data Lagasco'!$O:$O,'T1 2019 Pipeline Data Lagasco'!$A:$A,'Dec 31 2018 OFFS'!$AI1007,'T1 2019 Pipeline Data Lagasco'!$Q:$Q,'Dec 31 2018 OFFS'!$AK1007,'T1 2019 Pipeline Data Lagasco'!$E:$E,'Dec 31 2018 OFFS'!$U1007,'T1 2019 Pipeline Data Lagasco'!$G:$G,'Dec 31 2018 OFFS'!$W1007))/(MAX(COUNTIFS('T1 2019 Pipeline Data Lagasco'!$A:$A,'Dec 31 2018 OFFS'!$AI1007,'T1 2019 Pipeline Data Lagasco'!$Q:$Q,'Dec 31 2018 OFFS'!$AK1007,'T1 2019 Pipeline Data Lagasco'!$E:$E,'Dec 31 2018 OFFS'!$U1007,'T1 2019 Pipeline Data Lagasco'!$G:$G,'Dec 31 2018 OFFS'!$W1007),1))</f>
        <v>100366</v>
      </c>
      <c r="AM1007" s="274">
        <f t="shared" si="149"/>
        <v>0</v>
      </c>
    </row>
    <row r="1008" spans="1:39" ht="12.7">
      <c r="A1008" s="193" t="s">
        <v>909</v>
      </c>
      <c r="B1008" s="40" t="s">
        <v>917</v>
      </c>
      <c r="C1008" s="40" t="s">
        <v>921</v>
      </c>
      <c r="D1008" s="40" t="s">
        <v>791</v>
      </c>
      <c r="E1008" s="40" t="s">
        <v>783</v>
      </c>
      <c r="F1008" s="40"/>
      <c r="G1008" s="41" t="s">
        <v>815</v>
      </c>
      <c r="H1008" s="42">
        <v>42</v>
      </c>
      <c r="I1008" s="43">
        <v>14</v>
      </c>
      <c r="J1008" s="44">
        <v>53.52</v>
      </c>
      <c r="K1008" s="45">
        <v>81</v>
      </c>
      <c r="L1008" s="43">
        <v>39</v>
      </c>
      <c r="M1008" s="46">
        <v>55.98</v>
      </c>
      <c r="N1008" s="40" t="s">
        <v>816</v>
      </c>
      <c r="O1008" s="42">
        <v>42</v>
      </c>
      <c r="P1008" s="43">
        <v>15</v>
      </c>
      <c r="Q1008" s="44">
        <v>0.42</v>
      </c>
      <c r="R1008" s="45">
        <v>81</v>
      </c>
      <c r="S1008" s="43">
        <v>40</v>
      </c>
      <c r="T1008" s="46">
        <v>40.74</v>
      </c>
      <c r="U1008" s="40">
        <v>4</v>
      </c>
      <c r="V1008" s="47">
        <v>3438.0904516139999</v>
      </c>
      <c r="W1008" s="48">
        <v>1978</v>
      </c>
      <c r="X1008" s="40"/>
      <c r="Y1008" s="53" t="s">
        <v>1082</v>
      </c>
      <c r="Z1008" s="40" t="s">
        <v>910</v>
      </c>
      <c r="AA1008" s="49">
        <f t="shared" si="142"/>
        <v>90937.492445190292</v>
      </c>
      <c r="AB1008" s="71">
        <f t="shared" si="143"/>
        <v>0.80</v>
      </c>
      <c r="AC1008" s="49">
        <f t="shared" si="144"/>
        <v>18187.50</v>
      </c>
      <c r="AD1008" s="50">
        <f t="shared" si="145"/>
        <v>0</v>
      </c>
      <c r="AE1008" s="50">
        <f t="shared" si="146"/>
        <v>0</v>
      </c>
      <c r="AF1008" s="50">
        <f t="shared" si="147"/>
        <v>18187.50</v>
      </c>
      <c r="AG1008" s="199">
        <f t="shared" si="148"/>
        <v>18187</v>
      </c>
      <c r="AH1008" s="187"/>
      <c r="AI1008" s="185" t="s">
        <v>1460</v>
      </c>
      <c r="AJ1008" s="185"/>
      <c r="AK1008" s="277">
        <f t="shared" si="141"/>
        <v>3438.09</v>
      </c>
      <c r="AL1008" s="25">
        <f>(SUMIFS('T1 2019 Pipeline Data Lagasco'!$O:$O,'T1 2019 Pipeline Data Lagasco'!$A:$A,'Dec 31 2018 OFFS'!$AI1008,'T1 2019 Pipeline Data Lagasco'!$Q:$Q,'Dec 31 2018 OFFS'!$AK1008,'T1 2019 Pipeline Data Lagasco'!$E:$E,'Dec 31 2018 OFFS'!$U1008,'T1 2019 Pipeline Data Lagasco'!$G:$G,'Dec 31 2018 OFFS'!$W1008))/(MAX(COUNTIFS('T1 2019 Pipeline Data Lagasco'!$A:$A,'Dec 31 2018 OFFS'!$AI1008,'T1 2019 Pipeline Data Lagasco'!$Q:$Q,'Dec 31 2018 OFFS'!$AK1008,'T1 2019 Pipeline Data Lagasco'!$E:$E,'Dec 31 2018 OFFS'!$U1008,'T1 2019 Pipeline Data Lagasco'!$G:$G,'Dec 31 2018 OFFS'!$W1008),1))</f>
        <v>18187</v>
      </c>
      <c r="AM1008" s="274">
        <f t="shared" si="149"/>
        <v>0</v>
      </c>
    </row>
    <row r="1009" spans="1:39" ht="12.7">
      <c r="A1009" s="193" t="s">
        <v>909</v>
      </c>
      <c r="B1009" s="40" t="s">
        <v>917</v>
      </c>
      <c r="C1009" s="40" t="s">
        <v>921</v>
      </c>
      <c r="D1009" s="40" t="s">
        <v>791</v>
      </c>
      <c r="E1009" s="40" t="s">
        <v>783</v>
      </c>
      <c r="F1009" s="40"/>
      <c r="G1009" s="41" t="s">
        <v>815</v>
      </c>
      <c r="H1009" s="42">
        <v>42</v>
      </c>
      <c r="I1009" s="43">
        <v>14</v>
      </c>
      <c r="J1009" s="44">
        <v>53.52</v>
      </c>
      <c r="K1009" s="45">
        <v>81</v>
      </c>
      <c r="L1009" s="43">
        <v>39</v>
      </c>
      <c r="M1009" s="46">
        <v>55.98</v>
      </c>
      <c r="N1009" s="40" t="s">
        <v>817</v>
      </c>
      <c r="O1009" s="42">
        <v>42</v>
      </c>
      <c r="P1009" s="43">
        <v>14</v>
      </c>
      <c r="Q1009" s="44">
        <v>11.40</v>
      </c>
      <c r="R1009" s="45">
        <v>81</v>
      </c>
      <c r="S1009" s="43">
        <v>40</v>
      </c>
      <c r="T1009" s="46">
        <v>4.92</v>
      </c>
      <c r="U1009" s="40">
        <v>4</v>
      </c>
      <c r="V1009" s="47">
        <v>4316.4696912680001</v>
      </c>
      <c r="W1009" s="48">
        <v>1978</v>
      </c>
      <c r="X1009" s="40"/>
      <c r="Y1009" s="53" t="s">
        <v>1082</v>
      </c>
      <c r="Z1009" s="40" t="s">
        <v>910</v>
      </c>
      <c r="AA1009" s="49">
        <f t="shared" si="142"/>
        <v>114170.6233340386</v>
      </c>
      <c r="AB1009" s="71">
        <f t="shared" si="143"/>
        <v>0.80</v>
      </c>
      <c r="AC1009" s="49">
        <f t="shared" si="144"/>
        <v>22834.12</v>
      </c>
      <c r="AD1009" s="50">
        <f t="shared" si="145"/>
        <v>0</v>
      </c>
      <c r="AE1009" s="50">
        <f t="shared" si="146"/>
        <v>0</v>
      </c>
      <c r="AF1009" s="50">
        <f t="shared" si="147"/>
        <v>22834.12</v>
      </c>
      <c r="AG1009" s="199">
        <f t="shared" si="148"/>
        <v>22834</v>
      </c>
      <c r="AH1009" s="187"/>
      <c r="AI1009" s="185" t="s">
        <v>1460</v>
      </c>
      <c r="AJ1009" s="185"/>
      <c r="AK1009" s="277">
        <f t="shared" si="141"/>
        <v>4316.47</v>
      </c>
      <c r="AL1009" s="25">
        <f>(SUMIFS('T1 2019 Pipeline Data Lagasco'!$O:$O,'T1 2019 Pipeline Data Lagasco'!$A:$A,'Dec 31 2018 OFFS'!$AI1009,'T1 2019 Pipeline Data Lagasco'!$Q:$Q,'Dec 31 2018 OFFS'!$AK1009,'T1 2019 Pipeline Data Lagasco'!$E:$E,'Dec 31 2018 OFFS'!$U1009,'T1 2019 Pipeline Data Lagasco'!$G:$G,'Dec 31 2018 OFFS'!$W1009))/(MAX(COUNTIFS('T1 2019 Pipeline Data Lagasco'!$A:$A,'Dec 31 2018 OFFS'!$AI1009,'T1 2019 Pipeline Data Lagasco'!$Q:$Q,'Dec 31 2018 OFFS'!$AK1009,'T1 2019 Pipeline Data Lagasco'!$E:$E,'Dec 31 2018 OFFS'!$U1009,'T1 2019 Pipeline Data Lagasco'!$G:$G,'Dec 31 2018 OFFS'!$W1009),1))</f>
        <v>22834</v>
      </c>
      <c r="AM1009" s="274">
        <f t="shared" si="149"/>
        <v>0</v>
      </c>
    </row>
    <row r="1010" spans="1:39" ht="12.7">
      <c r="A1010" s="193" t="s">
        <v>909</v>
      </c>
      <c r="B1010" s="40" t="s">
        <v>917</v>
      </c>
      <c r="C1010" s="40" t="s">
        <v>921</v>
      </c>
      <c r="D1010" s="40" t="s">
        <v>791</v>
      </c>
      <c r="E1010" s="40" t="s">
        <v>783</v>
      </c>
      <c r="F1010" s="40"/>
      <c r="G1010" s="41" t="s">
        <v>1180</v>
      </c>
      <c r="H1010" s="42">
        <v>42</v>
      </c>
      <c r="I1010" s="43">
        <v>14</v>
      </c>
      <c r="J1010" s="44">
        <v>16.739999999999998</v>
      </c>
      <c r="K1010" s="45">
        <v>81</v>
      </c>
      <c r="L1010" s="43">
        <v>39</v>
      </c>
      <c r="M1010" s="46">
        <v>39.42</v>
      </c>
      <c r="N1010" s="40" t="s">
        <v>817</v>
      </c>
      <c r="O1010" s="42">
        <v>42</v>
      </c>
      <c r="P1010" s="43">
        <v>14</v>
      </c>
      <c r="Q1010" s="44">
        <v>12.356</v>
      </c>
      <c r="R1010" s="45">
        <v>81</v>
      </c>
      <c r="S1010" s="43">
        <v>40</v>
      </c>
      <c r="T1010" s="46">
        <v>2.8359999999999999</v>
      </c>
      <c r="U1010" s="40">
        <v>3</v>
      </c>
      <c r="V1010" s="47">
        <v>1980</v>
      </c>
      <c r="W1010" s="48">
        <v>2003</v>
      </c>
      <c r="X1010" s="40"/>
      <c r="Y1010" s="53" t="s">
        <v>1082</v>
      </c>
      <c r="Z1010" s="40" t="s">
        <v>910</v>
      </c>
      <c r="AA1010" s="49">
        <f t="shared" si="142"/>
        <v>46708.20</v>
      </c>
      <c r="AB1010" s="71">
        <f t="shared" si="143"/>
        <v>0.56999999999999995</v>
      </c>
      <c r="AC1010" s="49">
        <f t="shared" si="144"/>
        <v>20084.53</v>
      </c>
      <c r="AD1010" s="50">
        <f t="shared" si="145"/>
        <v>0</v>
      </c>
      <c r="AE1010" s="50">
        <f t="shared" si="146"/>
        <v>0</v>
      </c>
      <c r="AF1010" s="50">
        <f t="shared" si="147"/>
        <v>20084.53</v>
      </c>
      <c r="AG1010" s="199">
        <f t="shared" si="148"/>
        <v>20084</v>
      </c>
      <c r="AH1010" s="187"/>
      <c r="AI1010" s="185" t="s">
        <v>1460</v>
      </c>
      <c r="AJ1010" s="185"/>
      <c r="AK1010" s="277">
        <f t="shared" si="141"/>
        <v>1980</v>
      </c>
      <c r="AL1010" s="25">
        <f>(SUMIFS('T1 2019 Pipeline Data Lagasco'!$O:$O,'T1 2019 Pipeline Data Lagasco'!$A:$A,'Dec 31 2018 OFFS'!$AI1010,'T1 2019 Pipeline Data Lagasco'!$Q:$Q,'Dec 31 2018 OFFS'!$AK1010,'T1 2019 Pipeline Data Lagasco'!$E:$E,'Dec 31 2018 OFFS'!$U1010,'T1 2019 Pipeline Data Lagasco'!$G:$G,'Dec 31 2018 OFFS'!$W1010))/(MAX(COUNTIFS('T1 2019 Pipeline Data Lagasco'!$A:$A,'Dec 31 2018 OFFS'!$AI1010,'T1 2019 Pipeline Data Lagasco'!$Q:$Q,'Dec 31 2018 OFFS'!$AK1010,'T1 2019 Pipeline Data Lagasco'!$E:$E,'Dec 31 2018 OFFS'!$U1010,'T1 2019 Pipeline Data Lagasco'!$G:$G,'Dec 31 2018 OFFS'!$W1010),1))</f>
        <v>20084</v>
      </c>
      <c r="AM1010" s="274">
        <f t="shared" si="149"/>
        <v>0</v>
      </c>
    </row>
    <row r="1011" spans="1:39" ht="12.7">
      <c r="A1011" s="193" t="s">
        <v>909</v>
      </c>
      <c r="B1011" s="40" t="s">
        <v>917</v>
      </c>
      <c r="C1011" s="40" t="s">
        <v>921</v>
      </c>
      <c r="D1011" s="40" t="s">
        <v>791</v>
      </c>
      <c r="E1011" s="40" t="s">
        <v>783</v>
      </c>
      <c r="F1011" s="40"/>
      <c r="G1011" s="41" t="s">
        <v>818</v>
      </c>
      <c r="H1011" s="42">
        <v>42</v>
      </c>
      <c r="I1011" s="43">
        <v>13</v>
      </c>
      <c r="J1011" s="44">
        <v>59.04</v>
      </c>
      <c r="K1011" s="45">
        <v>81</v>
      </c>
      <c r="L1011" s="43">
        <v>38</v>
      </c>
      <c r="M1011" s="46">
        <v>35.159999999999997</v>
      </c>
      <c r="N1011" s="40" t="s">
        <v>794</v>
      </c>
      <c r="O1011" s="42">
        <v>42</v>
      </c>
      <c r="P1011" s="43">
        <v>12</v>
      </c>
      <c r="Q1011" s="44">
        <v>5.64</v>
      </c>
      <c r="R1011" s="45">
        <v>81</v>
      </c>
      <c r="S1011" s="43">
        <v>36</v>
      </c>
      <c r="T1011" s="46">
        <v>16.68</v>
      </c>
      <c r="U1011" s="40">
        <v>4</v>
      </c>
      <c r="V1011" s="47">
        <v>15503.346007716</v>
      </c>
      <c r="W1011" s="48">
        <v>1978</v>
      </c>
      <c r="X1011" s="40"/>
      <c r="Y1011" s="53" t="s">
        <v>1082</v>
      </c>
      <c r="Z1011" s="40" t="s">
        <v>910</v>
      </c>
      <c r="AA1011" s="49">
        <f t="shared" si="142"/>
        <v>410063.50190408819</v>
      </c>
      <c r="AB1011" s="71">
        <f t="shared" si="143"/>
        <v>0.80</v>
      </c>
      <c r="AC1011" s="49">
        <f t="shared" si="144"/>
        <v>82012.70</v>
      </c>
      <c r="AD1011" s="50">
        <f t="shared" si="145"/>
        <v>0</v>
      </c>
      <c r="AE1011" s="50">
        <f t="shared" si="146"/>
        <v>0</v>
      </c>
      <c r="AF1011" s="50">
        <f t="shared" si="147"/>
        <v>82012.70</v>
      </c>
      <c r="AG1011" s="199">
        <f t="shared" si="148"/>
        <v>82012</v>
      </c>
      <c r="AH1011" s="187"/>
      <c r="AI1011" s="185" t="s">
        <v>1460</v>
      </c>
      <c r="AJ1011" s="185"/>
      <c r="AK1011" s="277">
        <f t="shared" si="141"/>
        <v>15503.35</v>
      </c>
      <c r="AL1011" s="25">
        <f>(SUMIFS('T1 2019 Pipeline Data Lagasco'!$O:$O,'T1 2019 Pipeline Data Lagasco'!$A:$A,'Dec 31 2018 OFFS'!$AI1011,'T1 2019 Pipeline Data Lagasco'!$Q:$Q,'Dec 31 2018 OFFS'!$AK1011,'T1 2019 Pipeline Data Lagasco'!$E:$E,'Dec 31 2018 OFFS'!$U1011,'T1 2019 Pipeline Data Lagasco'!$G:$G,'Dec 31 2018 OFFS'!$W1011))/(MAX(COUNTIFS('T1 2019 Pipeline Data Lagasco'!$A:$A,'Dec 31 2018 OFFS'!$AI1011,'T1 2019 Pipeline Data Lagasco'!$Q:$Q,'Dec 31 2018 OFFS'!$AK1011,'T1 2019 Pipeline Data Lagasco'!$E:$E,'Dec 31 2018 OFFS'!$U1011,'T1 2019 Pipeline Data Lagasco'!$G:$G,'Dec 31 2018 OFFS'!$W1011),1))</f>
        <v>82012</v>
      </c>
      <c r="AM1011" s="274">
        <f t="shared" si="149"/>
        <v>0</v>
      </c>
    </row>
    <row r="1012" spans="1:39" ht="12.7">
      <c r="A1012" s="200" t="s">
        <v>909</v>
      </c>
      <c r="B1012" s="201" t="s">
        <v>917</v>
      </c>
      <c r="C1012" s="201" t="s">
        <v>921</v>
      </c>
      <c r="D1012" s="201" t="s">
        <v>791</v>
      </c>
      <c r="E1012" s="201" t="s">
        <v>783</v>
      </c>
      <c r="F1012" s="202" t="s">
        <v>1051</v>
      </c>
      <c r="G1012" s="208" t="s">
        <v>814</v>
      </c>
      <c r="H1012" s="203">
        <v>42</v>
      </c>
      <c r="I1012" s="204">
        <v>13</v>
      </c>
      <c r="J1012" s="205">
        <v>2.2200000000000002</v>
      </c>
      <c r="K1012" s="206">
        <v>81</v>
      </c>
      <c r="L1012" s="204">
        <v>36</v>
      </c>
      <c r="M1012" s="207">
        <v>33.06</v>
      </c>
      <c r="N1012" s="201" t="s">
        <v>819</v>
      </c>
      <c r="O1012" s="203">
        <v>42</v>
      </c>
      <c r="P1012" s="204">
        <v>12</v>
      </c>
      <c r="Q1012" s="205">
        <v>55.573999999999998</v>
      </c>
      <c r="R1012" s="206">
        <v>81</v>
      </c>
      <c r="S1012" s="204">
        <v>36</v>
      </c>
      <c r="T1012" s="207">
        <v>44.646999999999998</v>
      </c>
      <c r="U1012" s="201">
        <v>4</v>
      </c>
      <c r="V1012" s="209">
        <v>1101.28</v>
      </c>
      <c r="W1012" s="210">
        <v>1978</v>
      </c>
      <c r="X1012" s="201"/>
      <c r="Y1012" s="53" t="s">
        <v>1082</v>
      </c>
      <c r="Z1012" s="201" t="s">
        <v>910</v>
      </c>
      <c r="AA1012" s="211">
        <f t="shared" si="142"/>
        <v>0</v>
      </c>
      <c r="AB1012" s="212">
        <f t="shared" si="143"/>
        <v>0.80</v>
      </c>
      <c r="AC1012" s="211">
        <f t="shared" si="144"/>
        <v>0</v>
      </c>
      <c r="AD1012" s="213">
        <f t="shared" si="145"/>
        <v>0</v>
      </c>
      <c r="AE1012" s="213">
        <f t="shared" si="146"/>
        <v>0</v>
      </c>
      <c r="AF1012" s="213">
        <f t="shared" si="147"/>
        <v>0</v>
      </c>
      <c r="AG1012" s="214">
        <f t="shared" si="148"/>
        <v>0</v>
      </c>
      <c r="AH1012" s="215"/>
      <c r="AI1012" s="216" t="s">
        <v>1460</v>
      </c>
      <c r="AJ1012" s="216" t="s">
        <v>1560</v>
      </c>
      <c r="AK1012" s="283">
        <f t="shared" si="141"/>
        <v>1101.28</v>
      </c>
      <c r="AL1012" s="25">
        <f>(SUMIFS('T1 2019 Pipeline Data Lagasco'!$O:$O,'T1 2019 Pipeline Data Lagasco'!$A:$A,'Dec 31 2018 OFFS'!$AI1012,'T1 2019 Pipeline Data Lagasco'!$Q:$Q,'Dec 31 2018 OFFS'!$AK1012,'T1 2019 Pipeline Data Lagasco'!$E:$E,'Dec 31 2018 OFFS'!$U1012,'T1 2019 Pipeline Data Lagasco'!$G:$G,'Dec 31 2018 OFFS'!$W1012))/(MAX(COUNTIFS('T1 2019 Pipeline Data Lagasco'!$A:$A,'Dec 31 2018 OFFS'!$AI1012,'T1 2019 Pipeline Data Lagasco'!$Q:$Q,'Dec 31 2018 OFFS'!$AK1012,'T1 2019 Pipeline Data Lagasco'!$E:$E,'Dec 31 2018 OFFS'!$U1012,'T1 2019 Pipeline Data Lagasco'!$G:$G,'Dec 31 2018 OFFS'!$W1012),1))</f>
        <v>0</v>
      </c>
      <c r="AM1012" s="285">
        <f t="shared" si="149"/>
        <v>0</v>
      </c>
    </row>
    <row r="1013" spans="1:39" ht="12.7">
      <c r="A1013" s="193" t="s">
        <v>909</v>
      </c>
      <c r="B1013" s="40" t="s">
        <v>917</v>
      </c>
      <c r="C1013" s="40" t="s">
        <v>921</v>
      </c>
      <c r="D1013" s="40" t="s">
        <v>791</v>
      </c>
      <c r="E1013" s="40" t="s">
        <v>783</v>
      </c>
      <c r="F1013" s="40"/>
      <c r="G1013" s="41" t="s">
        <v>814</v>
      </c>
      <c r="H1013" s="42">
        <v>42</v>
      </c>
      <c r="I1013" s="43">
        <v>13</v>
      </c>
      <c r="J1013" s="44">
        <v>2.2200000000000002</v>
      </c>
      <c r="K1013" s="45">
        <v>81</v>
      </c>
      <c r="L1013" s="43">
        <v>36</v>
      </c>
      <c r="M1013" s="46">
        <v>33.06</v>
      </c>
      <c r="N1013" s="40" t="s">
        <v>820</v>
      </c>
      <c r="O1013" s="42">
        <v>42</v>
      </c>
      <c r="P1013" s="43">
        <v>12</v>
      </c>
      <c r="Q1013" s="44">
        <v>9.9600000000000009</v>
      </c>
      <c r="R1013" s="45">
        <v>81</v>
      </c>
      <c r="S1013" s="43">
        <v>35</v>
      </c>
      <c r="T1013" s="46">
        <v>54.96</v>
      </c>
      <c r="U1013" s="40">
        <v>4</v>
      </c>
      <c r="V1013" s="47">
        <v>6017.1914267919992</v>
      </c>
      <c r="W1013" s="48">
        <v>1978</v>
      </c>
      <c r="X1013" s="40"/>
      <c r="Y1013" s="53" t="s">
        <v>1082</v>
      </c>
      <c r="Z1013" s="40" t="s">
        <v>910</v>
      </c>
      <c r="AA1013" s="49">
        <f t="shared" si="142"/>
        <v>159154.71323864837</v>
      </c>
      <c r="AB1013" s="71">
        <f t="shared" si="143"/>
        <v>0.80</v>
      </c>
      <c r="AC1013" s="49">
        <f t="shared" si="144"/>
        <v>31830.94</v>
      </c>
      <c r="AD1013" s="50">
        <f t="shared" si="145"/>
        <v>0</v>
      </c>
      <c r="AE1013" s="50">
        <f t="shared" si="146"/>
        <v>0</v>
      </c>
      <c r="AF1013" s="50">
        <f t="shared" si="147"/>
        <v>31830.94</v>
      </c>
      <c r="AG1013" s="199">
        <f t="shared" si="148"/>
        <v>31830</v>
      </c>
      <c r="AH1013" s="187"/>
      <c r="AI1013" s="185" t="s">
        <v>1460</v>
      </c>
      <c r="AJ1013" s="185"/>
      <c r="AK1013" s="277">
        <f t="shared" si="141"/>
        <v>6017.19</v>
      </c>
      <c r="AL1013" s="25">
        <f>(SUMIFS('T1 2019 Pipeline Data Lagasco'!$O:$O,'T1 2019 Pipeline Data Lagasco'!$A:$A,'Dec 31 2018 OFFS'!$AI1013,'T1 2019 Pipeline Data Lagasco'!$Q:$Q,'Dec 31 2018 OFFS'!$AK1013,'T1 2019 Pipeline Data Lagasco'!$E:$E,'Dec 31 2018 OFFS'!$U1013,'T1 2019 Pipeline Data Lagasco'!$G:$G,'Dec 31 2018 OFFS'!$W1013))/(MAX(COUNTIFS('T1 2019 Pipeline Data Lagasco'!$A:$A,'Dec 31 2018 OFFS'!$AI1013,'T1 2019 Pipeline Data Lagasco'!$Q:$Q,'Dec 31 2018 OFFS'!$AK1013,'T1 2019 Pipeline Data Lagasco'!$E:$E,'Dec 31 2018 OFFS'!$U1013,'T1 2019 Pipeline Data Lagasco'!$G:$G,'Dec 31 2018 OFFS'!$W1013),1))</f>
        <v>31830</v>
      </c>
      <c r="AM1013" s="274">
        <f t="shared" si="149"/>
        <v>0</v>
      </c>
    </row>
    <row r="1014" spans="1:39" ht="12.7">
      <c r="A1014" s="193" t="s">
        <v>909</v>
      </c>
      <c r="B1014" s="40" t="s">
        <v>917</v>
      </c>
      <c r="C1014" s="40" t="s">
        <v>921</v>
      </c>
      <c r="D1014" s="40" t="s">
        <v>791</v>
      </c>
      <c r="E1014" s="40" t="s">
        <v>783</v>
      </c>
      <c r="F1014" s="40"/>
      <c r="G1014" s="41" t="s">
        <v>1138</v>
      </c>
      <c r="H1014" s="42" t="s">
        <v>78</v>
      </c>
      <c r="I1014" s="43">
        <v>13</v>
      </c>
      <c r="J1014" s="44">
        <v>26.82</v>
      </c>
      <c r="K1014" s="45" t="s">
        <v>969</v>
      </c>
      <c r="L1014" s="43">
        <v>36</v>
      </c>
      <c r="M1014" s="46">
        <v>3.72</v>
      </c>
      <c r="N1014" s="41" t="s">
        <v>1139</v>
      </c>
      <c r="O1014" s="42" t="s">
        <v>78</v>
      </c>
      <c r="P1014" s="43">
        <v>14</v>
      </c>
      <c r="Q1014" s="44">
        <v>22.92</v>
      </c>
      <c r="R1014" s="45" t="s">
        <v>969</v>
      </c>
      <c r="S1014" s="43">
        <v>38</v>
      </c>
      <c r="T1014" s="46">
        <v>39.96</v>
      </c>
      <c r="U1014" s="40">
        <v>6</v>
      </c>
      <c r="V1014" s="47">
        <v>13136</v>
      </c>
      <c r="W1014" s="48">
        <v>2001</v>
      </c>
      <c r="X1014" s="40" t="s">
        <v>2</v>
      </c>
      <c r="Y1014" s="53" t="s">
        <v>1082</v>
      </c>
      <c r="Z1014" s="40" t="s">
        <v>910</v>
      </c>
      <c r="AA1014" s="49">
        <f t="shared" si="142"/>
        <v>454899.68000000005</v>
      </c>
      <c r="AB1014" s="71">
        <f t="shared" si="143"/>
        <v>0.59</v>
      </c>
      <c r="AC1014" s="49">
        <f t="shared" si="144"/>
        <v>186508.87</v>
      </c>
      <c r="AD1014" s="50">
        <f t="shared" si="145"/>
        <v>46627.217499999999</v>
      </c>
      <c r="AE1014" s="50">
        <f t="shared" si="146"/>
        <v>0</v>
      </c>
      <c r="AF1014" s="50">
        <f t="shared" si="147"/>
        <v>139881.6525</v>
      </c>
      <c r="AG1014" s="199">
        <f t="shared" si="148"/>
        <v>139881</v>
      </c>
      <c r="AH1014" s="187"/>
      <c r="AI1014" s="185" t="s">
        <v>1460</v>
      </c>
      <c r="AJ1014" s="185"/>
      <c r="AK1014" s="277">
        <f t="shared" si="141"/>
        <v>13136</v>
      </c>
      <c r="AL1014" s="25">
        <f>(SUMIFS('T1 2019 Pipeline Data Lagasco'!$O:$O,'T1 2019 Pipeline Data Lagasco'!$A:$A,'Dec 31 2018 OFFS'!$AI1014,'T1 2019 Pipeline Data Lagasco'!$Q:$Q,'Dec 31 2018 OFFS'!$AK1014,'T1 2019 Pipeline Data Lagasco'!$E:$E,'Dec 31 2018 OFFS'!$U1014,'T1 2019 Pipeline Data Lagasco'!$G:$G,'Dec 31 2018 OFFS'!$W1014))/(MAX(COUNTIFS('T1 2019 Pipeline Data Lagasco'!$A:$A,'Dec 31 2018 OFFS'!$AI1014,'T1 2019 Pipeline Data Lagasco'!$Q:$Q,'Dec 31 2018 OFFS'!$AK1014,'T1 2019 Pipeline Data Lagasco'!$E:$E,'Dec 31 2018 OFFS'!$U1014,'T1 2019 Pipeline Data Lagasco'!$G:$G,'Dec 31 2018 OFFS'!$W1014),1))</f>
        <v>139881</v>
      </c>
      <c r="AM1014" s="274">
        <f t="shared" si="149"/>
        <v>0</v>
      </c>
    </row>
    <row r="1015" spans="1:39" ht="12.7">
      <c r="A1015" s="193" t="s">
        <v>909</v>
      </c>
      <c r="B1015" s="40" t="s">
        <v>917</v>
      </c>
      <c r="C1015" s="40" t="s">
        <v>921</v>
      </c>
      <c r="D1015" s="40" t="s">
        <v>791</v>
      </c>
      <c r="E1015" s="40" t="s">
        <v>783</v>
      </c>
      <c r="F1015" s="40"/>
      <c r="G1015" s="41" t="s">
        <v>821</v>
      </c>
      <c r="H1015" s="42">
        <v>42</v>
      </c>
      <c r="I1015" s="43">
        <v>12</v>
      </c>
      <c r="J1015" s="44">
        <v>53.10</v>
      </c>
      <c r="K1015" s="45">
        <v>81</v>
      </c>
      <c r="L1015" s="43">
        <v>35</v>
      </c>
      <c r="M1015" s="46">
        <v>7.26</v>
      </c>
      <c r="N1015" s="40" t="s">
        <v>806</v>
      </c>
      <c r="O1015" s="42">
        <v>42</v>
      </c>
      <c r="P1015" s="43">
        <v>12</v>
      </c>
      <c r="Q1015" s="44">
        <v>36.119999999999997</v>
      </c>
      <c r="R1015" s="45">
        <v>81</v>
      </c>
      <c r="S1015" s="43">
        <v>34</v>
      </c>
      <c r="T1015" s="46">
        <v>17.88</v>
      </c>
      <c r="U1015" s="40">
        <v>4</v>
      </c>
      <c r="V1015" s="47">
        <v>4094.2584116140001</v>
      </c>
      <c r="W1015" s="48">
        <v>1978</v>
      </c>
      <c r="X1015" s="40"/>
      <c r="Y1015" s="53" t="s">
        <v>1082</v>
      </c>
      <c r="Z1015" s="40" t="s">
        <v>910</v>
      </c>
      <c r="AA1015" s="49">
        <f t="shared" si="142"/>
        <v>108293.13498719031</v>
      </c>
      <c r="AB1015" s="71">
        <f t="shared" si="143"/>
        <v>0.80</v>
      </c>
      <c r="AC1015" s="49">
        <f t="shared" si="144"/>
        <v>21658.63</v>
      </c>
      <c r="AD1015" s="50">
        <f t="shared" si="145"/>
        <v>0</v>
      </c>
      <c r="AE1015" s="50">
        <f t="shared" si="146"/>
        <v>0</v>
      </c>
      <c r="AF1015" s="50">
        <f t="shared" si="147"/>
        <v>21658.63</v>
      </c>
      <c r="AG1015" s="199">
        <f t="shared" si="148"/>
        <v>21658</v>
      </c>
      <c r="AH1015" s="187"/>
      <c r="AI1015" s="185" t="s">
        <v>1460</v>
      </c>
      <c r="AJ1015" s="185"/>
      <c r="AK1015" s="277">
        <f t="shared" si="141"/>
        <v>4094.26</v>
      </c>
      <c r="AL1015" s="25">
        <f>(SUMIFS('T1 2019 Pipeline Data Lagasco'!$O:$O,'T1 2019 Pipeline Data Lagasco'!$A:$A,'Dec 31 2018 OFFS'!$AI1015,'T1 2019 Pipeline Data Lagasco'!$Q:$Q,'Dec 31 2018 OFFS'!$AK1015,'T1 2019 Pipeline Data Lagasco'!$E:$E,'Dec 31 2018 OFFS'!$U1015,'T1 2019 Pipeline Data Lagasco'!$G:$G,'Dec 31 2018 OFFS'!$W1015))/(MAX(COUNTIFS('T1 2019 Pipeline Data Lagasco'!$A:$A,'Dec 31 2018 OFFS'!$AI1015,'T1 2019 Pipeline Data Lagasco'!$Q:$Q,'Dec 31 2018 OFFS'!$AK1015,'T1 2019 Pipeline Data Lagasco'!$E:$E,'Dec 31 2018 OFFS'!$U1015,'T1 2019 Pipeline Data Lagasco'!$G:$G,'Dec 31 2018 OFFS'!$W1015),1))</f>
        <v>21658</v>
      </c>
      <c r="AM1015" s="274">
        <f t="shared" si="149"/>
        <v>0</v>
      </c>
    </row>
    <row r="1016" spans="1:39" ht="12.7">
      <c r="A1016" s="193" t="s">
        <v>909</v>
      </c>
      <c r="B1016" s="40" t="s">
        <v>917</v>
      </c>
      <c r="C1016" s="40" t="s">
        <v>921</v>
      </c>
      <c r="D1016" s="40" t="s">
        <v>791</v>
      </c>
      <c r="E1016" s="40" t="s">
        <v>783</v>
      </c>
      <c r="F1016" s="40"/>
      <c r="G1016" s="41" t="s">
        <v>820</v>
      </c>
      <c r="H1016" s="42">
        <v>42</v>
      </c>
      <c r="I1016" s="43">
        <v>12</v>
      </c>
      <c r="J1016" s="44">
        <v>9.9600000000000009</v>
      </c>
      <c r="K1016" s="45">
        <v>81</v>
      </c>
      <c r="L1016" s="43">
        <v>35</v>
      </c>
      <c r="M1016" s="46">
        <v>54.96</v>
      </c>
      <c r="N1016" s="40" t="s">
        <v>821</v>
      </c>
      <c r="O1016" s="42">
        <v>42</v>
      </c>
      <c r="P1016" s="43">
        <v>12</v>
      </c>
      <c r="Q1016" s="44">
        <v>53.10</v>
      </c>
      <c r="R1016" s="45">
        <v>81</v>
      </c>
      <c r="S1016" s="43">
        <v>35</v>
      </c>
      <c r="T1016" s="46">
        <v>7.26</v>
      </c>
      <c r="U1016" s="40">
        <v>4</v>
      </c>
      <c r="V1016" s="47">
        <v>5653.0182089919999</v>
      </c>
      <c r="W1016" s="48">
        <v>1978</v>
      </c>
      <c r="X1016" s="40"/>
      <c r="Y1016" s="53" t="s">
        <v>1082</v>
      </c>
      <c r="Z1016" s="40" t="s">
        <v>910</v>
      </c>
      <c r="AA1016" s="49">
        <f t="shared" si="142"/>
        <v>149522.3316278384</v>
      </c>
      <c r="AB1016" s="71">
        <f t="shared" si="143"/>
        <v>0.80</v>
      </c>
      <c r="AC1016" s="49">
        <f t="shared" si="144"/>
        <v>29904.47</v>
      </c>
      <c r="AD1016" s="50">
        <f t="shared" si="145"/>
        <v>0</v>
      </c>
      <c r="AE1016" s="50">
        <f t="shared" si="146"/>
        <v>0</v>
      </c>
      <c r="AF1016" s="50">
        <f t="shared" si="147"/>
        <v>29904.47</v>
      </c>
      <c r="AG1016" s="199">
        <f t="shared" si="148"/>
        <v>29904</v>
      </c>
      <c r="AH1016" s="187"/>
      <c r="AI1016" s="185" t="s">
        <v>1460</v>
      </c>
      <c r="AJ1016" s="185"/>
      <c r="AK1016" s="277">
        <f t="shared" si="141"/>
        <v>5653.02</v>
      </c>
      <c r="AL1016" s="25">
        <f>(SUMIFS('T1 2019 Pipeline Data Lagasco'!$O:$O,'T1 2019 Pipeline Data Lagasco'!$A:$A,'Dec 31 2018 OFFS'!$AI1016,'T1 2019 Pipeline Data Lagasco'!$Q:$Q,'Dec 31 2018 OFFS'!$AK1016,'T1 2019 Pipeline Data Lagasco'!$E:$E,'Dec 31 2018 OFFS'!$U1016,'T1 2019 Pipeline Data Lagasco'!$G:$G,'Dec 31 2018 OFFS'!$W1016))/(MAX(COUNTIFS('T1 2019 Pipeline Data Lagasco'!$A:$A,'Dec 31 2018 OFFS'!$AI1016,'T1 2019 Pipeline Data Lagasco'!$Q:$Q,'Dec 31 2018 OFFS'!$AK1016,'T1 2019 Pipeline Data Lagasco'!$E:$E,'Dec 31 2018 OFFS'!$U1016,'T1 2019 Pipeline Data Lagasco'!$G:$G,'Dec 31 2018 OFFS'!$W1016),1))</f>
        <v>29904</v>
      </c>
      <c r="AM1016" s="274">
        <f t="shared" si="149"/>
        <v>0</v>
      </c>
    </row>
    <row r="1017" spans="1:39" ht="12.7">
      <c r="A1017" s="193" t="s">
        <v>909</v>
      </c>
      <c r="B1017" s="40" t="s">
        <v>917</v>
      </c>
      <c r="C1017" s="40" t="s">
        <v>921</v>
      </c>
      <c r="D1017" s="40" t="s">
        <v>791</v>
      </c>
      <c r="E1017" s="40" t="s">
        <v>783</v>
      </c>
      <c r="F1017" s="40"/>
      <c r="G1017" s="41" t="s">
        <v>794</v>
      </c>
      <c r="H1017" s="42">
        <v>42</v>
      </c>
      <c r="I1017" s="43">
        <v>12</v>
      </c>
      <c r="J1017" s="44">
        <v>5.64</v>
      </c>
      <c r="K1017" s="45">
        <v>81</v>
      </c>
      <c r="L1017" s="43">
        <v>36</v>
      </c>
      <c r="M1017" s="46">
        <v>16.68</v>
      </c>
      <c r="N1017" s="40" t="s">
        <v>795</v>
      </c>
      <c r="O1017" s="42">
        <v>42</v>
      </c>
      <c r="P1017" s="43">
        <v>12</v>
      </c>
      <c r="Q1017" s="44">
        <v>38.880000000000003</v>
      </c>
      <c r="R1017" s="45">
        <v>81</v>
      </c>
      <c r="S1017" s="43">
        <v>35</v>
      </c>
      <c r="T1017" s="46">
        <v>50.64</v>
      </c>
      <c r="U1017" s="40">
        <v>3</v>
      </c>
      <c r="V1017" s="47">
        <v>3893.9303334259994</v>
      </c>
      <c r="W1017" s="48">
        <v>1998</v>
      </c>
      <c r="X1017" s="40"/>
      <c r="Y1017" s="53" t="s">
        <v>1082</v>
      </c>
      <c r="Z1017" s="40" t="s">
        <v>910</v>
      </c>
      <c r="AA1017" s="49">
        <f t="shared" si="142"/>
        <v>91857.81656551933</v>
      </c>
      <c r="AB1017" s="71">
        <f t="shared" si="143"/>
        <v>0.63</v>
      </c>
      <c r="AC1017" s="49">
        <f t="shared" si="144"/>
        <v>33987.39</v>
      </c>
      <c r="AD1017" s="50">
        <f t="shared" si="145"/>
        <v>0</v>
      </c>
      <c r="AE1017" s="50">
        <f t="shared" si="146"/>
        <v>0</v>
      </c>
      <c r="AF1017" s="50">
        <f t="shared" si="147"/>
        <v>33987.39</v>
      </c>
      <c r="AG1017" s="199">
        <f t="shared" si="148"/>
        <v>33987</v>
      </c>
      <c r="AH1017" s="187"/>
      <c r="AI1017" s="185" t="s">
        <v>1460</v>
      </c>
      <c r="AJ1017" s="185"/>
      <c r="AK1017" s="277">
        <f t="shared" si="141"/>
        <v>3893.93</v>
      </c>
      <c r="AL1017" s="25">
        <f>(SUMIFS('T1 2019 Pipeline Data Lagasco'!$O:$O,'T1 2019 Pipeline Data Lagasco'!$A:$A,'Dec 31 2018 OFFS'!$AI1017,'T1 2019 Pipeline Data Lagasco'!$Q:$Q,'Dec 31 2018 OFFS'!$AK1017,'T1 2019 Pipeline Data Lagasco'!$E:$E,'Dec 31 2018 OFFS'!$U1017,'T1 2019 Pipeline Data Lagasco'!$G:$G,'Dec 31 2018 OFFS'!$W1017))/(MAX(COUNTIFS('T1 2019 Pipeline Data Lagasco'!$A:$A,'Dec 31 2018 OFFS'!$AI1017,'T1 2019 Pipeline Data Lagasco'!$Q:$Q,'Dec 31 2018 OFFS'!$AK1017,'T1 2019 Pipeline Data Lagasco'!$E:$E,'Dec 31 2018 OFFS'!$U1017,'T1 2019 Pipeline Data Lagasco'!$G:$G,'Dec 31 2018 OFFS'!$W1017),1))</f>
        <v>33987</v>
      </c>
      <c r="AM1017" s="274">
        <f t="shared" si="149"/>
        <v>0</v>
      </c>
    </row>
    <row r="1018" spans="1:39" ht="12.7">
      <c r="A1018" s="193" t="s">
        <v>909</v>
      </c>
      <c r="B1018" s="40" t="s">
        <v>917</v>
      </c>
      <c r="C1018" s="40" t="s">
        <v>921</v>
      </c>
      <c r="D1018" s="40" t="s">
        <v>791</v>
      </c>
      <c r="E1018" s="40" t="s">
        <v>783</v>
      </c>
      <c r="F1018" s="40"/>
      <c r="G1018" s="41" t="s">
        <v>794</v>
      </c>
      <c r="H1018" s="42">
        <v>42</v>
      </c>
      <c r="I1018" s="43">
        <v>12</v>
      </c>
      <c r="J1018" s="44">
        <v>5.64</v>
      </c>
      <c r="K1018" s="45">
        <v>81</v>
      </c>
      <c r="L1018" s="43">
        <v>36</v>
      </c>
      <c r="M1018" s="46">
        <v>16.68</v>
      </c>
      <c r="N1018" s="40" t="s">
        <v>822</v>
      </c>
      <c r="O1018" s="42">
        <v>42</v>
      </c>
      <c r="P1018" s="43">
        <v>11</v>
      </c>
      <c r="Q1018" s="44">
        <v>42.96</v>
      </c>
      <c r="R1018" s="45">
        <v>81</v>
      </c>
      <c r="S1018" s="43">
        <v>35</v>
      </c>
      <c r="T1018" s="46">
        <v>16.739999999999998</v>
      </c>
      <c r="U1018" s="40">
        <v>4</v>
      </c>
      <c r="V1018" s="47">
        <v>5062.1717694099998</v>
      </c>
      <c r="W1018" s="48">
        <v>1978</v>
      </c>
      <c r="X1018" s="40"/>
      <c r="Y1018" s="53" t="s">
        <v>1082</v>
      </c>
      <c r="Z1018" s="40" t="s">
        <v>910</v>
      </c>
      <c r="AA1018" s="49">
        <f t="shared" si="142"/>
        <v>133894.44330089449</v>
      </c>
      <c r="AB1018" s="71">
        <f t="shared" si="143"/>
        <v>0.80</v>
      </c>
      <c r="AC1018" s="49">
        <f t="shared" si="144"/>
        <v>26778.89</v>
      </c>
      <c r="AD1018" s="50">
        <f t="shared" si="145"/>
        <v>0</v>
      </c>
      <c r="AE1018" s="50">
        <f t="shared" si="146"/>
        <v>0</v>
      </c>
      <c r="AF1018" s="50">
        <f t="shared" si="147"/>
        <v>26778.89</v>
      </c>
      <c r="AG1018" s="199">
        <f t="shared" si="148"/>
        <v>26778</v>
      </c>
      <c r="AH1018" s="187"/>
      <c r="AI1018" s="185" t="s">
        <v>1460</v>
      </c>
      <c r="AJ1018" s="185"/>
      <c r="AK1018" s="277">
        <f t="shared" si="141"/>
        <v>5062.17</v>
      </c>
      <c r="AL1018" s="25">
        <f>(SUMIFS('T1 2019 Pipeline Data Lagasco'!$O:$O,'T1 2019 Pipeline Data Lagasco'!$A:$A,'Dec 31 2018 OFFS'!$AI1018,'T1 2019 Pipeline Data Lagasco'!$Q:$Q,'Dec 31 2018 OFFS'!$AK1018,'T1 2019 Pipeline Data Lagasco'!$E:$E,'Dec 31 2018 OFFS'!$U1018,'T1 2019 Pipeline Data Lagasco'!$G:$G,'Dec 31 2018 OFFS'!$W1018))/(MAX(COUNTIFS('T1 2019 Pipeline Data Lagasco'!$A:$A,'Dec 31 2018 OFFS'!$AI1018,'T1 2019 Pipeline Data Lagasco'!$Q:$Q,'Dec 31 2018 OFFS'!$AK1018,'T1 2019 Pipeline Data Lagasco'!$E:$E,'Dec 31 2018 OFFS'!$U1018,'T1 2019 Pipeline Data Lagasco'!$G:$G,'Dec 31 2018 OFFS'!$W1018),1))</f>
        <v>26778</v>
      </c>
      <c r="AM1018" s="274">
        <f t="shared" si="149"/>
        <v>0</v>
      </c>
    </row>
    <row r="1019" spans="1:39" ht="12.7">
      <c r="A1019" s="193" t="s">
        <v>909</v>
      </c>
      <c r="B1019" s="40" t="s">
        <v>917</v>
      </c>
      <c r="C1019" s="40" t="s">
        <v>921</v>
      </c>
      <c r="D1019" s="40" t="s">
        <v>791</v>
      </c>
      <c r="E1019" s="40" t="s">
        <v>783</v>
      </c>
      <c r="F1019" s="40"/>
      <c r="G1019" s="41" t="s">
        <v>822</v>
      </c>
      <c r="H1019" s="42">
        <v>42</v>
      </c>
      <c r="I1019" s="43">
        <v>11</v>
      </c>
      <c r="J1019" s="44">
        <v>42.96</v>
      </c>
      <c r="K1019" s="45">
        <v>81</v>
      </c>
      <c r="L1019" s="43">
        <v>35</v>
      </c>
      <c r="M1019" s="46">
        <v>16.739999999999998</v>
      </c>
      <c r="N1019" s="41" t="s">
        <v>807</v>
      </c>
      <c r="O1019" s="42">
        <v>42</v>
      </c>
      <c r="P1019" s="43">
        <v>11</v>
      </c>
      <c r="Q1019" s="44">
        <v>11.452</v>
      </c>
      <c r="R1019" s="45">
        <v>81</v>
      </c>
      <c r="S1019" s="43">
        <v>34</v>
      </c>
      <c r="T1019" s="46">
        <v>42.798000000000002</v>
      </c>
      <c r="U1019" s="40">
        <v>4</v>
      </c>
      <c r="V1019" s="47">
        <v>4086.7124800740003</v>
      </c>
      <c r="W1019" s="48">
        <v>1978</v>
      </c>
      <c r="X1019" s="40"/>
      <c r="Y1019" s="53" t="s">
        <v>1082</v>
      </c>
      <c r="Z1019" s="40" t="s">
        <v>910</v>
      </c>
      <c r="AA1019" s="49">
        <f t="shared" si="142"/>
        <v>108093.54509795731</v>
      </c>
      <c r="AB1019" s="71">
        <f t="shared" si="143"/>
        <v>0.80</v>
      </c>
      <c r="AC1019" s="49">
        <f t="shared" si="144"/>
        <v>21618.71</v>
      </c>
      <c r="AD1019" s="50">
        <f t="shared" si="145"/>
        <v>0</v>
      </c>
      <c r="AE1019" s="50">
        <f t="shared" si="146"/>
        <v>0</v>
      </c>
      <c r="AF1019" s="50">
        <f t="shared" si="147"/>
        <v>21618.71</v>
      </c>
      <c r="AG1019" s="199">
        <f t="shared" si="148"/>
        <v>21618</v>
      </c>
      <c r="AH1019" s="187"/>
      <c r="AI1019" s="185" t="s">
        <v>1460</v>
      </c>
      <c r="AJ1019" s="185"/>
      <c r="AK1019" s="277">
        <f t="shared" si="141"/>
        <v>4086.71</v>
      </c>
      <c r="AL1019" s="25">
        <f>(SUMIFS('T1 2019 Pipeline Data Lagasco'!$O:$O,'T1 2019 Pipeline Data Lagasco'!$A:$A,'Dec 31 2018 OFFS'!$AI1019,'T1 2019 Pipeline Data Lagasco'!$Q:$Q,'Dec 31 2018 OFFS'!$AK1019,'T1 2019 Pipeline Data Lagasco'!$E:$E,'Dec 31 2018 OFFS'!$U1019,'T1 2019 Pipeline Data Lagasco'!$G:$G,'Dec 31 2018 OFFS'!$W1019))/(MAX(COUNTIFS('T1 2019 Pipeline Data Lagasco'!$A:$A,'Dec 31 2018 OFFS'!$AI1019,'T1 2019 Pipeline Data Lagasco'!$Q:$Q,'Dec 31 2018 OFFS'!$AK1019,'T1 2019 Pipeline Data Lagasco'!$E:$E,'Dec 31 2018 OFFS'!$U1019,'T1 2019 Pipeline Data Lagasco'!$G:$G,'Dec 31 2018 OFFS'!$W1019),1))</f>
        <v>21618</v>
      </c>
      <c r="AM1019" s="274">
        <f t="shared" si="149"/>
        <v>0</v>
      </c>
    </row>
    <row r="1020" spans="1:39" ht="12.7">
      <c r="A1020" s="193" t="s">
        <v>909</v>
      </c>
      <c r="B1020" s="40" t="s">
        <v>917</v>
      </c>
      <c r="C1020" s="40" t="s">
        <v>921</v>
      </c>
      <c r="D1020" s="40" t="s">
        <v>791</v>
      </c>
      <c r="E1020" s="40" t="s">
        <v>783</v>
      </c>
      <c r="F1020" s="40"/>
      <c r="G1020" s="41" t="s">
        <v>817</v>
      </c>
      <c r="H1020" s="42">
        <v>42</v>
      </c>
      <c r="I1020" s="43">
        <v>14</v>
      </c>
      <c r="J1020" s="44">
        <v>11.40</v>
      </c>
      <c r="K1020" s="45">
        <v>81</v>
      </c>
      <c r="L1020" s="43">
        <v>40</v>
      </c>
      <c r="M1020" s="46">
        <v>4.92</v>
      </c>
      <c r="N1020" s="40" t="s">
        <v>818</v>
      </c>
      <c r="O1020" s="42">
        <v>42</v>
      </c>
      <c r="P1020" s="43">
        <v>13</v>
      </c>
      <c r="Q1020" s="44">
        <v>59.04</v>
      </c>
      <c r="R1020" s="45">
        <v>81</v>
      </c>
      <c r="S1020" s="43">
        <v>38</v>
      </c>
      <c r="T1020" s="46">
        <v>35.159999999999997</v>
      </c>
      <c r="U1020" s="40">
        <v>4</v>
      </c>
      <c r="V1020" s="47">
        <v>6867.2570189719991</v>
      </c>
      <c r="W1020" s="48">
        <v>1978</v>
      </c>
      <c r="X1020" s="40"/>
      <c r="Y1020" s="53" t="s">
        <v>1082</v>
      </c>
      <c r="Z1020" s="40" t="s">
        <v>910</v>
      </c>
      <c r="AA1020" s="49">
        <f t="shared" si="142"/>
        <v>181638.94815180937</v>
      </c>
      <c r="AB1020" s="71">
        <f t="shared" si="143"/>
        <v>0.80</v>
      </c>
      <c r="AC1020" s="49">
        <f t="shared" si="144"/>
        <v>36327.79</v>
      </c>
      <c r="AD1020" s="50">
        <f t="shared" si="145"/>
        <v>0</v>
      </c>
      <c r="AE1020" s="50">
        <f t="shared" si="146"/>
        <v>0</v>
      </c>
      <c r="AF1020" s="50">
        <f t="shared" si="147"/>
        <v>36327.79</v>
      </c>
      <c r="AG1020" s="199">
        <f t="shared" si="148"/>
        <v>36327</v>
      </c>
      <c r="AH1020" s="187"/>
      <c r="AI1020" s="185" t="s">
        <v>1460</v>
      </c>
      <c r="AJ1020" s="185"/>
      <c r="AK1020" s="277">
        <f t="shared" si="141"/>
        <v>6867.26</v>
      </c>
      <c r="AL1020" s="25">
        <f>(SUMIFS('T1 2019 Pipeline Data Lagasco'!$O:$O,'T1 2019 Pipeline Data Lagasco'!$A:$A,'Dec 31 2018 OFFS'!$AI1020,'T1 2019 Pipeline Data Lagasco'!$Q:$Q,'Dec 31 2018 OFFS'!$AK1020,'T1 2019 Pipeline Data Lagasco'!$E:$E,'Dec 31 2018 OFFS'!$U1020,'T1 2019 Pipeline Data Lagasco'!$G:$G,'Dec 31 2018 OFFS'!$W1020))/(MAX(COUNTIFS('T1 2019 Pipeline Data Lagasco'!$A:$A,'Dec 31 2018 OFFS'!$AI1020,'T1 2019 Pipeline Data Lagasco'!$Q:$Q,'Dec 31 2018 OFFS'!$AK1020,'T1 2019 Pipeline Data Lagasco'!$E:$E,'Dec 31 2018 OFFS'!$U1020,'T1 2019 Pipeline Data Lagasco'!$G:$G,'Dec 31 2018 OFFS'!$W1020),1))</f>
        <v>36327</v>
      </c>
      <c r="AM1020" s="274">
        <f t="shared" si="149"/>
        <v>0</v>
      </c>
    </row>
    <row r="1021" spans="1:39" ht="12.7">
      <c r="A1021" s="193" t="s">
        <v>909</v>
      </c>
      <c r="B1021" s="40" t="s">
        <v>917</v>
      </c>
      <c r="C1021" s="40" t="s">
        <v>921</v>
      </c>
      <c r="D1021" s="40" t="s">
        <v>791</v>
      </c>
      <c r="E1021" s="40" t="s">
        <v>783</v>
      </c>
      <c r="F1021" s="40"/>
      <c r="G1021" s="41" t="s">
        <v>790</v>
      </c>
      <c r="H1021" s="42">
        <v>42</v>
      </c>
      <c r="I1021" s="43">
        <v>9</v>
      </c>
      <c r="J1021" s="44">
        <v>24.239652</v>
      </c>
      <c r="K1021" s="45">
        <v>81</v>
      </c>
      <c r="L1021" s="43">
        <v>28</v>
      </c>
      <c r="M1021" s="46">
        <v>3.1598350000000002</v>
      </c>
      <c r="N1021" s="40" t="s">
        <v>798</v>
      </c>
      <c r="O1021" s="42">
        <v>42</v>
      </c>
      <c r="P1021" s="43">
        <v>8</v>
      </c>
      <c r="Q1021" s="44">
        <v>52.804594999999999</v>
      </c>
      <c r="R1021" s="45">
        <v>81</v>
      </c>
      <c r="S1021" s="43">
        <v>27</v>
      </c>
      <c r="T1021" s="46">
        <v>8.971069</v>
      </c>
      <c r="U1021" s="40">
        <v>4</v>
      </c>
      <c r="V1021" s="47">
        <v>5175.4263593059995</v>
      </c>
      <c r="W1021" s="48">
        <v>1991</v>
      </c>
      <c r="X1021" s="40"/>
      <c r="Y1021" s="53" t="s">
        <v>1082</v>
      </c>
      <c r="Z1021" s="40" t="s">
        <v>910</v>
      </c>
      <c r="AA1021" s="49">
        <f t="shared" si="142"/>
        <v>136890.02720364369</v>
      </c>
      <c r="AB1021" s="71">
        <f t="shared" si="143"/>
        <v>0.72</v>
      </c>
      <c r="AC1021" s="49">
        <f t="shared" si="144"/>
        <v>38329.21</v>
      </c>
      <c r="AD1021" s="50">
        <f t="shared" si="145"/>
        <v>0</v>
      </c>
      <c r="AE1021" s="50">
        <f t="shared" si="146"/>
        <v>0</v>
      </c>
      <c r="AF1021" s="50">
        <f t="shared" si="147"/>
        <v>38329.21</v>
      </c>
      <c r="AG1021" s="199">
        <f t="shared" si="148"/>
        <v>38329</v>
      </c>
      <c r="AH1021" s="187"/>
      <c r="AI1021" s="185" t="s">
        <v>1460</v>
      </c>
      <c r="AJ1021" s="185"/>
      <c r="AK1021" s="277">
        <f t="shared" si="141"/>
        <v>5175.43</v>
      </c>
      <c r="AL1021" s="25">
        <f>(SUMIFS('T1 2019 Pipeline Data Lagasco'!$O:$O,'T1 2019 Pipeline Data Lagasco'!$A:$A,'Dec 31 2018 OFFS'!$AI1021,'T1 2019 Pipeline Data Lagasco'!$Q:$Q,'Dec 31 2018 OFFS'!$AK1021,'T1 2019 Pipeline Data Lagasco'!$E:$E,'Dec 31 2018 OFFS'!$U1021,'T1 2019 Pipeline Data Lagasco'!$G:$G,'Dec 31 2018 OFFS'!$W1021))/(MAX(COUNTIFS('T1 2019 Pipeline Data Lagasco'!$A:$A,'Dec 31 2018 OFFS'!$AI1021,'T1 2019 Pipeline Data Lagasco'!$Q:$Q,'Dec 31 2018 OFFS'!$AK1021,'T1 2019 Pipeline Data Lagasco'!$E:$E,'Dec 31 2018 OFFS'!$U1021,'T1 2019 Pipeline Data Lagasco'!$G:$G,'Dec 31 2018 OFFS'!$W1021),1))</f>
        <v>38329</v>
      </c>
      <c r="AM1021" s="274">
        <f t="shared" si="149"/>
        <v>0</v>
      </c>
    </row>
    <row r="1022" spans="1:39" ht="12.7">
      <c r="A1022" s="193" t="s">
        <v>909</v>
      </c>
      <c r="B1022" s="40" t="s">
        <v>917</v>
      </c>
      <c r="C1022" s="40" t="s">
        <v>921</v>
      </c>
      <c r="D1022" s="40" t="s">
        <v>791</v>
      </c>
      <c r="E1022" s="40" t="s">
        <v>783</v>
      </c>
      <c r="F1022" s="40"/>
      <c r="G1022" s="41" t="s">
        <v>796</v>
      </c>
      <c r="H1022" s="42">
        <v>42</v>
      </c>
      <c r="I1022" s="43">
        <v>9</v>
      </c>
      <c r="J1022" s="44">
        <v>44.34</v>
      </c>
      <c r="K1022" s="45">
        <v>81</v>
      </c>
      <c r="L1022" s="43">
        <v>29</v>
      </c>
      <c r="M1022" s="46">
        <v>22.38</v>
      </c>
      <c r="N1022" s="40" t="s">
        <v>797</v>
      </c>
      <c r="O1022" s="42">
        <v>42</v>
      </c>
      <c r="P1022" s="43">
        <v>10</v>
      </c>
      <c r="Q1022" s="44">
        <v>24.90</v>
      </c>
      <c r="R1022" s="45">
        <v>81</v>
      </c>
      <c r="S1022" s="43">
        <v>29</v>
      </c>
      <c r="T1022" s="46">
        <v>10.02</v>
      </c>
      <c r="U1022" s="40">
        <v>3</v>
      </c>
      <c r="V1022" s="47">
        <v>4209.908014564</v>
      </c>
      <c r="W1022" s="48">
        <v>1998</v>
      </c>
      <c r="X1022" s="40"/>
      <c r="Y1022" s="53" t="s">
        <v>1082</v>
      </c>
      <c r="Z1022" s="40" t="s">
        <v>910</v>
      </c>
      <c r="AA1022" s="49">
        <f t="shared" si="142"/>
        <v>99311.730063564755</v>
      </c>
      <c r="AB1022" s="71">
        <f t="shared" si="143"/>
        <v>0.63</v>
      </c>
      <c r="AC1022" s="49">
        <f t="shared" si="144"/>
        <v>36745.339999999997</v>
      </c>
      <c r="AD1022" s="50">
        <f t="shared" si="145"/>
        <v>0</v>
      </c>
      <c r="AE1022" s="50">
        <f t="shared" si="146"/>
        <v>0</v>
      </c>
      <c r="AF1022" s="50">
        <f t="shared" si="147"/>
        <v>36745.339999999997</v>
      </c>
      <c r="AG1022" s="199">
        <f t="shared" si="148"/>
        <v>36745</v>
      </c>
      <c r="AH1022" s="187"/>
      <c r="AI1022" s="185" t="s">
        <v>1460</v>
      </c>
      <c r="AJ1022" s="185"/>
      <c r="AK1022" s="277">
        <f t="shared" si="141"/>
        <v>4209.91</v>
      </c>
      <c r="AL1022" s="25">
        <f>(SUMIFS('T1 2019 Pipeline Data Lagasco'!$O:$O,'T1 2019 Pipeline Data Lagasco'!$A:$A,'Dec 31 2018 OFFS'!$AI1022,'T1 2019 Pipeline Data Lagasco'!$Q:$Q,'Dec 31 2018 OFFS'!$AK1022,'T1 2019 Pipeline Data Lagasco'!$E:$E,'Dec 31 2018 OFFS'!$U1022,'T1 2019 Pipeline Data Lagasco'!$G:$G,'Dec 31 2018 OFFS'!$W1022))/(MAX(COUNTIFS('T1 2019 Pipeline Data Lagasco'!$A:$A,'Dec 31 2018 OFFS'!$AI1022,'T1 2019 Pipeline Data Lagasco'!$Q:$Q,'Dec 31 2018 OFFS'!$AK1022,'T1 2019 Pipeline Data Lagasco'!$E:$E,'Dec 31 2018 OFFS'!$U1022,'T1 2019 Pipeline Data Lagasco'!$G:$G,'Dec 31 2018 OFFS'!$W1022),1))</f>
        <v>36745</v>
      </c>
      <c r="AM1022" s="274">
        <f t="shared" si="149"/>
        <v>0</v>
      </c>
    </row>
    <row r="1023" spans="1:39" ht="12.7">
      <c r="A1023" s="193" t="s">
        <v>909</v>
      </c>
      <c r="B1023" s="40" t="s">
        <v>917</v>
      </c>
      <c r="C1023" s="40" t="s">
        <v>921</v>
      </c>
      <c r="D1023" s="40" t="s">
        <v>791</v>
      </c>
      <c r="E1023" s="40" t="s">
        <v>783</v>
      </c>
      <c r="F1023" s="40"/>
      <c r="G1023" s="41" t="s">
        <v>796</v>
      </c>
      <c r="H1023" s="42">
        <v>42</v>
      </c>
      <c r="I1023" s="43">
        <v>9</v>
      </c>
      <c r="J1023" s="44">
        <v>44.34</v>
      </c>
      <c r="K1023" s="45">
        <v>81</v>
      </c>
      <c r="L1023" s="43">
        <v>29</v>
      </c>
      <c r="M1023" s="46">
        <v>22.38</v>
      </c>
      <c r="N1023" s="40" t="s">
        <v>790</v>
      </c>
      <c r="O1023" s="42">
        <v>42</v>
      </c>
      <c r="P1023" s="43">
        <v>9</v>
      </c>
      <c r="Q1023" s="44">
        <v>24.239652</v>
      </c>
      <c r="R1023" s="45">
        <v>81</v>
      </c>
      <c r="S1023" s="43">
        <v>28</v>
      </c>
      <c r="T1023" s="46">
        <v>3.1598350000000002</v>
      </c>
      <c r="U1023" s="40">
        <v>4</v>
      </c>
      <c r="V1023" s="47">
        <v>6303.7727833219997</v>
      </c>
      <c r="W1023" s="48">
        <v>1991</v>
      </c>
      <c r="X1023" s="40"/>
      <c r="Y1023" s="53" t="s">
        <v>1082</v>
      </c>
      <c r="Z1023" s="40" t="s">
        <v>910</v>
      </c>
      <c r="AA1023" s="49">
        <f t="shared" si="142"/>
        <v>166734.79011886689</v>
      </c>
      <c r="AB1023" s="71">
        <f t="shared" si="143"/>
        <v>0.72</v>
      </c>
      <c r="AC1023" s="49">
        <f t="shared" si="144"/>
        <v>46685.74</v>
      </c>
      <c r="AD1023" s="50">
        <f t="shared" si="145"/>
        <v>0</v>
      </c>
      <c r="AE1023" s="50">
        <f t="shared" si="146"/>
        <v>0</v>
      </c>
      <c r="AF1023" s="50">
        <f t="shared" si="147"/>
        <v>46685.74</v>
      </c>
      <c r="AG1023" s="199">
        <f t="shared" si="148"/>
        <v>46685</v>
      </c>
      <c r="AH1023" s="187"/>
      <c r="AI1023" s="185" t="s">
        <v>1460</v>
      </c>
      <c r="AJ1023" s="185"/>
      <c r="AK1023" s="277">
        <f t="shared" si="141"/>
        <v>6303.77</v>
      </c>
      <c r="AL1023" s="25">
        <f>(SUMIFS('T1 2019 Pipeline Data Lagasco'!$O:$O,'T1 2019 Pipeline Data Lagasco'!$A:$A,'Dec 31 2018 OFFS'!$AI1023,'T1 2019 Pipeline Data Lagasco'!$Q:$Q,'Dec 31 2018 OFFS'!$AK1023,'T1 2019 Pipeline Data Lagasco'!$E:$E,'Dec 31 2018 OFFS'!$U1023,'T1 2019 Pipeline Data Lagasco'!$G:$G,'Dec 31 2018 OFFS'!$W1023))/(MAX(COUNTIFS('T1 2019 Pipeline Data Lagasco'!$A:$A,'Dec 31 2018 OFFS'!$AI1023,'T1 2019 Pipeline Data Lagasco'!$Q:$Q,'Dec 31 2018 OFFS'!$AK1023,'T1 2019 Pipeline Data Lagasco'!$E:$E,'Dec 31 2018 OFFS'!$U1023,'T1 2019 Pipeline Data Lagasco'!$G:$G,'Dec 31 2018 OFFS'!$W1023),1))</f>
        <v>46685</v>
      </c>
      <c r="AM1023" s="274">
        <f t="shared" si="149"/>
        <v>0</v>
      </c>
    </row>
    <row r="1024" spans="1:39" ht="12.7">
      <c r="A1024" s="193" t="s">
        <v>909</v>
      </c>
      <c r="B1024" s="40" t="s">
        <v>917</v>
      </c>
      <c r="C1024" s="40" t="s">
        <v>921</v>
      </c>
      <c r="D1024" s="40" t="s">
        <v>791</v>
      </c>
      <c r="E1024" s="40" t="s">
        <v>783</v>
      </c>
      <c r="F1024" s="40" t="s">
        <v>1051</v>
      </c>
      <c r="G1024" s="41" t="s">
        <v>965</v>
      </c>
      <c r="H1024" s="42">
        <v>42</v>
      </c>
      <c r="I1024" s="43">
        <v>8</v>
      </c>
      <c r="J1024" s="44">
        <f>0.614*60</f>
        <v>36.839999999999996</v>
      </c>
      <c r="K1024" s="45">
        <v>81</v>
      </c>
      <c r="L1024" s="43">
        <v>28</v>
      </c>
      <c r="M1024" s="46">
        <f>0.97*60</f>
        <v>58.20</v>
      </c>
      <c r="N1024" s="41" t="s">
        <v>790</v>
      </c>
      <c r="O1024" s="42">
        <v>42</v>
      </c>
      <c r="P1024" s="43">
        <v>9</v>
      </c>
      <c r="Q1024" s="44">
        <v>24.239652</v>
      </c>
      <c r="R1024" s="45">
        <v>81</v>
      </c>
      <c r="S1024" s="43">
        <v>28</v>
      </c>
      <c r="T1024" s="46">
        <v>3.1598350000000002</v>
      </c>
      <c r="U1024" s="40">
        <v>3</v>
      </c>
      <c r="V1024" s="47">
        <v>6327</v>
      </c>
      <c r="W1024" s="48">
        <v>1994</v>
      </c>
      <c r="X1024" s="40"/>
      <c r="Y1024" s="53" t="s">
        <v>1082</v>
      </c>
      <c r="Z1024" s="40" t="s">
        <v>910</v>
      </c>
      <c r="AA1024" s="49">
        <f t="shared" si="142"/>
        <v>0</v>
      </c>
      <c r="AB1024" s="71">
        <f t="shared" si="143"/>
        <v>0.68</v>
      </c>
      <c r="AC1024" s="49">
        <f t="shared" si="144"/>
        <v>0</v>
      </c>
      <c r="AD1024" s="50">
        <f t="shared" si="145"/>
        <v>0</v>
      </c>
      <c r="AE1024" s="50">
        <f t="shared" si="146"/>
        <v>0</v>
      </c>
      <c r="AF1024" s="50">
        <f t="shared" si="147"/>
        <v>0</v>
      </c>
      <c r="AG1024" s="199">
        <f t="shared" si="148"/>
        <v>0</v>
      </c>
      <c r="AH1024" s="187"/>
      <c r="AI1024" s="185" t="s">
        <v>1460</v>
      </c>
      <c r="AJ1024" s="185"/>
      <c r="AK1024" s="277">
        <f t="shared" si="141"/>
        <v>6327</v>
      </c>
      <c r="AL1024" s="25">
        <f>(SUMIFS('T1 2019 Pipeline Data Lagasco'!$O:$O,'T1 2019 Pipeline Data Lagasco'!$A:$A,'Dec 31 2018 OFFS'!$AI1024,'T1 2019 Pipeline Data Lagasco'!$Q:$Q,'Dec 31 2018 OFFS'!$AK1024,'T1 2019 Pipeline Data Lagasco'!$E:$E,'Dec 31 2018 OFFS'!$U1024,'T1 2019 Pipeline Data Lagasco'!$G:$G,'Dec 31 2018 OFFS'!$W1024))/(MAX(COUNTIFS('T1 2019 Pipeline Data Lagasco'!$A:$A,'Dec 31 2018 OFFS'!$AI1024,'T1 2019 Pipeline Data Lagasco'!$Q:$Q,'Dec 31 2018 OFFS'!$AK1024,'T1 2019 Pipeline Data Lagasco'!$E:$E,'Dec 31 2018 OFFS'!$U1024,'T1 2019 Pipeline Data Lagasco'!$G:$G,'Dec 31 2018 OFFS'!$W1024),1))</f>
        <v>0</v>
      </c>
      <c r="AM1024" s="274">
        <f t="shared" si="149"/>
        <v>0</v>
      </c>
    </row>
    <row r="1025" spans="1:39" ht="12.7">
      <c r="A1025" s="193" t="s">
        <v>909</v>
      </c>
      <c r="B1025" s="40" t="s">
        <v>917</v>
      </c>
      <c r="C1025" s="40" t="s">
        <v>921</v>
      </c>
      <c r="D1025" s="40" t="s">
        <v>791</v>
      </c>
      <c r="E1025" s="40" t="s">
        <v>783</v>
      </c>
      <c r="F1025" s="139" t="s">
        <v>1051</v>
      </c>
      <c r="G1025" s="41" t="s">
        <v>798</v>
      </c>
      <c r="H1025" s="42">
        <v>42</v>
      </c>
      <c r="I1025" s="43">
        <v>8</v>
      </c>
      <c r="J1025" s="44">
        <v>52.804594999999999</v>
      </c>
      <c r="K1025" s="45">
        <v>81</v>
      </c>
      <c r="L1025" s="43">
        <v>27</v>
      </c>
      <c r="M1025" s="46">
        <v>8.971069</v>
      </c>
      <c r="N1025" s="40" t="s">
        <v>1182</v>
      </c>
      <c r="O1025" s="42">
        <v>42</v>
      </c>
      <c r="P1025" s="43">
        <v>9</v>
      </c>
      <c r="Q1025" s="44">
        <v>3.30</v>
      </c>
      <c r="R1025" s="45">
        <v>81</v>
      </c>
      <c r="S1025" s="43">
        <v>27</v>
      </c>
      <c r="T1025" s="46">
        <v>5.82</v>
      </c>
      <c r="U1025" s="40">
        <v>3</v>
      </c>
      <c r="V1025" s="47">
        <v>1088</v>
      </c>
      <c r="W1025" s="48">
        <v>2003</v>
      </c>
      <c r="X1025" s="40"/>
      <c r="Y1025" s="53" t="s">
        <v>1082</v>
      </c>
      <c r="Z1025" s="40" t="s">
        <v>910</v>
      </c>
      <c r="AA1025" s="49">
        <f t="shared" si="142"/>
        <v>0</v>
      </c>
      <c r="AB1025" s="71">
        <f t="shared" si="143"/>
        <v>0.56999999999999995</v>
      </c>
      <c r="AC1025" s="49">
        <f t="shared" si="144"/>
        <v>0</v>
      </c>
      <c r="AD1025" s="50">
        <f t="shared" si="145"/>
        <v>0</v>
      </c>
      <c r="AE1025" s="50">
        <f t="shared" si="146"/>
        <v>0</v>
      </c>
      <c r="AF1025" s="50">
        <f t="shared" si="147"/>
        <v>0</v>
      </c>
      <c r="AG1025" s="199">
        <f t="shared" si="148"/>
        <v>0</v>
      </c>
      <c r="AH1025" s="187"/>
      <c r="AI1025" s="185" t="s">
        <v>1460</v>
      </c>
      <c r="AJ1025" s="185"/>
      <c r="AK1025" s="277">
        <f t="shared" si="141"/>
        <v>1088</v>
      </c>
      <c r="AL1025" s="25">
        <f>(SUMIFS('T1 2019 Pipeline Data Lagasco'!$O:$O,'T1 2019 Pipeline Data Lagasco'!$A:$A,'Dec 31 2018 OFFS'!$AI1025,'T1 2019 Pipeline Data Lagasco'!$Q:$Q,'Dec 31 2018 OFFS'!$AK1025,'T1 2019 Pipeline Data Lagasco'!$E:$E,'Dec 31 2018 OFFS'!$U1025,'T1 2019 Pipeline Data Lagasco'!$G:$G,'Dec 31 2018 OFFS'!$W1025))/(MAX(COUNTIFS('T1 2019 Pipeline Data Lagasco'!$A:$A,'Dec 31 2018 OFFS'!$AI1025,'T1 2019 Pipeline Data Lagasco'!$Q:$Q,'Dec 31 2018 OFFS'!$AK1025,'T1 2019 Pipeline Data Lagasco'!$E:$E,'Dec 31 2018 OFFS'!$U1025,'T1 2019 Pipeline Data Lagasco'!$G:$G,'Dec 31 2018 OFFS'!$W1025),1))</f>
        <v>0</v>
      </c>
      <c r="AM1025" s="274">
        <f t="shared" si="149"/>
        <v>0</v>
      </c>
    </row>
    <row r="1026" spans="1:39" ht="12.7">
      <c r="A1026" s="193" t="s">
        <v>909</v>
      </c>
      <c r="B1026" s="40" t="s">
        <v>917</v>
      </c>
      <c r="C1026" s="40" t="s">
        <v>921</v>
      </c>
      <c r="D1026" s="40" t="s">
        <v>791</v>
      </c>
      <c r="E1026" s="40" t="s">
        <v>783</v>
      </c>
      <c r="F1026" s="40"/>
      <c r="G1026" s="41" t="s">
        <v>798</v>
      </c>
      <c r="H1026" s="42">
        <v>42</v>
      </c>
      <c r="I1026" s="43">
        <v>8</v>
      </c>
      <c r="J1026" s="44">
        <v>52.804594999999999</v>
      </c>
      <c r="K1026" s="45">
        <v>81</v>
      </c>
      <c r="L1026" s="43">
        <v>27</v>
      </c>
      <c r="M1026" s="46">
        <v>8.971069</v>
      </c>
      <c r="N1026" s="40" t="s">
        <v>799</v>
      </c>
      <c r="O1026" s="42">
        <v>42</v>
      </c>
      <c r="P1026" s="43">
        <v>9</v>
      </c>
      <c r="Q1026" s="44">
        <v>15.36</v>
      </c>
      <c r="R1026" s="45">
        <v>81</v>
      </c>
      <c r="S1026" s="43">
        <v>26</v>
      </c>
      <c r="T1026" s="46">
        <v>22.38</v>
      </c>
      <c r="U1026" s="40">
        <v>3</v>
      </c>
      <c r="V1026" s="47">
        <v>4186.7452855759993</v>
      </c>
      <c r="W1026" s="48">
        <v>1994</v>
      </c>
      <c r="X1026" s="40"/>
      <c r="Y1026" s="53" t="s">
        <v>1082</v>
      </c>
      <c r="Z1026" s="40" t="s">
        <v>910</v>
      </c>
      <c r="AA1026" s="49">
        <f t="shared" si="142"/>
        <v>98765.321286737817</v>
      </c>
      <c r="AB1026" s="71">
        <f t="shared" si="143"/>
        <v>0.68</v>
      </c>
      <c r="AC1026" s="49">
        <f t="shared" si="144"/>
        <v>31604.90</v>
      </c>
      <c r="AD1026" s="50">
        <f t="shared" si="145"/>
        <v>0</v>
      </c>
      <c r="AE1026" s="50">
        <f t="shared" si="146"/>
        <v>0</v>
      </c>
      <c r="AF1026" s="50">
        <f t="shared" si="147"/>
        <v>31604.90</v>
      </c>
      <c r="AG1026" s="199">
        <f t="shared" si="148"/>
        <v>31604</v>
      </c>
      <c r="AH1026" s="187"/>
      <c r="AI1026" s="185" t="s">
        <v>1460</v>
      </c>
      <c r="AJ1026" s="185"/>
      <c r="AK1026" s="277">
        <f t="shared" si="141"/>
        <v>4186.75</v>
      </c>
      <c r="AL1026" s="25">
        <f>(SUMIFS('T1 2019 Pipeline Data Lagasco'!$O:$O,'T1 2019 Pipeline Data Lagasco'!$A:$A,'Dec 31 2018 OFFS'!$AI1026,'T1 2019 Pipeline Data Lagasco'!$Q:$Q,'Dec 31 2018 OFFS'!$AK1026,'T1 2019 Pipeline Data Lagasco'!$E:$E,'Dec 31 2018 OFFS'!$U1026,'T1 2019 Pipeline Data Lagasco'!$G:$G,'Dec 31 2018 OFFS'!$W1026))/(MAX(COUNTIFS('T1 2019 Pipeline Data Lagasco'!$A:$A,'Dec 31 2018 OFFS'!$AI1026,'T1 2019 Pipeline Data Lagasco'!$Q:$Q,'Dec 31 2018 OFFS'!$AK1026,'T1 2019 Pipeline Data Lagasco'!$E:$E,'Dec 31 2018 OFFS'!$U1026,'T1 2019 Pipeline Data Lagasco'!$G:$G,'Dec 31 2018 OFFS'!$W1026),1))</f>
        <v>31604</v>
      </c>
      <c r="AM1026" s="274">
        <f t="shared" si="149"/>
        <v>0</v>
      </c>
    </row>
    <row r="1027" spans="1:39" ht="12.7">
      <c r="A1027" s="193" t="s">
        <v>909</v>
      </c>
      <c r="B1027" s="40" t="s">
        <v>917</v>
      </c>
      <c r="C1027" s="40" t="s">
        <v>921</v>
      </c>
      <c r="D1027" s="40" t="s">
        <v>791</v>
      </c>
      <c r="E1027" s="40" t="s">
        <v>783</v>
      </c>
      <c r="F1027" s="40" t="s">
        <v>1051</v>
      </c>
      <c r="G1027" s="41" t="s">
        <v>964</v>
      </c>
      <c r="H1027" s="42">
        <v>42</v>
      </c>
      <c r="I1027" s="43">
        <v>8</v>
      </c>
      <c r="J1027" s="44">
        <v>31.02</v>
      </c>
      <c r="K1027" s="45">
        <v>81</v>
      </c>
      <c r="L1027" s="43">
        <v>26</v>
      </c>
      <c r="M1027" s="46">
        <v>23.58</v>
      </c>
      <c r="N1027" s="41" t="s">
        <v>798</v>
      </c>
      <c r="O1027" s="42">
        <v>42</v>
      </c>
      <c r="P1027" s="43">
        <v>8</v>
      </c>
      <c r="Q1027" s="44">
        <v>52.804594999999999</v>
      </c>
      <c r="R1027" s="45">
        <v>81</v>
      </c>
      <c r="S1027" s="43">
        <v>27</v>
      </c>
      <c r="T1027" s="46">
        <v>8.971069</v>
      </c>
      <c r="U1027" s="40">
        <v>4</v>
      </c>
      <c r="V1027" s="47">
        <v>4057</v>
      </c>
      <c r="W1027" s="48">
        <v>1991</v>
      </c>
      <c r="X1027" s="40"/>
      <c r="Y1027" s="52"/>
      <c r="Z1027" s="40" t="s">
        <v>910</v>
      </c>
      <c r="AA1027" s="49">
        <f t="shared" si="142"/>
        <v>0</v>
      </c>
      <c r="AB1027" s="71">
        <f t="shared" si="143"/>
        <v>0.72</v>
      </c>
      <c r="AC1027" s="49">
        <f t="shared" si="144"/>
        <v>0</v>
      </c>
      <c r="AD1027" s="50">
        <f t="shared" si="145"/>
        <v>0</v>
      </c>
      <c r="AE1027" s="50">
        <f t="shared" si="146"/>
        <v>0</v>
      </c>
      <c r="AF1027" s="50">
        <f t="shared" si="147"/>
        <v>0</v>
      </c>
      <c r="AG1027" s="199">
        <f t="shared" si="148"/>
        <v>0</v>
      </c>
      <c r="AH1027" s="187"/>
      <c r="AI1027" s="185" t="s">
        <v>1460</v>
      </c>
      <c r="AJ1027" s="185"/>
      <c r="AK1027" s="277">
        <f t="shared" si="150" ref="AK1027:AK1090">ROUND(V1027,2)</f>
        <v>4057</v>
      </c>
      <c r="AL1027" s="25">
        <f>(SUMIFS('T1 2019 Pipeline Data Lagasco'!$O:$O,'T1 2019 Pipeline Data Lagasco'!$A:$A,'Dec 31 2018 OFFS'!$AI1027,'T1 2019 Pipeline Data Lagasco'!$Q:$Q,'Dec 31 2018 OFFS'!$AK1027,'T1 2019 Pipeline Data Lagasco'!$E:$E,'Dec 31 2018 OFFS'!$U1027,'T1 2019 Pipeline Data Lagasco'!$G:$G,'Dec 31 2018 OFFS'!$W1027))/(MAX(COUNTIFS('T1 2019 Pipeline Data Lagasco'!$A:$A,'Dec 31 2018 OFFS'!$AI1027,'T1 2019 Pipeline Data Lagasco'!$Q:$Q,'Dec 31 2018 OFFS'!$AK1027,'T1 2019 Pipeline Data Lagasco'!$E:$E,'Dec 31 2018 OFFS'!$U1027,'T1 2019 Pipeline Data Lagasco'!$G:$G,'Dec 31 2018 OFFS'!$W1027),1))</f>
        <v>0</v>
      </c>
      <c r="AM1027" s="274">
        <f t="shared" si="149"/>
        <v>0</v>
      </c>
    </row>
    <row r="1028" spans="1:39" ht="12.7">
      <c r="A1028" s="193" t="s">
        <v>909</v>
      </c>
      <c r="B1028" s="40" t="s">
        <v>917</v>
      </c>
      <c r="C1028" s="40" t="s">
        <v>921</v>
      </c>
      <c r="D1028" s="40" t="s">
        <v>791</v>
      </c>
      <c r="E1028" s="40" t="s">
        <v>1222</v>
      </c>
      <c r="F1028" s="40"/>
      <c r="G1028" s="41" t="s">
        <v>826</v>
      </c>
      <c r="H1028" s="42">
        <v>42</v>
      </c>
      <c r="I1028" s="43">
        <v>21</v>
      </c>
      <c r="J1028" s="44">
        <v>28</v>
      </c>
      <c r="K1028" s="45">
        <v>81</v>
      </c>
      <c r="L1028" s="43">
        <v>49</v>
      </c>
      <c r="M1028" s="46">
        <v>56</v>
      </c>
      <c r="N1028" s="41" t="s">
        <v>827</v>
      </c>
      <c r="O1028" s="42">
        <v>42</v>
      </c>
      <c r="P1028" s="43">
        <v>21</v>
      </c>
      <c r="Q1028" s="44">
        <v>11.40</v>
      </c>
      <c r="R1028" s="45">
        <v>81</v>
      </c>
      <c r="S1028" s="43">
        <v>49</v>
      </c>
      <c r="T1028" s="46">
        <v>28.38</v>
      </c>
      <c r="U1028" s="40">
        <v>6</v>
      </c>
      <c r="V1028" s="47">
        <v>2264</v>
      </c>
      <c r="W1028" s="48">
        <v>1995</v>
      </c>
      <c r="X1028" s="40" t="s">
        <v>2</v>
      </c>
      <c r="Y1028" s="53" t="s">
        <v>1082</v>
      </c>
      <c r="Z1028" s="40" t="s">
        <v>910</v>
      </c>
      <c r="AA1028" s="49">
        <f t="shared" si="151" ref="AA1028:AA1091">IF(F1028="ABAND",0,(IF(Z1028="steel",VLOOKUP(U1028,steelrates,2,FALSE)*V1028,VLOOKUP(U1028,plasticrates,2,FALSE)*V1028)))</f>
        <v>78402.320000000007</v>
      </c>
      <c r="AB1028" s="71">
        <f t="shared" si="152" ref="AB1028:AB1091">IF(W1028=0,0,(VLOOKUP(W1028,depreciation,2)))</f>
        <v>0.67</v>
      </c>
      <c r="AC1028" s="49">
        <f t="shared" si="153" ref="AC1028:AC1091">ROUND(+AA1028-(+AA1028*AB1028),2)</f>
        <v>25872.77</v>
      </c>
      <c r="AD1028" s="50">
        <f t="shared" si="154" ref="AD1028:AD1091">(IF(X1028="LOOP",AC1028*0.25,0))</f>
        <v>6468.1925000000001</v>
      </c>
      <c r="AE1028" s="50">
        <f t="shared" si="155" ref="AE1028:AE1091">(IF(F1028="SUSP",AC1028*0.2,0))</f>
        <v>0</v>
      </c>
      <c r="AF1028" s="50">
        <f t="shared" si="156" ref="AF1028:AF1091">+AC1028-AD1028-AE1028</f>
        <v>19404.577499999999</v>
      </c>
      <c r="AG1028" s="199">
        <f t="shared" si="157" ref="AG1028:AG1091">ROUNDDOWN(AF1028,0)</f>
        <v>19404</v>
      </c>
      <c r="AH1028" s="187"/>
      <c r="AI1028" s="185" t="s">
        <v>1460</v>
      </c>
      <c r="AJ1028" s="185"/>
      <c r="AK1028" s="277">
        <f t="shared" si="150"/>
        <v>2264</v>
      </c>
      <c r="AL1028" s="25">
        <f>(SUMIFS('T1 2019 Pipeline Data Lagasco'!$O:$O,'T1 2019 Pipeline Data Lagasco'!$A:$A,'Dec 31 2018 OFFS'!$AI1028,'T1 2019 Pipeline Data Lagasco'!$Q:$Q,'Dec 31 2018 OFFS'!$AK1028,'T1 2019 Pipeline Data Lagasco'!$E:$E,'Dec 31 2018 OFFS'!$U1028,'T1 2019 Pipeline Data Lagasco'!$G:$G,'Dec 31 2018 OFFS'!$W1028))/(MAX(COUNTIFS('T1 2019 Pipeline Data Lagasco'!$A:$A,'Dec 31 2018 OFFS'!$AI1028,'T1 2019 Pipeline Data Lagasco'!$Q:$Q,'Dec 31 2018 OFFS'!$AK1028,'T1 2019 Pipeline Data Lagasco'!$E:$E,'Dec 31 2018 OFFS'!$U1028,'T1 2019 Pipeline Data Lagasco'!$G:$G,'Dec 31 2018 OFFS'!$W1028),1))</f>
        <v>19404</v>
      </c>
      <c r="AM1028" s="274">
        <f t="shared" si="158" ref="AM1028:AM1091">AG1028-AL1028</f>
        <v>0</v>
      </c>
    </row>
    <row r="1029" spans="1:39" ht="12.7">
      <c r="A1029" s="193" t="s">
        <v>909</v>
      </c>
      <c r="B1029" s="40" t="s">
        <v>917</v>
      </c>
      <c r="C1029" s="40" t="s">
        <v>921</v>
      </c>
      <c r="D1029" s="40" t="s">
        <v>791</v>
      </c>
      <c r="E1029" s="40" t="s">
        <v>1054</v>
      </c>
      <c r="F1029" s="40"/>
      <c r="G1029" s="41" t="s">
        <v>826</v>
      </c>
      <c r="H1029" s="42">
        <v>42</v>
      </c>
      <c r="I1029" s="43">
        <v>21</v>
      </c>
      <c r="J1029" s="44">
        <v>28</v>
      </c>
      <c r="K1029" s="45">
        <v>81</v>
      </c>
      <c r="L1029" s="43">
        <v>49</v>
      </c>
      <c r="M1029" s="46">
        <v>56</v>
      </c>
      <c r="N1029" s="41" t="s">
        <v>827</v>
      </c>
      <c r="O1029" s="42" t="s">
        <v>78</v>
      </c>
      <c r="P1029" s="43" t="s">
        <v>967</v>
      </c>
      <c r="Q1029" s="44" t="s">
        <v>968</v>
      </c>
      <c r="R1029" s="45" t="s">
        <v>969</v>
      </c>
      <c r="S1029" s="43" t="s">
        <v>970</v>
      </c>
      <c r="T1029" s="46" t="s">
        <v>971</v>
      </c>
      <c r="U1029" s="40">
        <v>6</v>
      </c>
      <c r="V1029" s="47">
        <v>2837.57</v>
      </c>
      <c r="W1029" s="48">
        <v>1999</v>
      </c>
      <c r="X1029" s="40"/>
      <c r="Y1029" s="53"/>
      <c r="Z1029" s="40" t="s">
        <v>910</v>
      </c>
      <c r="AA1029" s="49">
        <f t="shared" si="151"/>
        <v>98265.049100000018</v>
      </c>
      <c r="AB1029" s="71">
        <f t="shared" si="152"/>
        <v>0.62</v>
      </c>
      <c r="AC1029" s="49">
        <f t="shared" si="153"/>
        <v>37340.72</v>
      </c>
      <c r="AD1029" s="50">
        <f t="shared" si="154"/>
        <v>0</v>
      </c>
      <c r="AE1029" s="50">
        <f t="shared" si="155"/>
        <v>0</v>
      </c>
      <c r="AF1029" s="50">
        <f t="shared" si="156"/>
        <v>37340.72</v>
      </c>
      <c r="AG1029" s="199">
        <f t="shared" si="157"/>
        <v>37340</v>
      </c>
      <c r="AH1029" s="187"/>
      <c r="AI1029" s="185" t="s">
        <v>1460</v>
      </c>
      <c r="AJ1029" s="185"/>
      <c r="AK1029" s="277">
        <f t="shared" si="150"/>
        <v>2837.57</v>
      </c>
      <c r="AL1029" s="25">
        <f>(SUMIFS('T1 2019 Pipeline Data Lagasco'!$O:$O,'T1 2019 Pipeline Data Lagasco'!$A:$A,'Dec 31 2018 OFFS'!$AI1029,'T1 2019 Pipeline Data Lagasco'!$Q:$Q,'Dec 31 2018 OFFS'!$AK1029,'T1 2019 Pipeline Data Lagasco'!$E:$E,'Dec 31 2018 OFFS'!$U1029,'T1 2019 Pipeline Data Lagasco'!$G:$G,'Dec 31 2018 OFFS'!$W1029))/(MAX(COUNTIFS('T1 2019 Pipeline Data Lagasco'!$A:$A,'Dec 31 2018 OFFS'!$AI1029,'T1 2019 Pipeline Data Lagasco'!$Q:$Q,'Dec 31 2018 OFFS'!$AK1029,'T1 2019 Pipeline Data Lagasco'!$E:$E,'Dec 31 2018 OFFS'!$U1029,'T1 2019 Pipeline Data Lagasco'!$G:$G,'Dec 31 2018 OFFS'!$W1029),1))</f>
        <v>37340</v>
      </c>
      <c r="AM1029" s="274">
        <f t="shared" si="158"/>
        <v>0</v>
      </c>
    </row>
    <row r="1030" spans="1:39" ht="12.7">
      <c r="A1030" s="200" t="s">
        <v>909</v>
      </c>
      <c r="B1030" s="201" t="s">
        <v>917</v>
      </c>
      <c r="C1030" s="201" t="s">
        <v>921</v>
      </c>
      <c r="D1030" s="201" t="s">
        <v>791</v>
      </c>
      <c r="E1030" s="201" t="s">
        <v>783</v>
      </c>
      <c r="F1030" s="202" t="s">
        <v>1051</v>
      </c>
      <c r="G1030" s="208" t="s">
        <v>826</v>
      </c>
      <c r="H1030" s="203">
        <v>42</v>
      </c>
      <c r="I1030" s="204">
        <v>21</v>
      </c>
      <c r="J1030" s="205">
        <v>28</v>
      </c>
      <c r="K1030" s="206">
        <v>81</v>
      </c>
      <c r="L1030" s="204">
        <v>49</v>
      </c>
      <c r="M1030" s="207">
        <v>56</v>
      </c>
      <c r="N1030" s="208" t="s">
        <v>833</v>
      </c>
      <c r="O1030" s="203">
        <v>42</v>
      </c>
      <c r="P1030" s="204">
        <v>14</v>
      </c>
      <c r="Q1030" s="205">
        <v>53.52</v>
      </c>
      <c r="R1030" s="206">
        <v>81</v>
      </c>
      <c r="S1030" s="204">
        <v>39</v>
      </c>
      <c r="T1030" s="207">
        <v>55.98</v>
      </c>
      <c r="U1030" s="201">
        <v>6</v>
      </c>
      <c r="V1030" s="209">
        <v>60230.608491942003</v>
      </c>
      <c r="W1030" s="210">
        <v>1979</v>
      </c>
      <c r="X1030" s="202" t="s">
        <v>2</v>
      </c>
      <c r="Y1030" s="53" t="s">
        <v>1082</v>
      </c>
      <c r="Z1030" s="201" t="s">
        <v>910</v>
      </c>
      <c r="AA1030" s="211">
        <f t="shared" si="151"/>
        <v>0</v>
      </c>
      <c r="AB1030" s="212">
        <f t="shared" si="152"/>
        <v>0.80</v>
      </c>
      <c r="AC1030" s="211">
        <f t="shared" si="153"/>
        <v>0</v>
      </c>
      <c r="AD1030" s="213">
        <f t="shared" si="154"/>
        <v>0</v>
      </c>
      <c r="AE1030" s="213">
        <f t="shared" si="155"/>
        <v>0</v>
      </c>
      <c r="AF1030" s="213">
        <f t="shared" si="156"/>
        <v>0</v>
      </c>
      <c r="AG1030" s="214">
        <f t="shared" si="157"/>
        <v>0</v>
      </c>
      <c r="AH1030" s="215">
        <f>SUM(AF965:AF1030)</f>
        <v>2782464.0225000004</v>
      </c>
      <c r="AI1030" s="216" t="s">
        <v>1460</v>
      </c>
      <c r="AJ1030" s="216" t="s">
        <v>1560</v>
      </c>
      <c r="AK1030" s="283">
        <f t="shared" si="150"/>
        <v>60230.61</v>
      </c>
      <c r="AL1030" s="284">
        <f>(SUMIFS('T1 2019 Pipeline Data Lagasco'!$O:$O,'T1 2019 Pipeline Data Lagasco'!$A:$A,'Dec 31 2018 OFFS'!$AI1030,'T1 2019 Pipeline Data Lagasco'!$Q:$Q,'Dec 31 2018 OFFS'!$AK1030,'T1 2019 Pipeline Data Lagasco'!$E:$E,'Dec 31 2018 OFFS'!$U1030,'T1 2019 Pipeline Data Lagasco'!$G:$G,'Dec 31 2018 OFFS'!$W1030))/(MAX(COUNTIFS('T1 2019 Pipeline Data Lagasco'!$A:$A,'Dec 31 2018 OFFS'!$AI1030,'T1 2019 Pipeline Data Lagasco'!$Q:$Q,'Dec 31 2018 OFFS'!$AK1030,'T1 2019 Pipeline Data Lagasco'!$E:$E,'Dec 31 2018 OFFS'!$U1030,'T1 2019 Pipeline Data Lagasco'!$G:$G,'Dec 31 2018 OFFS'!$W1030),1))</f>
        <v>0</v>
      </c>
      <c r="AM1030" s="285">
        <f t="shared" si="158"/>
        <v>0</v>
      </c>
    </row>
    <row r="1031" spans="1:39" ht="12.7">
      <c r="A1031" s="193" t="s">
        <v>909</v>
      </c>
      <c r="B1031" s="40" t="s">
        <v>917</v>
      </c>
      <c r="C1031" s="40" t="s">
        <v>921</v>
      </c>
      <c r="D1031" s="40" t="s">
        <v>784</v>
      </c>
      <c r="E1031" s="40" t="s">
        <v>783</v>
      </c>
      <c r="F1031" s="40" t="s">
        <v>1051</v>
      </c>
      <c r="G1031" s="41" t="s">
        <v>963</v>
      </c>
      <c r="H1031" s="42">
        <v>42</v>
      </c>
      <c r="I1031" s="43">
        <v>14</v>
      </c>
      <c r="J1031" s="44">
        <v>14.88</v>
      </c>
      <c r="K1031" s="45">
        <v>81</v>
      </c>
      <c r="L1031" s="43">
        <v>24</v>
      </c>
      <c r="M1031" s="46">
        <v>55.80</v>
      </c>
      <c r="N1031" s="40" t="s">
        <v>785</v>
      </c>
      <c r="O1031" s="42">
        <v>42</v>
      </c>
      <c r="P1031" s="43">
        <v>13</v>
      </c>
      <c r="Q1031" s="44">
        <v>47.76</v>
      </c>
      <c r="R1031" s="45">
        <v>81</v>
      </c>
      <c r="S1031" s="43">
        <v>25</v>
      </c>
      <c r="T1031" s="44">
        <v>38.04</v>
      </c>
      <c r="U1031" s="40">
        <v>4</v>
      </c>
      <c r="V1031" s="47">
        <v>4189</v>
      </c>
      <c r="W1031" s="48">
        <v>1984</v>
      </c>
      <c r="X1031" s="40"/>
      <c r="Y1031" s="52"/>
      <c r="Z1031" s="40" t="s">
        <v>910</v>
      </c>
      <c r="AA1031" s="49">
        <f t="shared" si="151"/>
        <v>0</v>
      </c>
      <c r="AB1031" s="71">
        <f t="shared" si="152"/>
        <v>0.80</v>
      </c>
      <c r="AC1031" s="49">
        <f t="shared" si="153"/>
        <v>0</v>
      </c>
      <c r="AD1031" s="50">
        <f t="shared" si="154"/>
        <v>0</v>
      </c>
      <c r="AE1031" s="50">
        <f t="shared" si="155"/>
        <v>0</v>
      </c>
      <c r="AF1031" s="50">
        <f t="shared" si="156"/>
        <v>0</v>
      </c>
      <c r="AG1031" s="199">
        <f t="shared" si="157"/>
        <v>0</v>
      </c>
      <c r="AH1031" s="187"/>
      <c r="AI1031" s="185" t="s">
        <v>1461</v>
      </c>
      <c r="AJ1031" s="185"/>
      <c r="AK1031" s="277">
        <f t="shared" si="150"/>
        <v>4189</v>
      </c>
      <c r="AL1031" s="25">
        <f>(SUMIFS('T1 2019 Pipeline Data Lagasco'!$O:$O,'T1 2019 Pipeline Data Lagasco'!$A:$A,'Dec 31 2018 OFFS'!$AI1031,'T1 2019 Pipeline Data Lagasco'!$Q:$Q,'Dec 31 2018 OFFS'!$AK1031,'T1 2019 Pipeline Data Lagasco'!$E:$E,'Dec 31 2018 OFFS'!$U1031,'T1 2019 Pipeline Data Lagasco'!$G:$G,'Dec 31 2018 OFFS'!$W1031))/(MAX(COUNTIFS('T1 2019 Pipeline Data Lagasco'!$A:$A,'Dec 31 2018 OFFS'!$AI1031,'T1 2019 Pipeline Data Lagasco'!$Q:$Q,'Dec 31 2018 OFFS'!$AK1031,'T1 2019 Pipeline Data Lagasco'!$E:$E,'Dec 31 2018 OFFS'!$U1031,'T1 2019 Pipeline Data Lagasco'!$G:$G,'Dec 31 2018 OFFS'!$W1031),1))</f>
        <v>0</v>
      </c>
      <c r="AM1031" s="274">
        <f t="shared" si="158"/>
        <v>0</v>
      </c>
    </row>
    <row r="1032" spans="1:39" ht="12.7">
      <c r="A1032" s="193" t="s">
        <v>909</v>
      </c>
      <c r="B1032" s="40" t="s">
        <v>917</v>
      </c>
      <c r="C1032" s="40" t="s">
        <v>921</v>
      </c>
      <c r="D1032" s="40" t="s">
        <v>784</v>
      </c>
      <c r="E1032" s="40" t="s">
        <v>1054</v>
      </c>
      <c r="F1032" s="40"/>
      <c r="G1032" s="41" t="s">
        <v>1039</v>
      </c>
      <c r="H1032" s="42">
        <v>42</v>
      </c>
      <c r="I1032" s="43">
        <v>22</v>
      </c>
      <c r="J1032" s="44">
        <v>47.82</v>
      </c>
      <c r="K1032" s="45">
        <v>81</v>
      </c>
      <c r="L1032" s="43">
        <v>33</v>
      </c>
      <c r="M1032" s="46">
        <v>39.90</v>
      </c>
      <c r="N1032" s="40" t="s">
        <v>1038</v>
      </c>
      <c r="O1032" s="42">
        <v>42</v>
      </c>
      <c r="P1032" s="43">
        <v>22</v>
      </c>
      <c r="Q1032" s="44">
        <v>50.145</v>
      </c>
      <c r="R1032" s="45">
        <v>81</v>
      </c>
      <c r="S1032" s="43">
        <v>33</v>
      </c>
      <c r="T1032" s="46">
        <v>17.048999999999999</v>
      </c>
      <c r="U1032" s="40">
        <v>6</v>
      </c>
      <c r="V1032" s="47">
        <v>1731.10</v>
      </c>
      <c r="W1032" s="48">
        <v>1999</v>
      </c>
      <c r="X1032" s="40"/>
      <c r="Y1032" s="53"/>
      <c r="Z1032" s="40" t="s">
        <v>910</v>
      </c>
      <c r="AA1032" s="49">
        <f t="shared" si="151"/>
        <v>59947.993000000002</v>
      </c>
      <c r="AB1032" s="71">
        <f t="shared" si="152"/>
        <v>0.62</v>
      </c>
      <c r="AC1032" s="49">
        <f t="shared" si="153"/>
        <v>22780.24</v>
      </c>
      <c r="AD1032" s="50">
        <f t="shared" si="154"/>
        <v>0</v>
      </c>
      <c r="AE1032" s="50">
        <f t="shared" si="155"/>
        <v>0</v>
      </c>
      <c r="AF1032" s="50">
        <f t="shared" si="156"/>
        <v>22780.24</v>
      </c>
      <c r="AG1032" s="199">
        <f t="shared" si="157"/>
        <v>22780</v>
      </c>
      <c r="AH1032" s="187"/>
      <c r="AI1032" s="185" t="s">
        <v>1461</v>
      </c>
      <c r="AJ1032" s="185"/>
      <c r="AK1032" s="277">
        <f t="shared" si="150"/>
        <v>1731.10</v>
      </c>
      <c r="AL1032" s="25">
        <f>(SUMIFS('T1 2019 Pipeline Data Lagasco'!$O:$O,'T1 2019 Pipeline Data Lagasco'!$A:$A,'Dec 31 2018 OFFS'!$AI1032,'T1 2019 Pipeline Data Lagasco'!$Q:$Q,'Dec 31 2018 OFFS'!$AK1032,'T1 2019 Pipeline Data Lagasco'!$E:$E,'Dec 31 2018 OFFS'!$U1032,'T1 2019 Pipeline Data Lagasco'!$G:$G,'Dec 31 2018 OFFS'!$W1032))/(MAX(COUNTIFS('T1 2019 Pipeline Data Lagasco'!$A:$A,'Dec 31 2018 OFFS'!$AI1032,'T1 2019 Pipeline Data Lagasco'!$Q:$Q,'Dec 31 2018 OFFS'!$AK1032,'T1 2019 Pipeline Data Lagasco'!$E:$E,'Dec 31 2018 OFFS'!$U1032,'T1 2019 Pipeline Data Lagasco'!$G:$G,'Dec 31 2018 OFFS'!$W1032),1))</f>
        <v>22780</v>
      </c>
      <c r="AM1032" s="274">
        <f t="shared" si="158"/>
        <v>0</v>
      </c>
    </row>
    <row r="1033" spans="1:39" ht="12.7">
      <c r="A1033" s="193" t="s">
        <v>909</v>
      </c>
      <c r="B1033" s="40" t="s">
        <v>917</v>
      </c>
      <c r="C1033" s="40" t="s">
        <v>921</v>
      </c>
      <c r="D1033" s="40" t="s">
        <v>784</v>
      </c>
      <c r="E1033" s="40" t="s">
        <v>1054</v>
      </c>
      <c r="F1033" s="40"/>
      <c r="G1033" s="41" t="s">
        <v>1040</v>
      </c>
      <c r="H1033" s="42">
        <v>42</v>
      </c>
      <c r="I1033" s="43">
        <v>22</v>
      </c>
      <c r="J1033" s="44">
        <v>32.159999999999997</v>
      </c>
      <c r="K1033" s="45">
        <v>81</v>
      </c>
      <c r="L1033" s="43">
        <v>36</v>
      </c>
      <c r="M1033" s="46">
        <v>17.82</v>
      </c>
      <c r="N1033" s="40" t="s">
        <v>1039</v>
      </c>
      <c r="O1033" s="42">
        <v>42</v>
      </c>
      <c r="P1033" s="43">
        <v>22</v>
      </c>
      <c r="Q1033" s="44">
        <v>47.82</v>
      </c>
      <c r="R1033" s="45">
        <v>81</v>
      </c>
      <c r="S1033" s="43">
        <v>33</v>
      </c>
      <c r="T1033" s="46">
        <v>39.90</v>
      </c>
      <c r="U1033" s="40">
        <v>6</v>
      </c>
      <c r="V1033" s="47">
        <v>11958.33</v>
      </c>
      <c r="W1033" s="48">
        <v>1999</v>
      </c>
      <c r="X1033" s="40"/>
      <c r="Y1033" s="53"/>
      <c r="Z1033" s="40" t="s">
        <v>910</v>
      </c>
      <c r="AA1033" s="49">
        <f t="shared" si="151"/>
        <v>414116.96790000005</v>
      </c>
      <c r="AB1033" s="71">
        <f t="shared" si="152"/>
        <v>0.62</v>
      </c>
      <c r="AC1033" s="49">
        <f t="shared" si="153"/>
        <v>157364.45000000001</v>
      </c>
      <c r="AD1033" s="50">
        <f t="shared" si="154"/>
        <v>0</v>
      </c>
      <c r="AE1033" s="50">
        <f t="shared" si="155"/>
        <v>0</v>
      </c>
      <c r="AF1033" s="50">
        <f t="shared" si="156"/>
        <v>157364.45000000001</v>
      </c>
      <c r="AG1033" s="199">
        <f t="shared" si="157"/>
        <v>157364</v>
      </c>
      <c r="AH1033" s="187"/>
      <c r="AI1033" s="185" t="s">
        <v>1461</v>
      </c>
      <c r="AJ1033" s="185"/>
      <c r="AK1033" s="277">
        <f t="shared" si="150"/>
        <v>11958.33</v>
      </c>
      <c r="AL1033" s="25">
        <f>(SUMIFS('T1 2019 Pipeline Data Lagasco'!$O:$O,'T1 2019 Pipeline Data Lagasco'!$A:$A,'Dec 31 2018 OFFS'!$AI1033,'T1 2019 Pipeline Data Lagasco'!$Q:$Q,'Dec 31 2018 OFFS'!$AK1033,'T1 2019 Pipeline Data Lagasco'!$E:$E,'Dec 31 2018 OFFS'!$U1033,'T1 2019 Pipeline Data Lagasco'!$G:$G,'Dec 31 2018 OFFS'!$W1033))/(MAX(COUNTIFS('T1 2019 Pipeline Data Lagasco'!$A:$A,'Dec 31 2018 OFFS'!$AI1033,'T1 2019 Pipeline Data Lagasco'!$Q:$Q,'Dec 31 2018 OFFS'!$AK1033,'T1 2019 Pipeline Data Lagasco'!$E:$E,'Dec 31 2018 OFFS'!$U1033,'T1 2019 Pipeline Data Lagasco'!$G:$G,'Dec 31 2018 OFFS'!$W1033),1))</f>
        <v>157364</v>
      </c>
      <c r="AM1033" s="274">
        <f t="shared" si="158"/>
        <v>0</v>
      </c>
    </row>
    <row r="1034" spans="1:39" ht="12.7">
      <c r="A1034" s="193" t="s">
        <v>909</v>
      </c>
      <c r="B1034" s="40" t="s">
        <v>917</v>
      </c>
      <c r="C1034" s="40" t="s">
        <v>921</v>
      </c>
      <c r="D1034" s="40" t="s">
        <v>784</v>
      </c>
      <c r="E1034" s="40" t="s">
        <v>1054</v>
      </c>
      <c r="F1034" s="40"/>
      <c r="G1034" s="41" t="s">
        <v>1041</v>
      </c>
      <c r="H1034" s="42">
        <v>42</v>
      </c>
      <c r="I1034" s="43">
        <v>22</v>
      </c>
      <c r="J1034" s="44">
        <v>15.96</v>
      </c>
      <c r="K1034" s="45">
        <v>81</v>
      </c>
      <c r="L1034" s="43">
        <v>38</v>
      </c>
      <c r="M1034" s="46">
        <v>55.56</v>
      </c>
      <c r="N1034" s="40" t="s">
        <v>1040</v>
      </c>
      <c r="O1034" s="42">
        <v>42</v>
      </c>
      <c r="P1034" s="43">
        <v>22</v>
      </c>
      <c r="Q1034" s="44">
        <v>32.159999999999997</v>
      </c>
      <c r="R1034" s="45">
        <v>81</v>
      </c>
      <c r="S1034" s="43">
        <v>36</v>
      </c>
      <c r="T1034" s="46">
        <v>17.82</v>
      </c>
      <c r="U1034" s="40">
        <v>6</v>
      </c>
      <c r="V1034" s="47">
        <v>11953.21</v>
      </c>
      <c r="W1034" s="48">
        <v>1999</v>
      </c>
      <c r="X1034" s="40"/>
      <c r="Y1034" s="53"/>
      <c r="Z1034" s="40" t="s">
        <v>910</v>
      </c>
      <c r="AA1034" s="49">
        <f t="shared" si="151"/>
        <v>413939.66230000003</v>
      </c>
      <c r="AB1034" s="71">
        <f t="shared" si="152"/>
        <v>0.62</v>
      </c>
      <c r="AC1034" s="49">
        <f t="shared" si="153"/>
        <v>157297.07</v>
      </c>
      <c r="AD1034" s="50">
        <f t="shared" si="154"/>
        <v>0</v>
      </c>
      <c r="AE1034" s="50">
        <f t="shared" si="155"/>
        <v>0</v>
      </c>
      <c r="AF1034" s="50">
        <f t="shared" si="156"/>
        <v>157297.07</v>
      </c>
      <c r="AG1034" s="199">
        <f t="shared" si="157"/>
        <v>157297</v>
      </c>
      <c r="AH1034" s="187"/>
      <c r="AI1034" s="185" t="s">
        <v>1461</v>
      </c>
      <c r="AJ1034" s="185"/>
      <c r="AK1034" s="277">
        <f t="shared" si="150"/>
        <v>11953.21</v>
      </c>
      <c r="AL1034" s="25">
        <f>(SUMIFS('T1 2019 Pipeline Data Lagasco'!$O:$O,'T1 2019 Pipeline Data Lagasco'!$A:$A,'Dec 31 2018 OFFS'!$AI1034,'T1 2019 Pipeline Data Lagasco'!$Q:$Q,'Dec 31 2018 OFFS'!$AK1034,'T1 2019 Pipeline Data Lagasco'!$E:$E,'Dec 31 2018 OFFS'!$U1034,'T1 2019 Pipeline Data Lagasco'!$G:$G,'Dec 31 2018 OFFS'!$W1034))/(MAX(COUNTIFS('T1 2019 Pipeline Data Lagasco'!$A:$A,'Dec 31 2018 OFFS'!$AI1034,'T1 2019 Pipeline Data Lagasco'!$Q:$Q,'Dec 31 2018 OFFS'!$AK1034,'T1 2019 Pipeline Data Lagasco'!$E:$E,'Dec 31 2018 OFFS'!$U1034,'T1 2019 Pipeline Data Lagasco'!$G:$G,'Dec 31 2018 OFFS'!$W1034),1))</f>
        <v>157297</v>
      </c>
      <c r="AM1034" s="274">
        <f t="shared" si="158"/>
        <v>0</v>
      </c>
    </row>
    <row r="1035" spans="1:39" ht="12.7">
      <c r="A1035" s="193" t="s">
        <v>909</v>
      </c>
      <c r="B1035" s="40" t="s">
        <v>917</v>
      </c>
      <c r="C1035" s="40" t="s">
        <v>921</v>
      </c>
      <c r="D1035" s="40" t="s">
        <v>784</v>
      </c>
      <c r="E1035" s="40" t="s">
        <v>1054</v>
      </c>
      <c r="F1035" s="40"/>
      <c r="G1035" s="41" t="s">
        <v>1042</v>
      </c>
      <c r="H1035" s="42">
        <v>42</v>
      </c>
      <c r="I1035" s="43">
        <v>21</v>
      </c>
      <c r="J1035" s="44">
        <v>55.938000000000002</v>
      </c>
      <c r="K1035" s="45">
        <v>81</v>
      </c>
      <c r="L1035" s="43">
        <v>42</v>
      </c>
      <c r="M1035" s="46">
        <v>6.675</v>
      </c>
      <c r="N1035" s="40" t="s">
        <v>1043</v>
      </c>
      <c r="O1035" s="42">
        <v>42</v>
      </c>
      <c r="P1035" s="43">
        <v>21</v>
      </c>
      <c r="Q1035" s="44">
        <v>59.70</v>
      </c>
      <c r="R1035" s="45">
        <v>81</v>
      </c>
      <c r="S1035" s="43">
        <v>41</v>
      </c>
      <c r="T1035" s="46">
        <v>33.06</v>
      </c>
      <c r="U1035" s="40">
        <v>6</v>
      </c>
      <c r="V1035" s="47">
        <v>2552.0700000000002</v>
      </c>
      <c r="W1035" s="48">
        <v>1999</v>
      </c>
      <c r="X1035" s="40"/>
      <c r="Y1035" s="53"/>
      <c r="Z1035" s="40" t="s">
        <v>910</v>
      </c>
      <c r="AA1035" s="49">
        <f t="shared" si="151"/>
        <v>88378.184100000013</v>
      </c>
      <c r="AB1035" s="71">
        <f t="shared" si="152"/>
        <v>0.62</v>
      </c>
      <c r="AC1035" s="49">
        <f t="shared" si="153"/>
        <v>33583.71</v>
      </c>
      <c r="AD1035" s="50">
        <f t="shared" si="154"/>
        <v>0</v>
      </c>
      <c r="AE1035" s="50">
        <f t="shared" si="155"/>
        <v>0</v>
      </c>
      <c r="AF1035" s="50">
        <f t="shared" si="156"/>
        <v>33583.71</v>
      </c>
      <c r="AG1035" s="199">
        <f t="shared" si="157"/>
        <v>33583</v>
      </c>
      <c r="AH1035" s="187"/>
      <c r="AI1035" s="185" t="s">
        <v>1461</v>
      </c>
      <c r="AJ1035" s="185"/>
      <c r="AK1035" s="277">
        <f t="shared" si="150"/>
        <v>2552.0700000000002</v>
      </c>
      <c r="AL1035" s="25">
        <f>(SUMIFS('T1 2019 Pipeline Data Lagasco'!$O:$O,'T1 2019 Pipeline Data Lagasco'!$A:$A,'Dec 31 2018 OFFS'!$AI1035,'T1 2019 Pipeline Data Lagasco'!$Q:$Q,'Dec 31 2018 OFFS'!$AK1035,'T1 2019 Pipeline Data Lagasco'!$E:$E,'Dec 31 2018 OFFS'!$U1035,'T1 2019 Pipeline Data Lagasco'!$G:$G,'Dec 31 2018 OFFS'!$W1035))/(MAX(COUNTIFS('T1 2019 Pipeline Data Lagasco'!$A:$A,'Dec 31 2018 OFFS'!$AI1035,'T1 2019 Pipeline Data Lagasco'!$Q:$Q,'Dec 31 2018 OFFS'!$AK1035,'T1 2019 Pipeline Data Lagasco'!$E:$E,'Dec 31 2018 OFFS'!$U1035,'T1 2019 Pipeline Data Lagasco'!$G:$G,'Dec 31 2018 OFFS'!$W1035),1))</f>
        <v>33583</v>
      </c>
      <c r="AM1035" s="274">
        <f t="shared" si="158"/>
        <v>0</v>
      </c>
    </row>
    <row r="1036" spans="1:39" ht="12.7">
      <c r="A1036" s="193" t="s">
        <v>909</v>
      </c>
      <c r="B1036" s="40" t="s">
        <v>917</v>
      </c>
      <c r="C1036" s="40" t="s">
        <v>921</v>
      </c>
      <c r="D1036" s="40" t="s">
        <v>784</v>
      </c>
      <c r="E1036" s="40" t="s">
        <v>1054</v>
      </c>
      <c r="F1036" s="40"/>
      <c r="G1036" s="41" t="s">
        <v>1043</v>
      </c>
      <c r="H1036" s="42">
        <v>42</v>
      </c>
      <c r="I1036" s="43">
        <v>21</v>
      </c>
      <c r="J1036" s="44">
        <v>59.70</v>
      </c>
      <c r="K1036" s="45">
        <v>81</v>
      </c>
      <c r="L1036" s="43">
        <v>41</v>
      </c>
      <c r="M1036" s="46">
        <v>33.06</v>
      </c>
      <c r="N1036" s="40" t="s">
        <v>1041</v>
      </c>
      <c r="O1036" s="42">
        <v>42</v>
      </c>
      <c r="P1036" s="43">
        <v>22</v>
      </c>
      <c r="Q1036" s="44">
        <v>15.96</v>
      </c>
      <c r="R1036" s="45">
        <v>81</v>
      </c>
      <c r="S1036" s="43">
        <v>38</v>
      </c>
      <c r="T1036" s="46">
        <v>55.56</v>
      </c>
      <c r="U1036" s="40">
        <v>6</v>
      </c>
      <c r="V1036" s="47">
        <v>11937.07</v>
      </c>
      <c r="W1036" s="48">
        <v>1999</v>
      </c>
      <c r="X1036" s="40"/>
      <c r="Y1036" s="53"/>
      <c r="Z1036" s="40" t="s">
        <v>910</v>
      </c>
      <c r="AA1036" s="49">
        <f t="shared" si="151"/>
        <v>413380.7341</v>
      </c>
      <c r="AB1036" s="71">
        <f t="shared" si="152"/>
        <v>0.62</v>
      </c>
      <c r="AC1036" s="49">
        <f t="shared" si="153"/>
        <v>157084.68</v>
      </c>
      <c r="AD1036" s="50">
        <f t="shared" si="154"/>
        <v>0</v>
      </c>
      <c r="AE1036" s="50">
        <f t="shared" si="155"/>
        <v>0</v>
      </c>
      <c r="AF1036" s="50">
        <f t="shared" si="156"/>
        <v>157084.68</v>
      </c>
      <c r="AG1036" s="199">
        <f t="shared" si="157"/>
        <v>157084</v>
      </c>
      <c r="AH1036" s="187"/>
      <c r="AI1036" s="185" t="s">
        <v>1461</v>
      </c>
      <c r="AJ1036" s="185"/>
      <c r="AK1036" s="277">
        <f t="shared" si="150"/>
        <v>11937.07</v>
      </c>
      <c r="AL1036" s="25">
        <f>(SUMIFS('T1 2019 Pipeline Data Lagasco'!$O:$O,'T1 2019 Pipeline Data Lagasco'!$A:$A,'Dec 31 2018 OFFS'!$AI1036,'T1 2019 Pipeline Data Lagasco'!$Q:$Q,'Dec 31 2018 OFFS'!$AK1036,'T1 2019 Pipeline Data Lagasco'!$E:$E,'Dec 31 2018 OFFS'!$U1036,'T1 2019 Pipeline Data Lagasco'!$G:$G,'Dec 31 2018 OFFS'!$W1036))/(MAX(COUNTIFS('T1 2019 Pipeline Data Lagasco'!$A:$A,'Dec 31 2018 OFFS'!$AI1036,'T1 2019 Pipeline Data Lagasco'!$Q:$Q,'Dec 31 2018 OFFS'!$AK1036,'T1 2019 Pipeline Data Lagasco'!$E:$E,'Dec 31 2018 OFFS'!$U1036,'T1 2019 Pipeline Data Lagasco'!$G:$G,'Dec 31 2018 OFFS'!$W1036),1))</f>
        <v>157084</v>
      </c>
      <c r="AM1036" s="274">
        <f t="shared" si="158"/>
        <v>0</v>
      </c>
    </row>
    <row r="1037" spans="1:39" ht="12.7">
      <c r="A1037" s="193" t="s">
        <v>909</v>
      </c>
      <c r="B1037" s="40" t="s">
        <v>917</v>
      </c>
      <c r="C1037" s="40" t="s">
        <v>921</v>
      </c>
      <c r="D1037" s="40" t="s">
        <v>784</v>
      </c>
      <c r="E1037" s="40" t="s">
        <v>783</v>
      </c>
      <c r="F1037" s="139" t="s">
        <v>1051</v>
      </c>
      <c r="G1037" s="40" t="s">
        <v>1177</v>
      </c>
      <c r="H1037" s="42">
        <v>42</v>
      </c>
      <c r="I1037" s="43">
        <v>11</v>
      </c>
      <c r="J1037" s="44">
        <v>20.34</v>
      </c>
      <c r="K1037" s="45">
        <v>81</v>
      </c>
      <c r="L1037" s="43">
        <v>23</v>
      </c>
      <c r="M1037" s="46">
        <v>47.70</v>
      </c>
      <c r="N1037" s="40" t="s">
        <v>1113</v>
      </c>
      <c r="O1037" s="42" t="s">
        <v>78</v>
      </c>
      <c r="P1037" s="43" t="s">
        <v>1114</v>
      </c>
      <c r="Q1037" s="44" t="s">
        <v>1115</v>
      </c>
      <c r="R1037" s="45" t="s">
        <v>969</v>
      </c>
      <c r="S1037" s="43" t="s">
        <v>998</v>
      </c>
      <c r="T1037" s="46" t="s">
        <v>1116</v>
      </c>
      <c r="U1037" s="40">
        <v>3</v>
      </c>
      <c r="V1037" s="47">
        <v>5317</v>
      </c>
      <c r="W1037" s="48">
        <v>2003</v>
      </c>
      <c r="X1037" s="40"/>
      <c r="Y1037" s="53" t="s">
        <v>1082</v>
      </c>
      <c r="Z1037" s="40" t="s">
        <v>910</v>
      </c>
      <c r="AA1037" s="49">
        <f t="shared" si="151"/>
        <v>0</v>
      </c>
      <c r="AB1037" s="71">
        <f t="shared" si="152"/>
        <v>0.56999999999999995</v>
      </c>
      <c r="AC1037" s="49">
        <f t="shared" si="153"/>
        <v>0</v>
      </c>
      <c r="AD1037" s="50">
        <f t="shared" si="154"/>
        <v>0</v>
      </c>
      <c r="AE1037" s="50">
        <f t="shared" si="155"/>
        <v>0</v>
      </c>
      <c r="AF1037" s="50">
        <f t="shared" si="156"/>
        <v>0</v>
      </c>
      <c r="AG1037" s="199">
        <f t="shared" si="157"/>
        <v>0</v>
      </c>
      <c r="AH1037" s="187"/>
      <c r="AI1037" s="185" t="s">
        <v>1461</v>
      </c>
      <c r="AJ1037" s="185"/>
      <c r="AK1037" s="277">
        <f t="shared" si="150"/>
        <v>5317</v>
      </c>
      <c r="AL1037" s="25">
        <f>(SUMIFS('T1 2019 Pipeline Data Lagasco'!$O:$O,'T1 2019 Pipeline Data Lagasco'!$A:$A,'Dec 31 2018 OFFS'!$AI1037,'T1 2019 Pipeline Data Lagasco'!$Q:$Q,'Dec 31 2018 OFFS'!$AK1037,'T1 2019 Pipeline Data Lagasco'!$E:$E,'Dec 31 2018 OFFS'!$U1037,'T1 2019 Pipeline Data Lagasco'!$G:$G,'Dec 31 2018 OFFS'!$W1037))/(MAX(COUNTIFS('T1 2019 Pipeline Data Lagasco'!$A:$A,'Dec 31 2018 OFFS'!$AI1037,'T1 2019 Pipeline Data Lagasco'!$Q:$Q,'Dec 31 2018 OFFS'!$AK1037,'T1 2019 Pipeline Data Lagasco'!$E:$E,'Dec 31 2018 OFFS'!$U1037,'T1 2019 Pipeline Data Lagasco'!$G:$G,'Dec 31 2018 OFFS'!$W1037),1))</f>
        <v>0</v>
      </c>
      <c r="AM1037" s="274">
        <f t="shared" si="158"/>
        <v>0</v>
      </c>
    </row>
    <row r="1038" spans="1:39" ht="12.7">
      <c r="A1038" s="193" t="s">
        <v>909</v>
      </c>
      <c r="B1038" s="40" t="s">
        <v>917</v>
      </c>
      <c r="C1038" s="40" t="s">
        <v>921</v>
      </c>
      <c r="D1038" s="40" t="s">
        <v>784</v>
      </c>
      <c r="E1038" s="40" t="s">
        <v>783</v>
      </c>
      <c r="F1038" s="40"/>
      <c r="G1038" s="41" t="s">
        <v>787</v>
      </c>
      <c r="H1038" s="42">
        <v>42</v>
      </c>
      <c r="I1038" s="43">
        <v>13</v>
      </c>
      <c r="J1038" s="44">
        <v>52.98</v>
      </c>
      <c r="K1038" s="45">
        <v>81</v>
      </c>
      <c r="L1038" s="43">
        <v>27</v>
      </c>
      <c r="M1038" s="46">
        <v>23.82</v>
      </c>
      <c r="N1038" s="40" t="s">
        <v>788</v>
      </c>
      <c r="O1038" s="42">
        <v>42</v>
      </c>
      <c r="P1038" s="43">
        <v>13</v>
      </c>
      <c r="Q1038" s="44">
        <v>49.62</v>
      </c>
      <c r="R1038" s="45">
        <v>81</v>
      </c>
      <c r="S1038" s="43">
        <v>24</v>
      </c>
      <c r="T1038" s="46">
        <v>21.78</v>
      </c>
      <c r="U1038" s="40">
        <v>4</v>
      </c>
      <c r="V1038" s="47">
        <v>13698.982542909998</v>
      </c>
      <c r="W1038" s="48">
        <v>1984</v>
      </c>
      <c r="X1038" s="40"/>
      <c r="Y1038" s="53" t="s">
        <v>1082</v>
      </c>
      <c r="Z1038" s="40" t="s">
        <v>910</v>
      </c>
      <c r="AA1038" s="49">
        <f t="shared" si="151"/>
        <v>362338.08825996943</v>
      </c>
      <c r="AB1038" s="71">
        <f t="shared" si="152"/>
        <v>0.80</v>
      </c>
      <c r="AC1038" s="49">
        <f t="shared" si="153"/>
        <v>72467.62</v>
      </c>
      <c r="AD1038" s="50">
        <f t="shared" si="154"/>
        <v>0</v>
      </c>
      <c r="AE1038" s="50">
        <f t="shared" si="155"/>
        <v>0</v>
      </c>
      <c r="AF1038" s="50">
        <f t="shared" si="156"/>
        <v>72467.62</v>
      </c>
      <c r="AG1038" s="199">
        <f t="shared" si="157"/>
        <v>72467</v>
      </c>
      <c r="AH1038" s="187"/>
      <c r="AI1038" s="185" t="s">
        <v>1461</v>
      </c>
      <c r="AJ1038" s="185"/>
      <c r="AK1038" s="277">
        <f t="shared" si="150"/>
        <v>13698.98</v>
      </c>
      <c r="AL1038" s="25">
        <f>(SUMIFS('T1 2019 Pipeline Data Lagasco'!$O:$O,'T1 2019 Pipeline Data Lagasco'!$A:$A,'Dec 31 2018 OFFS'!$AI1038,'T1 2019 Pipeline Data Lagasco'!$Q:$Q,'Dec 31 2018 OFFS'!$AK1038,'T1 2019 Pipeline Data Lagasco'!$E:$E,'Dec 31 2018 OFFS'!$U1038,'T1 2019 Pipeline Data Lagasco'!$G:$G,'Dec 31 2018 OFFS'!$W1038))/(MAX(COUNTIFS('T1 2019 Pipeline Data Lagasco'!$A:$A,'Dec 31 2018 OFFS'!$AI1038,'T1 2019 Pipeline Data Lagasco'!$Q:$Q,'Dec 31 2018 OFFS'!$AK1038,'T1 2019 Pipeline Data Lagasco'!$E:$E,'Dec 31 2018 OFFS'!$U1038,'T1 2019 Pipeline Data Lagasco'!$G:$G,'Dec 31 2018 OFFS'!$W1038),1))</f>
        <v>72467</v>
      </c>
      <c r="AM1038" s="274">
        <f t="shared" si="158"/>
        <v>0</v>
      </c>
    </row>
    <row r="1039" spans="1:39" ht="12.7">
      <c r="A1039" s="193" t="s">
        <v>909</v>
      </c>
      <c r="B1039" s="40" t="s">
        <v>917</v>
      </c>
      <c r="C1039" s="40" t="s">
        <v>921</v>
      </c>
      <c r="D1039" s="40" t="s">
        <v>784</v>
      </c>
      <c r="E1039" s="40" t="s">
        <v>783</v>
      </c>
      <c r="F1039" s="40"/>
      <c r="G1039" s="41" t="s">
        <v>787</v>
      </c>
      <c r="H1039" s="42">
        <v>42</v>
      </c>
      <c r="I1039" s="43">
        <v>13</v>
      </c>
      <c r="J1039" s="44">
        <v>52.98</v>
      </c>
      <c r="K1039" s="45">
        <v>81</v>
      </c>
      <c r="L1039" s="43">
        <v>27</v>
      </c>
      <c r="M1039" s="46">
        <v>23.82</v>
      </c>
      <c r="N1039" s="40" t="s">
        <v>789</v>
      </c>
      <c r="O1039" s="42">
        <v>42</v>
      </c>
      <c r="P1039" s="43">
        <v>13</v>
      </c>
      <c r="Q1039" s="44">
        <v>14.46</v>
      </c>
      <c r="R1039" s="45">
        <v>81</v>
      </c>
      <c r="S1039" s="43">
        <v>26</v>
      </c>
      <c r="T1039" s="46">
        <v>50.10</v>
      </c>
      <c r="U1039" s="40">
        <v>4</v>
      </c>
      <c r="V1039" s="47">
        <v>4651.9027524200001</v>
      </c>
      <c r="W1039" s="48">
        <v>1984</v>
      </c>
      <c r="X1039" s="40"/>
      <c r="Y1039" s="53" t="s">
        <v>1082</v>
      </c>
      <c r="Z1039" s="40" t="s">
        <v>910</v>
      </c>
      <c r="AA1039" s="49">
        <f t="shared" si="151"/>
        <v>123042.827801509</v>
      </c>
      <c r="AB1039" s="71">
        <f t="shared" si="152"/>
        <v>0.80</v>
      </c>
      <c r="AC1039" s="49">
        <f t="shared" si="153"/>
        <v>24608.57</v>
      </c>
      <c r="AD1039" s="50">
        <f t="shared" si="154"/>
        <v>0</v>
      </c>
      <c r="AE1039" s="50">
        <f t="shared" si="155"/>
        <v>0</v>
      </c>
      <c r="AF1039" s="50">
        <f t="shared" si="156"/>
        <v>24608.57</v>
      </c>
      <c r="AG1039" s="199">
        <f t="shared" si="157"/>
        <v>24608</v>
      </c>
      <c r="AH1039" s="187"/>
      <c r="AI1039" s="185" t="s">
        <v>1461</v>
      </c>
      <c r="AJ1039" s="185"/>
      <c r="AK1039" s="277">
        <f t="shared" si="150"/>
        <v>4651.8999999999996</v>
      </c>
      <c r="AL1039" s="25">
        <f>(SUMIFS('T1 2019 Pipeline Data Lagasco'!$O:$O,'T1 2019 Pipeline Data Lagasco'!$A:$A,'Dec 31 2018 OFFS'!$AI1039,'T1 2019 Pipeline Data Lagasco'!$Q:$Q,'Dec 31 2018 OFFS'!$AK1039,'T1 2019 Pipeline Data Lagasco'!$E:$E,'Dec 31 2018 OFFS'!$U1039,'T1 2019 Pipeline Data Lagasco'!$G:$G,'Dec 31 2018 OFFS'!$W1039))/(MAX(COUNTIFS('T1 2019 Pipeline Data Lagasco'!$A:$A,'Dec 31 2018 OFFS'!$AI1039,'T1 2019 Pipeline Data Lagasco'!$Q:$Q,'Dec 31 2018 OFFS'!$AK1039,'T1 2019 Pipeline Data Lagasco'!$E:$E,'Dec 31 2018 OFFS'!$U1039,'T1 2019 Pipeline Data Lagasco'!$G:$G,'Dec 31 2018 OFFS'!$W1039),1))</f>
        <v>24608</v>
      </c>
      <c r="AM1039" s="274">
        <f t="shared" si="158"/>
        <v>0</v>
      </c>
    </row>
    <row r="1040" spans="1:39" ht="12.7">
      <c r="A1040" s="193" t="s">
        <v>909</v>
      </c>
      <c r="B1040" s="40" t="s">
        <v>917</v>
      </c>
      <c r="C1040" s="40" t="s">
        <v>921</v>
      </c>
      <c r="D1040" s="40" t="s">
        <v>784</v>
      </c>
      <c r="E1040" s="40" t="s">
        <v>783</v>
      </c>
      <c r="F1040" s="40"/>
      <c r="G1040" s="41" t="s">
        <v>789</v>
      </c>
      <c r="H1040" s="42">
        <v>42</v>
      </c>
      <c r="I1040" s="43">
        <v>13</v>
      </c>
      <c r="J1040" s="44">
        <v>14.46</v>
      </c>
      <c r="K1040" s="45">
        <v>81</v>
      </c>
      <c r="L1040" s="43">
        <v>26</v>
      </c>
      <c r="M1040" s="46">
        <v>50.10</v>
      </c>
      <c r="N1040" s="40" t="s">
        <v>781</v>
      </c>
      <c r="O1040" s="42">
        <v>42</v>
      </c>
      <c r="P1040" s="43">
        <v>11</v>
      </c>
      <c r="Q1040" s="44">
        <v>41.34</v>
      </c>
      <c r="R1040" s="45">
        <v>81</v>
      </c>
      <c r="S1040" s="43">
        <v>25</v>
      </c>
      <c r="T1040" s="46">
        <v>43.56</v>
      </c>
      <c r="U1040" s="40">
        <v>4</v>
      </c>
      <c r="V1040" s="47">
        <v>10673.752971727999</v>
      </c>
      <c r="W1040" s="48">
        <v>1984</v>
      </c>
      <c r="X1040" s="40"/>
      <c r="Y1040" s="53" t="s">
        <v>1082</v>
      </c>
      <c r="Z1040" s="40" t="s">
        <v>910</v>
      </c>
      <c r="AA1040" s="49">
        <f t="shared" si="151"/>
        <v>282320.76610220555</v>
      </c>
      <c r="AB1040" s="71">
        <f t="shared" si="152"/>
        <v>0.80</v>
      </c>
      <c r="AC1040" s="49">
        <f t="shared" si="153"/>
        <v>56464.15</v>
      </c>
      <c r="AD1040" s="50">
        <f t="shared" si="154"/>
        <v>0</v>
      </c>
      <c r="AE1040" s="50">
        <f t="shared" si="155"/>
        <v>0</v>
      </c>
      <c r="AF1040" s="50">
        <f t="shared" si="156"/>
        <v>56464.15</v>
      </c>
      <c r="AG1040" s="199">
        <f t="shared" si="157"/>
        <v>56464</v>
      </c>
      <c r="AH1040" s="187"/>
      <c r="AI1040" s="185" t="s">
        <v>1461</v>
      </c>
      <c r="AJ1040" s="185"/>
      <c r="AK1040" s="277">
        <f t="shared" si="150"/>
        <v>10673.75</v>
      </c>
      <c r="AL1040" s="25">
        <f>(SUMIFS('T1 2019 Pipeline Data Lagasco'!$O:$O,'T1 2019 Pipeline Data Lagasco'!$A:$A,'Dec 31 2018 OFFS'!$AI1040,'T1 2019 Pipeline Data Lagasco'!$Q:$Q,'Dec 31 2018 OFFS'!$AK1040,'T1 2019 Pipeline Data Lagasco'!$E:$E,'Dec 31 2018 OFFS'!$U1040,'T1 2019 Pipeline Data Lagasco'!$G:$G,'Dec 31 2018 OFFS'!$W1040))/(MAX(COUNTIFS('T1 2019 Pipeline Data Lagasco'!$A:$A,'Dec 31 2018 OFFS'!$AI1040,'T1 2019 Pipeline Data Lagasco'!$Q:$Q,'Dec 31 2018 OFFS'!$AK1040,'T1 2019 Pipeline Data Lagasco'!$E:$E,'Dec 31 2018 OFFS'!$U1040,'T1 2019 Pipeline Data Lagasco'!$G:$G,'Dec 31 2018 OFFS'!$W1040),1))</f>
        <v>56464</v>
      </c>
      <c r="AM1040" s="274">
        <f t="shared" si="158"/>
        <v>0</v>
      </c>
    </row>
    <row r="1041" spans="1:39" ht="12.7">
      <c r="A1041" s="193" t="s">
        <v>909</v>
      </c>
      <c r="B1041" s="40" t="s">
        <v>917</v>
      </c>
      <c r="C1041" s="40" t="s">
        <v>921</v>
      </c>
      <c r="D1041" s="40" t="s">
        <v>784</v>
      </c>
      <c r="E1041" s="40" t="s">
        <v>783</v>
      </c>
      <c r="F1041" s="40"/>
      <c r="G1041" s="41" t="s">
        <v>1107</v>
      </c>
      <c r="H1041" s="42" t="s">
        <v>78</v>
      </c>
      <c r="I1041" s="43" t="s">
        <v>1000</v>
      </c>
      <c r="J1041" s="44" t="s">
        <v>1111</v>
      </c>
      <c r="K1041" s="45" t="s">
        <v>969</v>
      </c>
      <c r="L1041" s="43" t="s">
        <v>199</v>
      </c>
      <c r="M1041" s="46" t="s">
        <v>1112</v>
      </c>
      <c r="N1041" s="40" t="s">
        <v>1109</v>
      </c>
      <c r="O1041" s="42" t="s">
        <v>78</v>
      </c>
      <c r="P1041" s="43" t="s">
        <v>1000</v>
      </c>
      <c r="Q1041" s="44" t="s">
        <v>1110</v>
      </c>
      <c r="R1041" s="45" t="s">
        <v>969</v>
      </c>
      <c r="S1041" s="43" t="s">
        <v>199</v>
      </c>
      <c r="T1041" s="46" t="s">
        <v>1108</v>
      </c>
      <c r="U1041" s="40">
        <v>4</v>
      </c>
      <c r="V1041" s="47">
        <v>1680</v>
      </c>
      <c r="W1041" s="48">
        <v>1994</v>
      </c>
      <c r="X1041" s="40"/>
      <c r="Y1041" s="53" t="s">
        <v>1082</v>
      </c>
      <c r="Z1041" s="40" t="s">
        <v>910</v>
      </c>
      <c r="AA1041" s="49">
        <f t="shared" si="151"/>
        <v>44436</v>
      </c>
      <c r="AB1041" s="71">
        <f t="shared" si="152"/>
        <v>0.68</v>
      </c>
      <c r="AC1041" s="49">
        <f t="shared" si="153"/>
        <v>14219.52</v>
      </c>
      <c r="AD1041" s="50">
        <f t="shared" si="154"/>
        <v>0</v>
      </c>
      <c r="AE1041" s="50">
        <f t="shared" si="155"/>
        <v>0</v>
      </c>
      <c r="AF1041" s="50">
        <f t="shared" si="156"/>
        <v>14219.52</v>
      </c>
      <c r="AG1041" s="199">
        <f t="shared" si="157"/>
        <v>14219</v>
      </c>
      <c r="AH1041" s="187"/>
      <c r="AI1041" s="185" t="s">
        <v>1461</v>
      </c>
      <c r="AJ1041" s="185"/>
      <c r="AK1041" s="277">
        <f t="shared" si="150"/>
        <v>1680</v>
      </c>
      <c r="AL1041" s="25">
        <f>(SUMIFS('T1 2019 Pipeline Data Lagasco'!$O:$O,'T1 2019 Pipeline Data Lagasco'!$A:$A,'Dec 31 2018 OFFS'!$AI1041,'T1 2019 Pipeline Data Lagasco'!$Q:$Q,'Dec 31 2018 OFFS'!$AK1041,'T1 2019 Pipeline Data Lagasco'!$E:$E,'Dec 31 2018 OFFS'!$U1041,'T1 2019 Pipeline Data Lagasco'!$G:$G,'Dec 31 2018 OFFS'!$W1041))/(MAX(COUNTIFS('T1 2019 Pipeline Data Lagasco'!$A:$A,'Dec 31 2018 OFFS'!$AI1041,'T1 2019 Pipeline Data Lagasco'!$Q:$Q,'Dec 31 2018 OFFS'!$AK1041,'T1 2019 Pipeline Data Lagasco'!$E:$E,'Dec 31 2018 OFFS'!$U1041,'T1 2019 Pipeline Data Lagasco'!$G:$G,'Dec 31 2018 OFFS'!$W1041),1))</f>
        <v>14219</v>
      </c>
      <c r="AM1041" s="274">
        <f t="shared" si="158"/>
        <v>0</v>
      </c>
    </row>
    <row r="1042" spans="1:39" ht="12.7">
      <c r="A1042" s="200" t="s">
        <v>909</v>
      </c>
      <c r="B1042" s="201" t="s">
        <v>917</v>
      </c>
      <c r="C1042" s="201" t="s">
        <v>921</v>
      </c>
      <c r="D1042" s="201" t="s">
        <v>784</v>
      </c>
      <c r="E1042" s="201" t="s">
        <v>783</v>
      </c>
      <c r="F1042" s="202" t="s">
        <v>1051</v>
      </c>
      <c r="G1042" s="208" t="s">
        <v>1181</v>
      </c>
      <c r="H1042" s="203" t="s">
        <v>78</v>
      </c>
      <c r="I1042" s="204" t="s">
        <v>1000</v>
      </c>
      <c r="J1042" s="205">
        <v>52.02</v>
      </c>
      <c r="K1042" s="206" t="s">
        <v>969</v>
      </c>
      <c r="L1042" s="204" t="s">
        <v>199</v>
      </c>
      <c r="M1042" s="207">
        <v>51</v>
      </c>
      <c r="N1042" s="201" t="s">
        <v>1109</v>
      </c>
      <c r="O1042" s="203" t="s">
        <v>78</v>
      </c>
      <c r="P1042" s="204" t="s">
        <v>1000</v>
      </c>
      <c r="Q1042" s="205" t="s">
        <v>1110</v>
      </c>
      <c r="R1042" s="206" t="s">
        <v>969</v>
      </c>
      <c r="S1042" s="204" t="s">
        <v>199</v>
      </c>
      <c r="T1042" s="207" t="s">
        <v>1108</v>
      </c>
      <c r="U1042" s="201">
        <v>3</v>
      </c>
      <c r="V1042" s="209">
        <v>755</v>
      </c>
      <c r="W1042" s="210">
        <v>2003</v>
      </c>
      <c r="X1042" s="201"/>
      <c r="Y1042" s="53" t="s">
        <v>1082</v>
      </c>
      <c r="Z1042" s="201" t="s">
        <v>910</v>
      </c>
      <c r="AA1042" s="211">
        <f t="shared" si="151"/>
        <v>0</v>
      </c>
      <c r="AB1042" s="212">
        <f t="shared" si="152"/>
        <v>0.56999999999999995</v>
      </c>
      <c r="AC1042" s="211">
        <f t="shared" si="153"/>
        <v>0</v>
      </c>
      <c r="AD1042" s="213">
        <f t="shared" si="154"/>
        <v>0</v>
      </c>
      <c r="AE1042" s="213">
        <f t="shared" si="155"/>
        <v>0</v>
      </c>
      <c r="AF1042" s="213">
        <f t="shared" si="156"/>
        <v>0</v>
      </c>
      <c r="AG1042" s="214">
        <f t="shared" si="157"/>
        <v>0</v>
      </c>
      <c r="AH1042" s="215"/>
      <c r="AI1042" s="216" t="s">
        <v>1461</v>
      </c>
      <c r="AJ1042" s="216" t="s">
        <v>1560</v>
      </c>
      <c r="AK1042" s="283">
        <f t="shared" si="150"/>
        <v>755</v>
      </c>
      <c r="AL1042" s="25">
        <f>(SUMIFS('T1 2019 Pipeline Data Lagasco'!$O:$O,'T1 2019 Pipeline Data Lagasco'!$A:$A,'Dec 31 2018 OFFS'!$AI1042,'T1 2019 Pipeline Data Lagasco'!$Q:$Q,'Dec 31 2018 OFFS'!$AK1042,'T1 2019 Pipeline Data Lagasco'!$E:$E,'Dec 31 2018 OFFS'!$U1042,'T1 2019 Pipeline Data Lagasco'!$G:$G,'Dec 31 2018 OFFS'!$W1042))/(MAX(COUNTIFS('T1 2019 Pipeline Data Lagasco'!$A:$A,'Dec 31 2018 OFFS'!$AI1042,'T1 2019 Pipeline Data Lagasco'!$Q:$Q,'Dec 31 2018 OFFS'!$AK1042,'T1 2019 Pipeline Data Lagasco'!$E:$E,'Dec 31 2018 OFFS'!$U1042,'T1 2019 Pipeline Data Lagasco'!$G:$G,'Dec 31 2018 OFFS'!$W1042),1))</f>
        <v>0</v>
      </c>
      <c r="AM1042" s="285">
        <f t="shared" si="158"/>
        <v>0</v>
      </c>
    </row>
    <row r="1043" spans="1:39" ht="12.7">
      <c r="A1043" s="193" t="s">
        <v>909</v>
      </c>
      <c r="B1043" s="40" t="s">
        <v>917</v>
      </c>
      <c r="C1043" s="40" t="s">
        <v>921</v>
      </c>
      <c r="D1043" s="40" t="s">
        <v>784</v>
      </c>
      <c r="E1043" s="40" t="s">
        <v>783</v>
      </c>
      <c r="F1043" s="139" t="s">
        <v>1051</v>
      </c>
      <c r="G1043" s="41" t="s">
        <v>1128</v>
      </c>
      <c r="H1043" s="42" t="s">
        <v>78</v>
      </c>
      <c r="I1043" s="43">
        <v>11</v>
      </c>
      <c r="J1043" s="44">
        <v>53.70</v>
      </c>
      <c r="K1043" s="45" t="s">
        <v>969</v>
      </c>
      <c r="L1043" s="43">
        <v>27</v>
      </c>
      <c r="M1043" s="46">
        <v>25.38</v>
      </c>
      <c r="N1043" s="41" t="s">
        <v>1129</v>
      </c>
      <c r="O1043" s="42" t="s">
        <v>78</v>
      </c>
      <c r="P1043" s="43">
        <v>11</v>
      </c>
      <c r="Q1043" s="44">
        <v>19.38</v>
      </c>
      <c r="R1043" s="45" t="s">
        <v>969</v>
      </c>
      <c r="S1043" s="43">
        <v>28</v>
      </c>
      <c r="T1043" s="46">
        <v>15.72</v>
      </c>
      <c r="U1043" s="40">
        <v>3</v>
      </c>
      <c r="V1043" s="47">
        <v>5128</v>
      </c>
      <c r="W1043" s="48">
        <v>2001</v>
      </c>
      <c r="X1043" s="40"/>
      <c r="Y1043" s="53" t="s">
        <v>1082</v>
      </c>
      <c r="Z1043" s="40" t="s">
        <v>910</v>
      </c>
      <c r="AA1043" s="49">
        <f t="shared" si="151"/>
        <v>0</v>
      </c>
      <c r="AB1043" s="71">
        <f t="shared" si="152"/>
        <v>0.59</v>
      </c>
      <c r="AC1043" s="49">
        <f t="shared" si="153"/>
        <v>0</v>
      </c>
      <c r="AD1043" s="50">
        <f t="shared" si="154"/>
        <v>0</v>
      </c>
      <c r="AE1043" s="50">
        <f t="shared" si="155"/>
        <v>0</v>
      </c>
      <c r="AF1043" s="50">
        <f t="shared" si="156"/>
        <v>0</v>
      </c>
      <c r="AG1043" s="199">
        <f t="shared" si="157"/>
        <v>0</v>
      </c>
      <c r="AH1043" s="187"/>
      <c r="AI1043" s="185" t="s">
        <v>1461</v>
      </c>
      <c r="AJ1043" s="185"/>
      <c r="AK1043" s="277">
        <f t="shared" si="150"/>
        <v>5128</v>
      </c>
      <c r="AL1043" s="25">
        <f>(SUMIFS('T1 2019 Pipeline Data Lagasco'!$O:$O,'T1 2019 Pipeline Data Lagasco'!$A:$A,'Dec 31 2018 OFFS'!$AI1043,'T1 2019 Pipeline Data Lagasco'!$Q:$Q,'Dec 31 2018 OFFS'!$AK1043,'T1 2019 Pipeline Data Lagasco'!$E:$E,'Dec 31 2018 OFFS'!$U1043,'T1 2019 Pipeline Data Lagasco'!$G:$G,'Dec 31 2018 OFFS'!$W1043))/(MAX(COUNTIFS('T1 2019 Pipeline Data Lagasco'!$A:$A,'Dec 31 2018 OFFS'!$AI1043,'T1 2019 Pipeline Data Lagasco'!$Q:$Q,'Dec 31 2018 OFFS'!$AK1043,'T1 2019 Pipeline Data Lagasco'!$E:$E,'Dec 31 2018 OFFS'!$U1043,'T1 2019 Pipeline Data Lagasco'!$G:$G,'Dec 31 2018 OFFS'!$W1043),1))</f>
        <v>0</v>
      </c>
      <c r="AM1043" s="274">
        <f t="shared" si="158"/>
        <v>0</v>
      </c>
    </row>
    <row r="1044" spans="1:39" ht="12.7">
      <c r="A1044" s="193" t="s">
        <v>909</v>
      </c>
      <c r="B1044" s="40" t="s">
        <v>917</v>
      </c>
      <c r="C1044" s="40" t="s">
        <v>921</v>
      </c>
      <c r="D1044" s="40" t="s">
        <v>784</v>
      </c>
      <c r="E1044" s="40" t="s">
        <v>783</v>
      </c>
      <c r="F1044" s="139" t="s">
        <v>1051</v>
      </c>
      <c r="G1044" s="41" t="s">
        <v>1126</v>
      </c>
      <c r="H1044" s="42" t="s">
        <v>78</v>
      </c>
      <c r="I1044" s="43">
        <v>11</v>
      </c>
      <c r="J1044" s="44">
        <v>34.68</v>
      </c>
      <c r="K1044" s="45" t="s">
        <v>969</v>
      </c>
      <c r="L1044" s="43">
        <v>25</v>
      </c>
      <c r="M1044" s="46">
        <v>0.96</v>
      </c>
      <c r="N1044" s="41" t="s">
        <v>1127</v>
      </c>
      <c r="O1044" s="42" t="s">
        <v>78</v>
      </c>
      <c r="P1044" s="43">
        <v>11</v>
      </c>
      <c r="Q1044" s="44">
        <v>50.88</v>
      </c>
      <c r="R1044" s="45" t="s">
        <v>969</v>
      </c>
      <c r="S1044" s="43">
        <v>25</v>
      </c>
      <c r="T1044" s="46">
        <v>3.84</v>
      </c>
      <c r="U1044" s="40">
        <v>3</v>
      </c>
      <c r="V1044" s="47">
        <v>1652</v>
      </c>
      <c r="W1044" s="48">
        <v>2001</v>
      </c>
      <c r="X1044" s="40"/>
      <c r="Y1044" s="53" t="s">
        <v>1082</v>
      </c>
      <c r="Z1044" s="40" t="s">
        <v>910</v>
      </c>
      <c r="AA1044" s="49">
        <f t="shared" si="151"/>
        <v>0</v>
      </c>
      <c r="AB1044" s="71">
        <f t="shared" si="152"/>
        <v>0.59</v>
      </c>
      <c r="AC1044" s="49">
        <f t="shared" si="153"/>
        <v>0</v>
      </c>
      <c r="AD1044" s="50">
        <f t="shared" si="154"/>
        <v>0</v>
      </c>
      <c r="AE1044" s="50">
        <f t="shared" si="155"/>
        <v>0</v>
      </c>
      <c r="AF1044" s="50">
        <f t="shared" si="156"/>
        <v>0</v>
      </c>
      <c r="AG1044" s="199">
        <f t="shared" si="157"/>
        <v>0</v>
      </c>
      <c r="AH1044" s="187"/>
      <c r="AI1044" s="185" t="s">
        <v>1461</v>
      </c>
      <c r="AJ1044" s="185"/>
      <c r="AK1044" s="277">
        <f t="shared" si="150"/>
        <v>1652</v>
      </c>
      <c r="AL1044" s="25">
        <f>(SUMIFS('T1 2019 Pipeline Data Lagasco'!$O:$O,'T1 2019 Pipeline Data Lagasco'!$A:$A,'Dec 31 2018 OFFS'!$AI1044,'T1 2019 Pipeline Data Lagasco'!$Q:$Q,'Dec 31 2018 OFFS'!$AK1044,'T1 2019 Pipeline Data Lagasco'!$E:$E,'Dec 31 2018 OFFS'!$U1044,'T1 2019 Pipeline Data Lagasco'!$G:$G,'Dec 31 2018 OFFS'!$W1044))/(MAX(COUNTIFS('T1 2019 Pipeline Data Lagasco'!$A:$A,'Dec 31 2018 OFFS'!$AI1044,'T1 2019 Pipeline Data Lagasco'!$Q:$Q,'Dec 31 2018 OFFS'!$AK1044,'T1 2019 Pipeline Data Lagasco'!$E:$E,'Dec 31 2018 OFFS'!$U1044,'T1 2019 Pipeline Data Lagasco'!$G:$G,'Dec 31 2018 OFFS'!$W1044),1))</f>
        <v>0</v>
      </c>
      <c r="AM1044" s="274">
        <f t="shared" si="158"/>
        <v>0</v>
      </c>
    </row>
    <row r="1045" spans="1:39" ht="12.7">
      <c r="A1045" s="193" t="s">
        <v>909</v>
      </c>
      <c r="B1045" s="40" t="s">
        <v>917</v>
      </c>
      <c r="C1045" s="40" t="s">
        <v>921</v>
      </c>
      <c r="D1045" s="40" t="s">
        <v>784</v>
      </c>
      <c r="E1045" s="40" t="s">
        <v>783</v>
      </c>
      <c r="F1045" s="139" t="s">
        <v>1051</v>
      </c>
      <c r="G1045" s="41" t="s">
        <v>781</v>
      </c>
      <c r="H1045" s="42">
        <v>42</v>
      </c>
      <c r="I1045" s="43">
        <v>11</v>
      </c>
      <c r="J1045" s="44">
        <v>41.34</v>
      </c>
      <c r="K1045" s="45">
        <v>81</v>
      </c>
      <c r="L1045" s="43">
        <v>25</v>
      </c>
      <c r="M1045" s="46">
        <v>43.56</v>
      </c>
      <c r="N1045" s="41" t="s">
        <v>782</v>
      </c>
      <c r="O1045" s="42">
        <v>42</v>
      </c>
      <c r="P1045" s="43">
        <v>11</v>
      </c>
      <c r="Q1045" s="44">
        <v>45</v>
      </c>
      <c r="R1045" s="45">
        <v>81</v>
      </c>
      <c r="S1045" s="43">
        <v>26</v>
      </c>
      <c r="T1045" s="46">
        <v>15</v>
      </c>
      <c r="U1045" s="40">
        <v>3</v>
      </c>
      <c r="V1045" s="47">
        <v>2395.3739463779998</v>
      </c>
      <c r="W1045" s="48">
        <v>1984</v>
      </c>
      <c r="X1045" s="40"/>
      <c r="Y1045" s="53" t="s">
        <v>1082</v>
      </c>
      <c r="Z1045" s="40" t="s">
        <v>910</v>
      </c>
      <c r="AA1045" s="49">
        <f t="shared" si="151"/>
        <v>0</v>
      </c>
      <c r="AB1045" s="71">
        <f t="shared" si="152"/>
        <v>0.80</v>
      </c>
      <c r="AC1045" s="49">
        <f t="shared" si="153"/>
        <v>0</v>
      </c>
      <c r="AD1045" s="50">
        <f t="shared" si="154"/>
        <v>0</v>
      </c>
      <c r="AE1045" s="50">
        <f t="shared" si="155"/>
        <v>0</v>
      </c>
      <c r="AF1045" s="50">
        <f t="shared" si="156"/>
        <v>0</v>
      </c>
      <c r="AG1045" s="199">
        <f t="shared" si="157"/>
        <v>0</v>
      </c>
      <c r="AH1045" s="187"/>
      <c r="AI1045" s="185" t="s">
        <v>1461</v>
      </c>
      <c r="AJ1045" s="185"/>
      <c r="AK1045" s="277">
        <f t="shared" si="150"/>
        <v>2395.37</v>
      </c>
      <c r="AL1045" s="25">
        <f>(SUMIFS('T1 2019 Pipeline Data Lagasco'!$O:$O,'T1 2019 Pipeline Data Lagasco'!$A:$A,'Dec 31 2018 OFFS'!$AI1045,'T1 2019 Pipeline Data Lagasco'!$Q:$Q,'Dec 31 2018 OFFS'!$AK1045,'T1 2019 Pipeline Data Lagasco'!$E:$E,'Dec 31 2018 OFFS'!$U1045,'T1 2019 Pipeline Data Lagasco'!$G:$G,'Dec 31 2018 OFFS'!$W1045))/(MAX(COUNTIFS('T1 2019 Pipeline Data Lagasco'!$A:$A,'Dec 31 2018 OFFS'!$AI1045,'T1 2019 Pipeline Data Lagasco'!$Q:$Q,'Dec 31 2018 OFFS'!$AK1045,'T1 2019 Pipeline Data Lagasco'!$E:$E,'Dec 31 2018 OFFS'!$U1045,'T1 2019 Pipeline Data Lagasco'!$G:$G,'Dec 31 2018 OFFS'!$W1045),1))</f>
        <v>0</v>
      </c>
      <c r="AM1045" s="274">
        <f t="shared" si="158"/>
        <v>0</v>
      </c>
    </row>
    <row r="1046" spans="1:39" ht="12.7">
      <c r="A1046" s="193" t="s">
        <v>909</v>
      </c>
      <c r="B1046" s="40" t="s">
        <v>917</v>
      </c>
      <c r="C1046" s="40" t="s">
        <v>921</v>
      </c>
      <c r="D1046" s="40" t="s">
        <v>784</v>
      </c>
      <c r="E1046" s="40" t="s">
        <v>783</v>
      </c>
      <c r="F1046" s="40"/>
      <c r="G1046" s="40" t="s">
        <v>781</v>
      </c>
      <c r="H1046" s="42">
        <v>42</v>
      </c>
      <c r="I1046" s="43">
        <v>11</v>
      </c>
      <c r="J1046" s="44">
        <v>41.34</v>
      </c>
      <c r="K1046" s="45">
        <v>81</v>
      </c>
      <c r="L1046" s="43">
        <v>25</v>
      </c>
      <c r="M1046" s="46">
        <v>43.56</v>
      </c>
      <c r="N1046" s="40" t="s">
        <v>1113</v>
      </c>
      <c r="O1046" s="42" t="s">
        <v>78</v>
      </c>
      <c r="P1046" s="43" t="s">
        <v>1114</v>
      </c>
      <c r="Q1046" s="44" t="s">
        <v>1115</v>
      </c>
      <c r="R1046" s="45" t="s">
        <v>969</v>
      </c>
      <c r="S1046" s="43" t="s">
        <v>998</v>
      </c>
      <c r="T1046" s="46" t="s">
        <v>1116</v>
      </c>
      <c r="U1046" s="40">
        <v>4</v>
      </c>
      <c r="V1046" s="47">
        <v>5130</v>
      </c>
      <c r="W1046" s="48">
        <v>1994</v>
      </c>
      <c r="X1046" s="40"/>
      <c r="Y1046" s="53" t="s">
        <v>1082</v>
      </c>
      <c r="Z1046" s="40" t="s">
        <v>910</v>
      </c>
      <c r="AA1046" s="49">
        <f t="shared" si="151"/>
        <v>135688.50</v>
      </c>
      <c r="AB1046" s="71">
        <f t="shared" si="152"/>
        <v>0.68</v>
      </c>
      <c r="AC1046" s="49">
        <f t="shared" si="153"/>
        <v>43420.32</v>
      </c>
      <c r="AD1046" s="50">
        <f t="shared" si="154"/>
        <v>0</v>
      </c>
      <c r="AE1046" s="50">
        <f t="shared" si="155"/>
        <v>0</v>
      </c>
      <c r="AF1046" s="50">
        <f t="shared" si="156"/>
        <v>43420.32</v>
      </c>
      <c r="AG1046" s="199">
        <f t="shared" si="157"/>
        <v>43420</v>
      </c>
      <c r="AH1046" s="187"/>
      <c r="AI1046" s="185" t="s">
        <v>1461</v>
      </c>
      <c r="AJ1046" s="185"/>
      <c r="AK1046" s="277">
        <f t="shared" si="150"/>
        <v>5130</v>
      </c>
      <c r="AL1046" s="25">
        <f>(SUMIFS('T1 2019 Pipeline Data Lagasco'!$O:$O,'T1 2019 Pipeline Data Lagasco'!$A:$A,'Dec 31 2018 OFFS'!$AI1046,'T1 2019 Pipeline Data Lagasco'!$Q:$Q,'Dec 31 2018 OFFS'!$AK1046,'T1 2019 Pipeline Data Lagasco'!$E:$E,'Dec 31 2018 OFFS'!$U1046,'T1 2019 Pipeline Data Lagasco'!$G:$G,'Dec 31 2018 OFFS'!$W1046))/(MAX(COUNTIFS('T1 2019 Pipeline Data Lagasco'!$A:$A,'Dec 31 2018 OFFS'!$AI1046,'T1 2019 Pipeline Data Lagasco'!$Q:$Q,'Dec 31 2018 OFFS'!$AK1046,'T1 2019 Pipeline Data Lagasco'!$E:$E,'Dec 31 2018 OFFS'!$U1046,'T1 2019 Pipeline Data Lagasco'!$G:$G,'Dec 31 2018 OFFS'!$W1046),1))</f>
        <v>43420</v>
      </c>
      <c r="AM1046" s="274">
        <f t="shared" si="158"/>
        <v>0</v>
      </c>
    </row>
    <row r="1047" spans="1:39" ht="12.7">
      <c r="A1047" s="193" t="s">
        <v>909</v>
      </c>
      <c r="B1047" s="40" t="s">
        <v>917</v>
      </c>
      <c r="C1047" s="40" t="s">
        <v>921</v>
      </c>
      <c r="D1047" s="40" t="s">
        <v>784</v>
      </c>
      <c r="E1047" s="40" t="s">
        <v>783</v>
      </c>
      <c r="F1047" s="40"/>
      <c r="G1047" s="41" t="s">
        <v>1161</v>
      </c>
      <c r="H1047" s="42">
        <v>42</v>
      </c>
      <c r="I1047" s="43">
        <v>10</v>
      </c>
      <c r="J1047" s="44">
        <v>34.56</v>
      </c>
      <c r="K1047" s="45">
        <v>81</v>
      </c>
      <c r="L1047" s="43">
        <v>26</v>
      </c>
      <c r="M1047" s="46">
        <v>4.62</v>
      </c>
      <c r="N1047" s="41" t="s">
        <v>1162</v>
      </c>
      <c r="O1047" s="42">
        <v>42</v>
      </c>
      <c r="P1047" s="43">
        <v>11</v>
      </c>
      <c r="Q1047" s="44">
        <v>41.40</v>
      </c>
      <c r="R1047" s="45">
        <v>81</v>
      </c>
      <c r="S1047" s="43">
        <v>25</v>
      </c>
      <c r="T1047" s="46">
        <v>43.56</v>
      </c>
      <c r="U1047" s="40">
        <v>3</v>
      </c>
      <c r="V1047" s="47">
        <v>6941</v>
      </c>
      <c r="W1047" s="48">
        <v>2002</v>
      </c>
      <c r="X1047" s="40"/>
      <c r="Y1047" s="53" t="s">
        <v>1082</v>
      </c>
      <c r="Z1047" s="40" t="s">
        <v>910</v>
      </c>
      <c r="AA1047" s="49">
        <f t="shared" si="151"/>
        <v>163738.19</v>
      </c>
      <c r="AB1047" s="71">
        <f t="shared" si="152"/>
        <v>0.56999999999999995</v>
      </c>
      <c r="AC1047" s="49">
        <f t="shared" si="153"/>
        <v>70407.42</v>
      </c>
      <c r="AD1047" s="50">
        <f t="shared" si="154"/>
        <v>0</v>
      </c>
      <c r="AE1047" s="50">
        <f t="shared" si="155"/>
        <v>0</v>
      </c>
      <c r="AF1047" s="50">
        <f t="shared" si="156"/>
        <v>70407.42</v>
      </c>
      <c r="AG1047" s="199">
        <f t="shared" si="157"/>
        <v>70407</v>
      </c>
      <c r="AH1047" s="187"/>
      <c r="AI1047" s="185" t="s">
        <v>1461</v>
      </c>
      <c r="AJ1047" s="185"/>
      <c r="AK1047" s="277">
        <f t="shared" si="150"/>
        <v>6941</v>
      </c>
      <c r="AL1047" s="25">
        <f>(SUMIFS('T1 2019 Pipeline Data Lagasco'!$O:$O,'T1 2019 Pipeline Data Lagasco'!$A:$A,'Dec 31 2018 OFFS'!$AI1047,'T1 2019 Pipeline Data Lagasco'!$Q:$Q,'Dec 31 2018 OFFS'!$AK1047,'T1 2019 Pipeline Data Lagasco'!$E:$E,'Dec 31 2018 OFFS'!$U1047,'T1 2019 Pipeline Data Lagasco'!$G:$G,'Dec 31 2018 OFFS'!$W1047))/(MAX(COUNTIFS('T1 2019 Pipeline Data Lagasco'!$A:$A,'Dec 31 2018 OFFS'!$AI1047,'T1 2019 Pipeline Data Lagasco'!$Q:$Q,'Dec 31 2018 OFFS'!$AK1047,'T1 2019 Pipeline Data Lagasco'!$E:$E,'Dec 31 2018 OFFS'!$U1047,'T1 2019 Pipeline Data Lagasco'!$G:$G,'Dec 31 2018 OFFS'!$W1047),1))</f>
        <v>70407</v>
      </c>
      <c r="AM1047" s="274">
        <f t="shared" si="158"/>
        <v>0</v>
      </c>
    </row>
    <row r="1048" spans="1:39" ht="12.7">
      <c r="A1048" s="193" t="s">
        <v>909</v>
      </c>
      <c r="B1048" s="40" t="s">
        <v>917</v>
      </c>
      <c r="C1048" s="40" t="s">
        <v>921</v>
      </c>
      <c r="D1048" s="40" t="s">
        <v>784</v>
      </c>
      <c r="E1048" s="40" t="s">
        <v>783</v>
      </c>
      <c r="F1048" s="40" t="s">
        <v>1051</v>
      </c>
      <c r="G1048" s="40" t="s">
        <v>786</v>
      </c>
      <c r="H1048" s="42">
        <v>42</v>
      </c>
      <c r="I1048" s="43">
        <v>14</v>
      </c>
      <c r="J1048" s="44">
        <v>16.88</v>
      </c>
      <c r="K1048" s="45">
        <v>81</v>
      </c>
      <c r="L1048" s="43">
        <v>32</v>
      </c>
      <c r="M1048" s="46">
        <v>14.89</v>
      </c>
      <c r="N1048" s="41" t="s">
        <v>787</v>
      </c>
      <c r="O1048" s="42">
        <v>42</v>
      </c>
      <c r="P1048" s="43">
        <v>13</v>
      </c>
      <c r="Q1048" s="44">
        <v>52.98</v>
      </c>
      <c r="R1048" s="45">
        <v>81</v>
      </c>
      <c r="S1048" s="43">
        <v>27</v>
      </c>
      <c r="T1048" s="46">
        <v>23.82</v>
      </c>
      <c r="U1048" s="40">
        <v>4</v>
      </c>
      <c r="V1048" s="47">
        <v>22029.067603508</v>
      </c>
      <c r="W1048" s="48">
        <v>1984</v>
      </c>
      <c r="X1048" s="40"/>
      <c r="Y1048" s="53" t="s">
        <v>1082</v>
      </c>
      <c r="Z1048" s="40" t="s">
        <v>910</v>
      </c>
      <c r="AA1048" s="49">
        <f t="shared" si="151"/>
        <v>0</v>
      </c>
      <c r="AB1048" s="71">
        <f t="shared" si="152"/>
        <v>0.80</v>
      </c>
      <c r="AC1048" s="49">
        <f t="shared" si="153"/>
        <v>0</v>
      </c>
      <c r="AD1048" s="50">
        <f t="shared" si="154"/>
        <v>0</v>
      </c>
      <c r="AE1048" s="50">
        <f t="shared" si="155"/>
        <v>0</v>
      </c>
      <c r="AF1048" s="50">
        <f t="shared" si="156"/>
        <v>0</v>
      </c>
      <c r="AG1048" s="199">
        <f t="shared" si="157"/>
        <v>0</v>
      </c>
      <c r="AH1048" s="187"/>
      <c r="AI1048" s="185" t="s">
        <v>1461</v>
      </c>
      <c r="AJ1048" s="185"/>
      <c r="AK1048" s="277">
        <f t="shared" si="150"/>
        <v>22029.07</v>
      </c>
      <c r="AL1048" s="25">
        <f>(SUMIFS('T1 2019 Pipeline Data Lagasco'!$O:$O,'T1 2019 Pipeline Data Lagasco'!$A:$A,'Dec 31 2018 OFFS'!$AI1048,'T1 2019 Pipeline Data Lagasco'!$Q:$Q,'Dec 31 2018 OFFS'!$AK1048,'T1 2019 Pipeline Data Lagasco'!$E:$E,'Dec 31 2018 OFFS'!$U1048,'T1 2019 Pipeline Data Lagasco'!$G:$G,'Dec 31 2018 OFFS'!$W1048))/(MAX(COUNTIFS('T1 2019 Pipeline Data Lagasco'!$A:$A,'Dec 31 2018 OFFS'!$AI1048,'T1 2019 Pipeline Data Lagasco'!$Q:$Q,'Dec 31 2018 OFFS'!$AK1048,'T1 2019 Pipeline Data Lagasco'!$E:$E,'Dec 31 2018 OFFS'!$U1048,'T1 2019 Pipeline Data Lagasco'!$G:$G,'Dec 31 2018 OFFS'!$W1048),1))</f>
        <v>0</v>
      </c>
      <c r="AM1048" s="274">
        <f t="shared" si="158"/>
        <v>0</v>
      </c>
    </row>
    <row r="1049" spans="1:39" ht="12.7">
      <c r="A1049" s="193" t="s">
        <v>909</v>
      </c>
      <c r="B1049" s="40" t="s">
        <v>917</v>
      </c>
      <c r="C1049" s="40" t="s">
        <v>921</v>
      </c>
      <c r="D1049" s="40" t="s">
        <v>784</v>
      </c>
      <c r="E1049" s="40" t="s">
        <v>783</v>
      </c>
      <c r="F1049" s="139" t="s">
        <v>1051</v>
      </c>
      <c r="G1049" s="40" t="s">
        <v>1318</v>
      </c>
      <c r="H1049" s="42" t="s">
        <v>78</v>
      </c>
      <c r="I1049" s="43">
        <v>13</v>
      </c>
      <c r="J1049" s="44">
        <v>33.119999999999997</v>
      </c>
      <c r="K1049" s="45" t="s">
        <v>969</v>
      </c>
      <c r="L1049" s="43">
        <v>29</v>
      </c>
      <c r="M1049" s="46">
        <v>17.52</v>
      </c>
      <c r="N1049" s="41" t="s">
        <v>1320</v>
      </c>
      <c r="O1049" s="42" t="s">
        <v>78</v>
      </c>
      <c r="P1049" s="43">
        <v>14</v>
      </c>
      <c r="Q1049" s="44">
        <v>1.3939999999999999</v>
      </c>
      <c r="R1049" s="45" t="s">
        <v>969</v>
      </c>
      <c r="S1049" s="43">
        <v>29</v>
      </c>
      <c r="T1049" s="46">
        <v>15.186</v>
      </c>
      <c r="U1049" s="40">
        <v>3</v>
      </c>
      <c r="V1049" s="47">
        <v>2879</v>
      </c>
      <c r="W1049" s="48">
        <v>2000</v>
      </c>
      <c r="X1049" s="40"/>
      <c r="Y1049" s="53" t="s">
        <v>1082</v>
      </c>
      <c r="Z1049" s="40" t="s">
        <v>910</v>
      </c>
      <c r="AA1049" s="49">
        <f t="shared" si="151"/>
        <v>0</v>
      </c>
      <c r="AB1049" s="71">
        <f t="shared" si="152"/>
        <v>0.61</v>
      </c>
      <c r="AC1049" s="49">
        <f t="shared" si="153"/>
        <v>0</v>
      </c>
      <c r="AD1049" s="50">
        <f t="shared" si="154"/>
        <v>0</v>
      </c>
      <c r="AE1049" s="50">
        <f t="shared" si="155"/>
        <v>0</v>
      </c>
      <c r="AF1049" s="50">
        <f t="shared" si="156"/>
        <v>0</v>
      </c>
      <c r="AG1049" s="199">
        <f t="shared" si="157"/>
        <v>0</v>
      </c>
      <c r="AH1049" s="187"/>
      <c r="AI1049" s="185" t="s">
        <v>1461</v>
      </c>
      <c r="AJ1049" s="185"/>
      <c r="AK1049" s="277">
        <f t="shared" si="150"/>
        <v>2879</v>
      </c>
      <c r="AL1049" s="25">
        <f>(SUMIFS('T1 2019 Pipeline Data Lagasco'!$O:$O,'T1 2019 Pipeline Data Lagasco'!$A:$A,'Dec 31 2018 OFFS'!$AI1049,'T1 2019 Pipeline Data Lagasco'!$Q:$Q,'Dec 31 2018 OFFS'!$AK1049,'T1 2019 Pipeline Data Lagasco'!$E:$E,'Dec 31 2018 OFFS'!$U1049,'T1 2019 Pipeline Data Lagasco'!$G:$G,'Dec 31 2018 OFFS'!$W1049))/(MAX(COUNTIFS('T1 2019 Pipeline Data Lagasco'!$A:$A,'Dec 31 2018 OFFS'!$AI1049,'T1 2019 Pipeline Data Lagasco'!$Q:$Q,'Dec 31 2018 OFFS'!$AK1049,'T1 2019 Pipeline Data Lagasco'!$E:$E,'Dec 31 2018 OFFS'!$U1049,'T1 2019 Pipeline Data Lagasco'!$G:$G,'Dec 31 2018 OFFS'!$W1049),1))</f>
        <v>0</v>
      </c>
      <c r="AM1049" s="274">
        <f t="shared" si="158"/>
        <v>0</v>
      </c>
    </row>
    <row r="1050" spans="1:39" ht="12.7">
      <c r="A1050" s="193" t="s">
        <v>909</v>
      </c>
      <c r="B1050" s="40" t="s">
        <v>917</v>
      </c>
      <c r="C1050" s="40" t="s">
        <v>921</v>
      </c>
      <c r="D1050" s="40" t="s">
        <v>784</v>
      </c>
      <c r="E1050" s="40" t="s">
        <v>783</v>
      </c>
      <c r="F1050" s="40" t="s">
        <v>1051</v>
      </c>
      <c r="G1050" s="40" t="s">
        <v>1319</v>
      </c>
      <c r="H1050" s="42" t="s">
        <v>78</v>
      </c>
      <c r="I1050" s="43">
        <v>14</v>
      </c>
      <c r="J1050" s="44">
        <v>19.260000000000002</v>
      </c>
      <c r="K1050" s="45" t="s">
        <v>969</v>
      </c>
      <c r="L1050" s="43">
        <v>29</v>
      </c>
      <c r="M1050" s="46">
        <v>56.04</v>
      </c>
      <c r="N1050" s="41" t="s">
        <v>1317</v>
      </c>
      <c r="O1050" s="42" t="s">
        <v>78</v>
      </c>
      <c r="P1050" s="43">
        <v>14</v>
      </c>
      <c r="Q1050" s="44">
        <v>3.90</v>
      </c>
      <c r="R1050" s="45" t="s">
        <v>969</v>
      </c>
      <c r="S1050" s="43">
        <v>29</v>
      </c>
      <c r="T1050" s="46">
        <v>56.82</v>
      </c>
      <c r="U1050" s="40">
        <v>3</v>
      </c>
      <c r="V1050" s="47">
        <v>1567</v>
      </c>
      <c r="W1050" s="48">
        <v>2008</v>
      </c>
      <c r="X1050" s="40"/>
      <c r="Y1050" s="53" t="s">
        <v>1082</v>
      </c>
      <c r="Z1050" s="40" t="s">
        <v>910</v>
      </c>
      <c r="AA1050" s="49">
        <f t="shared" si="151"/>
        <v>0</v>
      </c>
      <c r="AB1050" s="71">
        <f t="shared" si="152"/>
        <v>0.49</v>
      </c>
      <c r="AC1050" s="49">
        <f t="shared" si="153"/>
        <v>0</v>
      </c>
      <c r="AD1050" s="50">
        <f t="shared" si="154"/>
        <v>0</v>
      </c>
      <c r="AE1050" s="50">
        <f t="shared" si="155"/>
        <v>0</v>
      </c>
      <c r="AF1050" s="50">
        <f t="shared" si="156"/>
        <v>0</v>
      </c>
      <c r="AG1050" s="199">
        <f t="shared" si="157"/>
        <v>0</v>
      </c>
      <c r="AH1050" s="187"/>
      <c r="AI1050" s="185" t="s">
        <v>1461</v>
      </c>
      <c r="AJ1050" s="185"/>
      <c r="AK1050" s="277">
        <f t="shared" si="150"/>
        <v>1567</v>
      </c>
      <c r="AL1050" s="25">
        <f>(SUMIFS('T1 2019 Pipeline Data Lagasco'!$O:$O,'T1 2019 Pipeline Data Lagasco'!$A:$A,'Dec 31 2018 OFFS'!$AI1050,'T1 2019 Pipeline Data Lagasco'!$Q:$Q,'Dec 31 2018 OFFS'!$AK1050,'T1 2019 Pipeline Data Lagasco'!$E:$E,'Dec 31 2018 OFFS'!$U1050,'T1 2019 Pipeline Data Lagasco'!$G:$G,'Dec 31 2018 OFFS'!$W1050))/(MAX(COUNTIFS('T1 2019 Pipeline Data Lagasco'!$A:$A,'Dec 31 2018 OFFS'!$AI1050,'T1 2019 Pipeline Data Lagasco'!$Q:$Q,'Dec 31 2018 OFFS'!$AK1050,'T1 2019 Pipeline Data Lagasco'!$E:$E,'Dec 31 2018 OFFS'!$U1050,'T1 2019 Pipeline Data Lagasco'!$G:$G,'Dec 31 2018 OFFS'!$W1050),1))</f>
        <v>0</v>
      </c>
      <c r="AM1050" s="274">
        <f t="shared" si="158"/>
        <v>0</v>
      </c>
    </row>
    <row r="1051" spans="1:39" ht="12.7">
      <c r="A1051" s="193" t="s">
        <v>909</v>
      </c>
      <c r="B1051" s="40" t="s">
        <v>917</v>
      </c>
      <c r="C1051" s="40" t="s">
        <v>921</v>
      </c>
      <c r="D1051" s="40" t="s">
        <v>784</v>
      </c>
      <c r="E1051" s="40" t="s">
        <v>783</v>
      </c>
      <c r="F1051" s="40"/>
      <c r="G1051" s="41" t="s">
        <v>1131</v>
      </c>
      <c r="H1051" s="42" t="s">
        <v>78</v>
      </c>
      <c r="I1051" s="43">
        <v>11</v>
      </c>
      <c r="J1051" s="44">
        <v>41.34</v>
      </c>
      <c r="K1051" s="45" t="s">
        <v>969</v>
      </c>
      <c r="L1051" s="43">
        <v>25</v>
      </c>
      <c r="M1051" s="46">
        <v>43.56</v>
      </c>
      <c r="N1051" s="41" t="s">
        <v>1132</v>
      </c>
      <c r="O1051" s="42" t="s">
        <v>78</v>
      </c>
      <c r="P1051" s="43">
        <v>11</v>
      </c>
      <c r="Q1051" s="44">
        <v>19.920000000000002</v>
      </c>
      <c r="R1051" s="45" t="s">
        <v>969</v>
      </c>
      <c r="S1051" s="43">
        <v>28</v>
      </c>
      <c r="T1051" s="46">
        <v>15.60</v>
      </c>
      <c r="U1051" s="40">
        <v>6</v>
      </c>
      <c r="V1051" s="47">
        <v>11739</v>
      </c>
      <c r="W1051" s="48">
        <v>2001</v>
      </c>
      <c r="X1051" s="40" t="s">
        <v>2</v>
      </c>
      <c r="Y1051" s="53" t="s">
        <v>1082</v>
      </c>
      <c r="Z1051" s="40" t="s">
        <v>910</v>
      </c>
      <c r="AA1051" s="49">
        <f t="shared" si="151"/>
        <v>406521.57</v>
      </c>
      <c r="AB1051" s="71">
        <f t="shared" si="152"/>
        <v>0.59</v>
      </c>
      <c r="AC1051" s="49">
        <f t="shared" si="153"/>
        <v>166673.84</v>
      </c>
      <c r="AD1051" s="50">
        <f t="shared" si="154"/>
        <v>41668.46</v>
      </c>
      <c r="AE1051" s="50">
        <f t="shared" si="155"/>
        <v>0</v>
      </c>
      <c r="AF1051" s="50">
        <f t="shared" si="156"/>
        <v>125005.38</v>
      </c>
      <c r="AG1051" s="199">
        <f t="shared" si="157"/>
        <v>125005</v>
      </c>
      <c r="AH1051" s="187">
        <f>SUM(AF1031:AF1051)</f>
        <v>934703.13</v>
      </c>
      <c r="AI1051" s="185" t="s">
        <v>1461</v>
      </c>
      <c r="AJ1051" s="185"/>
      <c r="AK1051" s="277">
        <f t="shared" si="150"/>
        <v>11739</v>
      </c>
      <c r="AL1051" s="25">
        <f>(SUMIFS('T1 2019 Pipeline Data Lagasco'!$O:$O,'T1 2019 Pipeline Data Lagasco'!$A:$A,'Dec 31 2018 OFFS'!$AI1051,'T1 2019 Pipeline Data Lagasco'!$Q:$Q,'Dec 31 2018 OFFS'!$AK1051,'T1 2019 Pipeline Data Lagasco'!$E:$E,'Dec 31 2018 OFFS'!$U1051,'T1 2019 Pipeline Data Lagasco'!$G:$G,'Dec 31 2018 OFFS'!$W1051))/(MAX(COUNTIFS('T1 2019 Pipeline Data Lagasco'!$A:$A,'Dec 31 2018 OFFS'!$AI1051,'T1 2019 Pipeline Data Lagasco'!$Q:$Q,'Dec 31 2018 OFFS'!$AK1051,'T1 2019 Pipeline Data Lagasco'!$E:$E,'Dec 31 2018 OFFS'!$U1051,'T1 2019 Pipeline Data Lagasco'!$G:$G,'Dec 31 2018 OFFS'!$W1051),1))</f>
        <v>125005</v>
      </c>
      <c r="AM1051" s="274">
        <f t="shared" si="158"/>
        <v>0</v>
      </c>
    </row>
    <row r="1052" spans="1:39" ht="12.7">
      <c r="A1052" s="193" t="s">
        <v>909</v>
      </c>
      <c r="B1052" s="40" t="s">
        <v>917</v>
      </c>
      <c r="C1052" s="40" t="s">
        <v>921</v>
      </c>
      <c r="D1052" s="40" t="s">
        <v>769</v>
      </c>
      <c r="E1052" s="40" t="s">
        <v>1222</v>
      </c>
      <c r="F1052" s="40"/>
      <c r="G1052" s="41" t="s">
        <v>776</v>
      </c>
      <c r="H1052" s="42">
        <v>42</v>
      </c>
      <c r="I1052" s="43">
        <v>12</v>
      </c>
      <c r="J1052" s="44">
        <v>23.64</v>
      </c>
      <c r="K1052" s="45">
        <v>81</v>
      </c>
      <c r="L1052" s="43">
        <v>59</v>
      </c>
      <c r="M1052" s="46">
        <v>13.80</v>
      </c>
      <c r="N1052" s="40" t="s">
        <v>777</v>
      </c>
      <c r="O1052" s="42">
        <v>42</v>
      </c>
      <c r="P1052" s="43">
        <v>12</v>
      </c>
      <c r="Q1052" s="44">
        <v>53.59</v>
      </c>
      <c r="R1052" s="45">
        <v>81</v>
      </c>
      <c r="S1052" s="43">
        <v>56</v>
      </c>
      <c r="T1052" s="46">
        <v>50.59</v>
      </c>
      <c r="U1052" s="40">
        <v>4</v>
      </c>
      <c r="V1052" s="47">
        <v>11196.02985949</v>
      </c>
      <c r="W1052" s="48">
        <v>1994</v>
      </c>
      <c r="X1052" s="40"/>
      <c r="Y1052" s="53" t="s">
        <v>1082</v>
      </c>
      <c r="Z1052" s="40" t="s">
        <v>910</v>
      </c>
      <c r="AA1052" s="49">
        <f t="shared" si="151"/>
        <v>296134.98978351051</v>
      </c>
      <c r="AB1052" s="71">
        <f t="shared" si="152"/>
        <v>0.68</v>
      </c>
      <c r="AC1052" s="49">
        <f t="shared" si="153"/>
        <v>94763.20</v>
      </c>
      <c r="AD1052" s="50">
        <f t="shared" si="154"/>
        <v>0</v>
      </c>
      <c r="AE1052" s="50">
        <f t="shared" si="155"/>
        <v>0</v>
      </c>
      <c r="AF1052" s="50">
        <f t="shared" si="156"/>
        <v>94763.20</v>
      </c>
      <c r="AG1052" s="199">
        <f t="shared" si="157"/>
        <v>94763</v>
      </c>
      <c r="AH1052" s="187"/>
      <c r="AI1052" s="185" t="s">
        <v>1462</v>
      </c>
      <c r="AJ1052" s="185"/>
      <c r="AK1052" s="277">
        <f t="shared" si="150"/>
        <v>11196.03</v>
      </c>
      <c r="AL1052" s="25">
        <f>(SUMIFS('T1 2019 Pipeline Data Lagasco'!$O:$O,'T1 2019 Pipeline Data Lagasco'!$A:$A,'Dec 31 2018 OFFS'!$AI1052,'T1 2019 Pipeline Data Lagasco'!$Q:$Q,'Dec 31 2018 OFFS'!$AK1052,'T1 2019 Pipeline Data Lagasco'!$E:$E,'Dec 31 2018 OFFS'!$U1052,'T1 2019 Pipeline Data Lagasco'!$G:$G,'Dec 31 2018 OFFS'!$W1052))/(MAX(COUNTIFS('T1 2019 Pipeline Data Lagasco'!$A:$A,'Dec 31 2018 OFFS'!$AI1052,'T1 2019 Pipeline Data Lagasco'!$Q:$Q,'Dec 31 2018 OFFS'!$AK1052,'T1 2019 Pipeline Data Lagasco'!$E:$E,'Dec 31 2018 OFFS'!$U1052,'T1 2019 Pipeline Data Lagasco'!$G:$G,'Dec 31 2018 OFFS'!$W1052),1))</f>
        <v>94763</v>
      </c>
      <c r="AM1052" s="274">
        <f t="shared" si="158"/>
        <v>0</v>
      </c>
    </row>
    <row r="1053" spans="1:39" ht="12.7">
      <c r="A1053" s="193" t="s">
        <v>909</v>
      </c>
      <c r="B1053" s="40" t="s">
        <v>917</v>
      </c>
      <c r="C1053" s="40" t="s">
        <v>921</v>
      </c>
      <c r="D1053" s="40" t="s">
        <v>769</v>
      </c>
      <c r="E1053" s="40" t="s">
        <v>1052</v>
      </c>
      <c r="F1053" s="40" t="s">
        <v>1051</v>
      </c>
      <c r="G1053" s="41" t="s">
        <v>954</v>
      </c>
      <c r="H1053" s="42">
        <v>42</v>
      </c>
      <c r="I1053" s="43">
        <v>13</v>
      </c>
      <c r="J1053" s="44">
        <v>50.177636</v>
      </c>
      <c r="K1053" s="45">
        <v>82</v>
      </c>
      <c r="L1053" s="43">
        <v>4</v>
      </c>
      <c r="M1053" s="46">
        <v>50.157471000000001</v>
      </c>
      <c r="N1053" s="41" t="s">
        <v>768</v>
      </c>
      <c r="O1053" s="42">
        <v>42</v>
      </c>
      <c r="P1053" s="43">
        <v>13</v>
      </c>
      <c r="Q1053" s="44">
        <v>50.178533000000002</v>
      </c>
      <c r="R1053" s="45">
        <v>82</v>
      </c>
      <c r="S1053" s="43">
        <v>5</v>
      </c>
      <c r="T1053" s="46">
        <v>33.655003000000001</v>
      </c>
      <c r="U1053" s="40">
        <v>3</v>
      </c>
      <c r="V1053" s="47">
        <v>3262</v>
      </c>
      <c r="W1053" s="147">
        <v>1961</v>
      </c>
      <c r="X1053" s="40"/>
      <c r="Y1053" s="52"/>
      <c r="Z1053" s="40" t="s">
        <v>910</v>
      </c>
      <c r="AA1053" s="49">
        <f t="shared" si="151"/>
        <v>0</v>
      </c>
      <c r="AB1053" s="71">
        <f t="shared" si="152"/>
        <v>0.80</v>
      </c>
      <c r="AC1053" s="49">
        <f t="shared" si="153"/>
        <v>0</v>
      </c>
      <c r="AD1053" s="50">
        <f t="shared" si="154"/>
        <v>0</v>
      </c>
      <c r="AE1053" s="50">
        <f t="shared" si="155"/>
        <v>0</v>
      </c>
      <c r="AF1053" s="50">
        <f t="shared" si="156"/>
        <v>0</v>
      </c>
      <c r="AG1053" s="199">
        <f t="shared" si="157"/>
        <v>0</v>
      </c>
      <c r="AH1053" s="187"/>
      <c r="AI1053" s="185" t="s">
        <v>1462</v>
      </c>
      <c r="AJ1053" s="185"/>
      <c r="AK1053" s="277">
        <f t="shared" si="150"/>
        <v>3262</v>
      </c>
      <c r="AL1053" s="25">
        <f>(SUMIFS('T1 2019 Pipeline Data Lagasco'!$O:$O,'T1 2019 Pipeline Data Lagasco'!$A:$A,'Dec 31 2018 OFFS'!$AI1053,'T1 2019 Pipeline Data Lagasco'!$Q:$Q,'Dec 31 2018 OFFS'!$AK1053,'T1 2019 Pipeline Data Lagasco'!$E:$E,'Dec 31 2018 OFFS'!$U1053,'T1 2019 Pipeline Data Lagasco'!$G:$G,'Dec 31 2018 OFFS'!$W1053))/(MAX(COUNTIFS('T1 2019 Pipeline Data Lagasco'!$A:$A,'Dec 31 2018 OFFS'!$AI1053,'T1 2019 Pipeline Data Lagasco'!$Q:$Q,'Dec 31 2018 OFFS'!$AK1053,'T1 2019 Pipeline Data Lagasco'!$E:$E,'Dec 31 2018 OFFS'!$U1053,'T1 2019 Pipeline Data Lagasco'!$G:$G,'Dec 31 2018 OFFS'!$W1053),1))</f>
        <v>0</v>
      </c>
      <c r="AM1053" s="274">
        <f t="shared" si="158"/>
        <v>0</v>
      </c>
    </row>
    <row r="1054" spans="1:39" ht="12.7">
      <c r="A1054" s="193" t="s">
        <v>909</v>
      </c>
      <c r="B1054" s="40" t="s">
        <v>917</v>
      </c>
      <c r="C1054" s="40" t="s">
        <v>921</v>
      </c>
      <c r="D1054" s="40" t="s">
        <v>769</v>
      </c>
      <c r="E1054" s="40" t="s">
        <v>1052</v>
      </c>
      <c r="F1054" s="40" t="s">
        <v>1051</v>
      </c>
      <c r="G1054" s="41" t="s">
        <v>955</v>
      </c>
      <c r="H1054" s="42">
        <v>42</v>
      </c>
      <c r="I1054" s="43">
        <v>13</v>
      </c>
      <c r="J1054" s="44">
        <v>26.182604999999999</v>
      </c>
      <c r="K1054" s="45">
        <v>82</v>
      </c>
      <c r="L1054" s="43">
        <v>4</v>
      </c>
      <c r="M1054" s="46">
        <v>37.672243999999999</v>
      </c>
      <c r="N1054" s="41" t="s">
        <v>770</v>
      </c>
      <c r="O1054" s="42">
        <v>42</v>
      </c>
      <c r="P1054" s="43">
        <v>13</v>
      </c>
      <c r="Q1054" s="44">
        <v>26.283208999999999</v>
      </c>
      <c r="R1054" s="45">
        <v>82</v>
      </c>
      <c r="S1054" s="43">
        <v>5</v>
      </c>
      <c r="T1054" s="46">
        <v>19.571386</v>
      </c>
      <c r="U1054" s="40">
        <v>3</v>
      </c>
      <c r="V1054" s="47">
        <v>4849</v>
      </c>
      <c r="W1054" s="147">
        <v>1962</v>
      </c>
      <c r="X1054" s="40"/>
      <c r="Y1054" s="52"/>
      <c r="Z1054" s="40" t="s">
        <v>910</v>
      </c>
      <c r="AA1054" s="49">
        <f t="shared" si="151"/>
        <v>0</v>
      </c>
      <c r="AB1054" s="71">
        <f t="shared" si="152"/>
        <v>0.80</v>
      </c>
      <c r="AC1054" s="49">
        <f t="shared" si="153"/>
        <v>0</v>
      </c>
      <c r="AD1054" s="50">
        <f t="shared" si="154"/>
        <v>0</v>
      </c>
      <c r="AE1054" s="50">
        <f t="shared" si="155"/>
        <v>0</v>
      </c>
      <c r="AF1054" s="50">
        <f t="shared" si="156"/>
        <v>0</v>
      </c>
      <c r="AG1054" s="199">
        <f t="shared" si="157"/>
        <v>0</v>
      </c>
      <c r="AH1054" s="187"/>
      <c r="AI1054" s="185" t="s">
        <v>1462</v>
      </c>
      <c r="AJ1054" s="185"/>
      <c r="AK1054" s="277">
        <f t="shared" si="150"/>
        <v>4849</v>
      </c>
      <c r="AL1054" s="25">
        <f>(SUMIFS('T1 2019 Pipeline Data Lagasco'!$O:$O,'T1 2019 Pipeline Data Lagasco'!$A:$A,'Dec 31 2018 OFFS'!$AI1054,'T1 2019 Pipeline Data Lagasco'!$Q:$Q,'Dec 31 2018 OFFS'!$AK1054,'T1 2019 Pipeline Data Lagasco'!$E:$E,'Dec 31 2018 OFFS'!$U1054,'T1 2019 Pipeline Data Lagasco'!$G:$G,'Dec 31 2018 OFFS'!$W1054))/(MAX(COUNTIFS('T1 2019 Pipeline Data Lagasco'!$A:$A,'Dec 31 2018 OFFS'!$AI1054,'T1 2019 Pipeline Data Lagasco'!$Q:$Q,'Dec 31 2018 OFFS'!$AK1054,'T1 2019 Pipeline Data Lagasco'!$E:$E,'Dec 31 2018 OFFS'!$U1054,'T1 2019 Pipeline Data Lagasco'!$G:$G,'Dec 31 2018 OFFS'!$W1054),1))</f>
        <v>0</v>
      </c>
      <c r="AM1054" s="274">
        <f t="shared" si="158"/>
        <v>0</v>
      </c>
    </row>
    <row r="1055" spans="1:39" ht="12.7">
      <c r="A1055" s="193" t="s">
        <v>909</v>
      </c>
      <c r="B1055" s="40" t="s">
        <v>917</v>
      </c>
      <c r="C1055" s="40" t="s">
        <v>921</v>
      </c>
      <c r="D1055" s="40" t="s">
        <v>769</v>
      </c>
      <c r="E1055" s="40" t="s">
        <v>1052</v>
      </c>
      <c r="F1055" s="40" t="s">
        <v>1051</v>
      </c>
      <c r="G1055" s="41" t="s">
        <v>956</v>
      </c>
      <c r="H1055" s="42">
        <v>42</v>
      </c>
      <c r="I1055" s="43">
        <v>13</v>
      </c>
      <c r="J1055" s="44">
        <v>4.9870000000000001</v>
      </c>
      <c r="K1055" s="45">
        <v>82</v>
      </c>
      <c r="L1055" s="43">
        <v>4</v>
      </c>
      <c r="M1055" s="46">
        <v>27.485</v>
      </c>
      <c r="N1055" s="41" t="s">
        <v>771</v>
      </c>
      <c r="O1055" s="42">
        <v>42</v>
      </c>
      <c r="P1055" s="43">
        <v>12</v>
      </c>
      <c r="Q1055" s="44">
        <v>50.941000000000003</v>
      </c>
      <c r="R1055" s="45">
        <v>82</v>
      </c>
      <c r="S1055" s="43">
        <v>4</v>
      </c>
      <c r="T1055" s="46">
        <v>45.381</v>
      </c>
      <c r="U1055" s="40">
        <v>3</v>
      </c>
      <c r="V1055" s="47">
        <v>1954</v>
      </c>
      <c r="W1055" s="147">
        <v>1959</v>
      </c>
      <c r="X1055" s="40"/>
      <c r="Y1055" s="52"/>
      <c r="Z1055" s="40" t="s">
        <v>910</v>
      </c>
      <c r="AA1055" s="49">
        <f t="shared" si="151"/>
        <v>0</v>
      </c>
      <c r="AB1055" s="71">
        <f t="shared" si="152"/>
        <v>0.80</v>
      </c>
      <c r="AC1055" s="49">
        <f t="shared" si="153"/>
        <v>0</v>
      </c>
      <c r="AD1055" s="50">
        <f t="shared" si="154"/>
        <v>0</v>
      </c>
      <c r="AE1055" s="50">
        <f t="shared" si="155"/>
        <v>0</v>
      </c>
      <c r="AF1055" s="50">
        <f t="shared" si="156"/>
        <v>0</v>
      </c>
      <c r="AG1055" s="199">
        <f t="shared" si="157"/>
        <v>0</v>
      </c>
      <c r="AH1055" s="187"/>
      <c r="AI1055" s="185" t="s">
        <v>1462</v>
      </c>
      <c r="AJ1055" s="185"/>
      <c r="AK1055" s="277">
        <f t="shared" si="150"/>
        <v>1954</v>
      </c>
      <c r="AL1055" s="25">
        <f>(SUMIFS('T1 2019 Pipeline Data Lagasco'!$O:$O,'T1 2019 Pipeline Data Lagasco'!$A:$A,'Dec 31 2018 OFFS'!$AI1055,'T1 2019 Pipeline Data Lagasco'!$Q:$Q,'Dec 31 2018 OFFS'!$AK1055,'T1 2019 Pipeline Data Lagasco'!$E:$E,'Dec 31 2018 OFFS'!$U1055,'T1 2019 Pipeline Data Lagasco'!$G:$G,'Dec 31 2018 OFFS'!$W1055))/(MAX(COUNTIFS('T1 2019 Pipeline Data Lagasco'!$A:$A,'Dec 31 2018 OFFS'!$AI1055,'T1 2019 Pipeline Data Lagasco'!$Q:$Q,'Dec 31 2018 OFFS'!$AK1055,'T1 2019 Pipeline Data Lagasco'!$E:$E,'Dec 31 2018 OFFS'!$U1055,'T1 2019 Pipeline Data Lagasco'!$G:$G,'Dec 31 2018 OFFS'!$W1055),1))</f>
        <v>0</v>
      </c>
      <c r="AM1055" s="274">
        <f t="shared" si="158"/>
        <v>0</v>
      </c>
    </row>
    <row r="1056" spans="1:39" ht="12.7">
      <c r="A1056" s="193" t="s">
        <v>909</v>
      </c>
      <c r="B1056" s="40" t="s">
        <v>917</v>
      </c>
      <c r="C1056" s="40" t="s">
        <v>921</v>
      </c>
      <c r="D1056" s="40" t="s">
        <v>769</v>
      </c>
      <c r="E1056" s="40" t="s">
        <v>1052</v>
      </c>
      <c r="F1056" s="40" t="s">
        <v>1051</v>
      </c>
      <c r="G1056" s="41" t="s">
        <v>957</v>
      </c>
      <c r="H1056" s="42">
        <v>42</v>
      </c>
      <c r="I1056" s="43">
        <v>12</v>
      </c>
      <c r="J1056" s="44">
        <v>50.941000000000003</v>
      </c>
      <c r="K1056" s="45">
        <v>82</v>
      </c>
      <c r="L1056" s="43">
        <v>4</v>
      </c>
      <c r="M1056" s="46">
        <v>45.381</v>
      </c>
      <c r="N1056" s="41" t="s">
        <v>772</v>
      </c>
      <c r="O1056" s="42">
        <v>42</v>
      </c>
      <c r="P1056" s="43">
        <v>12</v>
      </c>
      <c r="Q1056" s="44">
        <v>57.189568000000001</v>
      </c>
      <c r="R1056" s="45">
        <v>82</v>
      </c>
      <c r="S1056" s="43">
        <v>5</v>
      </c>
      <c r="T1056" s="46">
        <v>21.689349</v>
      </c>
      <c r="U1056" s="40">
        <v>3</v>
      </c>
      <c r="V1056" s="47">
        <v>2795</v>
      </c>
      <c r="W1056" s="147">
        <v>1959</v>
      </c>
      <c r="X1056" s="40"/>
      <c r="Y1056" s="52"/>
      <c r="Z1056" s="40" t="s">
        <v>910</v>
      </c>
      <c r="AA1056" s="49">
        <f t="shared" si="151"/>
        <v>0</v>
      </c>
      <c r="AB1056" s="71">
        <f t="shared" si="152"/>
        <v>0.80</v>
      </c>
      <c r="AC1056" s="49">
        <f t="shared" si="153"/>
        <v>0</v>
      </c>
      <c r="AD1056" s="50">
        <f t="shared" si="154"/>
        <v>0</v>
      </c>
      <c r="AE1056" s="50">
        <f t="shared" si="155"/>
        <v>0</v>
      </c>
      <c r="AF1056" s="50">
        <f t="shared" si="156"/>
        <v>0</v>
      </c>
      <c r="AG1056" s="199">
        <f t="shared" si="157"/>
        <v>0</v>
      </c>
      <c r="AH1056" s="187"/>
      <c r="AI1056" s="185" t="s">
        <v>1462</v>
      </c>
      <c r="AJ1056" s="185"/>
      <c r="AK1056" s="277">
        <f t="shared" si="150"/>
        <v>2795</v>
      </c>
      <c r="AL1056" s="25">
        <f>(SUMIFS('T1 2019 Pipeline Data Lagasco'!$O:$O,'T1 2019 Pipeline Data Lagasco'!$A:$A,'Dec 31 2018 OFFS'!$AI1056,'T1 2019 Pipeline Data Lagasco'!$Q:$Q,'Dec 31 2018 OFFS'!$AK1056,'T1 2019 Pipeline Data Lagasco'!$E:$E,'Dec 31 2018 OFFS'!$U1056,'T1 2019 Pipeline Data Lagasco'!$G:$G,'Dec 31 2018 OFFS'!$W1056))/(MAX(COUNTIFS('T1 2019 Pipeline Data Lagasco'!$A:$A,'Dec 31 2018 OFFS'!$AI1056,'T1 2019 Pipeline Data Lagasco'!$Q:$Q,'Dec 31 2018 OFFS'!$AK1056,'T1 2019 Pipeline Data Lagasco'!$E:$E,'Dec 31 2018 OFFS'!$U1056,'T1 2019 Pipeline Data Lagasco'!$G:$G,'Dec 31 2018 OFFS'!$W1056),1))</f>
        <v>0</v>
      </c>
      <c r="AM1056" s="274">
        <f t="shared" si="158"/>
        <v>0</v>
      </c>
    </row>
    <row r="1057" spans="1:39" ht="12.7">
      <c r="A1057" s="193" t="s">
        <v>909</v>
      </c>
      <c r="B1057" s="40" t="s">
        <v>917</v>
      </c>
      <c r="C1057" s="40" t="s">
        <v>921</v>
      </c>
      <c r="D1057" s="40" t="s">
        <v>769</v>
      </c>
      <c r="E1057" s="40" t="s">
        <v>1222</v>
      </c>
      <c r="F1057" s="40"/>
      <c r="G1057" s="41" t="s">
        <v>778</v>
      </c>
      <c r="H1057" s="42">
        <v>42</v>
      </c>
      <c r="I1057" s="43">
        <v>11</v>
      </c>
      <c r="J1057" s="44">
        <v>48.377000000000002</v>
      </c>
      <c r="K1057" s="45">
        <v>82</v>
      </c>
      <c r="L1057" s="43">
        <v>2</v>
      </c>
      <c r="M1057" s="46">
        <v>10.199</v>
      </c>
      <c r="N1057" s="41" t="s">
        <v>776</v>
      </c>
      <c r="O1057" s="42">
        <v>42</v>
      </c>
      <c r="P1057" s="43">
        <v>12</v>
      </c>
      <c r="Q1057" s="44">
        <v>23.64</v>
      </c>
      <c r="R1057" s="45">
        <v>81</v>
      </c>
      <c r="S1057" s="43">
        <v>59</v>
      </c>
      <c r="T1057" s="46">
        <v>13.80</v>
      </c>
      <c r="U1057" s="40">
        <v>4</v>
      </c>
      <c r="V1057" s="47">
        <v>13748.982541461997</v>
      </c>
      <c r="W1057" s="48">
        <v>1994</v>
      </c>
      <c r="X1057" s="40"/>
      <c r="Y1057" s="53" t="s">
        <v>1082</v>
      </c>
      <c r="Z1057" s="40" t="s">
        <v>910</v>
      </c>
      <c r="AA1057" s="49">
        <f t="shared" si="151"/>
        <v>363660.58822166984</v>
      </c>
      <c r="AB1057" s="71">
        <f t="shared" si="152"/>
        <v>0.68</v>
      </c>
      <c r="AC1057" s="49">
        <f t="shared" si="153"/>
        <v>116371.39</v>
      </c>
      <c r="AD1057" s="50">
        <f t="shared" si="154"/>
        <v>0</v>
      </c>
      <c r="AE1057" s="50">
        <f t="shared" si="155"/>
        <v>0</v>
      </c>
      <c r="AF1057" s="50">
        <f t="shared" si="156"/>
        <v>116371.39</v>
      </c>
      <c r="AG1057" s="199">
        <f t="shared" si="157"/>
        <v>116371</v>
      </c>
      <c r="AH1057" s="187"/>
      <c r="AI1057" s="185" t="s">
        <v>1462</v>
      </c>
      <c r="AJ1057" s="185"/>
      <c r="AK1057" s="277">
        <f t="shared" si="150"/>
        <v>13748.98</v>
      </c>
      <c r="AL1057" s="25">
        <f>(SUMIFS('T1 2019 Pipeline Data Lagasco'!$O:$O,'T1 2019 Pipeline Data Lagasco'!$A:$A,'Dec 31 2018 OFFS'!$AI1057,'T1 2019 Pipeline Data Lagasco'!$Q:$Q,'Dec 31 2018 OFFS'!$AK1057,'T1 2019 Pipeline Data Lagasco'!$E:$E,'Dec 31 2018 OFFS'!$U1057,'T1 2019 Pipeline Data Lagasco'!$G:$G,'Dec 31 2018 OFFS'!$W1057))/(MAX(COUNTIFS('T1 2019 Pipeline Data Lagasco'!$A:$A,'Dec 31 2018 OFFS'!$AI1057,'T1 2019 Pipeline Data Lagasco'!$Q:$Q,'Dec 31 2018 OFFS'!$AK1057,'T1 2019 Pipeline Data Lagasco'!$E:$E,'Dec 31 2018 OFFS'!$U1057,'T1 2019 Pipeline Data Lagasco'!$G:$G,'Dec 31 2018 OFFS'!$W1057),1))</f>
        <v>116371</v>
      </c>
      <c r="AM1057" s="274">
        <f t="shared" si="158"/>
        <v>0</v>
      </c>
    </row>
    <row r="1058" spans="1:39" ht="12.7">
      <c r="A1058" s="193" t="s">
        <v>909</v>
      </c>
      <c r="B1058" s="40" t="s">
        <v>917</v>
      </c>
      <c r="C1058" s="40" t="s">
        <v>921</v>
      </c>
      <c r="D1058" s="40" t="s">
        <v>769</v>
      </c>
      <c r="E1058" s="40" t="s">
        <v>1052</v>
      </c>
      <c r="F1058" s="40" t="s">
        <v>1051</v>
      </c>
      <c r="G1058" s="41" t="s">
        <v>958</v>
      </c>
      <c r="H1058" s="42">
        <v>42</v>
      </c>
      <c r="I1058" s="43">
        <v>14</v>
      </c>
      <c r="J1058" s="44">
        <f>0.311*60</f>
        <v>18.66</v>
      </c>
      <c r="K1058" s="45">
        <v>82</v>
      </c>
      <c r="L1058" s="43">
        <v>5</v>
      </c>
      <c r="M1058" s="46">
        <f>0.639*60</f>
        <v>38.340000000000003</v>
      </c>
      <c r="N1058" s="41" t="s">
        <v>773</v>
      </c>
      <c r="O1058" s="42">
        <v>42</v>
      </c>
      <c r="P1058" s="43">
        <v>13</v>
      </c>
      <c r="Q1058" s="44">
        <v>54.726999999999997</v>
      </c>
      <c r="R1058" s="45">
        <v>82</v>
      </c>
      <c r="S1058" s="43">
        <v>6</v>
      </c>
      <c r="T1058" s="46">
        <v>4.4640000000000004</v>
      </c>
      <c r="U1058" s="40">
        <v>3</v>
      </c>
      <c r="V1058" s="47">
        <v>3113</v>
      </c>
      <c r="W1058" s="147">
        <v>1961</v>
      </c>
      <c r="X1058" s="40"/>
      <c r="Y1058" s="52"/>
      <c r="Z1058" s="40" t="s">
        <v>910</v>
      </c>
      <c r="AA1058" s="49">
        <f t="shared" si="151"/>
        <v>0</v>
      </c>
      <c r="AB1058" s="71">
        <f t="shared" si="152"/>
        <v>0.80</v>
      </c>
      <c r="AC1058" s="49">
        <f t="shared" si="153"/>
        <v>0</v>
      </c>
      <c r="AD1058" s="50">
        <f t="shared" si="154"/>
        <v>0</v>
      </c>
      <c r="AE1058" s="50">
        <f t="shared" si="155"/>
        <v>0</v>
      </c>
      <c r="AF1058" s="50">
        <f t="shared" si="156"/>
        <v>0</v>
      </c>
      <c r="AG1058" s="199">
        <f t="shared" si="157"/>
        <v>0</v>
      </c>
      <c r="AH1058" s="187"/>
      <c r="AI1058" s="185" t="s">
        <v>1462</v>
      </c>
      <c r="AJ1058" s="185"/>
      <c r="AK1058" s="277">
        <f t="shared" si="150"/>
        <v>3113</v>
      </c>
      <c r="AL1058" s="25">
        <f>(SUMIFS('T1 2019 Pipeline Data Lagasco'!$O:$O,'T1 2019 Pipeline Data Lagasco'!$A:$A,'Dec 31 2018 OFFS'!$AI1058,'T1 2019 Pipeline Data Lagasco'!$Q:$Q,'Dec 31 2018 OFFS'!$AK1058,'T1 2019 Pipeline Data Lagasco'!$E:$E,'Dec 31 2018 OFFS'!$U1058,'T1 2019 Pipeline Data Lagasco'!$G:$G,'Dec 31 2018 OFFS'!$W1058))/(MAX(COUNTIFS('T1 2019 Pipeline Data Lagasco'!$A:$A,'Dec 31 2018 OFFS'!$AI1058,'T1 2019 Pipeline Data Lagasco'!$Q:$Q,'Dec 31 2018 OFFS'!$AK1058,'T1 2019 Pipeline Data Lagasco'!$E:$E,'Dec 31 2018 OFFS'!$U1058,'T1 2019 Pipeline Data Lagasco'!$G:$G,'Dec 31 2018 OFFS'!$W1058),1))</f>
        <v>0</v>
      </c>
      <c r="AM1058" s="274">
        <f t="shared" si="158"/>
        <v>0</v>
      </c>
    </row>
    <row r="1059" spans="1:39" ht="12.7">
      <c r="A1059" s="193" t="s">
        <v>909</v>
      </c>
      <c r="B1059" s="40" t="s">
        <v>917</v>
      </c>
      <c r="C1059" s="40" t="s">
        <v>921</v>
      </c>
      <c r="D1059" s="40" t="s">
        <v>769</v>
      </c>
      <c r="E1059" s="40" t="s">
        <v>1052</v>
      </c>
      <c r="F1059" s="40" t="s">
        <v>1051</v>
      </c>
      <c r="G1059" s="41" t="s">
        <v>959</v>
      </c>
      <c r="H1059" s="42">
        <v>42</v>
      </c>
      <c r="I1059" s="43">
        <v>13</v>
      </c>
      <c r="J1059" s="44">
        <v>50.178533000000002</v>
      </c>
      <c r="K1059" s="45">
        <v>82</v>
      </c>
      <c r="L1059" s="43">
        <v>5</v>
      </c>
      <c r="M1059" s="46">
        <v>33.655003000000001</v>
      </c>
      <c r="N1059" s="41" t="s">
        <v>773</v>
      </c>
      <c r="O1059" s="42">
        <v>42</v>
      </c>
      <c r="P1059" s="43">
        <v>13</v>
      </c>
      <c r="Q1059" s="44">
        <v>54.726999999999997</v>
      </c>
      <c r="R1059" s="45">
        <v>82</v>
      </c>
      <c r="S1059" s="43">
        <v>6</v>
      </c>
      <c r="T1059" s="46">
        <v>4.4640000000000004</v>
      </c>
      <c r="U1059" s="40">
        <v>3</v>
      </c>
      <c r="V1059" s="47">
        <v>2355</v>
      </c>
      <c r="W1059" s="147">
        <v>1958</v>
      </c>
      <c r="X1059" s="40"/>
      <c r="Y1059" s="52"/>
      <c r="Z1059" s="40" t="s">
        <v>910</v>
      </c>
      <c r="AA1059" s="49">
        <f t="shared" si="151"/>
        <v>0</v>
      </c>
      <c r="AB1059" s="71">
        <f t="shared" si="152"/>
        <v>0.80</v>
      </c>
      <c r="AC1059" s="49">
        <f t="shared" si="153"/>
        <v>0</v>
      </c>
      <c r="AD1059" s="50">
        <f t="shared" si="154"/>
        <v>0</v>
      </c>
      <c r="AE1059" s="50">
        <f t="shared" si="155"/>
        <v>0</v>
      </c>
      <c r="AF1059" s="50">
        <f t="shared" si="156"/>
        <v>0</v>
      </c>
      <c r="AG1059" s="199">
        <f t="shared" si="157"/>
        <v>0</v>
      </c>
      <c r="AH1059" s="187"/>
      <c r="AI1059" s="185" t="s">
        <v>1462</v>
      </c>
      <c r="AJ1059" s="185"/>
      <c r="AK1059" s="277">
        <f t="shared" si="150"/>
        <v>2355</v>
      </c>
      <c r="AL1059" s="25">
        <f>(SUMIFS('T1 2019 Pipeline Data Lagasco'!$O:$O,'T1 2019 Pipeline Data Lagasco'!$A:$A,'Dec 31 2018 OFFS'!$AI1059,'T1 2019 Pipeline Data Lagasco'!$Q:$Q,'Dec 31 2018 OFFS'!$AK1059,'T1 2019 Pipeline Data Lagasco'!$E:$E,'Dec 31 2018 OFFS'!$U1059,'T1 2019 Pipeline Data Lagasco'!$G:$G,'Dec 31 2018 OFFS'!$W1059))/(MAX(COUNTIFS('T1 2019 Pipeline Data Lagasco'!$A:$A,'Dec 31 2018 OFFS'!$AI1059,'T1 2019 Pipeline Data Lagasco'!$Q:$Q,'Dec 31 2018 OFFS'!$AK1059,'T1 2019 Pipeline Data Lagasco'!$E:$E,'Dec 31 2018 OFFS'!$U1059,'T1 2019 Pipeline Data Lagasco'!$G:$G,'Dec 31 2018 OFFS'!$W1059),1))</f>
        <v>0</v>
      </c>
      <c r="AM1059" s="274">
        <f t="shared" si="158"/>
        <v>0</v>
      </c>
    </row>
    <row r="1060" spans="1:39" ht="12.7">
      <c r="A1060" s="193" t="s">
        <v>909</v>
      </c>
      <c r="B1060" s="40" t="s">
        <v>917</v>
      </c>
      <c r="C1060" s="40" t="s">
        <v>921</v>
      </c>
      <c r="D1060" s="40" t="s">
        <v>769</v>
      </c>
      <c r="E1060" s="40" t="s">
        <v>1052</v>
      </c>
      <c r="F1060" s="40"/>
      <c r="G1060" s="41" t="s">
        <v>959</v>
      </c>
      <c r="H1060" s="42">
        <v>42</v>
      </c>
      <c r="I1060" s="43">
        <v>13</v>
      </c>
      <c r="J1060" s="44">
        <v>50.178533000000002</v>
      </c>
      <c r="K1060" s="45">
        <v>82</v>
      </c>
      <c r="L1060" s="43">
        <v>5</v>
      </c>
      <c r="M1060" s="46">
        <v>33.655003000000001</v>
      </c>
      <c r="N1060" s="41" t="s">
        <v>961</v>
      </c>
      <c r="O1060" s="42">
        <v>42</v>
      </c>
      <c r="P1060" s="43">
        <v>13</v>
      </c>
      <c r="Q1060" s="44">
        <v>26.283208999999999</v>
      </c>
      <c r="R1060" s="45">
        <v>82</v>
      </c>
      <c r="S1060" s="43">
        <v>5</v>
      </c>
      <c r="T1060" s="46">
        <v>19.571386</v>
      </c>
      <c r="U1060" s="40">
        <v>3</v>
      </c>
      <c r="V1060" s="47">
        <v>2599</v>
      </c>
      <c r="W1060" s="48">
        <v>2005</v>
      </c>
      <c r="X1060" s="40"/>
      <c r="Y1060" s="52"/>
      <c r="Z1060" s="40" t="s">
        <v>910</v>
      </c>
      <c r="AA1060" s="49">
        <f t="shared" si="151"/>
        <v>61310.409999999996</v>
      </c>
      <c r="AB1060" s="71">
        <f t="shared" si="152"/>
        <v>0.54</v>
      </c>
      <c r="AC1060" s="49">
        <f t="shared" si="153"/>
        <v>28202.79</v>
      </c>
      <c r="AD1060" s="50">
        <f t="shared" si="154"/>
        <v>0</v>
      </c>
      <c r="AE1060" s="50">
        <f t="shared" si="155"/>
        <v>0</v>
      </c>
      <c r="AF1060" s="50">
        <f t="shared" si="156"/>
        <v>28202.79</v>
      </c>
      <c r="AG1060" s="199">
        <f t="shared" si="157"/>
        <v>28202</v>
      </c>
      <c r="AH1060" s="187"/>
      <c r="AI1060" s="185" t="s">
        <v>1462</v>
      </c>
      <c r="AJ1060" s="185"/>
      <c r="AK1060" s="277">
        <f t="shared" si="150"/>
        <v>2599</v>
      </c>
      <c r="AL1060" s="25">
        <f>(SUMIFS('T1 2019 Pipeline Data Lagasco'!$O:$O,'T1 2019 Pipeline Data Lagasco'!$A:$A,'Dec 31 2018 OFFS'!$AI1060,'T1 2019 Pipeline Data Lagasco'!$Q:$Q,'Dec 31 2018 OFFS'!$AK1060,'T1 2019 Pipeline Data Lagasco'!$E:$E,'Dec 31 2018 OFFS'!$U1060,'T1 2019 Pipeline Data Lagasco'!$G:$G,'Dec 31 2018 OFFS'!$W1060))/(MAX(COUNTIFS('T1 2019 Pipeline Data Lagasco'!$A:$A,'Dec 31 2018 OFFS'!$AI1060,'T1 2019 Pipeline Data Lagasco'!$Q:$Q,'Dec 31 2018 OFFS'!$AK1060,'T1 2019 Pipeline Data Lagasco'!$E:$E,'Dec 31 2018 OFFS'!$U1060,'T1 2019 Pipeline Data Lagasco'!$G:$G,'Dec 31 2018 OFFS'!$W1060),1))</f>
        <v>28202</v>
      </c>
      <c r="AM1060" s="274">
        <f t="shared" si="158"/>
        <v>0</v>
      </c>
    </row>
    <row r="1061" spans="1:39" ht="12.7">
      <c r="A1061" s="193" t="s">
        <v>909</v>
      </c>
      <c r="B1061" s="40" t="s">
        <v>917</v>
      </c>
      <c r="C1061" s="40" t="s">
        <v>921</v>
      </c>
      <c r="D1061" s="40" t="s">
        <v>769</v>
      </c>
      <c r="E1061" s="40" t="s">
        <v>1052</v>
      </c>
      <c r="F1061" s="40" t="s">
        <v>1051</v>
      </c>
      <c r="G1061" s="41" t="s">
        <v>960</v>
      </c>
      <c r="H1061" s="42">
        <v>42</v>
      </c>
      <c r="I1061" s="43">
        <v>13</v>
      </c>
      <c r="J1061" s="44">
        <v>29.184032999999999</v>
      </c>
      <c r="K1061" s="45">
        <v>82</v>
      </c>
      <c r="L1061" s="43">
        <v>5</v>
      </c>
      <c r="M1061" s="46">
        <v>53.665080000000003</v>
      </c>
      <c r="N1061" s="41" t="s">
        <v>775</v>
      </c>
      <c r="O1061" s="42">
        <v>42</v>
      </c>
      <c r="P1061" s="43">
        <v>14</v>
      </c>
      <c r="Q1061" s="44">
        <v>33.316000000000003</v>
      </c>
      <c r="R1061" s="45">
        <v>82</v>
      </c>
      <c r="S1061" s="43">
        <v>6</v>
      </c>
      <c r="T1061" s="46">
        <v>20.350999999999999</v>
      </c>
      <c r="U1061" s="40">
        <v>3</v>
      </c>
      <c r="V1061" s="47">
        <v>5593</v>
      </c>
      <c r="W1061" s="147">
        <v>1958</v>
      </c>
      <c r="X1061" s="40"/>
      <c r="Y1061" s="52"/>
      <c r="Z1061" s="40" t="s">
        <v>910</v>
      </c>
      <c r="AA1061" s="49">
        <f t="shared" si="151"/>
        <v>0</v>
      </c>
      <c r="AB1061" s="71">
        <f t="shared" si="152"/>
        <v>0.80</v>
      </c>
      <c r="AC1061" s="49">
        <f t="shared" si="153"/>
        <v>0</v>
      </c>
      <c r="AD1061" s="50">
        <f t="shared" si="154"/>
        <v>0</v>
      </c>
      <c r="AE1061" s="50">
        <f t="shared" si="155"/>
        <v>0</v>
      </c>
      <c r="AF1061" s="50">
        <f t="shared" si="156"/>
        <v>0</v>
      </c>
      <c r="AG1061" s="199">
        <f t="shared" si="157"/>
        <v>0</v>
      </c>
      <c r="AH1061" s="187"/>
      <c r="AI1061" s="185" t="s">
        <v>1462</v>
      </c>
      <c r="AJ1061" s="185"/>
      <c r="AK1061" s="277">
        <f t="shared" si="150"/>
        <v>5593</v>
      </c>
      <c r="AL1061" s="25">
        <f>(SUMIFS('T1 2019 Pipeline Data Lagasco'!$O:$O,'T1 2019 Pipeline Data Lagasco'!$A:$A,'Dec 31 2018 OFFS'!$AI1061,'T1 2019 Pipeline Data Lagasco'!$Q:$Q,'Dec 31 2018 OFFS'!$AK1061,'T1 2019 Pipeline Data Lagasco'!$E:$E,'Dec 31 2018 OFFS'!$U1061,'T1 2019 Pipeline Data Lagasco'!$G:$G,'Dec 31 2018 OFFS'!$W1061))/(MAX(COUNTIFS('T1 2019 Pipeline Data Lagasco'!$A:$A,'Dec 31 2018 OFFS'!$AI1061,'T1 2019 Pipeline Data Lagasco'!$Q:$Q,'Dec 31 2018 OFFS'!$AK1061,'T1 2019 Pipeline Data Lagasco'!$E:$E,'Dec 31 2018 OFFS'!$U1061,'T1 2019 Pipeline Data Lagasco'!$G:$G,'Dec 31 2018 OFFS'!$W1061),1))</f>
        <v>0</v>
      </c>
      <c r="AM1061" s="274">
        <f t="shared" si="158"/>
        <v>0</v>
      </c>
    </row>
    <row r="1062" spans="1:39" ht="12.7">
      <c r="A1062" s="193" t="s">
        <v>909</v>
      </c>
      <c r="B1062" s="40" t="s">
        <v>917</v>
      </c>
      <c r="C1062" s="40" t="s">
        <v>921</v>
      </c>
      <c r="D1062" s="40" t="s">
        <v>769</v>
      </c>
      <c r="E1062" s="40" t="s">
        <v>1052</v>
      </c>
      <c r="F1062" s="40" t="s">
        <v>1051</v>
      </c>
      <c r="G1062" s="41" t="s">
        <v>961</v>
      </c>
      <c r="H1062" s="42">
        <v>42</v>
      </c>
      <c r="I1062" s="43">
        <v>13</v>
      </c>
      <c r="J1062" s="44">
        <v>26.283208999999999</v>
      </c>
      <c r="K1062" s="45">
        <v>82</v>
      </c>
      <c r="L1062" s="43">
        <v>5</v>
      </c>
      <c r="M1062" s="46">
        <v>19.571386</v>
      </c>
      <c r="N1062" s="41" t="s">
        <v>774</v>
      </c>
      <c r="O1062" s="42">
        <v>42</v>
      </c>
      <c r="P1062" s="43">
        <v>13</v>
      </c>
      <c r="Q1062" s="44">
        <v>29.184032999999999</v>
      </c>
      <c r="R1062" s="45">
        <v>82</v>
      </c>
      <c r="S1062" s="43">
        <v>5</v>
      </c>
      <c r="T1062" s="46">
        <v>53.665080000000003</v>
      </c>
      <c r="U1062" s="40">
        <v>3</v>
      </c>
      <c r="V1062" s="47">
        <v>6855</v>
      </c>
      <c r="W1062" s="147">
        <v>1958</v>
      </c>
      <c r="X1062" s="40"/>
      <c r="Y1062" s="52"/>
      <c r="Z1062" s="40" t="s">
        <v>910</v>
      </c>
      <c r="AA1062" s="49">
        <f t="shared" si="151"/>
        <v>0</v>
      </c>
      <c r="AB1062" s="71">
        <f t="shared" si="152"/>
        <v>0.80</v>
      </c>
      <c r="AC1062" s="49">
        <f t="shared" si="153"/>
        <v>0</v>
      </c>
      <c r="AD1062" s="50">
        <f t="shared" si="154"/>
        <v>0</v>
      </c>
      <c r="AE1062" s="50">
        <f t="shared" si="155"/>
        <v>0</v>
      </c>
      <c r="AF1062" s="50">
        <f t="shared" si="156"/>
        <v>0</v>
      </c>
      <c r="AG1062" s="199">
        <f t="shared" si="157"/>
        <v>0</v>
      </c>
      <c r="AH1062" s="187"/>
      <c r="AI1062" s="185" t="s">
        <v>1462</v>
      </c>
      <c r="AJ1062" s="185"/>
      <c r="AK1062" s="277">
        <f t="shared" si="150"/>
        <v>6855</v>
      </c>
      <c r="AL1062" s="25">
        <f>(SUMIFS('T1 2019 Pipeline Data Lagasco'!$O:$O,'T1 2019 Pipeline Data Lagasco'!$A:$A,'Dec 31 2018 OFFS'!$AI1062,'T1 2019 Pipeline Data Lagasco'!$Q:$Q,'Dec 31 2018 OFFS'!$AK1062,'T1 2019 Pipeline Data Lagasco'!$E:$E,'Dec 31 2018 OFFS'!$U1062,'T1 2019 Pipeline Data Lagasco'!$G:$G,'Dec 31 2018 OFFS'!$W1062))/(MAX(COUNTIFS('T1 2019 Pipeline Data Lagasco'!$A:$A,'Dec 31 2018 OFFS'!$AI1062,'T1 2019 Pipeline Data Lagasco'!$Q:$Q,'Dec 31 2018 OFFS'!$AK1062,'T1 2019 Pipeline Data Lagasco'!$E:$E,'Dec 31 2018 OFFS'!$U1062,'T1 2019 Pipeline Data Lagasco'!$G:$G,'Dec 31 2018 OFFS'!$W1062),1))</f>
        <v>0</v>
      </c>
      <c r="AM1062" s="274">
        <f t="shared" si="158"/>
        <v>0</v>
      </c>
    </row>
    <row r="1063" spans="1:39" ht="12.7">
      <c r="A1063" s="193" t="s">
        <v>909</v>
      </c>
      <c r="B1063" s="40" t="s">
        <v>917</v>
      </c>
      <c r="C1063" s="40" t="s">
        <v>921</v>
      </c>
      <c r="D1063" s="40" t="s">
        <v>769</v>
      </c>
      <c r="E1063" s="40" t="s">
        <v>1052</v>
      </c>
      <c r="F1063" s="40" t="s">
        <v>1051</v>
      </c>
      <c r="G1063" s="41" t="s">
        <v>962</v>
      </c>
      <c r="H1063" s="42">
        <v>42</v>
      </c>
      <c r="I1063" s="43">
        <v>12</v>
      </c>
      <c r="J1063" s="44">
        <v>57.189568000000001</v>
      </c>
      <c r="K1063" s="45">
        <v>82</v>
      </c>
      <c r="L1063" s="43">
        <v>5</v>
      </c>
      <c r="M1063" s="46">
        <v>21.689349</v>
      </c>
      <c r="N1063" s="41" t="s">
        <v>770</v>
      </c>
      <c r="O1063" s="42">
        <v>42</v>
      </c>
      <c r="P1063" s="43">
        <v>13</v>
      </c>
      <c r="Q1063" s="44">
        <v>26.283208999999999</v>
      </c>
      <c r="R1063" s="45">
        <v>82</v>
      </c>
      <c r="S1063" s="43">
        <v>5</v>
      </c>
      <c r="T1063" s="46">
        <v>19.571386</v>
      </c>
      <c r="U1063" s="40">
        <v>3</v>
      </c>
      <c r="V1063" s="47">
        <v>2946</v>
      </c>
      <c r="W1063" s="147">
        <v>1958</v>
      </c>
      <c r="X1063" s="40"/>
      <c r="Y1063" s="52"/>
      <c r="Z1063" s="40" t="s">
        <v>910</v>
      </c>
      <c r="AA1063" s="49">
        <f t="shared" si="151"/>
        <v>0</v>
      </c>
      <c r="AB1063" s="71">
        <f t="shared" si="152"/>
        <v>0.80</v>
      </c>
      <c r="AC1063" s="49">
        <f t="shared" si="153"/>
        <v>0</v>
      </c>
      <c r="AD1063" s="50">
        <f t="shared" si="154"/>
        <v>0</v>
      </c>
      <c r="AE1063" s="50">
        <f t="shared" si="155"/>
        <v>0</v>
      </c>
      <c r="AF1063" s="50">
        <f t="shared" si="156"/>
        <v>0</v>
      </c>
      <c r="AG1063" s="199">
        <f t="shared" si="157"/>
        <v>0</v>
      </c>
      <c r="AH1063" s="187"/>
      <c r="AI1063" s="185" t="s">
        <v>1462</v>
      </c>
      <c r="AJ1063" s="185"/>
      <c r="AK1063" s="277">
        <f t="shared" si="150"/>
        <v>2946</v>
      </c>
      <c r="AL1063" s="25">
        <f>(SUMIFS('T1 2019 Pipeline Data Lagasco'!$O:$O,'T1 2019 Pipeline Data Lagasco'!$A:$A,'Dec 31 2018 OFFS'!$AI1063,'T1 2019 Pipeline Data Lagasco'!$Q:$Q,'Dec 31 2018 OFFS'!$AK1063,'T1 2019 Pipeline Data Lagasco'!$E:$E,'Dec 31 2018 OFFS'!$U1063,'T1 2019 Pipeline Data Lagasco'!$G:$G,'Dec 31 2018 OFFS'!$W1063))/(MAX(COUNTIFS('T1 2019 Pipeline Data Lagasco'!$A:$A,'Dec 31 2018 OFFS'!$AI1063,'T1 2019 Pipeline Data Lagasco'!$Q:$Q,'Dec 31 2018 OFFS'!$AK1063,'T1 2019 Pipeline Data Lagasco'!$E:$E,'Dec 31 2018 OFFS'!$U1063,'T1 2019 Pipeline Data Lagasco'!$G:$G,'Dec 31 2018 OFFS'!$W1063),1))</f>
        <v>0</v>
      </c>
      <c r="AM1063" s="274">
        <f t="shared" si="158"/>
        <v>0</v>
      </c>
    </row>
    <row r="1064" spans="1:39" ht="12.7">
      <c r="A1064" s="193" t="s">
        <v>909</v>
      </c>
      <c r="B1064" s="40" t="s">
        <v>917</v>
      </c>
      <c r="C1064" s="40" t="s">
        <v>921</v>
      </c>
      <c r="D1064" s="40" t="s">
        <v>769</v>
      </c>
      <c r="E1064" s="40" t="s">
        <v>1222</v>
      </c>
      <c r="F1064" s="40"/>
      <c r="G1064" s="41" t="s">
        <v>779</v>
      </c>
      <c r="H1064" s="42">
        <v>42</v>
      </c>
      <c r="I1064" s="43">
        <v>11</v>
      </c>
      <c r="J1064" s="44">
        <v>9.2539999999999996</v>
      </c>
      <c r="K1064" s="45">
        <v>82</v>
      </c>
      <c r="L1064" s="43">
        <v>5</v>
      </c>
      <c r="M1064" s="46">
        <v>2.9319999999999999</v>
      </c>
      <c r="N1064" s="41" t="s">
        <v>778</v>
      </c>
      <c r="O1064" s="42">
        <v>42</v>
      </c>
      <c r="P1064" s="43">
        <v>11</v>
      </c>
      <c r="Q1064" s="44">
        <v>48.377000000000002</v>
      </c>
      <c r="R1064" s="45">
        <v>82</v>
      </c>
      <c r="S1064" s="43">
        <v>2</v>
      </c>
      <c r="T1064" s="46">
        <v>10.199</v>
      </c>
      <c r="U1064" s="40">
        <v>4</v>
      </c>
      <c r="V1064" s="47">
        <v>13593.503543340001</v>
      </c>
      <c r="W1064" s="48">
        <v>1994</v>
      </c>
      <c r="X1064" s="40"/>
      <c r="Y1064" s="53" t="s">
        <v>1082</v>
      </c>
      <c r="Z1064" s="40" t="s">
        <v>910</v>
      </c>
      <c r="AA1064" s="49">
        <f t="shared" si="151"/>
        <v>359548.16872134298</v>
      </c>
      <c r="AB1064" s="71">
        <f t="shared" si="152"/>
        <v>0.68</v>
      </c>
      <c r="AC1064" s="49">
        <f t="shared" si="153"/>
        <v>115055.41</v>
      </c>
      <c r="AD1064" s="50">
        <f t="shared" si="154"/>
        <v>0</v>
      </c>
      <c r="AE1064" s="50">
        <f t="shared" si="155"/>
        <v>0</v>
      </c>
      <c r="AF1064" s="50">
        <f t="shared" si="156"/>
        <v>115055.41</v>
      </c>
      <c r="AG1064" s="199">
        <f t="shared" si="157"/>
        <v>115055</v>
      </c>
      <c r="AH1064" s="187"/>
      <c r="AI1064" s="185" t="s">
        <v>1462</v>
      </c>
      <c r="AJ1064" s="185"/>
      <c r="AK1064" s="277">
        <f t="shared" si="150"/>
        <v>13593.50</v>
      </c>
      <c r="AL1064" s="25">
        <f>(SUMIFS('T1 2019 Pipeline Data Lagasco'!$O:$O,'T1 2019 Pipeline Data Lagasco'!$A:$A,'Dec 31 2018 OFFS'!$AI1064,'T1 2019 Pipeline Data Lagasco'!$Q:$Q,'Dec 31 2018 OFFS'!$AK1064,'T1 2019 Pipeline Data Lagasco'!$E:$E,'Dec 31 2018 OFFS'!$U1064,'T1 2019 Pipeline Data Lagasco'!$G:$G,'Dec 31 2018 OFFS'!$W1064))/(MAX(COUNTIFS('T1 2019 Pipeline Data Lagasco'!$A:$A,'Dec 31 2018 OFFS'!$AI1064,'T1 2019 Pipeline Data Lagasco'!$Q:$Q,'Dec 31 2018 OFFS'!$AK1064,'T1 2019 Pipeline Data Lagasco'!$E:$E,'Dec 31 2018 OFFS'!$U1064,'T1 2019 Pipeline Data Lagasco'!$G:$G,'Dec 31 2018 OFFS'!$W1064),1))</f>
        <v>115055</v>
      </c>
      <c r="AM1064" s="274">
        <f t="shared" si="158"/>
        <v>0</v>
      </c>
    </row>
    <row r="1065" spans="1:39" ht="12.7">
      <c r="A1065" s="193" t="s">
        <v>909</v>
      </c>
      <c r="B1065" s="40" t="s">
        <v>917</v>
      </c>
      <c r="C1065" s="40" t="s">
        <v>921</v>
      </c>
      <c r="D1065" s="40" t="s">
        <v>769</v>
      </c>
      <c r="E1065" s="40" t="s">
        <v>1222</v>
      </c>
      <c r="F1065" s="40"/>
      <c r="G1065" s="41" t="s">
        <v>780</v>
      </c>
      <c r="H1065" s="42">
        <v>42</v>
      </c>
      <c r="I1065" s="43">
        <v>10</v>
      </c>
      <c r="J1065" s="44">
        <v>30.48</v>
      </c>
      <c r="K1065" s="45">
        <v>82</v>
      </c>
      <c r="L1065" s="43">
        <v>8</v>
      </c>
      <c r="M1065" s="46">
        <v>1.56</v>
      </c>
      <c r="N1065" s="40" t="s">
        <v>765</v>
      </c>
      <c r="O1065" s="42">
        <v>42</v>
      </c>
      <c r="P1065" s="43">
        <v>10</v>
      </c>
      <c r="Q1065" s="44">
        <v>23.12</v>
      </c>
      <c r="R1065" s="45">
        <v>82</v>
      </c>
      <c r="S1065" s="43">
        <v>8</v>
      </c>
      <c r="T1065" s="46">
        <v>42.65</v>
      </c>
      <c r="U1065" s="40">
        <v>4</v>
      </c>
      <c r="V1065" s="47">
        <v>3182.6770731840002</v>
      </c>
      <c r="W1065" s="48">
        <v>1994</v>
      </c>
      <c r="X1065" s="40"/>
      <c r="Y1065" s="53" t="s">
        <v>1082</v>
      </c>
      <c r="Z1065" s="40" t="s">
        <v>910</v>
      </c>
      <c r="AA1065" s="49">
        <f t="shared" si="151"/>
        <v>84181.808585716804</v>
      </c>
      <c r="AB1065" s="71">
        <f t="shared" si="152"/>
        <v>0.68</v>
      </c>
      <c r="AC1065" s="49">
        <f t="shared" si="153"/>
        <v>26938.18</v>
      </c>
      <c r="AD1065" s="50">
        <f t="shared" si="154"/>
        <v>0</v>
      </c>
      <c r="AE1065" s="50">
        <f t="shared" si="155"/>
        <v>0</v>
      </c>
      <c r="AF1065" s="50">
        <f t="shared" si="156"/>
        <v>26938.18</v>
      </c>
      <c r="AG1065" s="199">
        <f t="shared" si="157"/>
        <v>26938</v>
      </c>
      <c r="AH1065" s="187"/>
      <c r="AI1065" s="185" t="s">
        <v>1462</v>
      </c>
      <c r="AJ1065" s="185"/>
      <c r="AK1065" s="277">
        <f t="shared" si="150"/>
        <v>3182.68</v>
      </c>
      <c r="AL1065" s="25">
        <f>(SUMIFS('T1 2019 Pipeline Data Lagasco'!$O:$O,'T1 2019 Pipeline Data Lagasco'!$A:$A,'Dec 31 2018 OFFS'!$AI1065,'T1 2019 Pipeline Data Lagasco'!$Q:$Q,'Dec 31 2018 OFFS'!$AK1065,'T1 2019 Pipeline Data Lagasco'!$E:$E,'Dec 31 2018 OFFS'!$U1065,'T1 2019 Pipeline Data Lagasco'!$G:$G,'Dec 31 2018 OFFS'!$W1065))/(MAX(COUNTIFS('T1 2019 Pipeline Data Lagasco'!$A:$A,'Dec 31 2018 OFFS'!$AI1065,'T1 2019 Pipeline Data Lagasco'!$Q:$Q,'Dec 31 2018 OFFS'!$AK1065,'T1 2019 Pipeline Data Lagasco'!$E:$E,'Dec 31 2018 OFFS'!$U1065,'T1 2019 Pipeline Data Lagasco'!$G:$G,'Dec 31 2018 OFFS'!$W1065),1))</f>
        <v>26938</v>
      </c>
      <c r="AM1065" s="274">
        <f t="shared" si="158"/>
        <v>0</v>
      </c>
    </row>
    <row r="1066" spans="1:39" ht="12.7">
      <c r="A1066" s="193" t="s">
        <v>909</v>
      </c>
      <c r="B1066" s="40" t="s">
        <v>917</v>
      </c>
      <c r="C1066" s="40" t="s">
        <v>921</v>
      </c>
      <c r="D1066" s="40" t="s">
        <v>769</v>
      </c>
      <c r="E1066" s="40" t="s">
        <v>1222</v>
      </c>
      <c r="F1066" s="40"/>
      <c r="G1066" s="41" t="s">
        <v>780</v>
      </c>
      <c r="H1066" s="42">
        <v>42</v>
      </c>
      <c r="I1066" s="43">
        <v>10</v>
      </c>
      <c r="J1066" s="44">
        <v>30.48</v>
      </c>
      <c r="K1066" s="45">
        <v>82</v>
      </c>
      <c r="L1066" s="43">
        <v>8</v>
      </c>
      <c r="M1066" s="46">
        <v>1.56</v>
      </c>
      <c r="N1066" s="41" t="s">
        <v>779</v>
      </c>
      <c r="O1066" s="42">
        <v>42</v>
      </c>
      <c r="P1066" s="43">
        <v>11</v>
      </c>
      <c r="Q1066" s="44">
        <v>9.2539999999999996</v>
      </c>
      <c r="R1066" s="45">
        <v>82</v>
      </c>
      <c r="S1066" s="43">
        <v>5</v>
      </c>
      <c r="T1066" s="46">
        <v>2.9319999999999999</v>
      </c>
      <c r="U1066" s="40">
        <v>4</v>
      </c>
      <c r="V1066" s="47">
        <v>14010.99040789</v>
      </c>
      <c r="W1066" s="48">
        <v>1994</v>
      </c>
      <c r="X1066" s="40"/>
      <c r="Y1066" s="53" t="s">
        <v>1082</v>
      </c>
      <c r="Z1066" s="40" t="s">
        <v>910</v>
      </c>
      <c r="AA1066" s="49">
        <f t="shared" si="151"/>
        <v>370590.69628869049</v>
      </c>
      <c r="AB1066" s="71">
        <f t="shared" si="152"/>
        <v>0.68</v>
      </c>
      <c r="AC1066" s="49">
        <f t="shared" si="153"/>
        <v>118589.02</v>
      </c>
      <c r="AD1066" s="50">
        <f t="shared" si="154"/>
        <v>0</v>
      </c>
      <c r="AE1066" s="50">
        <f t="shared" si="155"/>
        <v>0</v>
      </c>
      <c r="AF1066" s="50">
        <f t="shared" si="156"/>
        <v>118589.02</v>
      </c>
      <c r="AG1066" s="199">
        <f t="shared" si="157"/>
        <v>118589</v>
      </c>
      <c r="AH1066" s="187"/>
      <c r="AI1066" s="185" t="s">
        <v>1462</v>
      </c>
      <c r="AJ1066" s="185"/>
      <c r="AK1066" s="277">
        <f t="shared" si="150"/>
        <v>14010.99</v>
      </c>
      <c r="AL1066" s="25">
        <f>(SUMIFS('T1 2019 Pipeline Data Lagasco'!$O:$O,'T1 2019 Pipeline Data Lagasco'!$A:$A,'Dec 31 2018 OFFS'!$AI1066,'T1 2019 Pipeline Data Lagasco'!$Q:$Q,'Dec 31 2018 OFFS'!$AK1066,'T1 2019 Pipeline Data Lagasco'!$E:$E,'Dec 31 2018 OFFS'!$U1066,'T1 2019 Pipeline Data Lagasco'!$G:$G,'Dec 31 2018 OFFS'!$W1066))/(MAX(COUNTIFS('T1 2019 Pipeline Data Lagasco'!$A:$A,'Dec 31 2018 OFFS'!$AI1066,'T1 2019 Pipeline Data Lagasco'!$Q:$Q,'Dec 31 2018 OFFS'!$AK1066,'T1 2019 Pipeline Data Lagasco'!$E:$E,'Dec 31 2018 OFFS'!$U1066,'T1 2019 Pipeline Data Lagasco'!$G:$G,'Dec 31 2018 OFFS'!$W1066),1))</f>
        <v>118589</v>
      </c>
      <c r="AM1066" s="274">
        <f t="shared" si="158"/>
        <v>0</v>
      </c>
    </row>
    <row r="1067" spans="1:39" ht="12.7">
      <c r="A1067" s="193" t="s">
        <v>909</v>
      </c>
      <c r="B1067" s="40" t="s">
        <v>917</v>
      </c>
      <c r="C1067" s="40" t="s">
        <v>921</v>
      </c>
      <c r="D1067" s="40" t="s">
        <v>769</v>
      </c>
      <c r="E1067" s="40" t="s">
        <v>1222</v>
      </c>
      <c r="F1067" s="40"/>
      <c r="G1067" s="40" t="s">
        <v>1333</v>
      </c>
      <c r="H1067" s="42">
        <v>42</v>
      </c>
      <c r="I1067" s="43">
        <v>10</v>
      </c>
      <c r="J1067" s="44">
        <v>39</v>
      </c>
      <c r="K1067" s="45" t="s">
        <v>1338</v>
      </c>
      <c r="L1067" s="43">
        <v>9</v>
      </c>
      <c r="M1067" s="46">
        <v>0</v>
      </c>
      <c r="N1067" s="41" t="s">
        <v>1334</v>
      </c>
      <c r="O1067" s="42">
        <v>42</v>
      </c>
      <c r="P1067" s="43">
        <v>11</v>
      </c>
      <c r="Q1067" s="44">
        <v>45.72</v>
      </c>
      <c r="R1067" s="45" t="s">
        <v>1338</v>
      </c>
      <c r="S1067" s="43">
        <v>8</v>
      </c>
      <c r="T1067" s="46">
        <v>20.04</v>
      </c>
      <c r="U1067" s="40">
        <v>4</v>
      </c>
      <c r="V1067" s="47">
        <v>8411</v>
      </c>
      <c r="W1067" s="48">
        <v>1994</v>
      </c>
      <c r="X1067" s="40"/>
      <c r="Y1067" s="53"/>
      <c r="Z1067" s="40" t="s">
        <v>910</v>
      </c>
      <c r="AA1067" s="49">
        <f t="shared" si="151"/>
        <v>222470.94999999998</v>
      </c>
      <c r="AB1067" s="71">
        <f t="shared" si="152"/>
        <v>0.68</v>
      </c>
      <c r="AC1067" s="49">
        <f t="shared" si="153"/>
        <v>71190.70</v>
      </c>
      <c r="AD1067" s="50">
        <f t="shared" si="154"/>
        <v>0</v>
      </c>
      <c r="AE1067" s="50">
        <f t="shared" si="155"/>
        <v>0</v>
      </c>
      <c r="AF1067" s="50">
        <f t="shared" si="156"/>
        <v>71190.70</v>
      </c>
      <c r="AG1067" s="199">
        <f t="shared" si="157"/>
        <v>71190</v>
      </c>
      <c r="AH1067" s="187"/>
      <c r="AI1067" s="185" t="s">
        <v>1462</v>
      </c>
      <c r="AJ1067" s="185"/>
      <c r="AK1067" s="277">
        <f t="shared" si="150"/>
        <v>8411</v>
      </c>
      <c r="AL1067" s="25">
        <f>(SUMIFS('T1 2019 Pipeline Data Lagasco'!$O:$O,'T1 2019 Pipeline Data Lagasco'!$A:$A,'Dec 31 2018 OFFS'!$AI1067,'T1 2019 Pipeline Data Lagasco'!$Q:$Q,'Dec 31 2018 OFFS'!$AK1067,'T1 2019 Pipeline Data Lagasco'!$E:$E,'Dec 31 2018 OFFS'!$U1067,'T1 2019 Pipeline Data Lagasco'!$G:$G,'Dec 31 2018 OFFS'!$W1067))/(MAX(COUNTIFS('T1 2019 Pipeline Data Lagasco'!$A:$A,'Dec 31 2018 OFFS'!$AI1067,'T1 2019 Pipeline Data Lagasco'!$Q:$Q,'Dec 31 2018 OFFS'!$AK1067,'T1 2019 Pipeline Data Lagasco'!$E:$E,'Dec 31 2018 OFFS'!$U1067,'T1 2019 Pipeline Data Lagasco'!$G:$G,'Dec 31 2018 OFFS'!$W1067),1))</f>
        <v>71190</v>
      </c>
      <c r="AM1067" s="274">
        <f t="shared" si="158"/>
        <v>0</v>
      </c>
    </row>
    <row r="1068" spans="1:39" ht="12.7">
      <c r="A1068" s="193" t="s">
        <v>909</v>
      </c>
      <c r="B1068" s="40" t="s">
        <v>917</v>
      </c>
      <c r="C1068" s="40" t="s">
        <v>921</v>
      </c>
      <c r="D1068" s="40" t="s">
        <v>769</v>
      </c>
      <c r="E1068" s="40" t="s">
        <v>1222</v>
      </c>
      <c r="F1068" s="40"/>
      <c r="G1068" s="41" t="s">
        <v>1334</v>
      </c>
      <c r="H1068" s="42">
        <v>42</v>
      </c>
      <c r="I1068" s="43">
        <v>11</v>
      </c>
      <c r="J1068" s="44">
        <v>45.72</v>
      </c>
      <c r="K1068" s="45" t="s">
        <v>1338</v>
      </c>
      <c r="L1068" s="43">
        <v>8</v>
      </c>
      <c r="M1068" s="46">
        <v>20.04</v>
      </c>
      <c r="N1068" s="41" t="s">
        <v>1335</v>
      </c>
      <c r="O1068" s="42">
        <v>42</v>
      </c>
      <c r="P1068" s="43">
        <v>12</v>
      </c>
      <c r="Q1068" s="44">
        <v>46.44</v>
      </c>
      <c r="R1068" s="45" t="s">
        <v>1338</v>
      </c>
      <c r="S1068" s="43">
        <v>6</v>
      </c>
      <c r="T1068" s="46">
        <v>33.119999999999997</v>
      </c>
      <c r="U1068" s="40">
        <v>4</v>
      </c>
      <c r="V1068" s="47">
        <v>10411</v>
      </c>
      <c r="W1068" s="48">
        <v>1994</v>
      </c>
      <c r="X1068" s="40"/>
      <c r="Y1068" s="53"/>
      <c r="Z1068" s="40" t="s">
        <v>910</v>
      </c>
      <c r="AA1068" s="49">
        <f t="shared" si="151"/>
        <v>275370.95</v>
      </c>
      <c r="AB1068" s="71">
        <f t="shared" si="152"/>
        <v>0.68</v>
      </c>
      <c r="AC1068" s="49">
        <f t="shared" si="153"/>
        <v>88118.70</v>
      </c>
      <c r="AD1068" s="50">
        <f t="shared" si="154"/>
        <v>0</v>
      </c>
      <c r="AE1068" s="50">
        <f t="shared" si="155"/>
        <v>0</v>
      </c>
      <c r="AF1068" s="50">
        <f t="shared" si="156"/>
        <v>88118.70</v>
      </c>
      <c r="AG1068" s="199">
        <f t="shared" si="157"/>
        <v>88118</v>
      </c>
      <c r="AH1068" s="187"/>
      <c r="AI1068" s="185" t="s">
        <v>1462</v>
      </c>
      <c r="AJ1068" s="185"/>
      <c r="AK1068" s="277">
        <f t="shared" si="150"/>
        <v>10411</v>
      </c>
      <c r="AL1068" s="25">
        <f>(SUMIFS('T1 2019 Pipeline Data Lagasco'!$O:$O,'T1 2019 Pipeline Data Lagasco'!$A:$A,'Dec 31 2018 OFFS'!$AI1068,'T1 2019 Pipeline Data Lagasco'!$Q:$Q,'Dec 31 2018 OFFS'!$AK1068,'T1 2019 Pipeline Data Lagasco'!$E:$E,'Dec 31 2018 OFFS'!$U1068,'T1 2019 Pipeline Data Lagasco'!$G:$G,'Dec 31 2018 OFFS'!$W1068))/(MAX(COUNTIFS('T1 2019 Pipeline Data Lagasco'!$A:$A,'Dec 31 2018 OFFS'!$AI1068,'T1 2019 Pipeline Data Lagasco'!$Q:$Q,'Dec 31 2018 OFFS'!$AK1068,'T1 2019 Pipeline Data Lagasco'!$E:$E,'Dec 31 2018 OFFS'!$U1068,'T1 2019 Pipeline Data Lagasco'!$G:$G,'Dec 31 2018 OFFS'!$W1068),1))</f>
        <v>88118</v>
      </c>
      <c r="AM1068" s="274">
        <f t="shared" si="158"/>
        <v>0</v>
      </c>
    </row>
    <row r="1069" spans="1:39" ht="12.7">
      <c r="A1069" s="193" t="s">
        <v>909</v>
      </c>
      <c r="B1069" s="40" t="s">
        <v>917</v>
      </c>
      <c r="C1069" s="40" t="s">
        <v>921</v>
      </c>
      <c r="D1069" s="40" t="s">
        <v>769</v>
      </c>
      <c r="E1069" s="40" t="s">
        <v>1222</v>
      </c>
      <c r="F1069" s="40"/>
      <c r="G1069" s="41" t="s">
        <v>1335</v>
      </c>
      <c r="H1069" s="42">
        <v>42</v>
      </c>
      <c r="I1069" s="43">
        <v>12</v>
      </c>
      <c r="J1069" s="44">
        <v>46.44</v>
      </c>
      <c r="K1069" s="45" t="s">
        <v>1338</v>
      </c>
      <c r="L1069" s="43">
        <v>6</v>
      </c>
      <c r="M1069" s="46">
        <v>33.119999999999997</v>
      </c>
      <c r="N1069" s="41" t="s">
        <v>961</v>
      </c>
      <c r="O1069" s="42">
        <v>42</v>
      </c>
      <c r="P1069" s="43">
        <v>13</v>
      </c>
      <c r="Q1069" s="44">
        <v>26.283000000000001</v>
      </c>
      <c r="R1069" s="45" t="s">
        <v>1338</v>
      </c>
      <c r="S1069" s="43">
        <v>5</v>
      </c>
      <c r="T1069" s="46">
        <v>19.571000000000002</v>
      </c>
      <c r="U1069" s="40">
        <v>4</v>
      </c>
      <c r="V1069" s="47">
        <v>6986</v>
      </c>
      <c r="W1069" s="48">
        <v>1978</v>
      </c>
      <c r="X1069" s="40"/>
      <c r="Y1069" s="53"/>
      <c r="Z1069" s="40" t="s">
        <v>910</v>
      </c>
      <c r="AA1069" s="49">
        <f t="shared" si="151"/>
        <v>184779.69999999998</v>
      </c>
      <c r="AB1069" s="71">
        <f t="shared" si="152"/>
        <v>0.80</v>
      </c>
      <c r="AC1069" s="49">
        <f t="shared" si="153"/>
        <v>36955.94</v>
      </c>
      <c r="AD1069" s="50">
        <f t="shared" si="154"/>
        <v>0</v>
      </c>
      <c r="AE1069" s="50">
        <f t="shared" si="155"/>
        <v>0</v>
      </c>
      <c r="AF1069" s="50">
        <f t="shared" si="156"/>
        <v>36955.94</v>
      </c>
      <c r="AG1069" s="199">
        <f t="shared" si="157"/>
        <v>36955</v>
      </c>
      <c r="AH1069" s="187">
        <f>SUM(AF1052:AF1069)</f>
        <v>696185.33000000007</v>
      </c>
      <c r="AI1069" s="185" t="s">
        <v>1462</v>
      </c>
      <c r="AJ1069" s="185"/>
      <c r="AK1069" s="277">
        <f t="shared" si="150"/>
        <v>6986</v>
      </c>
      <c r="AL1069" s="25">
        <f>(SUMIFS('T1 2019 Pipeline Data Lagasco'!$O:$O,'T1 2019 Pipeline Data Lagasco'!$A:$A,'Dec 31 2018 OFFS'!$AI1069,'T1 2019 Pipeline Data Lagasco'!$Q:$Q,'Dec 31 2018 OFFS'!$AK1069,'T1 2019 Pipeline Data Lagasco'!$E:$E,'Dec 31 2018 OFFS'!$U1069,'T1 2019 Pipeline Data Lagasco'!$G:$G,'Dec 31 2018 OFFS'!$W1069))/(MAX(COUNTIFS('T1 2019 Pipeline Data Lagasco'!$A:$A,'Dec 31 2018 OFFS'!$AI1069,'T1 2019 Pipeline Data Lagasco'!$Q:$Q,'Dec 31 2018 OFFS'!$AK1069,'T1 2019 Pipeline Data Lagasco'!$E:$E,'Dec 31 2018 OFFS'!$U1069,'T1 2019 Pipeline Data Lagasco'!$G:$G,'Dec 31 2018 OFFS'!$W1069),1))</f>
        <v>36955</v>
      </c>
      <c r="AM1069" s="274">
        <f t="shared" si="158"/>
        <v>0</v>
      </c>
    </row>
    <row r="1070" spans="1:39" ht="12.7">
      <c r="A1070" s="193" t="s">
        <v>909</v>
      </c>
      <c r="B1070" s="40" t="s">
        <v>917</v>
      </c>
      <c r="C1070" s="40" t="s">
        <v>921</v>
      </c>
      <c r="D1070" s="40" t="s">
        <v>653</v>
      </c>
      <c r="E1070" s="40" t="s">
        <v>716</v>
      </c>
      <c r="F1070" s="40"/>
      <c r="G1070" s="41" t="s">
        <v>661</v>
      </c>
      <c r="H1070" s="42">
        <v>42</v>
      </c>
      <c r="I1070" s="43">
        <v>8</v>
      </c>
      <c r="J1070" s="44">
        <v>8.94</v>
      </c>
      <c r="K1070" s="45">
        <v>82</v>
      </c>
      <c r="L1070" s="43">
        <v>17</v>
      </c>
      <c r="M1070" s="46">
        <v>49.20</v>
      </c>
      <c r="N1070" s="40" t="s">
        <v>656</v>
      </c>
      <c r="O1070" s="42">
        <v>42</v>
      </c>
      <c r="P1070" s="43">
        <v>7</v>
      </c>
      <c r="Q1070" s="44">
        <v>58.98</v>
      </c>
      <c r="R1070" s="45">
        <v>82</v>
      </c>
      <c r="S1070" s="43">
        <v>18</v>
      </c>
      <c r="T1070" s="46">
        <v>14.58</v>
      </c>
      <c r="U1070" s="40">
        <v>3</v>
      </c>
      <c r="V1070" s="47">
        <v>2162.0100000000002</v>
      </c>
      <c r="W1070" s="48">
        <v>1957</v>
      </c>
      <c r="X1070" s="40"/>
      <c r="Y1070" s="52"/>
      <c r="Z1070" s="40" t="s">
        <v>910</v>
      </c>
      <c r="AA1070" s="49">
        <f t="shared" si="151"/>
        <v>51001.815900000001</v>
      </c>
      <c r="AB1070" s="71">
        <f t="shared" si="152"/>
        <v>0.80</v>
      </c>
      <c r="AC1070" s="49">
        <f t="shared" si="153"/>
        <v>10200.36</v>
      </c>
      <c r="AD1070" s="50">
        <f t="shared" si="154"/>
        <v>0</v>
      </c>
      <c r="AE1070" s="50">
        <f t="shared" si="155"/>
        <v>0</v>
      </c>
      <c r="AF1070" s="50">
        <f t="shared" si="156"/>
        <v>10200.36</v>
      </c>
      <c r="AG1070" s="199">
        <f t="shared" si="157"/>
        <v>10200</v>
      </c>
      <c r="AH1070" s="187"/>
      <c r="AI1070" s="185" t="s">
        <v>1463</v>
      </c>
      <c r="AJ1070" s="185"/>
      <c r="AK1070" s="277">
        <f t="shared" si="150"/>
        <v>2162.0100000000002</v>
      </c>
      <c r="AL1070" s="25">
        <f>(SUMIFS('T1 2019 Pipeline Data Lagasco'!$O:$O,'T1 2019 Pipeline Data Lagasco'!$A:$A,'Dec 31 2018 OFFS'!$AI1070,'T1 2019 Pipeline Data Lagasco'!$Q:$Q,'Dec 31 2018 OFFS'!$AK1070,'T1 2019 Pipeline Data Lagasco'!$E:$E,'Dec 31 2018 OFFS'!$U1070,'T1 2019 Pipeline Data Lagasco'!$G:$G,'Dec 31 2018 OFFS'!$W1070))/(MAX(COUNTIFS('T1 2019 Pipeline Data Lagasco'!$A:$A,'Dec 31 2018 OFFS'!$AI1070,'T1 2019 Pipeline Data Lagasco'!$Q:$Q,'Dec 31 2018 OFFS'!$AK1070,'T1 2019 Pipeline Data Lagasco'!$E:$E,'Dec 31 2018 OFFS'!$U1070,'T1 2019 Pipeline Data Lagasco'!$G:$G,'Dec 31 2018 OFFS'!$W1070),1))</f>
        <v>10200</v>
      </c>
      <c r="AM1070" s="274">
        <f t="shared" si="158"/>
        <v>0</v>
      </c>
    </row>
    <row r="1071" spans="1:39" ht="12.7">
      <c r="A1071" s="193" t="s">
        <v>909</v>
      </c>
      <c r="B1071" s="40" t="s">
        <v>917</v>
      </c>
      <c r="C1071" s="40" t="s">
        <v>921</v>
      </c>
      <c r="D1071" s="40" t="s">
        <v>653</v>
      </c>
      <c r="E1071" s="40" t="s">
        <v>716</v>
      </c>
      <c r="F1071" s="139" t="s">
        <v>1051</v>
      </c>
      <c r="G1071" s="41" t="s">
        <v>661</v>
      </c>
      <c r="H1071" s="42">
        <v>42</v>
      </c>
      <c r="I1071" s="43">
        <v>8</v>
      </c>
      <c r="J1071" s="44">
        <v>8.94</v>
      </c>
      <c r="K1071" s="45">
        <v>82</v>
      </c>
      <c r="L1071" s="43">
        <v>17</v>
      </c>
      <c r="M1071" s="46">
        <v>49.20</v>
      </c>
      <c r="N1071" s="40" t="s">
        <v>657</v>
      </c>
      <c r="O1071" s="42">
        <v>42</v>
      </c>
      <c r="P1071" s="43">
        <v>8</v>
      </c>
      <c r="Q1071" s="44">
        <v>25.20</v>
      </c>
      <c r="R1071" s="45">
        <v>82</v>
      </c>
      <c r="S1071" s="43">
        <v>18</v>
      </c>
      <c r="T1071" s="46">
        <v>13.08</v>
      </c>
      <c r="U1071" s="40">
        <v>3</v>
      </c>
      <c r="V1071" s="47">
        <v>2438.7138401360003</v>
      </c>
      <c r="W1071" s="48">
        <v>1957</v>
      </c>
      <c r="X1071" s="40"/>
      <c r="Y1071" s="53" t="s">
        <v>1082</v>
      </c>
      <c r="Z1071" s="40" t="s">
        <v>910</v>
      </c>
      <c r="AA1071" s="49">
        <f t="shared" si="151"/>
        <v>0</v>
      </c>
      <c r="AB1071" s="71">
        <f t="shared" si="152"/>
        <v>0.80</v>
      </c>
      <c r="AC1071" s="49">
        <f t="shared" si="153"/>
        <v>0</v>
      </c>
      <c r="AD1071" s="50">
        <f t="shared" si="154"/>
        <v>0</v>
      </c>
      <c r="AE1071" s="50">
        <f t="shared" si="155"/>
        <v>0</v>
      </c>
      <c r="AF1071" s="50">
        <f t="shared" si="156"/>
        <v>0</v>
      </c>
      <c r="AG1071" s="199">
        <f t="shared" si="157"/>
        <v>0</v>
      </c>
      <c r="AH1071" s="187"/>
      <c r="AI1071" s="185" t="s">
        <v>1463</v>
      </c>
      <c r="AJ1071" s="185"/>
      <c r="AK1071" s="277">
        <f t="shared" si="150"/>
        <v>2438.71</v>
      </c>
      <c r="AL1071" s="25">
        <f>(SUMIFS('T1 2019 Pipeline Data Lagasco'!$O:$O,'T1 2019 Pipeline Data Lagasco'!$A:$A,'Dec 31 2018 OFFS'!$AI1071,'T1 2019 Pipeline Data Lagasco'!$Q:$Q,'Dec 31 2018 OFFS'!$AK1071,'T1 2019 Pipeline Data Lagasco'!$E:$E,'Dec 31 2018 OFFS'!$U1071,'T1 2019 Pipeline Data Lagasco'!$G:$G,'Dec 31 2018 OFFS'!$W1071))/(MAX(COUNTIFS('T1 2019 Pipeline Data Lagasco'!$A:$A,'Dec 31 2018 OFFS'!$AI1071,'T1 2019 Pipeline Data Lagasco'!$Q:$Q,'Dec 31 2018 OFFS'!$AK1071,'T1 2019 Pipeline Data Lagasco'!$E:$E,'Dec 31 2018 OFFS'!$U1071,'T1 2019 Pipeline Data Lagasco'!$G:$G,'Dec 31 2018 OFFS'!$W1071),1))</f>
        <v>0</v>
      </c>
      <c r="AM1071" s="274">
        <f t="shared" si="158"/>
        <v>0</v>
      </c>
    </row>
    <row r="1072" spans="1:39" ht="12.7">
      <c r="A1072" s="193" t="s">
        <v>909</v>
      </c>
      <c r="B1072" s="40" t="s">
        <v>917</v>
      </c>
      <c r="C1072" s="40" t="s">
        <v>921</v>
      </c>
      <c r="D1072" s="40" t="s">
        <v>653</v>
      </c>
      <c r="E1072" s="40" t="s">
        <v>716</v>
      </c>
      <c r="F1072" s="40"/>
      <c r="G1072" s="41" t="s">
        <v>658</v>
      </c>
      <c r="H1072" s="42">
        <v>42</v>
      </c>
      <c r="I1072" s="43">
        <v>7</v>
      </c>
      <c r="J1072" s="44">
        <v>17.46</v>
      </c>
      <c r="K1072" s="45">
        <v>82</v>
      </c>
      <c r="L1072" s="43">
        <v>16</v>
      </c>
      <c r="M1072" s="46">
        <v>46.44</v>
      </c>
      <c r="N1072" s="41" t="s">
        <v>649</v>
      </c>
      <c r="O1072" s="42" t="s">
        <v>78</v>
      </c>
      <c r="P1072" s="43" t="s">
        <v>650</v>
      </c>
      <c r="Q1072" s="44" t="s">
        <v>651</v>
      </c>
      <c r="R1072" s="45">
        <v>82</v>
      </c>
      <c r="S1072" s="43">
        <v>12</v>
      </c>
      <c r="T1072" s="46">
        <v>8.0399999999999991</v>
      </c>
      <c r="U1072" s="40">
        <v>3</v>
      </c>
      <c r="V1072" s="47">
        <v>3353.4447847739998</v>
      </c>
      <c r="W1072" s="48">
        <v>1957</v>
      </c>
      <c r="X1072" s="40"/>
      <c r="Y1072" s="53" t="s">
        <v>1082</v>
      </c>
      <c r="Z1072" s="40" t="s">
        <v>910</v>
      </c>
      <c r="AA1072" s="49">
        <f t="shared" si="151"/>
        <v>79107.762472818649</v>
      </c>
      <c r="AB1072" s="71">
        <f t="shared" si="152"/>
        <v>0.80</v>
      </c>
      <c r="AC1072" s="49">
        <f t="shared" si="153"/>
        <v>15821.55</v>
      </c>
      <c r="AD1072" s="50">
        <f t="shared" si="154"/>
        <v>0</v>
      </c>
      <c r="AE1072" s="50">
        <f t="shared" si="155"/>
        <v>0</v>
      </c>
      <c r="AF1072" s="50">
        <f t="shared" si="156"/>
        <v>15821.55</v>
      </c>
      <c r="AG1072" s="199">
        <f t="shared" si="157"/>
        <v>15821</v>
      </c>
      <c r="AH1072" s="187"/>
      <c r="AI1072" s="185" t="s">
        <v>1463</v>
      </c>
      <c r="AJ1072" s="185"/>
      <c r="AK1072" s="277">
        <f t="shared" si="150"/>
        <v>3353.44</v>
      </c>
      <c r="AL1072" s="25">
        <f>(SUMIFS('T1 2019 Pipeline Data Lagasco'!$O:$O,'T1 2019 Pipeline Data Lagasco'!$A:$A,'Dec 31 2018 OFFS'!$AI1072,'T1 2019 Pipeline Data Lagasco'!$Q:$Q,'Dec 31 2018 OFFS'!$AK1072,'T1 2019 Pipeline Data Lagasco'!$E:$E,'Dec 31 2018 OFFS'!$U1072,'T1 2019 Pipeline Data Lagasco'!$G:$G,'Dec 31 2018 OFFS'!$W1072))/(MAX(COUNTIFS('T1 2019 Pipeline Data Lagasco'!$A:$A,'Dec 31 2018 OFFS'!$AI1072,'T1 2019 Pipeline Data Lagasco'!$Q:$Q,'Dec 31 2018 OFFS'!$AK1072,'T1 2019 Pipeline Data Lagasco'!$E:$E,'Dec 31 2018 OFFS'!$U1072,'T1 2019 Pipeline Data Lagasco'!$G:$G,'Dec 31 2018 OFFS'!$W1072),1))</f>
        <v>15821</v>
      </c>
      <c r="AM1072" s="274">
        <f t="shared" si="158"/>
        <v>0</v>
      </c>
    </row>
    <row r="1073" spans="1:39" ht="12.7">
      <c r="A1073" s="193" t="s">
        <v>909</v>
      </c>
      <c r="B1073" s="40" t="s">
        <v>917</v>
      </c>
      <c r="C1073" s="40" t="s">
        <v>921</v>
      </c>
      <c r="D1073" s="40" t="s">
        <v>653</v>
      </c>
      <c r="E1073" s="40" t="s">
        <v>716</v>
      </c>
      <c r="F1073" s="139" t="s">
        <v>1051</v>
      </c>
      <c r="G1073" s="41" t="s">
        <v>659</v>
      </c>
      <c r="H1073" s="42">
        <v>42</v>
      </c>
      <c r="I1073" s="43">
        <v>7</v>
      </c>
      <c r="J1073" s="44">
        <v>52.38</v>
      </c>
      <c r="K1073" s="45">
        <v>82</v>
      </c>
      <c r="L1073" s="43">
        <v>17</v>
      </c>
      <c r="M1073" s="46">
        <v>26.04</v>
      </c>
      <c r="N1073" s="40" t="s">
        <v>660</v>
      </c>
      <c r="O1073" s="42">
        <v>42</v>
      </c>
      <c r="P1073" s="43">
        <v>7</v>
      </c>
      <c r="Q1073" s="44">
        <v>42.42</v>
      </c>
      <c r="R1073" s="45">
        <v>82</v>
      </c>
      <c r="S1073" s="43">
        <v>17</v>
      </c>
      <c r="T1073" s="46">
        <v>48.12</v>
      </c>
      <c r="U1073" s="40">
        <v>3</v>
      </c>
      <c r="V1073" s="47">
        <v>1945.6036181959998</v>
      </c>
      <c r="W1073" s="48">
        <v>1957</v>
      </c>
      <c r="X1073" s="40"/>
      <c r="Y1073" s="53" t="s">
        <v>1082</v>
      </c>
      <c r="Z1073" s="40" t="s">
        <v>910</v>
      </c>
      <c r="AA1073" s="49">
        <f t="shared" si="151"/>
        <v>0</v>
      </c>
      <c r="AB1073" s="71">
        <f t="shared" si="152"/>
        <v>0.80</v>
      </c>
      <c r="AC1073" s="49">
        <f t="shared" si="153"/>
        <v>0</v>
      </c>
      <c r="AD1073" s="50">
        <f t="shared" si="154"/>
        <v>0</v>
      </c>
      <c r="AE1073" s="50">
        <f t="shared" si="155"/>
        <v>0</v>
      </c>
      <c r="AF1073" s="50">
        <f t="shared" si="156"/>
        <v>0</v>
      </c>
      <c r="AG1073" s="199">
        <f t="shared" si="157"/>
        <v>0</v>
      </c>
      <c r="AH1073" s="187"/>
      <c r="AI1073" s="185" t="s">
        <v>1463</v>
      </c>
      <c r="AJ1073" s="185"/>
      <c r="AK1073" s="277">
        <f t="shared" si="150"/>
        <v>1945.60</v>
      </c>
      <c r="AL1073" s="25">
        <f>(SUMIFS('T1 2019 Pipeline Data Lagasco'!$O:$O,'T1 2019 Pipeline Data Lagasco'!$A:$A,'Dec 31 2018 OFFS'!$AI1073,'T1 2019 Pipeline Data Lagasco'!$Q:$Q,'Dec 31 2018 OFFS'!$AK1073,'T1 2019 Pipeline Data Lagasco'!$E:$E,'Dec 31 2018 OFFS'!$U1073,'T1 2019 Pipeline Data Lagasco'!$G:$G,'Dec 31 2018 OFFS'!$W1073))/(MAX(COUNTIFS('T1 2019 Pipeline Data Lagasco'!$A:$A,'Dec 31 2018 OFFS'!$AI1073,'T1 2019 Pipeline Data Lagasco'!$Q:$Q,'Dec 31 2018 OFFS'!$AK1073,'T1 2019 Pipeline Data Lagasco'!$E:$E,'Dec 31 2018 OFFS'!$U1073,'T1 2019 Pipeline Data Lagasco'!$G:$G,'Dec 31 2018 OFFS'!$W1073),1))</f>
        <v>0</v>
      </c>
      <c r="AM1073" s="274">
        <f t="shared" si="158"/>
        <v>0</v>
      </c>
    </row>
    <row r="1074" spans="1:39" ht="12.7">
      <c r="A1074" s="193" t="s">
        <v>909</v>
      </c>
      <c r="B1074" s="40" t="s">
        <v>917</v>
      </c>
      <c r="C1074" s="40" t="s">
        <v>921</v>
      </c>
      <c r="D1074" s="40" t="s">
        <v>653</v>
      </c>
      <c r="E1074" s="40" t="s">
        <v>716</v>
      </c>
      <c r="F1074" s="40"/>
      <c r="G1074" s="41" t="s">
        <v>659</v>
      </c>
      <c r="H1074" s="42">
        <v>42</v>
      </c>
      <c r="I1074" s="43">
        <v>7</v>
      </c>
      <c r="J1074" s="44">
        <v>52.38</v>
      </c>
      <c r="K1074" s="45">
        <v>82</v>
      </c>
      <c r="L1074" s="43">
        <v>17</v>
      </c>
      <c r="M1074" s="46">
        <v>26.04</v>
      </c>
      <c r="N1074" s="40" t="s">
        <v>661</v>
      </c>
      <c r="O1074" s="42">
        <v>42</v>
      </c>
      <c r="P1074" s="43">
        <v>8</v>
      </c>
      <c r="Q1074" s="44">
        <v>8.94</v>
      </c>
      <c r="R1074" s="45">
        <v>82</v>
      </c>
      <c r="S1074" s="43">
        <v>17</v>
      </c>
      <c r="T1074" s="46">
        <v>49.20</v>
      </c>
      <c r="U1074" s="40">
        <v>3</v>
      </c>
      <c r="V1074" s="47">
        <v>2420.0130532759999</v>
      </c>
      <c r="W1074" s="48">
        <v>1957</v>
      </c>
      <c r="X1074" s="40"/>
      <c r="Y1074" s="53" t="s">
        <v>1082</v>
      </c>
      <c r="Z1074" s="40" t="s">
        <v>910</v>
      </c>
      <c r="AA1074" s="49">
        <f t="shared" si="151"/>
        <v>57088.107926780838</v>
      </c>
      <c r="AB1074" s="71">
        <f t="shared" si="152"/>
        <v>0.80</v>
      </c>
      <c r="AC1074" s="49">
        <f t="shared" si="153"/>
        <v>11417.62</v>
      </c>
      <c r="AD1074" s="50">
        <f t="shared" si="154"/>
        <v>0</v>
      </c>
      <c r="AE1074" s="50">
        <f t="shared" si="155"/>
        <v>0</v>
      </c>
      <c r="AF1074" s="50">
        <f t="shared" si="156"/>
        <v>11417.62</v>
      </c>
      <c r="AG1074" s="199">
        <f t="shared" si="157"/>
        <v>11417</v>
      </c>
      <c r="AH1074" s="187"/>
      <c r="AI1074" s="185" t="s">
        <v>1463</v>
      </c>
      <c r="AJ1074" s="185"/>
      <c r="AK1074" s="277">
        <f t="shared" si="150"/>
        <v>2420.0100000000002</v>
      </c>
      <c r="AL1074" s="25">
        <f>(SUMIFS('T1 2019 Pipeline Data Lagasco'!$O:$O,'T1 2019 Pipeline Data Lagasco'!$A:$A,'Dec 31 2018 OFFS'!$AI1074,'T1 2019 Pipeline Data Lagasco'!$Q:$Q,'Dec 31 2018 OFFS'!$AK1074,'T1 2019 Pipeline Data Lagasco'!$E:$E,'Dec 31 2018 OFFS'!$U1074,'T1 2019 Pipeline Data Lagasco'!$G:$G,'Dec 31 2018 OFFS'!$W1074))/(MAX(COUNTIFS('T1 2019 Pipeline Data Lagasco'!$A:$A,'Dec 31 2018 OFFS'!$AI1074,'T1 2019 Pipeline Data Lagasco'!$Q:$Q,'Dec 31 2018 OFFS'!$AK1074,'T1 2019 Pipeline Data Lagasco'!$E:$E,'Dec 31 2018 OFFS'!$U1074,'T1 2019 Pipeline Data Lagasco'!$G:$G,'Dec 31 2018 OFFS'!$W1074),1))</f>
        <v>11417</v>
      </c>
      <c r="AM1074" s="274">
        <f t="shared" si="158"/>
        <v>0</v>
      </c>
    </row>
    <row r="1075" spans="1:39" ht="12.7">
      <c r="A1075" s="193" t="s">
        <v>909</v>
      </c>
      <c r="B1075" s="40" t="s">
        <v>917</v>
      </c>
      <c r="C1075" s="40" t="s">
        <v>921</v>
      </c>
      <c r="D1075" s="40" t="s">
        <v>653</v>
      </c>
      <c r="E1075" s="40" t="s">
        <v>716</v>
      </c>
      <c r="F1075" s="40" t="s">
        <v>1051</v>
      </c>
      <c r="G1075" s="41" t="s">
        <v>649</v>
      </c>
      <c r="H1075" s="42" t="s">
        <v>78</v>
      </c>
      <c r="I1075" s="43" t="s">
        <v>650</v>
      </c>
      <c r="J1075" s="44" t="s">
        <v>651</v>
      </c>
      <c r="K1075" s="45">
        <v>82</v>
      </c>
      <c r="L1075" s="43">
        <v>12</v>
      </c>
      <c r="M1075" s="46">
        <v>8.0399999999999991</v>
      </c>
      <c r="N1075" s="40" t="s">
        <v>652</v>
      </c>
      <c r="O1075" s="42">
        <v>42</v>
      </c>
      <c r="P1075" s="43">
        <v>7</v>
      </c>
      <c r="Q1075" s="44">
        <v>33.119999999999997</v>
      </c>
      <c r="R1075" s="45">
        <v>82</v>
      </c>
      <c r="S1075" s="43">
        <v>17</v>
      </c>
      <c r="T1075" s="46">
        <v>17.64</v>
      </c>
      <c r="U1075" s="40">
        <v>2</v>
      </c>
      <c r="V1075" s="47">
        <v>1528.5104544219998</v>
      </c>
      <c r="W1075" s="48">
        <v>1957</v>
      </c>
      <c r="X1075" s="40"/>
      <c r="Y1075" s="53" t="s">
        <v>1082</v>
      </c>
      <c r="Z1075" s="40" t="s">
        <v>910</v>
      </c>
      <c r="AA1075" s="49">
        <f t="shared" si="151"/>
        <v>0</v>
      </c>
      <c r="AB1075" s="71">
        <f t="shared" si="152"/>
        <v>0.80</v>
      </c>
      <c r="AC1075" s="49">
        <f t="shared" si="153"/>
        <v>0</v>
      </c>
      <c r="AD1075" s="50">
        <f t="shared" si="154"/>
        <v>0</v>
      </c>
      <c r="AE1075" s="50">
        <f t="shared" si="155"/>
        <v>0</v>
      </c>
      <c r="AF1075" s="50">
        <f t="shared" si="156"/>
        <v>0</v>
      </c>
      <c r="AG1075" s="199">
        <f t="shared" si="157"/>
        <v>0</v>
      </c>
      <c r="AH1075" s="187"/>
      <c r="AI1075" s="185" t="s">
        <v>1463</v>
      </c>
      <c r="AJ1075" s="185"/>
      <c r="AK1075" s="277">
        <f t="shared" si="150"/>
        <v>1528.51</v>
      </c>
      <c r="AL1075" s="25">
        <f>(SUMIFS('T1 2019 Pipeline Data Lagasco'!$O:$O,'T1 2019 Pipeline Data Lagasco'!$A:$A,'Dec 31 2018 OFFS'!$AI1075,'T1 2019 Pipeline Data Lagasco'!$Q:$Q,'Dec 31 2018 OFFS'!$AK1075,'T1 2019 Pipeline Data Lagasco'!$E:$E,'Dec 31 2018 OFFS'!$U1075,'T1 2019 Pipeline Data Lagasco'!$G:$G,'Dec 31 2018 OFFS'!$W1075))/(MAX(COUNTIFS('T1 2019 Pipeline Data Lagasco'!$A:$A,'Dec 31 2018 OFFS'!$AI1075,'T1 2019 Pipeline Data Lagasco'!$Q:$Q,'Dec 31 2018 OFFS'!$AK1075,'T1 2019 Pipeline Data Lagasco'!$E:$E,'Dec 31 2018 OFFS'!$U1075,'T1 2019 Pipeline Data Lagasco'!$G:$G,'Dec 31 2018 OFFS'!$W1075),1))</f>
        <v>0</v>
      </c>
      <c r="AM1075" s="274">
        <f t="shared" si="158"/>
        <v>0</v>
      </c>
    </row>
    <row r="1076" spans="1:39" ht="12.7">
      <c r="A1076" s="193" t="s">
        <v>909</v>
      </c>
      <c r="B1076" s="40" t="s">
        <v>917</v>
      </c>
      <c r="C1076" s="40" t="s">
        <v>921</v>
      </c>
      <c r="D1076" s="40" t="s">
        <v>653</v>
      </c>
      <c r="E1076" s="40" t="s">
        <v>716</v>
      </c>
      <c r="F1076" s="40"/>
      <c r="G1076" s="40" t="s">
        <v>652</v>
      </c>
      <c r="H1076" s="42">
        <v>42</v>
      </c>
      <c r="I1076" s="43">
        <v>7</v>
      </c>
      <c r="J1076" s="44">
        <f>60*0.52</f>
        <v>31.200000000000003</v>
      </c>
      <c r="K1076" s="45">
        <v>82</v>
      </c>
      <c r="L1076" s="43">
        <v>17</v>
      </c>
      <c r="M1076" s="46">
        <f>60*0.303</f>
        <v>18.18</v>
      </c>
      <c r="N1076" s="40" t="s">
        <v>649</v>
      </c>
      <c r="O1076" s="42" t="s">
        <v>78</v>
      </c>
      <c r="P1076" s="43" t="s">
        <v>650</v>
      </c>
      <c r="Q1076" s="44">
        <f>60*0.593</f>
        <v>35.58</v>
      </c>
      <c r="R1076" s="45">
        <v>82</v>
      </c>
      <c r="S1076" s="43">
        <v>17</v>
      </c>
      <c r="T1076" s="46">
        <f>60*0.12</f>
        <v>7.1999999999999993</v>
      </c>
      <c r="U1076" s="40">
        <v>3</v>
      </c>
      <c r="V1076" s="47">
        <v>936</v>
      </c>
      <c r="W1076" s="48">
        <v>2008</v>
      </c>
      <c r="X1076" s="40"/>
      <c r="Y1076" s="53" t="s">
        <v>1082</v>
      </c>
      <c r="Z1076" s="40" t="s">
        <v>910</v>
      </c>
      <c r="AA1076" s="49">
        <f t="shared" si="151"/>
        <v>22080.24</v>
      </c>
      <c r="AB1076" s="71">
        <f t="shared" si="152"/>
        <v>0.49</v>
      </c>
      <c r="AC1076" s="49">
        <f t="shared" si="153"/>
        <v>11260.92</v>
      </c>
      <c r="AD1076" s="50">
        <f t="shared" si="154"/>
        <v>0</v>
      </c>
      <c r="AE1076" s="50">
        <f t="shared" si="155"/>
        <v>0</v>
      </c>
      <c r="AF1076" s="50">
        <f t="shared" si="156"/>
        <v>11260.92</v>
      </c>
      <c r="AG1076" s="199">
        <f t="shared" si="157"/>
        <v>11260</v>
      </c>
      <c r="AH1076" s="187"/>
      <c r="AI1076" s="185" t="s">
        <v>1463</v>
      </c>
      <c r="AJ1076" s="185"/>
      <c r="AK1076" s="277">
        <f t="shared" si="150"/>
        <v>936</v>
      </c>
      <c r="AL1076" s="25">
        <f>(SUMIFS('T1 2019 Pipeline Data Lagasco'!$O:$O,'T1 2019 Pipeline Data Lagasco'!$A:$A,'Dec 31 2018 OFFS'!$AI1076,'T1 2019 Pipeline Data Lagasco'!$Q:$Q,'Dec 31 2018 OFFS'!$AK1076,'T1 2019 Pipeline Data Lagasco'!$E:$E,'Dec 31 2018 OFFS'!$U1076,'T1 2019 Pipeline Data Lagasco'!$G:$G,'Dec 31 2018 OFFS'!$W1076))/(MAX(COUNTIFS('T1 2019 Pipeline Data Lagasco'!$A:$A,'Dec 31 2018 OFFS'!$AI1076,'T1 2019 Pipeline Data Lagasco'!$Q:$Q,'Dec 31 2018 OFFS'!$AK1076,'T1 2019 Pipeline Data Lagasco'!$E:$E,'Dec 31 2018 OFFS'!$U1076,'T1 2019 Pipeline Data Lagasco'!$G:$G,'Dec 31 2018 OFFS'!$W1076),1))</f>
        <v>11260</v>
      </c>
      <c r="AM1076" s="274">
        <f t="shared" si="158"/>
        <v>0</v>
      </c>
    </row>
    <row r="1077" spans="1:39" ht="12.7">
      <c r="A1077" s="193" t="s">
        <v>909</v>
      </c>
      <c r="B1077" s="40" t="s">
        <v>917</v>
      </c>
      <c r="C1077" s="40" t="s">
        <v>921</v>
      </c>
      <c r="D1077" s="40" t="s">
        <v>653</v>
      </c>
      <c r="E1077" s="40" t="s">
        <v>716</v>
      </c>
      <c r="F1077" s="139" t="s">
        <v>1051</v>
      </c>
      <c r="G1077" s="41" t="s">
        <v>649</v>
      </c>
      <c r="H1077" s="42" t="s">
        <v>78</v>
      </c>
      <c r="I1077" s="43" t="s">
        <v>650</v>
      </c>
      <c r="J1077" s="44" t="s">
        <v>651</v>
      </c>
      <c r="K1077" s="45">
        <v>82</v>
      </c>
      <c r="L1077" s="43">
        <v>12</v>
      </c>
      <c r="M1077" s="46">
        <v>8.0399999999999991</v>
      </c>
      <c r="N1077" s="40" t="s">
        <v>662</v>
      </c>
      <c r="O1077" s="42">
        <v>42</v>
      </c>
      <c r="P1077" s="43">
        <v>7</v>
      </c>
      <c r="Q1077" s="44">
        <v>43.74</v>
      </c>
      <c r="R1077" s="45">
        <v>82</v>
      </c>
      <c r="S1077" s="43">
        <v>16</v>
      </c>
      <c r="T1077" s="46">
        <v>46.44</v>
      </c>
      <c r="U1077" s="40">
        <v>3</v>
      </c>
      <c r="V1077" s="47">
        <v>1650.229611002</v>
      </c>
      <c r="W1077" s="48">
        <v>1957</v>
      </c>
      <c r="X1077" s="40"/>
      <c r="Y1077" s="53" t="s">
        <v>1082</v>
      </c>
      <c r="Z1077" s="40" t="s">
        <v>910</v>
      </c>
      <c r="AA1077" s="49">
        <f t="shared" si="151"/>
        <v>0</v>
      </c>
      <c r="AB1077" s="71">
        <f t="shared" si="152"/>
        <v>0.80</v>
      </c>
      <c r="AC1077" s="49">
        <f t="shared" si="153"/>
        <v>0</v>
      </c>
      <c r="AD1077" s="50">
        <f t="shared" si="154"/>
        <v>0</v>
      </c>
      <c r="AE1077" s="50">
        <f t="shared" si="155"/>
        <v>0</v>
      </c>
      <c r="AF1077" s="50">
        <f t="shared" si="156"/>
        <v>0</v>
      </c>
      <c r="AG1077" s="199">
        <f t="shared" si="157"/>
        <v>0</v>
      </c>
      <c r="AH1077" s="187"/>
      <c r="AI1077" s="185" t="s">
        <v>1463</v>
      </c>
      <c r="AJ1077" s="185"/>
      <c r="AK1077" s="277">
        <f t="shared" si="150"/>
        <v>1650.23</v>
      </c>
      <c r="AL1077" s="25">
        <f>(SUMIFS('T1 2019 Pipeline Data Lagasco'!$O:$O,'T1 2019 Pipeline Data Lagasco'!$A:$A,'Dec 31 2018 OFFS'!$AI1077,'T1 2019 Pipeline Data Lagasco'!$Q:$Q,'Dec 31 2018 OFFS'!$AK1077,'T1 2019 Pipeline Data Lagasco'!$E:$E,'Dec 31 2018 OFFS'!$U1077,'T1 2019 Pipeline Data Lagasco'!$G:$G,'Dec 31 2018 OFFS'!$W1077))/(MAX(COUNTIFS('T1 2019 Pipeline Data Lagasco'!$A:$A,'Dec 31 2018 OFFS'!$AI1077,'T1 2019 Pipeline Data Lagasco'!$Q:$Q,'Dec 31 2018 OFFS'!$AK1077,'T1 2019 Pipeline Data Lagasco'!$E:$E,'Dec 31 2018 OFFS'!$U1077,'T1 2019 Pipeline Data Lagasco'!$G:$G,'Dec 31 2018 OFFS'!$W1077),1))</f>
        <v>0</v>
      </c>
      <c r="AM1077" s="274">
        <f t="shared" si="158"/>
        <v>0</v>
      </c>
    </row>
    <row r="1078" spans="1:39" ht="12.7">
      <c r="A1078" s="193" t="s">
        <v>909</v>
      </c>
      <c r="B1078" s="40" t="s">
        <v>917</v>
      </c>
      <c r="C1078" s="40" t="s">
        <v>921</v>
      </c>
      <c r="D1078" s="40" t="s">
        <v>653</v>
      </c>
      <c r="E1078" s="40" t="s">
        <v>716</v>
      </c>
      <c r="F1078" s="40" t="s">
        <v>1051</v>
      </c>
      <c r="G1078" s="41" t="s">
        <v>649</v>
      </c>
      <c r="H1078" s="42" t="s">
        <v>78</v>
      </c>
      <c r="I1078" s="43" t="s">
        <v>650</v>
      </c>
      <c r="J1078" s="44" t="s">
        <v>651</v>
      </c>
      <c r="K1078" s="45">
        <v>82</v>
      </c>
      <c r="L1078" s="43">
        <v>12</v>
      </c>
      <c r="M1078" s="46">
        <v>8.0399999999999991</v>
      </c>
      <c r="N1078" s="40" t="s">
        <v>659</v>
      </c>
      <c r="O1078" s="42">
        <v>42</v>
      </c>
      <c r="P1078" s="43">
        <v>7</v>
      </c>
      <c r="Q1078" s="44">
        <v>52.38</v>
      </c>
      <c r="R1078" s="45">
        <v>82</v>
      </c>
      <c r="S1078" s="43">
        <v>17</v>
      </c>
      <c r="T1078" s="46">
        <v>26.04</v>
      </c>
      <c r="U1078" s="40">
        <v>3</v>
      </c>
      <c r="V1078" s="47">
        <v>1484.5800095</v>
      </c>
      <c r="W1078" s="48">
        <v>1995</v>
      </c>
      <c r="X1078" s="40"/>
      <c r="Y1078" s="53" t="s">
        <v>1082</v>
      </c>
      <c r="Z1078" s="40" t="s">
        <v>910</v>
      </c>
      <c r="AA1078" s="49">
        <f t="shared" si="151"/>
        <v>0</v>
      </c>
      <c r="AB1078" s="71">
        <f t="shared" si="152"/>
        <v>0.67</v>
      </c>
      <c r="AC1078" s="49">
        <f t="shared" si="153"/>
        <v>0</v>
      </c>
      <c r="AD1078" s="50">
        <f t="shared" si="154"/>
        <v>0</v>
      </c>
      <c r="AE1078" s="50">
        <f t="shared" si="155"/>
        <v>0</v>
      </c>
      <c r="AF1078" s="50">
        <f t="shared" si="156"/>
        <v>0</v>
      </c>
      <c r="AG1078" s="199">
        <f t="shared" si="157"/>
        <v>0</v>
      </c>
      <c r="AH1078" s="187"/>
      <c r="AI1078" s="185" t="s">
        <v>1463</v>
      </c>
      <c r="AJ1078" s="185"/>
      <c r="AK1078" s="277">
        <f t="shared" si="150"/>
        <v>1484.58</v>
      </c>
      <c r="AL1078" s="25">
        <f>(SUMIFS('T1 2019 Pipeline Data Lagasco'!$O:$O,'T1 2019 Pipeline Data Lagasco'!$A:$A,'Dec 31 2018 OFFS'!$AI1078,'T1 2019 Pipeline Data Lagasco'!$Q:$Q,'Dec 31 2018 OFFS'!$AK1078,'T1 2019 Pipeline Data Lagasco'!$E:$E,'Dec 31 2018 OFFS'!$U1078,'T1 2019 Pipeline Data Lagasco'!$G:$G,'Dec 31 2018 OFFS'!$W1078))/(MAX(COUNTIFS('T1 2019 Pipeline Data Lagasco'!$A:$A,'Dec 31 2018 OFFS'!$AI1078,'T1 2019 Pipeline Data Lagasco'!$Q:$Q,'Dec 31 2018 OFFS'!$AK1078,'T1 2019 Pipeline Data Lagasco'!$E:$E,'Dec 31 2018 OFFS'!$U1078,'T1 2019 Pipeline Data Lagasco'!$G:$G,'Dec 31 2018 OFFS'!$W1078),1))</f>
        <v>0</v>
      </c>
      <c r="AM1078" s="274">
        <f t="shared" si="158"/>
        <v>0</v>
      </c>
    </row>
    <row r="1079" spans="1:39" ht="12.7">
      <c r="A1079" s="193" t="s">
        <v>909</v>
      </c>
      <c r="B1079" s="40" t="s">
        <v>917</v>
      </c>
      <c r="C1079" s="40" t="s">
        <v>921</v>
      </c>
      <c r="D1079" s="40" t="s">
        <v>653</v>
      </c>
      <c r="E1079" s="40" t="s">
        <v>716</v>
      </c>
      <c r="F1079" s="40"/>
      <c r="G1079" s="41" t="s">
        <v>663</v>
      </c>
      <c r="H1079" s="42">
        <v>42</v>
      </c>
      <c r="I1079" s="43">
        <v>6</v>
      </c>
      <c r="J1079" s="44">
        <v>58.38</v>
      </c>
      <c r="K1079" s="45">
        <v>82</v>
      </c>
      <c r="L1079" s="43">
        <v>16</v>
      </c>
      <c r="M1079" s="46">
        <v>23.22</v>
      </c>
      <c r="N1079" s="41" t="s">
        <v>658</v>
      </c>
      <c r="O1079" s="42">
        <v>42</v>
      </c>
      <c r="P1079" s="43">
        <v>7</v>
      </c>
      <c r="Q1079" s="44">
        <v>17.46</v>
      </c>
      <c r="R1079" s="45">
        <v>82</v>
      </c>
      <c r="S1079" s="43">
        <v>16</v>
      </c>
      <c r="T1079" s="46">
        <v>46.44</v>
      </c>
      <c r="U1079" s="40">
        <v>3</v>
      </c>
      <c r="V1079" s="47">
        <v>2606.5287959060001</v>
      </c>
      <c r="W1079" s="48">
        <v>1957</v>
      </c>
      <c r="X1079" s="40"/>
      <c r="Y1079" s="53" t="s">
        <v>1082</v>
      </c>
      <c r="Z1079" s="40" t="s">
        <v>910</v>
      </c>
      <c r="AA1079" s="49">
        <f t="shared" si="151"/>
        <v>61488.014295422545</v>
      </c>
      <c r="AB1079" s="71">
        <f t="shared" si="152"/>
        <v>0.80</v>
      </c>
      <c r="AC1079" s="49">
        <f t="shared" si="153"/>
        <v>12297.60</v>
      </c>
      <c r="AD1079" s="50">
        <f t="shared" si="154"/>
        <v>0</v>
      </c>
      <c r="AE1079" s="50">
        <f t="shared" si="155"/>
        <v>0</v>
      </c>
      <c r="AF1079" s="50">
        <f t="shared" si="156"/>
        <v>12297.60</v>
      </c>
      <c r="AG1079" s="199">
        <f t="shared" si="157"/>
        <v>12297</v>
      </c>
      <c r="AH1079" s="187"/>
      <c r="AI1079" s="185" t="s">
        <v>1463</v>
      </c>
      <c r="AJ1079" s="185"/>
      <c r="AK1079" s="277">
        <f t="shared" si="150"/>
        <v>2606.5300000000002</v>
      </c>
      <c r="AL1079" s="25">
        <f>(SUMIFS('T1 2019 Pipeline Data Lagasco'!$O:$O,'T1 2019 Pipeline Data Lagasco'!$A:$A,'Dec 31 2018 OFFS'!$AI1079,'T1 2019 Pipeline Data Lagasco'!$Q:$Q,'Dec 31 2018 OFFS'!$AK1079,'T1 2019 Pipeline Data Lagasco'!$E:$E,'Dec 31 2018 OFFS'!$U1079,'T1 2019 Pipeline Data Lagasco'!$G:$G,'Dec 31 2018 OFFS'!$W1079))/(MAX(COUNTIFS('T1 2019 Pipeline Data Lagasco'!$A:$A,'Dec 31 2018 OFFS'!$AI1079,'T1 2019 Pipeline Data Lagasco'!$Q:$Q,'Dec 31 2018 OFFS'!$AK1079,'T1 2019 Pipeline Data Lagasco'!$E:$E,'Dec 31 2018 OFFS'!$U1079,'T1 2019 Pipeline Data Lagasco'!$G:$G,'Dec 31 2018 OFFS'!$W1079),1))</f>
        <v>12297</v>
      </c>
      <c r="AM1079" s="274">
        <f t="shared" si="158"/>
        <v>0</v>
      </c>
    </row>
    <row r="1080" spans="1:39" ht="12.7">
      <c r="A1080" s="200" t="s">
        <v>909</v>
      </c>
      <c r="B1080" s="201" t="s">
        <v>917</v>
      </c>
      <c r="C1080" s="201" t="s">
        <v>921</v>
      </c>
      <c r="D1080" s="201" t="s">
        <v>653</v>
      </c>
      <c r="E1080" s="201" t="s">
        <v>716</v>
      </c>
      <c r="F1080" s="202" t="s">
        <v>1051</v>
      </c>
      <c r="G1080" s="208" t="s">
        <v>664</v>
      </c>
      <c r="H1080" s="203">
        <v>42</v>
      </c>
      <c r="I1080" s="204">
        <v>6</v>
      </c>
      <c r="J1080" s="205">
        <v>40.020000000000003</v>
      </c>
      <c r="K1080" s="206">
        <v>82</v>
      </c>
      <c r="L1080" s="204">
        <v>15</v>
      </c>
      <c r="M1080" s="207">
        <v>59.64</v>
      </c>
      <c r="N1080" s="208" t="s">
        <v>663</v>
      </c>
      <c r="O1080" s="203">
        <v>42</v>
      </c>
      <c r="P1080" s="204">
        <v>6</v>
      </c>
      <c r="Q1080" s="205">
        <v>58.38</v>
      </c>
      <c r="R1080" s="206">
        <v>82</v>
      </c>
      <c r="S1080" s="204">
        <v>16</v>
      </c>
      <c r="T1080" s="207">
        <v>23.22</v>
      </c>
      <c r="U1080" s="201">
        <v>3</v>
      </c>
      <c r="V1080" s="209">
        <v>2571.7518940259997</v>
      </c>
      <c r="W1080" s="210">
        <v>1957</v>
      </c>
      <c r="X1080" s="201"/>
      <c r="Y1080" s="53" t="s">
        <v>1082</v>
      </c>
      <c r="Z1080" s="201" t="s">
        <v>910</v>
      </c>
      <c r="AA1080" s="211">
        <f t="shared" si="151"/>
        <v>0</v>
      </c>
      <c r="AB1080" s="212">
        <f t="shared" si="152"/>
        <v>0.80</v>
      </c>
      <c r="AC1080" s="211">
        <f t="shared" si="153"/>
        <v>0</v>
      </c>
      <c r="AD1080" s="213">
        <f t="shared" si="154"/>
        <v>0</v>
      </c>
      <c r="AE1080" s="213">
        <f t="shared" si="155"/>
        <v>0</v>
      </c>
      <c r="AF1080" s="213">
        <f t="shared" si="156"/>
        <v>0</v>
      </c>
      <c r="AG1080" s="214">
        <f t="shared" si="157"/>
        <v>0</v>
      </c>
      <c r="AH1080" s="215"/>
      <c r="AI1080" s="216" t="s">
        <v>1463</v>
      </c>
      <c r="AJ1080" s="216" t="s">
        <v>1560</v>
      </c>
      <c r="AK1080" s="283">
        <f t="shared" si="150"/>
        <v>2571.75</v>
      </c>
      <c r="AL1080" s="284">
        <f>(SUMIFS('T1 2019 Pipeline Data Lagasco'!$O:$O,'T1 2019 Pipeline Data Lagasco'!$A:$A,'Dec 31 2018 OFFS'!$AI1080,'T1 2019 Pipeline Data Lagasco'!$Q:$Q,'Dec 31 2018 OFFS'!$AK1080,'T1 2019 Pipeline Data Lagasco'!$E:$E,'Dec 31 2018 OFFS'!$U1080,'T1 2019 Pipeline Data Lagasco'!$G:$G,'Dec 31 2018 OFFS'!$W1080))/(MAX(COUNTIFS('T1 2019 Pipeline Data Lagasco'!$A:$A,'Dec 31 2018 OFFS'!$AI1080,'T1 2019 Pipeline Data Lagasco'!$Q:$Q,'Dec 31 2018 OFFS'!$AK1080,'T1 2019 Pipeline Data Lagasco'!$E:$E,'Dec 31 2018 OFFS'!$U1080,'T1 2019 Pipeline Data Lagasco'!$G:$G,'Dec 31 2018 OFFS'!$W1080),1))</f>
        <v>0</v>
      </c>
      <c r="AM1080" s="285">
        <f t="shared" si="158"/>
        <v>0</v>
      </c>
    </row>
    <row r="1081" spans="1:39" ht="12.7">
      <c r="A1081" s="193" t="s">
        <v>909</v>
      </c>
      <c r="B1081" s="139" t="s">
        <v>917</v>
      </c>
      <c r="C1081" s="139" t="s">
        <v>921</v>
      </c>
      <c r="D1081" s="139" t="s">
        <v>653</v>
      </c>
      <c r="E1081" s="139" t="s">
        <v>716</v>
      </c>
      <c r="F1081" s="139" t="s">
        <v>1380</v>
      </c>
      <c r="G1081" s="155" t="s">
        <v>664</v>
      </c>
      <c r="H1081" s="42">
        <v>42</v>
      </c>
      <c r="I1081" s="43">
        <v>6</v>
      </c>
      <c r="J1081" s="44">
        <v>40.020000000000003</v>
      </c>
      <c r="K1081" s="45">
        <v>82</v>
      </c>
      <c r="L1081" s="43">
        <v>15</v>
      </c>
      <c r="M1081" s="46">
        <v>59.64</v>
      </c>
      <c r="N1081" s="155" t="s">
        <v>663</v>
      </c>
      <c r="O1081" s="42">
        <v>42</v>
      </c>
      <c r="P1081" s="43">
        <v>6</v>
      </c>
      <c r="Q1081" s="44">
        <v>58.38</v>
      </c>
      <c r="R1081" s="45">
        <v>82</v>
      </c>
      <c r="S1081" s="43">
        <v>16</v>
      </c>
      <c r="T1081" s="46">
        <v>23.22</v>
      </c>
      <c r="U1081" s="40">
        <v>3</v>
      </c>
      <c r="V1081" s="281">
        <v>2571.7518940260002</v>
      </c>
      <c r="W1081" s="48">
        <v>2004</v>
      </c>
      <c r="X1081" s="40"/>
      <c r="Y1081" s="53" t="s">
        <v>1082</v>
      </c>
      <c r="Z1081" s="139" t="s">
        <v>910</v>
      </c>
      <c r="AA1081" s="49">
        <f t="shared" si="151"/>
        <v>60667.627180073345</v>
      </c>
      <c r="AB1081" s="71">
        <f t="shared" si="152"/>
        <v>0.56000000000000005</v>
      </c>
      <c r="AC1081" s="49">
        <f t="shared" si="153"/>
        <v>26693.76</v>
      </c>
      <c r="AD1081" s="50">
        <f t="shared" si="154"/>
        <v>0</v>
      </c>
      <c r="AE1081" s="50">
        <f t="shared" si="155"/>
        <v>0</v>
      </c>
      <c r="AF1081" s="50">
        <f t="shared" si="156"/>
        <v>26693.76</v>
      </c>
      <c r="AG1081" s="199">
        <f t="shared" si="157"/>
        <v>26693</v>
      </c>
      <c r="AH1081" s="187"/>
      <c r="AI1081" s="185" t="s">
        <v>1463</v>
      </c>
      <c r="AJ1081" s="185"/>
      <c r="AK1081" s="277">
        <f t="shared" si="150"/>
        <v>2571.75</v>
      </c>
      <c r="AL1081" s="25">
        <f>(SUMIFS('T1 2019 Pipeline Data Lagasco'!$O:$O,'T1 2019 Pipeline Data Lagasco'!$A:$A,'Dec 31 2018 OFFS'!$AI1081,'T1 2019 Pipeline Data Lagasco'!$Q:$Q,'Dec 31 2018 OFFS'!$AK1081,'T1 2019 Pipeline Data Lagasco'!$E:$E,'Dec 31 2018 OFFS'!$U1081,'T1 2019 Pipeline Data Lagasco'!$G:$G,'Dec 31 2018 OFFS'!$W1081))/(MAX(COUNTIFS('T1 2019 Pipeline Data Lagasco'!$A:$A,'Dec 31 2018 OFFS'!$AI1081,'T1 2019 Pipeline Data Lagasco'!$Q:$Q,'Dec 31 2018 OFFS'!$AK1081,'T1 2019 Pipeline Data Lagasco'!$E:$E,'Dec 31 2018 OFFS'!$U1081,'T1 2019 Pipeline Data Lagasco'!$G:$G,'Dec 31 2018 OFFS'!$W1081),1))</f>
        <v>26693</v>
      </c>
      <c r="AM1081" s="274">
        <f t="shared" si="158"/>
        <v>0</v>
      </c>
    </row>
    <row r="1082" spans="1:39" ht="12.7">
      <c r="A1082" s="193" t="s">
        <v>909</v>
      </c>
      <c r="B1082" s="40" t="s">
        <v>917</v>
      </c>
      <c r="C1082" s="40" t="s">
        <v>921</v>
      </c>
      <c r="D1082" s="40" t="s">
        <v>653</v>
      </c>
      <c r="E1082" s="40" t="s">
        <v>716</v>
      </c>
      <c r="F1082" s="40"/>
      <c r="G1082" s="41" t="s">
        <v>665</v>
      </c>
      <c r="H1082" s="42">
        <v>42</v>
      </c>
      <c r="I1082" s="43">
        <v>6</v>
      </c>
      <c r="J1082" s="44">
        <v>40.020000000000003</v>
      </c>
      <c r="K1082" s="45">
        <v>82</v>
      </c>
      <c r="L1082" s="43">
        <v>15</v>
      </c>
      <c r="M1082" s="46">
        <v>59.64</v>
      </c>
      <c r="N1082" s="41" t="s">
        <v>666</v>
      </c>
      <c r="O1082" s="42">
        <v>42</v>
      </c>
      <c r="P1082" s="43">
        <v>4</v>
      </c>
      <c r="Q1082" s="44">
        <v>50.02</v>
      </c>
      <c r="R1082" s="45">
        <v>82</v>
      </c>
      <c r="S1082" s="43">
        <v>13</v>
      </c>
      <c r="T1082" s="46">
        <v>39.911999999999999</v>
      </c>
      <c r="U1082" s="40">
        <v>3</v>
      </c>
      <c r="V1082" s="47">
        <v>15329.756773898</v>
      </c>
      <c r="W1082" s="48">
        <v>1997</v>
      </c>
      <c r="X1082" s="40"/>
      <c r="Y1082" s="53" t="s">
        <v>1082</v>
      </c>
      <c r="Z1082" s="40" t="s">
        <v>910</v>
      </c>
      <c r="AA1082" s="49">
        <f t="shared" si="151"/>
        <v>361628.96229625383</v>
      </c>
      <c r="AB1082" s="71">
        <f t="shared" si="152"/>
        <v>0.65</v>
      </c>
      <c r="AC1082" s="49">
        <f t="shared" si="153"/>
        <v>126570.14</v>
      </c>
      <c r="AD1082" s="50">
        <f t="shared" si="154"/>
        <v>0</v>
      </c>
      <c r="AE1082" s="50">
        <f t="shared" si="155"/>
        <v>0</v>
      </c>
      <c r="AF1082" s="50">
        <f t="shared" si="156"/>
        <v>126570.14</v>
      </c>
      <c r="AG1082" s="199">
        <f t="shared" si="157"/>
        <v>126570</v>
      </c>
      <c r="AH1082" s="187"/>
      <c r="AI1082" s="185" t="s">
        <v>1463</v>
      </c>
      <c r="AJ1082" s="185"/>
      <c r="AK1082" s="277">
        <f t="shared" si="150"/>
        <v>15329.76</v>
      </c>
      <c r="AL1082" s="25">
        <f>(SUMIFS('T1 2019 Pipeline Data Lagasco'!$O:$O,'T1 2019 Pipeline Data Lagasco'!$A:$A,'Dec 31 2018 OFFS'!$AI1082,'T1 2019 Pipeline Data Lagasco'!$Q:$Q,'Dec 31 2018 OFFS'!$AK1082,'T1 2019 Pipeline Data Lagasco'!$E:$E,'Dec 31 2018 OFFS'!$U1082,'T1 2019 Pipeline Data Lagasco'!$G:$G,'Dec 31 2018 OFFS'!$W1082))/(MAX(COUNTIFS('T1 2019 Pipeline Data Lagasco'!$A:$A,'Dec 31 2018 OFFS'!$AI1082,'T1 2019 Pipeline Data Lagasco'!$Q:$Q,'Dec 31 2018 OFFS'!$AK1082,'T1 2019 Pipeline Data Lagasco'!$E:$E,'Dec 31 2018 OFFS'!$U1082,'T1 2019 Pipeline Data Lagasco'!$G:$G,'Dec 31 2018 OFFS'!$W1082),1))</f>
        <v>126570</v>
      </c>
      <c r="AM1082" s="274">
        <f t="shared" si="158"/>
        <v>0</v>
      </c>
    </row>
    <row r="1083" spans="1:39" ht="12.7">
      <c r="A1083" s="193" t="s">
        <v>909</v>
      </c>
      <c r="B1083" s="40" t="s">
        <v>917</v>
      </c>
      <c r="C1083" s="40" t="s">
        <v>921</v>
      </c>
      <c r="D1083" s="40" t="s">
        <v>653</v>
      </c>
      <c r="E1083" s="40" t="s">
        <v>716</v>
      </c>
      <c r="F1083" s="40"/>
      <c r="G1083" s="41" t="s">
        <v>665</v>
      </c>
      <c r="H1083" s="42">
        <v>42</v>
      </c>
      <c r="I1083" s="43">
        <v>6</v>
      </c>
      <c r="J1083" s="44">
        <v>40.020000000000003</v>
      </c>
      <c r="K1083" s="45">
        <v>82</v>
      </c>
      <c r="L1083" s="43">
        <v>15</v>
      </c>
      <c r="M1083" s="46">
        <v>59.64</v>
      </c>
      <c r="N1083" s="40" t="s">
        <v>664</v>
      </c>
      <c r="O1083" s="42">
        <v>42</v>
      </c>
      <c r="P1083" s="43">
        <v>6</v>
      </c>
      <c r="Q1083" s="44">
        <v>40.020000000000003</v>
      </c>
      <c r="R1083" s="45">
        <v>82</v>
      </c>
      <c r="S1083" s="43">
        <v>15</v>
      </c>
      <c r="T1083" s="46">
        <v>59.64</v>
      </c>
      <c r="U1083" s="40">
        <v>3</v>
      </c>
      <c r="V1083" s="47">
        <v>1</v>
      </c>
      <c r="W1083" s="48">
        <v>1957</v>
      </c>
      <c r="X1083" s="40"/>
      <c r="Y1083" s="53" t="s">
        <v>1082</v>
      </c>
      <c r="Z1083" s="40" t="s">
        <v>910</v>
      </c>
      <c r="AA1083" s="49">
        <f t="shared" si="151"/>
        <v>23.59</v>
      </c>
      <c r="AB1083" s="71">
        <f t="shared" si="152"/>
        <v>0.80</v>
      </c>
      <c r="AC1083" s="49">
        <f t="shared" si="153"/>
        <v>4.72</v>
      </c>
      <c r="AD1083" s="50">
        <f t="shared" si="154"/>
        <v>0</v>
      </c>
      <c r="AE1083" s="50">
        <f t="shared" si="155"/>
        <v>0</v>
      </c>
      <c r="AF1083" s="50">
        <f t="shared" si="156"/>
        <v>4.72</v>
      </c>
      <c r="AG1083" s="199">
        <f t="shared" si="157"/>
        <v>4</v>
      </c>
      <c r="AH1083" s="187"/>
      <c r="AI1083" s="185" t="s">
        <v>1463</v>
      </c>
      <c r="AJ1083" s="185"/>
      <c r="AK1083" s="277">
        <f t="shared" si="150"/>
        <v>1</v>
      </c>
      <c r="AL1083" s="25">
        <f>(SUMIFS('T1 2019 Pipeline Data Lagasco'!$O:$O,'T1 2019 Pipeline Data Lagasco'!$A:$A,'Dec 31 2018 OFFS'!$AI1083,'T1 2019 Pipeline Data Lagasco'!$Q:$Q,'Dec 31 2018 OFFS'!$AK1083,'T1 2019 Pipeline Data Lagasco'!$E:$E,'Dec 31 2018 OFFS'!$U1083,'T1 2019 Pipeline Data Lagasco'!$G:$G,'Dec 31 2018 OFFS'!$W1083))/(MAX(COUNTIFS('T1 2019 Pipeline Data Lagasco'!$A:$A,'Dec 31 2018 OFFS'!$AI1083,'T1 2019 Pipeline Data Lagasco'!$Q:$Q,'Dec 31 2018 OFFS'!$AK1083,'T1 2019 Pipeline Data Lagasco'!$E:$E,'Dec 31 2018 OFFS'!$U1083,'T1 2019 Pipeline Data Lagasco'!$G:$G,'Dec 31 2018 OFFS'!$W1083),1))</f>
        <v>4</v>
      </c>
      <c r="AM1083" s="274">
        <f t="shared" si="158"/>
        <v>0</v>
      </c>
    </row>
    <row r="1084" spans="1:39" ht="12.7">
      <c r="A1084" s="193" t="s">
        <v>909</v>
      </c>
      <c r="B1084" s="40" t="s">
        <v>917</v>
      </c>
      <c r="C1084" s="40" t="s">
        <v>921</v>
      </c>
      <c r="D1084" s="40" t="s">
        <v>653</v>
      </c>
      <c r="E1084" s="40" t="s">
        <v>716</v>
      </c>
      <c r="F1084" s="40"/>
      <c r="G1084" s="41" t="s">
        <v>665</v>
      </c>
      <c r="H1084" s="42">
        <v>42</v>
      </c>
      <c r="I1084" s="43">
        <v>6</v>
      </c>
      <c r="J1084" s="44">
        <v>40.020000000000003</v>
      </c>
      <c r="K1084" s="45">
        <v>82</v>
      </c>
      <c r="L1084" s="43">
        <v>15</v>
      </c>
      <c r="M1084" s="46">
        <v>59.64</v>
      </c>
      <c r="N1084" s="40" t="s">
        <v>654</v>
      </c>
      <c r="O1084" s="42">
        <v>42</v>
      </c>
      <c r="P1084" s="43">
        <v>8</v>
      </c>
      <c r="Q1084" s="44">
        <v>53.76</v>
      </c>
      <c r="R1084" s="45">
        <v>82</v>
      </c>
      <c r="S1084" s="43">
        <v>13</v>
      </c>
      <c r="T1084" s="46">
        <v>23.10</v>
      </c>
      <c r="U1084" s="40">
        <v>6</v>
      </c>
      <c r="V1084" s="47">
        <v>17957.55</v>
      </c>
      <c r="W1084" s="48">
        <v>1994</v>
      </c>
      <c r="X1084" s="40"/>
      <c r="Y1084" s="53" t="s">
        <v>1082</v>
      </c>
      <c r="Z1084" s="40" t="s">
        <v>910</v>
      </c>
      <c r="AA1084" s="49">
        <f t="shared" si="151"/>
        <v>621869.95649999997</v>
      </c>
      <c r="AB1084" s="71">
        <f t="shared" si="152"/>
        <v>0.68</v>
      </c>
      <c r="AC1084" s="49">
        <f t="shared" si="153"/>
        <v>198998.39</v>
      </c>
      <c r="AD1084" s="50">
        <f t="shared" si="154"/>
        <v>0</v>
      </c>
      <c r="AE1084" s="50">
        <f t="shared" si="155"/>
        <v>0</v>
      </c>
      <c r="AF1084" s="50">
        <f t="shared" si="156"/>
        <v>198998.39</v>
      </c>
      <c r="AG1084" s="199">
        <f t="shared" si="157"/>
        <v>198998</v>
      </c>
      <c r="AH1084" s="187"/>
      <c r="AI1084" s="185" t="s">
        <v>1463</v>
      </c>
      <c r="AJ1084" s="185"/>
      <c r="AK1084" s="277">
        <f t="shared" si="150"/>
        <v>17957.55</v>
      </c>
      <c r="AL1084" s="25">
        <f>(SUMIFS('T1 2019 Pipeline Data Lagasco'!$O:$O,'T1 2019 Pipeline Data Lagasco'!$A:$A,'Dec 31 2018 OFFS'!$AI1084,'T1 2019 Pipeline Data Lagasco'!$Q:$Q,'Dec 31 2018 OFFS'!$AK1084,'T1 2019 Pipeline Data Lagasco'!$E:$E,'Dec 31 2018 OFFS'!$U1084,'T1 2019 Pipeline Data Lagasco'!$G:$G,'Dec 31 2018 OFFS'!$W1084))/(MAX(COUNTIFS('T1 2019 Pipeline Data Lagasco'!$A:$A,'Dec 31 2018 OFFS'!$AI1084,'T1 2019 Pipeline Data Lagasco'!$Q:$Q,'Dec 31 2018 OFFS'!$AK1084,'T1 2019 Pipeline Data Lagasco'!$E:$E,'Dec 31 2018 OFFS'!$U1084,'T1 2019 Pipeline Data Lagasco'!$G:$G,'Dec 31 2018 OFFS'!$W1084),1))</f>
        <v>198998</v>
      </c>
      <c r="AM1084" s="274">
        <f t="shared" si="158"/>
        <v>0</v>
      </c>
    </row>
    <row r="1085" spans="1:39" ht="12.7">
      <c r="A1085" s="193" t="s">
        <v>909</v>
      </c>
      <c r="B1085" s="40" t="s">
        <v>917</v>
      </c>
      <c r="C1085" s="40" t="s">
        <v>921</v>
      </c>
      <c r="D1085" s="40" t="s">
        <v>653</v>
      </c>
      <c r="E1085" s="40" t="s">
        <v>716</v>
      </c>
      <c r="F1085" s="40"/>
      <c r="G1085" s="41" t="s">
        <v>667</v>
      </c>
      <c r="H1085" s="42">
        <v>42</v>
      </c>
      <c r="I1085" s="43">
        <v>5</v>
      </c>
      <c r="J1085" s="44">
        <v>45.24</v>
      </c>
      <c r="K1085" s="45">
        <v>82</v>
      </c>
      <c r="L1085" s="43">
        <v>17</v>
      </c>
      <c r="M1085" s="46">
        <v>42.18</v>
      </c>
      <c r="N1085" s="41" t="s">
        <v>668</v>
      </c>
      <c r="O1085" s="42">
        <v>42</v>
      </c>
      <c r="P1085" s="43">
        <v>4</v>
      </c>
      <c r="Q1085" s="44">
        <v>24.96</v>
      </c>
      <c r="R1085" s="45">
        <v>82</v>
      </c>
      <c r="S1085" s="43">
        <v>16</v>
      </c>
      <c r="T1085" s="46">
        <v>45.24</v>
      </c>
      <c r="U1085" s="40">
        <v>3</v>
      </c>
      <c r="V1085" s="47">
        <v>9191.8632508639985</v>
      </c>
      <c r="W1085" s="48">
        <v>1998</v>
      </c>
      <c r="X1085" s="40"/>
      <c r="Y1085" s="53" t="s">
        <v>1082</v>
      </c>
      <c r="Z1085" s="40" t="s">
        <v>910</v>
      </c>
      <c r="AA1085" s="49">
        <f t="shared" si="151"/>
        <v>216836.05408788173</v>
      </c>
      <c r="AB1085" s="71">
        <f t="shared" si="152"/>
        <v>0.63</v>
      </c>
      <c r="AC1085" s="49">
        <f t="shared" si="153"/>
        <v>80229.34</v>
      </c>
      <c r="AD1085" s="50">
        <f t="shared" si="154"/>
        <v>0</v>
      </c>
      <c r="AE1085" s="50">
        <f t="shared" si="155"/>
        <v>0</v>
      </c>
      <c r="AF1085" s="50">
        <f t="shared" si="156"/>
        <v>80229.34</v>
      </c>
      <c r="AG1085" s="199">
        <f t="shared" si="157"/>
        <v>80229</v>
      </c>
      <c r="AH1085" s="187"/>
      <c r="AI1085" s="185" t="s">
        <v>1463</v>
      </c>
      <c r="AJ1085" s="185"/>
      <c r="AK1085" s="277">
        <f t="shared" si="150"/>
        <v>9191.86</v>
      </c>
      <c r="AL1085" s="25">
        <f>(SUMIFS('T1 2019 Pipeline Data Lagasco'!$O:$O,'T1 2019 Pipeline Data Lagasco'!$A:$A,'Dec 31 2018 OFFS'!$AI1085,'T1 2019 Pipeline Data Lagasco'!$Q:$Q,'Dec 31 2018 OFFS'!$AK1085,'T1 2019 Pipeline Data Lagasco'!$E:$E,'Dec 31 2018 OFFS'!$U1085,'T1 2019 Pipeline Data Lagasco'!$G:$G,'Dec 31 2018 OFFS'!$W1085))/(MAX(COUNTIFS('T1 2019 Pipeline Data Lagasco'!$A:$A,'Dec 31 2018 OFFS'!$AI1085,'T1 2019 Pipeline Data Lagasco'!$Q:$Q,'Dec 31 2018 OFFS'!$AK1085,'T1 2019 Pipeline Data Lagasco'!$E:$E,'Dec 31 2018 OFFS'!$U1085,'T1 2019 Pipeline Data Lagasco'!$G:$G,'Dec 31 2018 OFFS'!$W1085),1))</f>
        <v>80229</v>
      </c>
      <c r="AM1085" s="274">
        <f t="shared" si="158"/>
        <v>0</v>
      </c>
    </row>
    <row r="1086" spans="1:39" ht="12.7">
      <c r="A1086" s="193" t="s">
        <v>909</v>
      </c>
      <c r="B1086" s="40" t="s">
        <v>917</v>
      </c>
      <c r="C1086" s="40" t="s">
        <v>921</v>
      </c>
      <c r="D1086" s="40" t="s">
        <v>653</v>
      </c>
      <c r="E1086" s="40" t="s">
        <v>716</v>
      </c>
      <c r="F1086" s="40"/>
      <c r="G1086" s="41" t="s">
        <v>667</v>
      </c>
      <c r="H1086" s="42">
        <v>42</v>
      </c>
      <c r="I1086" s="43">
        <v>5</v>
      </c>
      <c r="J1086" s="44">
        <v>45.24</v>
      </c>
      <c r="K1086" s="45">
        <v>82</v>
      </c>
      <c r="L1086" s="43">
        <v>17</v>
      </c>
      <c r="M1086" s="46">
        <v>42.18</v>
      </c>
      <c r="N1086" s="41" t="s">
        <v>665</v>
      </c>
      <c r="O1086" s="42">
        <v>42</v>
      </c>
      <c r="P1086" s="43">
        <v>6</v>
      </c>
      <c r="Q1086" s="44">
        <v>40.020000000000003</v>
      </c>
      <c r="R1086" s="45">
        <v>82</v>
      </c>
      <c r="S1086" s="43">
        <v>15</v>
      </c>
      <c r="T1086" s="46">
        <v>59.64</v>
      </c>
      <c r="U1086" s="40">
        <v>4</v>
      </c>
      <c r="V1086" s="47">
        <v>9513.9432940299994</v>
      </c>
      <c r="W1086" s="48">
        <v>1957</v>
      </c>
      <c r="X1086" s="40"/>
      <c r="Y1086" s="53" t="s">
        <v>1082</v>
      </c>
      <c r="Z1086" s="40" t="s">
        <v>910</v>
      </c>
      <c r="AA1086" s="49">
        <f t="shared" si="151"/>
        <v>251643.80012709348</v>
      </c>
      <c r="AB1086" s="71">
        <f t="shared" si="152"/>
        <v>0.80</v>
      </c>
      <c r="AC1086" s="49">
        <f t="shared" si="153"/>
        <v>50328.76</v>
      </c>
      <c r="AD1086" s="50">
        <f t="shared" si="154"/>
        <v>0</v>
      </c>
      <c r="AE1086" s="50">
        <f t="shared" si="155"/>
        <v>0</v>
      </c>
      <c r="AF1086" s="50">
        <f t="shared" si="156"/>
        <v>50328.76</v>
      </c>
      <c r="AG1086" s="199">
        <f t="shared" si="157"/>
        <v>50328</v>
      </c>
      <c r="AH1086" s="187"/>
      <c r="AI1086" s="185" t="s">
        <v>1463</v>
      </c>
      <c r="AJ1086" s="185"/>
      <c r="AK1086" s="277">
        <f t="shared" si="150"/>
        <v>9513.94</v>
      </c>
      <c r="AL1086" s="25">
        <f>(SUMIFS('T1 2019 Pipeline Data Lagasco'!$O:$O,'T1 2019 Pipeline Data Lagasco'!$A:$A,'Dec 31 2018 OFFS'!$AI1086,'T1 2019 Pipeline Data Lagasco'!$Q:$Q,'Dec 31 2018 OFFS'!$AK1086,'T1 2019 Pipeline Data Lagasco'!$E:$E,'Dec 31 2018 OFFS'!$U1086,'T1 2019 Pipeline Data Lagasco'!$G:$G,'Dec 31 2018 OFFS'!$W1086))/(MAX(COUNTIFS('T1 2019 Pipeline Data Lagasco'!$A:$A,'Dec 31 2018 OFFS'!$AI1086,'T1 2019 Pipeline Data Lagasco'!$Q:$Q,'Dec 31 2018 OFFS'!$AK1086,'T1 2019 Pipeline Data Lagasco'!$E:$E,'Dec 31 2018 OFFS'!$U1086,'T1 2019 Pipeline Data Lagasco'!$G:$G,'Dec 31 2018 OFFS'!$W1086),1))</f>
        <v>50328</v>
      </c>
      <c r="AM1086" s="274">
        <f t="shared" si="158"/>
        <v>0</v>
      </c>
    </row>
    <row r="1087" spans="1:39" ht="12.7">
      <c r="A1087" s="193" t="s">
        <v>909</v>
      </c>
      <c r="B1087" s="40" t="s">
        <v>917</v>
      </c>
      <c r="C1087" s="40" t="s">
        <v>921</v>
      </c>
      <c r="D1087" s="40" t="s">
        <v>653</v>
      </c>
      <c r="E1087" s="40" t="s">
        <v>716</v>
      </c>
      <c r="F1087" s="40" t="s">
        <v>1051</v>
      </c>
      <c r="G1087" s="41" t="s">
        <v>677</v>
      </c>
      <c r="H1087" s="42">
        <v>42</v>
      </c>
      <c r="I1087" s="43">
        <v>9</v>
      </c>
      <c r="J1087" s="44">
        <v>5.52</v>
      </c>
      <c r="K1087" s="45">
        <v>82</v>
      </c>
      <c r="L1087" s="43">
        <v>12</v>
      </c>
      <c r="M1087" s="46">
        <v>39.60</v>
      </c>
      <c r="N1087" s="40" t="s">
        <v>669</v>
      </c>
      <c r="O1087" s="42">
        <v>42</v>
      </c>
      <c r="P1087" s="43">
        <v>9</v>
      </c>
      <c r="Q1087" s="44">
        <v>4.66</v>
      </c>
      <c r="R1087" s="45">
        <v>82</v>
      </c>
      <c r="S1087" s="43">
        <v>12</v>
      </c>
      <c r="T1087" s="46">
        <v>22.16</v>
      </c>
      <c r="U1087" s="40">
        <v>3</v>
      </c>
      <c r="V1087" s="47">
        <v>1316.67</v>
      </c>
      <c r="W1087" s="48">
        <v>1957</v>
      </c>
      <c r="X1087" s="40"/>
      <c r="Y1087" s="52"/>
      <c r="Z1087" s="40" t="s">
        <v>910</v>
      </c>
      <c r="AA1087" s="49">
        <f t="shared" si="151"/>
        <v>0</v>
      </c>
      <c r="AB1087" s="71">
        <f t="shared" si="152"/>
        <v>0.80</v>
      </c>
      <c r="AC1087" s="49">
        <f t="shared" si="153"/>
        <v>0</v>
      </c>
      <c r="AD1087" s="50">
        <f t="shared" si="154"/>
        <v>0</v>
      </c>
      <c r="AE1087" s="50">
        <f t="shared" si="155"/>
        <v>0</v>
      </c>
      <c r="AF1087" s="50">
        <f t="shared" si="156"/>
        <v>0</v>
      </c>
      <c r="AG1087" s="199">
        <f t="shared" si="157"/>
        <v>0</v>
      </c>
      <c r="AH1087" s="187"/>
      <c r="AI1087" s="185" t="s">
        <v>1463</v>
      </c>
      <c r="AJ1087" s="185"/>
      <c r="AK1087" s="277">
        <f t="shared" si="150"/>
        <v>1316.67</v>
      </c>
      <c r="AL1087" s="25">
        <f>(SUMIFS('T1 2019 Pipeline Data Lagasco'!$O:$O,'T1 2019 Pipeline Data Lagasco'!$A:$A,'Dec 31 2018 OFFS'!$AI1087,'T1 2019 Pipeline Data Lagasco'!$Q:$Q,'Dec 31 2018 OFFS'!$AK1087,'T1 2019 Pipeline Data Lagasco'!$E:$E,'Dec 31 2018 OFFS'!$U1087,'T1 2019 Pipeline Data Lagasco'!$G:$G,'Dec 31 2018 OFFS'!$W1087))/(MAX(COUNTIFS('T1 2019 Pipeline Data Lagasco'!$A:$A,'Dec 31 2018 OFFS'!$AI1087,'T1 2019 Pipeline Data Lagasco'!$Q:$Q,'Dec 31 2018 OFFS'!$AK1087,'T1 2019 Pipeline Data Lagasco'!$E:$E,'Dec 31 2018 OFFS'!$U1087,'T1 2019 Pipeline Data Lagasco'!$G:$G,'Dec 31 2018 OFFS'!$W1087),1))</f>
        <v>0</v>
      </c>
      <c r="AM1087" s="274">
        <f t="shared" si="158"/>
        <v>0</v>
      </c>
    </row>
    <row r="1088" spans="1:39" ht="12.7">
      <c r="A1088" s="193" t="s">
        <v>909</v>
      </c>
      <c r="B1088" s="40" t="s">
        <v>917</v>
      </c>
      <c r="C1088" s="40" t="s">
        <v>921</v>
      </c>
      <c r="D1088" s="40" t="s">
        <v>653</v>
      </c>
      <c r="E1088" s="40" t="s">
        <v>716</v>
      </c>
      <c r="F1088" s="40"/>
      <c r="G1088" s="40" t="s">
        <v>707</v>
      </c>
      <c r="H1088" s="42">
        <v>42</v>
      </c>
      <c r="I1088" s="43">
        <v>9</v>
      </c>
      <c r="J1088" s="44">
        <v>32.25</v>
      </c>
      <c r="K1088" s="45">
        <v>82</v>
      </c>
      <c r="L1088" s="43">
        <v>13</v>
      </c>
      <c r="M1088" s="46">
        <v>2.0299999999999998</v>
      </c>
      <c r="N1088" s="40" t="s">
        <v>708</v>
      </c>
      <c r="O1088" s="42">
        <v>42</v>
      </c>
      <c r="P1088" s="43">
        <v>9</v>
      </c>
      <c r="Q1088" s="44">
        <v>33.46</v>
      </c>
      <c r="R1088" s="45">
        <v>82</v>
      </c>
      <c r="S1088" s="43">
        <v>12</v>
      </c>
      <c r="T1088" s="46">
        <v>57</v>
      </c>
      <c r="U1088" s="40">
        <v>4</v>
      </c>
      <c r="V1088" s="47">
        <v>398.16271812799999</v>
      </c>
      <c r="W1088" s="48">
        <v>1957</v>
      </c>
      <c r="X1088" s="40"/>
      <c r="Y1088" s="53" t="s">
        <v>1082</v>
      </c>
      <c r="Z1088" s="40" t="s">
        <v>910</v>
      </c>
      <c r="AA1088" s="49">
        <f t="shared" si="151"/>
        <v>10531.4038944856</v>
      </c>
      <c r="AB1088" s="71">
        <f t="shared" si="152"/>
        <v>0.80</v>
      </c>
      <c r="AC1088" s="49">
        <f t="shared" si="153"/>
        <v>2106.2800000000002</v>
      </c>
      <c r="AD1088" s="50">
        <f t="shared" si="154"/>
        <v>0</v>
      </c>
      <c r="AE1088" s="50">
        <f t="shared" si="155"/>
        <v>0</v>
      </c>
      <c r="AF1088" s="50">
        <f t="shared" si="156"/>
        <v>2106.2800000000002</v>
      </c>
      <c r="AG1088" s="199">
        <f t="shared" si="157"/>
        <v>2106</v>
      </c>
      <c r="AH1088" s="187"/>
      <c r="AI1088" s="185" t="s">
        <v>1463</v>
      </c>
      <c r="AJ1088" s="185"/>
      <c r="AK1088" s="277">
        <f t="shared" si="150"/>
        <v>398.16</v>
      </c>
      <c r="AL1088" s="25">
        <f>(SUMIFS('T1 2019 Pipeline Data Lagasco'!$O:$O,'T1 2019 Pipeline Data Lagasco'!$A:$A,'Dec 31 2018 OFFS'!$AI1088,'T1 2019 Pipeline Data Lagasco'!$Q:$Q,'Dec 31 2018 OFFS'!$AK1088,'T1 2019 Pipeline Data Lagasco'!$E:$E,'Dec 31 2018 OFFS'!$U1088,'T1 2019 Pipeline Data Lagasco'!$G:$G,'Dec 31 2018 OFFS'!$W1088))/(MAX(COUNTIFS('T1 2019 Pipeline Data Lagasco'!$A:$A,'Dec 31 2018 OFFS'!$AI1088,'T1 2019 Pipeline Data Lagasco'!$Q:$Q,'Dec 31 2018 OFFS'!$AK1088,'T1 2019 Pipeline Data Lagasco'!$E:$E,'Dec 31 2018 OFFS'!$U1088,'T1 2019 Pipeline Data Lagasco'!$G:$G,'Dec 31 2018 OFFS'!$W1088),1))</f>
        <v>2106</v>
      </c>
      <c r="AM1088" s="274">
        <f t="shared" si="158"/>
        <v>0</v>
      </c>
    </row>
    <row r="1089" spans="1:39" ht="12.7">
      <c r="A1089" s="193" t="s">
        <v>909</v>
      </c>
      <c r="B1089" s="40" t="s">
        <v>917</v>
      </c>
      <c r="C1089" s="40" t="s">
        <v>921</v>
      </c>
      <c r="D1089" s="40" t="s">
        <v>653</v>
      </c>
      <c r="E1089" s="40" t="s">
        <v>716</v>
      </c>
      <c r="F1089" s="40" t="s">
        <v>1051</v>
      </c>
      <c r="G1089" s="41" t="s">
        <v>947</v>
      </c>
      <c r="H1089" s="42">
        <v>42</v>
      </c>
      <c r="I1089" s="43">
        <v>9</v>
      </c>
      <c r="J1089" s="44">
        <v>40.241</v>
      </c>
      <c r="K1089" s="45">
        <v>82</v>
      </c>
      <c r="L1089" s="43">
        <v>13</v>
      </c>
      <c r="M1089" s="46">
        <v>14.847</v>
      </c>
      <c r="N1089" s="41" t="s">
        <v>671</v>
      </c>
      <c r="O1089" s="42">
        <v>42</v>
      </c>
      <c r="P1089" s="43">
        <v>9</v>
      </c>
      <c r="Q1089" s="44">
        <f>0.318*60</f>
        <v>19.080000000000002</v>
      </c>
      <c r="R1089" s="45">
        <v>82</v>
      </c>
      <c r="S1089" s="43">
        <v>13</v>
      </c>
      <c r="T1089" s="46">
        <f>0.47*60</f>
        <v>28.20</v>
      </c>
      <c r="U1089" s="40">
        <v>3</v>
      </c>
      <c r="V1089" s="47">
        <v>2363</v>
      </c>
      <c r="W1089" s="147">
        <v>1957</v>
      </c>
      <c r="X1089" s="40"/>
      <c r="Y1089" s="52"/>
      <c r="Z1089" s="40" t="s">
        <v>910</v>
      </c>
      <c r="AA1089" s="49">
        <f t="shared" si="151"/>
        <v>0</v>
      </c>
      <c r="AB1089" s="71">
        <f t="shared" si="152"/>
        <v>0.80</v>
      </c>
      <c r="AC1089" s="49">
        <f t="shared" si="153"/>
        <v>0</v>
      </c>
      <c r="AD1089" s="50">
        <f t="shared" si="154"/>
        <v>0</v>
      </c>
      <c r="AE1089" s="50">
        <f t="shared" si="155"/>
        <v>0</v>
      </c>
      <c r="AF1089" s="50">
        <f t="shared" si="156"/>
        <v>0</v>
      </c>
      <c r="AG1089" s="199">
        <f t="shared" si="157"/>
        <v>0</v>
      </c>
      <c r="AH1089" s="187"/>
      <c r="AI1089" s="185" t="s">
        <v>1463</v>
      </c>
      <c r="AJ1089" s="185"/>
      <c r="AK1089" s="277">
        <f t="shared" si="150"/>
        <v>2363</v>
      </c>
      <c r="AL1089" s="25">
        <f>(SUMIFS('T1 2019 Pipeline Data Lagasco'!$O:$O,'T1 2019 Pipeline Data Lagasco'!$A:$A,'Dec 31 2018 OFFS'!$AI1089,'T1 2019 Pipeline Data Lagasco'!$Q:$Q,'Dec 31 2018 OFFS'!$AK1089,'T1 2019 Pipeline Data Lagasco'!$E:$E,'Dec 31 2018 OFFS'!$U1089,'T1 2019 Pipeline Data Lagasco'!$G:$G,'Dec 31 2018 OFFS'!$W1089))/(MAX(COUNTIFS('T1 2019 Pipeline Data Lagasco'!$A:$A,'Dec 31 2018 OFFS'!$AI1089,'T1 2019 Pipeline Data Lagasco'!$Q:$Q,'Dec 31 2018 OFFS'!$AK1089,'T1 2019 Pipeline Data Lagasco'!$E:$E,'Dec 31 2018 OFFS'!$U1089,'T1 2019 Pipeline Data Lagasco'!$G:$G,'Dec 31 2018 OFFS'!$W1089),1))</f>
        <v>0</v>
      </c>
      <c r="AM1089" s="274">
        <f t="shared" si="158"/>
        <v>0</v>
      </c>
    </row>
    <row r="1090" spans="1:39" ht="12.7">
      <c r="A1090" s="193" t="s">
        <v>909</v>
      </c>
      <c r="B1090" s="40" t="s">
        <v>917</v>
      </c>
      <c r="C1090" s="40" t="s">
        <v>921</v>
      </c>
      <c r="D1090" s="40" t="s">
        <v>653</v>
      </c>
      <c r="E1090" s="40" t="s">
        <v>716</v>
      </c>
      <c r="F1090" s="40" t="s">
        <v>1051</v>
      </c>
      <c r="G1090" s="41" t="s">
        <v>947</v>
      </c>
      <c r="H1090" s="42">
        <v>42</v>
      </c>
      <c r="I1090" s="43">
        <v>9</v>
      </c>
      <c r="J1090" s="44">
        <v>40.241</v>
      </c>
      <c r="K1090" s="45">
        <v>82</v>
      </c>
      <c r="L1090" s="43">
        <v>13</v>
      </c>
      <c r="M1090" s="46">
        <v>14.847</v>
      </c>
      <c r="N1090" s="41" t="s">
        <v>725</v>
      </c>
      <c r="O1090" s="42">
        <v>42</v>
      </c>
      <c r="P1090" s="43">
        <v>9</v>
      </c>
      <c r="Q1090" s="44">
        <v>42.99</v>
      </c>
      <c r="R1090" s="45">
        <v>82</v>
      </c>
      <c r="S1090" s="43">
        <v>13</v>
      </c>
      <c r="T1090" s="46">
        <v>8.6259999999999994</v>
      </c>
      <c r="U1090" s="40">
        <v>3</v>
      </c>
      <c r="V1090" s="47">
        <v>543</v>
      </c>
      <c r="W1090" s="147">
        <v>1957</v>
      </c>
      <c r="X1090" s="40"/>
      <c r="Y1090" s="52"/>
      <c r="Z1090" s="40" t="s">
        <v>910</v>
      </c>
      <c r="AA1090" s="49">
        <f t="shared" si="151"/>
        <v>0</v>
      </c>
      <c r="AB1090" s="71">
        <f t="shared" si="152"/>
        <v>0.80</v>
      </c>
      <c r="AC1090" s="49">
        <f t="shared" si="153"/>
        <v>0</v>
      </c>
      <c r="AD1090" s="50">
        <f t="shared" si="154"/>
        <v>0</v>
      </c>
      <c r="AE1090" s="50">
        <f t="shared" si="155"/>
        <v>0</v>
      </c>
      <c r="AF1090" s="50">
        <f t="shared" si="156"/>
        <v>0</v>
      </c>
      <c r="AG1090" s="199">
        <f t="shared" si="157"/>
        <v>0</v>
      </c>
      <c r="AH1090" s="187"/>
      <c r="AI1090" s="185" t="s">
        <v>1463</v>
      </c>
      <c r="AJ1090" s="185"/>
      <c r="AK1090" s="277">
        <f t="shared" si="150"/>
        <v>543</v>
      </c>
      <c r="AL1090" s="25">
        <f>(SUMIFS('T1 2019 Pipeline Data Lagasco'!$O:$O,'T1 2019 Pipeline Data Lagasco'!$A:$A,'Dec 31 2018 OFFS'!$AI1090,'T1 2019 Pipeline Data Lagasco'!$Q:$Q,'Dec 31 2018 OFFS'!$AK1090,'T1 2019 Pipeline Data Lagasco'!$E:$E,'Dec 31 2018 OFFS'!$U1090,'T1 2019 Pipeline Data Lagasco'!$G:$G,'Dec 31 2018 OFFS'!$W1090))/(MAX(COUNTIFS('T1 2019 Pipeline Data Lagasco'!$A:$A,'Dec 31 2018 OFFS'!$AI1090,'T1 2019 Pipeline Data Lagasco'!$Q:$Q,'Dec 31 2018 OFFS'!$AK1090,'T1 2019 Pipeline Data Lagasco'!$E:$E,'Dec 31 2018 OFFS'!$U1090,'T1 2019 Pipeline Data Lagasco'!$G:$G,'Dec 31 2018 OFFS'!$W1090),1))</f>
        <v>0</v>
      </c>
      <c r="AM1090" s="274">
        <f t="shared" si="158"/>
        <v>0</v>
      </c>
    </row>
    <row r="1091" spans="1:39" ht="12.7">
      <c r="A1091" s="193" t="s">
        <v>909</v>
      </c>
      <c r="B1091" s="40" t="s">
        <v>917</v>
      </c>
      <c r="C1091" s="40" t="s">
        <v>921</v>
      </c>
      <c r="D1091" s="40" t="s">
        <v>653</v>
      </c>
      <c r="E1091" s="40" t="s">
        <v>716</v>
      </c>
      <c r="F1091" s="40"/>
      <c r="G1091" s="41" t="s">
        <v>709</v>
      </c>
      <c r="H1091" s="42">
        <v>42</v>
      </c>
      <c r="I1091" s="43">
        <v>9</v>
      </c>
      <c r="J1091" s="44">
        <f>0.751*60</f>
        <v>45.06</v>
      </c>
      <c r="K1091" s="45">
        <v>82</v>
      </c>
      <c r="L1091" s="43">
        <v>13</v>
      </c>
      <c r="M1091" s="46">
        <f>0.936*60</f>
        <v>56.16</v>
      </c>
      <c r="N1091" s="40" t="s">
        <v>707</v>
      </c>
      <c r="O1091" s="42">
        <v>42</v>
      </c>
      <c r="P1091" s="43">
        <v>9</v>
      </c>
      <c r="Q1091" s="44">
        <v>32.25</v>
      </c>
      <c r="R1091" s="45">
        <v>82</v>
      </c>
      <c r="S1091" s="43">
        <v>13</v>
      </c>
      <c r="T1091" s="46">
        <v>2.0299999999999998</v>
      </c>
      <c r="U1091" s="40">
        <v>4</v>
      </c>
      <c r="V1091" s="47">
        <v>4278.4119495879995</v>
      </c>
      <c r="W1091" s="48">
        <v>1957</v>
      </c>
      <c r="X1091" s="40"/>
      <c r="Y1091" s="53" t="s">
        <v>1082</v>
      </c>
      <c r="Z1091" s="40" t="s">
        <v>910</v>
      </c>
      <c r="AA1091" s="49">
        <f t="shared" si="151"/>
        <v>113163.99606660259</v>
      </c>
      <c r="AB1091" s="71">
        <f t="shared" si="152"/>
        <v>0.80</v>
      </c>
      <c r="AC1091" s="49">
        <f t="shared" si="153"/>
        <v>22632.80</v>
      </c>
      <c r="AD1091" s="50">
        <f t="shared" si="154"/>
        <v>0</v>
      </c>
      <c r="AE1091" s="50">
        <f t="shared" si="155"/>
        <v>0</v>
      </c>
      <c r="AF1091" s="50">
        <f t="shared" si="156"/>
        <v>22632.80</v>
      </c>
      <c r="AG1091" s="199">
        <f t="shared" si="157"/>
        <v>22632</v>
      </c>
      <c r="AH1091" s="187"/>
      <c r="AI1091" s="185" t="s">
        <v>1463</v>
      </c>
      <c r="AJ1091" s="185"/>
      <c r="AK1091" s="277">
        <f t="shared" si="159" ref="AK1091:AK1154">ROUND(V1091,2)</f>
        <v>4278.41</v>
      </c>
      <c r="AL1091" s="25">
        <f>(SUMIFS('T1 2019 Pipeline Data Lagasco'!$O:$O,'T1 2019 Pipeline Data Lagasco'!$A:$A,'Dec 31 2018 OFFS'!$AI1091,'T1 2019 Pipeline Data Lagasco'!$Q:$Q,'Dec 31 2018 OFFS'!$AK1091,'T1 2019 Pipeline Data Lagasco'!$E:$E,'Dec 31 2018 OFFS'!$U1091,'T1 2019 Pipeline Data Lagasco'!$G:$G,'Dec 31 2018 OFFS'!$W1091))/(MAX(COUNTIFS('T1 2019 Pipeline Data Lagasco'!$A:$A,'Dec 31 2018 OFFS'!$AI1091,'T1 2019 Pipeline Data Lagasco'!$Q:$Q,'Dec 31 2018 OFFS'!$AK1091,'T1 2019 Pipeline Data Lagasco'!$E:$E,'Dec 31 2018 OFFS'!$U1091,'T1 2019 Pipeline Data Lagasco'!$G:$G,'Dec 31 2018 OFFS'!$W1091),1))</f>
        <v>22632</v>
      </c>
      <c r="AM1091" s="274">
        <f t="shared" si="158"/>
        <v>0</v>
      </c>
    </row>
    <row r="1092" spans="1:39" ht="12.7">
      <c r="A1092" s="193" t="s">
        <v>909</v>
      </c>
      <c r="B1092" s="40" t="s">
        <v>917</v>
      </c>
      <c r="C1092" s="40" t="s">
        <v>921</v>
      </c>
      <c r="D1092" s="40" t="s">
        <v>653</v>
      </c>
      <c r="E1092" s="40" t="s">
        <v>716</v>
      </c>
      <c r="F1092" s="40"/>
      <c r="G1092" s="41" t="s">
        <v>675</v>
      </c>
      <c r="H1092" s="42">
        <v>42</v>
      </c>
      <c r="I1092" s="43">
        <v>9</v>
      </c>
      <c r="J1092" s="44">
        <f>0.503*60</f>
        <v>30.18</v>
      </c>
      <c r="K1092" s="45">
        <v>82</v>
      </c>
      <c r="L1092" s="43">
        <v>13</v>
      </c>
      <c r="M1092" s="46">
        <f>0.994*60</f>
        <v>59.64</v>
      </c>
      <c r="N1092" s="41" t="s">
        <v>710</v>
      </c>
      <c r="O1092" s="42">
        <v>42</v>
      </c>
      <c r="P1092" s="43">
        <v>10</v>
      </c>
      <c r="Q1092" s="44">
        <v>35</v>
      </c>
      <c r="R1092" s="45">
        <v>82</v>
      </c>
      <c r="S1092" s="43">
        <v>15</v>
      </c>
      <c r="T1092" s="46">
        <v>4</v>
      </c>
      <c r="U1092" s="40">
        <v>4</v>
      </c>
      <c r="V1092" s="47">
        <v>8158.2674802719994</v>
      </c>
      <c r="W1092" s="48">
        <v>1957</v>
      </c>
      <c r="X1092" s="40"/>
      <c r="Y1092" s="53" t="s">
        <v>1082</v>
      </c>
      <c r="Z1092" s="40" t="s">
        <v>910</v>
      </c>
      <c r="AA1092" s="49">
        <f t="shared" si="160" ref="AA1092:AA1155">IF(F1092="ABAND",0,(IF(Z1092="steel",VLOOKUP(U1092,steelrates,2,FALSE)*V1092,VLOOKUP(U1092,plasticrates,2,FALSE)*V1092)))</f>
        <v>215786.17485319439</v>
      </c>
      <c r="AB1092" s="71">
        <f t="shared" si="161" ref="AB1092:AB1155">IF(W1092=0,0,(VLOOKUP(W1092,depreciation,2)))</f>
        <v>0.80</v>
      </c>
      <c r="AC1092" s="49">
        <f t="shared" si="162" ref="AC1092:AC1155">ROUND(+AA1092-(+AA1092*AB1092),2)</f>
        <v>43157.23</v>
      </c>
      <c r="AD1092" s="50">
        <f t="shared" si="163" ref="AD1092:AD1155">(IF(X1092="LOOP",AC1092*0.25,0))</f>
        <v>0</v>
      </c>
      <c r="AE1092" s="50">
        <f t="shared" si="164" ref="AE1092:AE1155">(IF(F1092="SUSP",AC1092*0.2,0))</f>
        <v>0</v>
      </c>
      <c r="AF1092" s="50">
        <f t="shared" si="165" ref="AF1092:AF1155">+AC1092-AD1092-AE1092</f>
        <v>43157.23</v>
      </c>
      <c r="AG1092" s="199">
        <f t="shared" si="166" ref="AG1092:AG1155">ROUNDDOWN(AF1092,0)</f>
        <v>43157</v>
      </c>
      <c r="AH1092" s="187"/>
      <c r="AI1092" s="185" t="s">
        <v>1463</v>
      </c>
      <c r="AJ1092" s="185"/>
      <c r="AK1092" s="277">
        <f t="shared" si="159"/>
        <v>8158.27</v>
      </c>
      <c r="AL1092" s="25">
        <f>(SUMIFS('T1 2019 Pipeline Data Lagasco'!$O:$O,'T1 2019 Pipeline Data Lagasco'!$A:$A,'Dec 31 2018 OFFS'!$AI1092,'T1 2019 Pipeline Data Lagasco'!$Q:$Q,'Dec 31 2018 OFFS'!$AK1092,'T1 2019 Pipeline Data Lagasco'!$E:$E,'Dec 31 2018 OFFS'!$U1092,'T1 2019 Pipeline Data Lagasco'!$G:$G,'Dec 31 2018 OFFS'!$W1092))/(MAX(COUNTIFS('T1 2019 Pipeline Data Lagasco'!$A:$A,'Dec 31 2018 OFFS'!$AI1092,'T1 2019 Pipeline Data Lagasco'!$Q:$Q,'Dec 31 2018 OFFS'!$AK1092,'T1 2019 Pipeline Data Lagasco'!$E:$E,'Dec 31 2018 OFFS'!$U1092,'T1 2019 Pipeline Data Lagasco'!$G:$G,'Dec 31 2018 OFFS'!$W1092),1))</f>
        <v>43157</v>
      </c>
      <c r="AM1092" s="274">
        <f t="shared" si="167" ref="AM1092:AM1155">AG1092-AL1092</f>
        <v>0</v>
      </c>
    </row>
    <row r="1093" spans="1:39" ht="12.7">
      <c r="A1093" s="193" t="s">
        <v>909</v>
      </c>
      <c r="B1093" s="40" t="s">
        <v>917</v>
      </c>
      <c r="C1093" s="40" t="s">
        <v>921</v>
      </c>
      <c r="D1093" s="40" t="s">
        <v>653</v>
      </c>
      <c r="E1093" s="40" t="s">
        <v>716</v>
      </c>
      <c r="F1093" s="40"/>
      <c r="G1093" s="41" t="s">
        <v>1328</v>
      </c>
      <c r="H1093" s="42" t="s">
        <v>78</v>
      </c>
      <c r="I1093" s="43">
        <v>9</v>
      </c>
      <c r="J1093" s="44">
        <v>1.1399999999999999</v>
      </c>
      <c r="K1093" s="45" t="s">
        <v>969</v>
      </c>
      <c r="L1093" s="43">
        <v>13</v>
      </c>
      <c r="M1093" s="46">
        <v>9.18</v>
      </c>
      <c r="N1093" s="40" t="s">
        <v>672</v>
      </c>
      <c r="O1093" s="42">
        <v>42</v>
      </c>
      <c r="P1093" s="43">
        <v>9</v>
      </c>
      <c r="Q1093" s="44">
        <v>24.98</v>
      </c>
      <c r="R1093" s="45">
        <v>82</v>
      </c>
      <c r="S1093" s="43">
        <v>12</v>
      </c>
      <c r="T1093" s="46">
        <v>46.72</v>
      </c>
      <c r="U1093" s="40">
        <v>4</v>
      </c>
      <c r="V1093" s="47">
        <v>4000</v>
      </c>
      <c r="W1093" s="48">
        <v>1992</v>
      </c>
      <c r="X1093" s="40"/>
      <c r="Y1093" s="53"/>
      <c r="Z1093" s="40" t="s">
        <v>910</v>
      </c>
      <c r="AA1093" s="49">
        <f t="shared" si="160"/>
        <v>105800</v>
      </c>
      <c r="AB1093" s="71">
        <f t="shared" si="161"/>
        <v>0.71</v>
      </c>
      <c r="AC1093" s="49">
        <f t="shared" si="162"/>
        <v>30682</v>
      </c>
      <c r="AD1093" s="50">
        <f t="shared" si="163"/>
        <v>0</v>
      </c>
      <c r="AE1093" s="50">
        <f t="shared" si="164"/>
        <v>0</v>
      </c>
      <c r="AF1093" s="50">
        <f t="shared" si="165"/>
        <v>30682</v>
      </c>
      <c r="AG1093" s="199">
        <f t="shared" si="166"/>
        <v>30682</v>
      </c>
      <c r="AH1093" s="187"/>
      <c r="AI1093" s="185" t="s">
        <v>1463</v>
      </c>
      <c r="AJ1093" s="185"/>
      <c r="AK1093" s="277">
        <f t="shared" si="159"/>
        <v>4000</v>
      </c>
      <c r="AL1093" s="25">
        <f>(SUMIFS('T1 2019 Pipeline Data Lagasco'!$O:$O,'T1 2019 Pipeline Data Lagasco'!$A:$A,'Dec 31 2018 OFFS'!$AI1093,'T1 2019 Pipeline Data Lagasco'!$Q:$Q,'Dec 31 2018 OFFS'!$AK1093,'T1 2019 Pipeline Data Lagasco'!$E:$E,'Dec 31 2018 OFFS'!$U1093,'T1 2019 Pipeline Data Lagasco'!$G:$G,'Dec 31 2018 OFFS'!$W1093))/(MAX(COUNTIFS('T1 2019 Pipeline Data Lagasco'!$A:$A,'Dec 31 2018 OFFS'!$AI1093,'T1 2019 Pipeline Data Lagasco'!$Q:$Q,'Dec 31 2018 OFFS'!$AK1093,'T1 2019 Pipeline Data Lagasco'!$E:$E,'Dec 31 2018 OFFS'!$U1093,'T1 2019 Pipeline Data Lagasco'!$G:$G,'Dec 31 2018 OFFS'!$W1093),1))</f>
        <v>30682</v>
      </c>
      <c r="AM1093" s="274">
        <f t="shared" si="167"/>
        <v>0</v>
      </c>
    </row>
    <row r="1094" spans="1:39" ht="12.7">
      <c r="A1094" s="193" t="s">
        <v>909</v>
      </c>
      <c r="B1094" s="40" t="s">
        <v>917</v>
      </c>
      <c r="C1094" s="40" t="s">
        <v>921</v>
      </c>
      <c r="D1094" s="40" t="s">
        <v>653</v>
      </c>
      <c r="E1094" s="40" t="s">
        <v>716</v>
      </c>
      <c r="F1094" s="40"/>
      <c r="G1094" s="41" t="s">
        <v>670</v>
      </c>
      <c r="H1094" s="42">
        <v>42</v>
      </c>
      <c r="I1094" s="43">
        <v>9</v>
      </c>
      <c r="J1094" s="44">
        <v>7.08</v>
      </c>
      <c r="K1094" s="45">
        <v>82</v>
      </c>
      <c r="L1094" s="43">
        <v>13</v>
      </c>
      <c r="M1094" s="46">
        <v>25.20</v>
      </c>
      <c r="N1094" s="40" t="s">
        <v>671</v>
      </c>
      <c r="O1094" s="42">
        <v>42</v>
      </c>
      <c r="P1094" s="43">
        <v>9</v>
      </c>
      <c r="Q1094" s="44">
        <f>0.318*60</f>
        <v>19.080000000000002</v>
      </c>
      <c r="R1094" s="45">
        <v>82</v>
      </c>
      <c r="S1094" s="43">
        <v>13</v>
      </c>
      <c r="T1094" s="46">
        <f>0.47*60</f>
        <v>28.20</v>
      </c>
      <c r="U1094" s="40">
        <v>3</v>
      </c>
      <c r="V1094" s="47">
        <v>1235.6626938739998</v>
      </c>
      <c r="W1094" s="48">
        <v>1995</v>
      </c>
      <c r="X1094" s="40"/>
      <c r="Y1094" s="53" t="s">
        <v>1082</v>
      </c>
      <c r="Z1094" s="40" t="s">
        <v>910</v>
      </c>
      <c r="AA1094" s="49">
        <f t="shared" si="160"/>
        <v>29149.282948487657</v>
      </c>
      <c r="AB1094" s="71">
        <f t="shared" si="161"/>
        <v>0.67</v>
      </c>
      <c r="AC1094" s="49">
        <f t="shared" si="162"/>
        <v>9619.26</v>
      </c>
      <c r="AD1094" s="50">
        <f t="shared" si="163"/>
        <v>0</v>
      </c>
      <c r="AE1094" s="50">
        <f t="shared" si="164"/>
        <v>0</v>
      </c>
      <c r="AF1094" s="50">
        <f t="shared" si="165"/>
        <v>9619.26</v>
      </c>
      <c r="AG1094" s="199">
        <f t="shared" si="166"/>
        <v>9619</v>
      </c>
      <c r="AH1094" s="187"/>
      <c r="AI1094" s="185" t="s">
        <v>1463</v>
      </c>
      <c r="AJ1094" s="185"/>
      <c r="AK1094" s="277">
        <f t="shared" si="159"/>
        <v>1235.6600000000001</v>
      </c>
      <c r="AL1094" s="25">
        <f>(SUMIFS('T1 2019 Pipeline Data Lagasco'!$O:$O,'T1 2019 Pipeline Data Lagasco'!$A:$A,'Dec 31 2018 OFFS'!$AI1094,'T1 2019 Pipeline Data Lagasco'!$Q:$Q,'Dec 31 2018 OFFS'!$AK1094,'T1 2019 Pipeline Data Lagasco'!$E:$E,'Dec 31 2018 OFFS'!$U1094,'T1 2019 Pipeline Data Lagasco'!$G:$G,'Dec 31 2018 OFFS'!$W1094))/(MAX(COUNTIFS('T1 2019 Pipeline Data Lagasco'!$A:$A,'Dec 31 2018 OFFS'!$AI1094,'T1 2019 Pipeline Data Lagasco'!$Q:$Q,'Dec 31 2018 OFFS'!$AK1094,'T1 2019 Pipeline Data Lagasco'!$E:$E,'Dec 31 2018 OFFS'!$U1094,'T1 2019 Pipeline Data Lagasco'!$G:$G,'Dec 31 2018 OFFS'!$W1094),1))</f>
        <v>9619</v>
      </c>
      <c r="AM1094" s="274">
        <f t="shared" si="167"/>
        <v>0</v>
      </c>
    </row>
    <row r="1095" spans="1:39" ht="12.7">
      <c r="A1095" s="193" t="s">
        <v>909</v>
      </c>
      <c r="B1095" s="40" t="s">
        <v>917</v>
      </c>
      <c r="C1095" s="40" t="s">
        <v>921</v>
      </c>
      <c r="D1095" s="40" t="s">
        <v>653</v>
      </c>
      <c r="E1095" s="40" t="s">
        <v>716</v>
      </c>
      <c r="F1095" s="40"/>
      <c r="G1095" s="41" t="s">
        <v>670</v>
      </c>
      <c r="H1095" s="42">
        <v>42</v>
      </c>
      <c r="I1095" s="43">
        <v>9</v>
      </c>
      <c r="J1095" s="44">
        <v>7.08</v>
      </c>
      <c r="K1095" s="45">
        <v>82</v>
      </c>
      <c r="L1095" s="43">
        <v>13</v>
      </c>
      <c r="M1095" s="46">
        <v>25.20</v>
      </c>
      <c r="N1095" s="40" t="s">
        <v>672</v>
      </c>
      <c r="O1095" s="42">
        <v>42</v>
      </c>
      <c r="P1095" s="43">
        <v>9</v>
      </c>
      <c r="Q1095" s="44">
        <v>24.98</v>
      </c>
      <c r="R1095" s="45">
        <v>82</v>
      </c>
      <c r="S1095" s="43">
        <v>12</v>
      </c>
      <c r="T1095" s="46">
        <v>46.72</v>
      </c>
      <c r="U1095" s="40">
        <v>3</v>
      </c>
      <c r="V1095" s="47">
        <v>3418.4382212119999</v>
      </c>
      <c r="W1095" s="48">
        <v>1957</v>
      </c>
      <c r="X1095" s="40"/>
      <c r="Y1095" s="53" t="s">
        <v>1082</v>
      </c>
      <c r="Z1095" s="40" t="s">
        <v>910</v>
      </c>
      <c r="AA1095" s="49">
        <f t="shared" si="160"/>
        <v>80640.957638391075</v>
      </c>
      <c r="AB1095" s="71">
        <f t="shared" si="161"/>
        <v>0.80</v>
      </c>
      <c r="AC1095" s="49">
        <f t="shared" si="162"/>
        <v>16128.19</v>
      </c>
      <c r="AD1095" s="50">
        <f t="shared" si="163"/>
        <v>0</v>
      </c>
      <c r="AE1095" s="50">
        <f t="shared" si="164"/>
        <v>0</v>
      </c>
      <c r="AF1095" s="50">
        <f t="shared" si="165"/>
        <v>16128.19</v>
      </c>
      <c r="AG1095" s="199">
        <f t="shared" si="166"/>
        <v>16128</v>
      </c>
      <c r="AH1095" s="187"/>
      <c r="AI1095" s="185" t="s">
        <v>1463</v>
      </c>
      <c r="AJ1095" s="185"/>
      <c r="AK1095" s="277">
        <f t="shared" si="159"/>
        <v>3418.44</v>
      </c>
      <c r="AL1095" s="25">
        <f>(SUMIFS('T1 2019 Pipeline Data Lagasco'!$O:$O,'T1 2019 Pipeline Data Lagasco'!$A:$A,'Dec 31 2018 OFFS'!$AI1095,'T1 2019 Pipeline Data Lagasco'!$Q:$Q,'Dec 31 2018 OFFS'!$AK1095,'T1 2019 Pipeline Data Lagasco'!$E:$E,'Dec 31 2018 OFFS'!$U1095,'T1 2019 Pipeline Data Lagasco'!$G:$G,'Dec 31 2018 OFFS'!$W1095))/(MAX(COUNTIFS('T1 2019 Pipeline Data Lagasco'!$A:$A,'Dec 31 2018 OFFS'!$AI1095,'T1 2019 Pipeline Data Lagasco'!$Q:$Q,'Dec 31 2018 OFFS'!$AK1095,'T1 2019 Pipeline Data Lagasco'!$E:$E,'Dec 31 2018 OFFS'!$U1095,'T1 2019 Pipeline Data Lagasco'!$G:$G,'Dec 31 2018 OFFS'!$W1095),1))</f>
        <v>16128</v>
      </c>
      <c r="AM1095" s="274">
        <f t="shared" si="167"/>
        <v>0</v>
      </c>
    </row>
    <row r="1096" spans="1:39" ht="12.7">
      <c r="A1096" s="193" t="s">
        <v>909</v>
      </c>
      <c r="B1096" s="40" t="s">
        <v>917</v>
      </c>
      <c r="C1096" s="40" t="s">
        <v>921</v>
      </c>
      <c r="D1096" s="40" t="s">
        <v>653</v>
      </c>
      <c r="E1096" s="40" t="s">
        <v>716</v>
      </c>
      <c r="F1096" s="40"/>
      <c r="G1096" s="41" t="s">
        <v>670</v>
      </c>
      <c r="H1096" s="42">
        <v>42</v>
      </c>
      <c r="I1096" s="43">
        <v>9</v>
      </c>
      <c r="J1096" s="44">
        <v>7.08</v>
      </c>
      <c r="K1096" s="45">
        <v>82</v>
      </c>
      <c r="L1096" s="43">
        <v>13</v>
      </c>
      <c r="M1096" s="46">
        <v>25.20</v>
      </c>
      <c r="N1096" s="40" t="s">
        <v>673</v>
      </c>
      <c r="O1096" s="42">
        <v>42</v>
      </c>
      <c r="P1096" s="43">
        <v>8</v>
      </c>
      <c r="Q1096" s="44">
        <v>55.80</v>
      </c>
      <c r="R1096" s="45">
        <v>82</v>
      </c>
      <c r="S1096" s="43">
        <v>12</v>
      </c>
      <c r="T1096" s="46">
        <v>52.20</v>
      </c>
      <c r="U1096" s="40">
        <v>3</v>
      </c>
      <c r="V1096" s="47">
        <v>2735.7282672299998</v>
      </c>
      <c r="W1096" s="48">
        <v>1957</v>
      </c>
      <c r="X1096" s="40"/>
      <c r="Y1096" s="53" t="s">
        <v>1082</v>
      </c>
      <c r="Z1096" s="40" t="s">
        <v>910</v>
      </c>
      <c r="AA1096" s="49">
        <f t="shared" si="160"/>
        <v>64535.829823955697</v>
      </c>
      <c r="AB1096" s="71">
        <f t="shared" si="161"/>
        <v>0.80</v>
      </c>
      <c r="AC1096" s="49">
        <f t="shared" si="162"/>
        <v>12907.17</v>
      </c>
      <c r="AD1096" s="50">
        <f t="shared" si="163"/>
        <v>0</v>
      </c>
      <c r="AE1096" s="50">
        <f t="shared" si="164"/>
        <v>0</v>
      </c>
      <c r="AF1096" s="50">
        <f t="shared" si="165"/>
        <v>12907.17</v>
      </c>
      <c r="AG1096" s="199">
        <f t="shared" si="166"/>
        <v>12907</v>
      </c>
      <c r="AH1096" s="187"/>
      <c r="AI1096" s="185" t="s">
        <v>1463</v>
      </c>
      <c r="AJ1096" s="185"/>
      <c r="AK1096" s="277">
        <f t="shared" si="159"/>
        <v>2735.73</v>
      </c>
      <c r="AL1096" s="25">
        <f>(SUMIFS('T1 2019 Pipeline Data Lagasco'!$O:$O,'T1 2019 Pipeline Data Lagasco'!$A:$A,'Dec 31 2018 OFFS'!$AI1096,'T1 2019 Pipeline Data Lagasco'!$Q:$Q,'Dec 31 2018 OFFS'!$AK1096,'T1 2019 Pipeline Data Lagasco'!$E:$E,'Dec 31 2018 OFFS'!$U1096,'T1 2019 Pipeline Data Lagasco'!$G:$G,'Dec 31 2018 OFFS'!$W1096))/(MAX(COUNTIFS('T1 2019 Pipeline Data Lagasco'!$A:$A,'Dec 31 2018 OFFS'!$AI1096,'T1 2019 Pipeline Data Lagasco'!$Q:$Q,'Dec 31 2018 OFFS'!$AK1096,'T1 2019 Pipeline Data Lagasco'!$E:$E,'Dec 31 2018 OFFS'!$U1096,'T1 2019 Pipeline Data Lagasco'!$G:$G,'Dec 31 2018 OFFS'!$W1096),1))</f>
        <v>12907</v>
      </c>
      <c r="AM1096" s="274">
        <f t="shared" si="167"/>
        <v>0</v>
      </c>
    </row>
    <row r="1097" spans="1:39" ht="12.7">
      <c r="A1097" s="193" t="s">
        <v>909</v>
      </c>
      <c r="B1097" s="40" t="s">
        <v>917</v>
      </c>
      <c r="C1097" s="40" t="s">
        <v>921</v>
      </c>
      <c r="D1097" s="40" t="s">
        <v>653</v>
      </c>
      <c r="E1097" s="40" t="s">
        <v>716</v>
      </c>
      <c r="F1097" s="139" t="s">
        <v>1051</v>
      </c>
      <c r="G1097" s="41" t="s">
        <v>711</v>
      </c>
      <c r="H1097" s="42">
        <v>42</v>
      </c>
      <c r="I1097" s="43">
        <v>8</v>
      </c>
      <c r="J1097" s="44">
        <v>53.70</v>
      </c>
      <c r="K1097" s="45">
        <v>82</v>
      </c>
      <c r="L1097" s="43">
        <v>13</v>
      </c>
      <c r="M1097" s="46">
        <v>24.12</v>
      </c>
      <c r="N1097" s="40" t="s">
        <v>654</v>
      </c>
      <c r="O1097" s="42">
        <v>42</v>
      </c>
      <c r="P1097" s="43">
        <v>8</v>
      </c>
      <c r="Q1097" s="44">
        <v>53.76</v>
      </c>
      <c r="R1097" s="45">
        <v>82</v>
      </c>
      <c r="S1097" s="43">
        <v>13</v>
      </c>
      <c r="T1097" s="46">
        <v>23.10</v>
      </c>
      <c r="U1097" s="40">
        <v>4</v>
      </c>
      <c r="V1097" s="47">
        <v>77.099735299999992</v>
      </c>
      <c r="W1097" s="48">
        <v>1957</v>
      </c>
      <c r="X1097" s="40"/>
      <c r="Y1097" s="53" t="s">
        <v>1082</v>
      </c>
      <c r="Z1097" s="40" t="s">
        <v>910</v>
      </c>
      <c r="AA1097" s="49">
        <f t="shared" si="160"/>
        <v>0</v>
      </c>
      <c r="AB1097" s="71">
        <f t="shared" si="161"/>
        <v>0.80</v>
      </c>
      <c r="AC1097" s="49">
        <f t="shared" si="162"/>
        <v>0</v>
      </c>
      <c r="AD1097" s="50">
        <f t="shared" si="163"/>
        <v>0</v>
      </c>
      <c r="AE1097" s="50">
        <f t="shared" si="164"/>
        <v>0</v>
      </c>
      <c r="AF1097" s="50">
        <f t="shared" si="165"/>
        <v>0</v>
      </c>
      <c r="AG1097" s="199">
        <f t="shared" si="166"/>
        <v>0</v>
      </c>
      <c r="AH1097" s="187"/>
      <c r="AI1097" s="185" t="s">
        <v>1463</v>
      </c>
      <c r="AJ1097" s="185"/>
      <c r="AK1097" s="277">
        <f t="shared" si="159"/>
        <v>77.099999999999994</v>
      </c>
      <c r="AL1097" s="25">
        <f>(SUMIFS('T1 2019 Pipeline Data Lagasco'!$O:$O,'T1 2019 Pipeline Data Lagasco'!$A:$A,'Dec 31 2018 OFFS'!$AI1097,'T1 2019 Pipeline Data Lagasco'!$Q:$Q,'Dec 31 2018 OFFS'!$AK1097,'T1 2019 Pipeline Data Lagasco'!$E:$E,'Dec 31 2018 OFFS'!$U1097,'T1 2019 Pipeline Data Lagasco'!$G:$G,'Dec 31 2018 OFFS'!$W1097))/(MAX(COUNTIFS('T1 2019 Pipeline Data Lagasco'!$A:$A,'Dec 31 2018 OFFS'!$AI1097,'T1 2019 Pipeline Data Lagasco'!$Q:$Q,'Dec 31 2018 OFFS'!$AK1097,'T1 2019 Pipeline Data Lagasco'!$E:$E,'Dec 31 2018 OFFS'!$U1097,'T1 2019 Pipeline Data Lagasco'!$G:$G,'Dec 31 2018 OFFS'!$W1097),1))</f>
        <v>0</v>
      </c>
      <c r="AM1097" s="274">
        <f t="shared" si="167"/>
        <v>0</v>
      </c>
    </row>
    <row r="1098" spans="1:39" ht="12.7">
      <c r="A1098" s="193" t="s">
        <v>909</v>
      </c>
      <c r="B1098" s="40" t="s">
        <v>917</v>
      </c>
      <c r="C1098" s="40" t="s">
        <v>921</v>
      </c>
      <c r="D1098" s="40" t="s">
        <v>653</v>
      </c>
      <c r="E1098" s="40" t="s">
        <v>716</v>
      </c>
      <c r="F1098" s="40"/>
      <c r="G1098" s="41" t="s">
        <v>654</v>
      </c>
      <c r="H1098" s="42">
        <v>42</v>
      </c>
      <c r="I1098" s="43">
        <v>8</v>
      </c>
      <c r="J1098" s="44">
        <v>53.76</v>
      </c>
      <c r="K1098" s="45">
        <v>82</v>
      </c>
      <c r="L1098" s="43">
        <v>13</v>
      </c>
      <c r="M1098" s="46">
        <v>23.10</v>
      </c>
      <c r="N1098" s="40" t="s">
        <v>655</v>
      </c>
      <c r="O1098" s="42">
        <v>42</v>
      </c>
      <c r="P1098" s="43">
        <v>9</v>
      </c>
      <c r="Q1098" s="44">
        <v>9.7200000000000006</v>
      </c>
      <c r="R1098" s="45">
        <v>82</v>
      </c>
      <c r="S1098" s="43">
        <v>12</v>
      </c>
      <c r="T1098" s="46">
        <v>54.18</v>
      </c>
      <c r="U1098" s="40">
        <v>2</v>
      </c>
      <c r="V1098" s="47">
        <v>2712.401496252</v>
      </c>
      <c r="W1098" s="48">
        <v>1957</v>
      </c>
      <c r="X1098" s="40"/>
      <c r="Y1098" s="53" t="s">
        <v>1082</v>
      </c>
      <c r="Z1098" s="40" t="s">
        <v>910</v>
      </c>
      <c r="AA1098" s="49">
        <f t="shared" si="160"/>
        <v>44049.400299132474</v>
      </c>
      <c r="AB1098" s="71">
        <f t="shared" si="161"/>
        <v>0.80</v>
      </c>
      <c r="AC1098" s="49">
        <f t="shared" si="162"/>
        <v>8809.8799999999992</v>
      </c>
      <c r="AD1098" s="50">
        <f t="shared" si="163"/>
        <v>0</v>
      </c>
      <c r="AE1098" s="50">
        <f t="shared" si="164"/>
        <v>0</v>
      </c>
      <c r="AF1098" s="50">
        <f t="shared" si="165"/>
        <v>8809.8799999999992</v>
      </c>
      <c r="AG1098" s="199">
        <f t="shared" si="166"/>
        <v>8809</v>
      </c>
      <c r="AH1098" s="187"/>
      <c r="AI1098" s="185" t="s">
        <v>1463</v>
      </c>
      <c r="AJ1098" s="185"/>
      <c r="AK1098" s="277">
        <f t="shared" si="159"/>
        <v>2712.40</v>
      </c>
      <c r="AL1098" s="25">
        <f>(SUMIFS('T1 2019 Pipeline Data Lagasco'!$O:$O,'T1 2019 Pipeline Data Lagasco'!$A:$A,'Dec 31 2018 OFFS'!$AI1098,'T1 2019 Pipeline Data Lagasco'!$Q:$Q,'Dec 31 2018 OFFS'!$AK1098,'T1 2019 Pipeline Data Lagasco'!$E:$E,'Dec 31 2018 OFFS'!$U1098,'T1 2019 Pipeline Data Lagasco'!$G:$G,'Dec 31 2018 OFFS'!$W1098))/(MAX(COUNTIFS('T1 2019 Pipeline Data Lagasco'!$A:$A,'Dec 31 2018 OFFS'!$AI1098,'T1 2019 Pipeline Data Lagasco'!$Q:$Q,'Dec 31 2018 OFFS'!$AK1098,'T1 2019 Pipeline Data Lagasco'!$E:$E,'Dec 31 2018 OFFS'!$U1098,'T1 2019 Pipeline Data Lagasco'!$G:$G,'Dec 31 2018 OFFS'!$W1098),1))</f>
        <v>8809</v>
      </c>
      <c r="AM1098" s="274">
        <f t="shared" si="167"/>
        <v>0</v>
      </c>
    </row>
    <row r="1099" spans="1:39" ht="12.7">
      <c r="A1099" s="193" t="s">
        <v>909</v>
      </c>
      <c r="B1099" s="40" t="s">
        <v>917</v>
      </c>
      <c r="C1099" s="40" t="s">
        <v>921</v>
      </c>
      <c r="D1099" s="40" t="s">
        <v>653</v>
      </c>
      <c r="E1099" s="40" t="s">
        <v>716</v>
      </c>
      <c r="F1099" s="40" t="s">
        <v>1051</v>
      </c>
      <c r="G1099" s="41" t="s">
        <v>654</v>
      </c>
      <c r="H1099" s="42">
        <v>42</v>
      </c>
      <c r="I1099" s="43">
        <v>8</v>
      </c>
      <c r="J1099" s="44">
        <v>53.76</v>
      </c>
      <c r="K1099" s="45">
        <v>82</v>
      </c>
      <c r="L1099" s="43">
        <v>13</v>
      </c>
      <c r="M1099" s="46">
        <v>23.10</v>
      </c>
      <c r="N1099" s="40" t="s">
        <v>674</v>
      </c>
      <c r="O1099" s="42">
        <v>42</v>
      </c>
      <c r="P1099" s="43">
        <v>8</v>
      </c>
      <c r="Q1099" s="44">
        <v>29.10</v>
      </c>
      <c r="R1099" s="45">
        <v>82</v>
      </c>
      <c r="S1099" s="43">
        <v>14</v>
      </c>
      <c r="T1099" s="46">
        <v>5.0999999999999996</v>
      </c>
      <c r="U1099" s="40">
        <v>3</v>
      </c>
      <c r="V1099" s="47">
        <v>4030.51</v>
      </c>
      <c r="W1099" s="48">
        <v>1957</v>
      </c>
      <c r="X1099" s="40"/>
      <c r="Y1099" s="52"/>
      <c r="Z1099" s="40" t="s">
        <v>910</v>
      </c>
      <c r="AA1099" s="49">
        <f t="shared" si="160"/>
        <v>0</v>
      </c>
      <c r="AB1099" s="71">
        <f t="shared" si="161"/>
        <v>0.80</v>
      </c>
      <c r="AC1099" s="49">
        <f t="shared" si="162"/>
        <v>0</v>
      </c>
      <c r="AD1099" s="50">
        <f t="shared" si="163"/>
        <v>0</v>
      </c>
      <c r="AE1099" s="50">
        <f t="shared" si="164"/>
        <v>0</v>
      </c>
      <c r="AF1099" s="50">
        <f t="shared" si="165"/>
        <v>0</v>
      </c>
      <c r="AG1099" s="199">
        <f t="shared" si="166"/>
        <v>0</v>
      </c>
      <c r="AH1099" s="187"/>
      <c r="AI1099" s="185" t="s">
        <v>1463</v>
      </c>
      <c r="AJ1099" s="185"/>
      <c r="AK1099" s="277">
        <f t="shared" si="159"/>
        <v>4030.51</v>
      </c>
      <c r="AL1099" s="25">
        <f>(SUMIFS('T1 2019 Pipeline Data Lagasco'!$O:$O,'T1 2019 Pipeline Data Lagasco'!$A:$A,'Dec 31 2018 OFFS'!$AI1099,'T1 2019 Pipeline Data Lagasco'!$Q:$Q,'Dec 31 2018 OFFS'!$AK1099,'T1 2019 Pipeline Data Lagasco'!$E:$E,'Dec 31 2018 OFFS'!$U1099,'T1 2019 Pipeline Data Lagasco'!$G:$G,'Dec 31 2018 OFFS'!$W1099))/(MAX(COUNTIFS('T1 2019 Pipeline Data Lagasco'!$A:$A,'Dec 31 2018 OFFS'!$AI1099,'T1 2019 Pipeline Data Lagasco'!$Q:$Q,'Dec 31 2018 OFFS'!$AK1099,'T1 2019 Pipeline Data Lagasco'!$E:$E,'Dec 31 2018 OFFS'!$U1099,'T1 2019 Pipeline Data Lagasco'!$G:$G,'Dec 31 2018 OFFS'!$W1099),1))</f>
        <v>0</v>
      </c>
      <c r="AM1099" s="274">
        <f t="shared" si="167"/>
        <v>0</v>
      </c>
    </row>
    <row r="1100" spans="1:39" ht="12.7">
      <c r="A1100" s="193" t="s">
        <v>909</v>
      </c>
      <c r="B1100" s="40" t="s">
        <v>917</v>
      </c>
      <c r="C1100" s="40" t="s">
        <v>921</v>
      </c>
      <c r="D1100" s="40" t="s">
        <v>653</v>
      </c>
      <c r="E1100" s="40" t="s">
        <v>716</v>
      </c>
      <c r="F1100" s="40" t="s">
        <v>1051</v>
      </c>
      <c r="G1100" s="41" t="s">
        <v>654</v>
      </c>
      <c r="H1100" s="42">
        <v>42</v>
      </c>
      <c r="I1100" s="43">
        <v>8</v>
      </c>
      <c r="J1100" s="44">
        <v>53.76</v>
      </c>
      <c r="K1100" s="45">
        <v>82</v>
      </c>
      <c r="L1100" s="43">
        <v>13</v>
      </c>
      <c r="M1100" s="46">
        <v>23.10</v>
      </c>
      <c r="N1100" s="40" t="s">
        <v>675</v>
      </c>
      <c r="O1100" s="42">
        <v>42</v>
      </c>
      <c r="P1100" s="43">
        <v>9</v>
      </c>
      <c r="Q1100" s="44">
        <f>0.503*60</f>
        <v>30.18</v>
      </c>
      <c r="R1100" s="45">
        <v>82</v>
      </c>
      <c r="S1100" s="43">
        <v>13</v>
      </c>
      <c r="T1100" s="46">
        <f>0.994*60</f>
        <v>59.64</v>
      </c>
      <c r="U1100" s="40">
        <v>3</v>
      </c>
      <c r="V1100" s="47">
        <v>4601.18</v>
      </c>
      <c r="W1100" s="48">
        <v>1957</v>
      </c>
      <c r="X1100" s="40"/>
      <c r="Y1100" s="52"/>
      <c r="Z1100" s="40" t="s">
        <v>910</v>
      </c>
      <c r="AA1100" s="49">
        <f t="shared" si="160"/>
        <v>0</v>
      </c>
      <c r="AB1100" s="71">
        <f t="shared" si="161"/>
        <v>0.80</v>
      </c>
      <c r="AC1100" s="49">
        <f t="shared" si="162"/>
        <v>0</v>
      </c>
      <c r="AD1100" s="50">
        <f t="shared" si="163"/>
        <v>0</v>
      </c>
      <c r="AE1100" s="50">
        <f t="shared" si="164"/>
        <v>0</v>
      </c>
      <c r="AF1100" s="50">
        <f t="shared" si="165"/>
        <v>0</v>
      </c>
      <c r="AG1100" s="199">
        <f t="shared" si="166"/>
        <v>0</v>
      </c>
      <c r="AH1100" s="187"/>
      <c r="AI1100" s="185" t="s">
        <v>1463</v>
      </c>
      <c r="AJ1100" s="185"/>
      <c r="AK1100" s="277">
        <f t="shared" si="159"/>
        <v>4601.18</v>
      </c>
      <c r="AL1100" s="25">
        <f>(SUMIFS('T1 2019 Pipeline Data Lagasco'!$O:$O,'T1 2019 Pipeline Data Lagasco'!$A:$A,'Dec 31 2018 OFFS'!$AI1100,'T1 2019 Pipeline Data Lagasco'!$Q:$Q,'Dec 31 2018 OFFS'!$AK1100,'T1 2019 Pipeline Data Lagasco'!$E:$E,'Dec 31 2018 OFFS'!$U1100,'T1 2019 Pipeline Data Lagasco'!$G:$G,'Dec 31 2018 OFFS'!$W1100))/(MAX(COUNTIFS('T1 2019 Pipeline Data Lagasco'!$A:$A,'Dec 31 2018 OFFS'!$AI1100,'T1 2019 Pipeline Data Lagasco'!$Q:$Q,'Dec 31 2018 OFFS'!$AK1100,'T1 2019 Pipeline Data Lagasco'!$E:$E,'Dec 31 2018 OFFS'!$U1100,'T1 2019 Pipeline Data Lagasco'!$G:$G,'Dec 31 2018 OFFS'!$W1100),1))</f>
        <v>0</v>
      </c>
      <c r="AM1100" s="274">
        <f t="shared" si="167"/>
        <v>0</v>
      </c>
    </row>
    <row r="1101" spans="1:39" ht="12.7">
      <c r="A1101" s="193" t="s">
        <v>909</v>
      </c>
      <c r="B1101" s="40" t="s">
        <v>917</v>
      </c>
      <c r="C1101" s="40" t="s">
        <v>921</v>
      </c>
      <c r="D1101" s="40" t="s">
        <v>653</v>
      </c>
      <c r="E1101" s="40" t="s">
        <v>716</v>
      </c>
      <c r="F1101" s="40"/>
      <c r="G1101" s="41" t="s">
        <v>654</v>
      </c>
      <c r="H1101" s="42">
        <v>42</v>
      </c>
      <c r="I1101" s="43">
        <v>8</v>
      </c>
      <c r="J1101" s="44">
        <v>53.76</v>
      </c>
      <c r="K1101" s="45">
        <v>82</v>
      </c>
      <c r="L1101" s="43">
        <v>13</v>
      </c>
      <c r="M1101" s="46">
        <v>23.10</v>
      </c>
      <c r="N1101" s="40" t="s">
        <v>675</v>
      </c>
      <c r="O1101" s="42">
        <v>42</v>
      </c>
      <c r="P1101" s="43">
        <v>9</v>
      </c>
      <c r="Q1101" s="44">
        <f>0.503*60</f>
        <v>30.18</v>
      </c>
      <c r="R1101" s="45">
        <v>82</v>
      </c>
      <c r="S1101" s="43">
        <v>13</v>
      </c>
      <c r="T1101" s="46">
        <f>0.994*60</f>
        <v>59.64</v>
      </c>
      <c r="U1101" s="40">
        <v>3</v>
      </c>
      <c r="V1101" s="47">
        <v>1284</v>
      </c>
      <c r="W1101" s="48">
        <v>1995</v>
      </c>
      <c r="X1101" s="40"/>
      <c r="Y1101" s="52"/>
      <c r="Z1101" s="40" t="s">
        <v>910</v>
      </c>
      <c r="AA1101" s="49">
        <f t="shared" si="160"/>
        <v>30289.56</v>
      </c>
      <c r="AB1101" s="71">
        <f t="shared" si="161"/>
        <v>0.67</v>
      </c>
      <c r="AC1101" s="49">
        <f t="shared" si="162"/>
        <v>9995.5499999999993</v>
      </c>
      <c r="AD1101" s="50">
        <f t="shared" si="163"/>
        <v>0</v>
      </c>
      <c r="AE1101" s="50">
        <f t="shared" si="164"/>
        <v>0</v>
      </c>
      <c r="AF1101" s="50">
        <f t="shared" si="165"/>
        <v>9995.5499999999993</v>
      </c>
      <c r="AG1101" s="199">
        <f t="shared" si="166"/>
        <v>9995</v>
      </c>
      <c r="AH1101" s="187"/>
      <c r="AI1101" s="185" t="s">
        <v>1463</v>
      </c>
      <c r="AJ1101" s="185"/>
      <c r="AK1101" s="277">
        <f t="shared" si="159"/>
        <v>1284</v>
      </c>
      <c r="AL1101" s="25">
        <f>(SUMIFS('T1 2019 Pipeline Data Lagasco'!$O:$O,'T1 2019 Pipeline Data Lagasco'!$A:$A,'Dec 31 2018 OFFS'!$AI1101,'T1 2019 Pipeline Data Lagasco'!$Q:$Q,'Dec 31 2018 OFFS'!$AK1101,'T1 2019 Pipeline Data Lagasco'!$E:$E,'Dec 31 2018 OFFS'!$U1101,'T1 2019 Pipeline Data Lagasco'!$G:$G,'Dec 31 2018 OFFS'!$W1101))/(MAX(COUNTIFS('T1 2019 Pipeline Data Lagasco'!$A:$A,'Dec 31 2018 OFFS'!$AI1101,'T1 2019 Pipeline Data Lagasco'!$Q:$Q,'Dec 31 2018 OFFS'!$AK1101,'T1 2019 Pipeline Data Lagasco'!$E:$E,'Dec 31 2018 OFFS'!$U1101,'T1 2019 Pipeline Data Lagasco'!$G:$G,'Dec 31 2018 OFFS'!$W1101),1))</f>
        <v>9995</v>
      </c>
      <c r="AM1101" s="274">
        <f t="shared" si="167"/>
        <v>0</v>
      </c>
    </row>
    <row r="1102" spans="1:39" ht="12.7">
      <c r="A1102" s="193" t="s">
        <v>909</v>
      </c>
      <c r="B1102" s="40" t="s">
        <v>917</v>
      </c>
      <c r="C1102" s="40" t="s">
        <v>921</v>
      </c>
      <c r="D1102" s="40" t="s">
        <v>653</v>
      </c>
      <c r="E1102" s="40" t="s">
        <v>716</v>
      </c>
      <c r="F1102" s="40"/>
      <c r="G1102" s="41" t="s">
        <v>654</v>
      </c>
      <c r="H1102" s="42">
        <v>42</v>
      </c>
      <c r="I1102" s="43">
        <v>8</v>
      </c>
      <c r="J1102" s="44">
        <v>53.76</v>
      </c>
      <c r="K1102" s="45">
        <v>82</v>
      </c>
      <c r="L1102" s="43">
        <v>13</v>
      </c>
      <c r="M1102" s="46">
        <v>23.10</v>
      </c>
      <c r="N1102" s="40" t="s">
        <v>712</v>
      </c>
      <c r="O1102" s="42">
        <v>42</v>
      </c>
      <c r="P1102" s="43">
        <v>7</v>
      </c>
      <c r="Q1102" s="44">
        <f>0.777*60</f>
        <v>46.620000000000005</v>
      </c>
      <c r="R1102" s="45">
        <v>82</v>
      </c>
      <c r="S1102" s="43">
        <v>12</v>
      </c>
      <c r="T1102" s="46">
        <f>0.135*60</f>
        <v>8.1000000000000014</v>
      </c>
      <c r="U1102" s="40">
        <v>4</v>
      </c>
      <c r="V1102" s="47">
        <v>8839.2713975579991</v>
      </c>
      <c r="W1102" s="48">
        <v>1957</v>
      </c>
      <c r="X1102" s="40"/>
      <c r="Y1102" s="53" t="s">
        <v>1082</v>
      </c>
      <c r="Z1102" s="40" t="s">
        <v>910</v>
      </c>
      <c r="AA1102" s="49">
        <f t="shared" si="160"/>
        <v>233798.72846540908</v>
      </c>
      <c r="AB1102" s="71">
        <f t="shared" si="161"/>
        <v>0.80</v>
      </c>
      <c r="AC1102" s="49">
        <f t="shared" si="162"/>
        <v>46759.75</v>
      </c>
      <c r="AD1102" s="50">
        <f t="shared" si="163"/>
        <v>0</v>
      </c>
      <c r="AE1102" s="50">
        <f t="shared" si="164"/>
        <v>0</v>
      </c>
      <c r="AF1102" s="50">
        <f t="shared" si="165"/>
        <v>46759.75</v>
      </c>
      <c r="AG1102" s="199">
        <f t="shared" si="166"/>
        <v>46759</v>
      </c>
      <c r="AH1102" s="187"/>
      <c r="AI1102" s="185" t="s">
        <v>1463</v>
      </c>
      <c r="AJ1102" s="185"/>
      <c r="AK1102" s="277">
        <f t="shared" si="159"/>
        <v>8839.27</v>
      </c>
      <c r="AL1102" s="25">
        <f>(SUMIFS('T1 2019 Pipeline Data Lagasco'!$O:$O,'T1 2019 Pipeline Data Lagasco'!$A:$A,'Dec 31 2018 OFFS'!$AI1102,'T1 2019 Pipeline Data Lagasco'!$Q:$Q,'Dec 31 2018 OFFS'!$AK1102,'T1 2019 Pipeline Data Lagasco'!$E:$E,'Dec 31 2018 OFFS'!$U1102,'T1 2019 Pipeline Data Lagasco'!$G:$G,'Dec 31 2018 OFFS'!$W1102))/(MAX(COUNTIFS('T1 2019 Pipeline Data Lagasco'!$A:$A,'Dec 31 2018 OFFS'!$AI1102,'T1 2019 Pipeline Data Lagasco'!$Q:$Q,'Dec 31 2018 OFFS'!$AK1102,'T1 2019 Pipeline Data Lagasco'!$E:$E,'Dec 31 2018 OFFS'!$U1102,'T1 2019 Pipeline Data Lagasco'!$G:$G,'Dec 31 2018 OFFS'!$W1102),1))</f>
        <v>46759</v>
      </c>
      <c r="AM1102" s="274">
        <f t="shared" si="167"/>
        <v>0</v>
      </c>
    </row>
    <row r="1103" spans="1:39" ht="12.7">
      <c r="A1103" s="193" t="s">
        <v>909</v>
      </c>
      <c r="B1103" s="40" t="s">
        <v>917</v>
      </c>
      <c r="C1103" s="40" t="s">
        <v>921</v>
      </c>
      <c r="D1103" s="40" t="s">
        <v>653</v>
      </c>
      <c r="E1103" s="40" t="s">
        <v>716</v>
      </c>
      <c r="F1103" s="40" t="s">
        <v>1051</v>
      </c>
      <c r="G1103" s="41" t="s">
        <v>944</v>
      </c>
      <c r="H1103" s="42">
        <v>42</v>
      </c>
      <c r="I1103" s="43">
        <v>8</v>
      </c>
      <c r="J1103" s="44">
        <v>19.20</v>
      </c>
      <c r="K1103" s="45">
        <v>82</v>
      </c>
      <c r="L1103" s="43">
        <v>13</v>
      </c>
      <c r="M1103" s="46">
        <v>33.90</v>
      </c>
      <c r="N1103" s="40" t="s">
        <v>676</v>
      </c>
      <c r="O1103" s="42">
        <v>42</v>
      </c>
      <c r="P1103" s="43">
        <v>8</v>
      </c>
      <c r="Q1103" s="44">
        <v>43.26</v>
      </c>
      <c r="R1103" s="45">
        <v>82</v>
      </c>
      <c r="S1103" s="43">
        <v>12</v>
      </c>
      <c r="T1103" s="46">
        <v>50.76</v>
      </c>
      <c r="U1103" s="40">
        <v>3</v>
      </c>
      <c r="V1103" s="47">
        <v>4061.68</v>
      </c>
      <c r="W1103" s="48">
        <v>1957</v>
      </c>
      <c r="X1103" s="40"/>
      <c r="Y1103" s="52"/>
      <c r="Z1103" s="40" t="s">
        <v>910</v>
      </c>
      <c r="AA1103" s="49">
        <f t="shared" si="160"/>
        <v>0</v>
      </c>
      <c r="AB1103" s="71">
        <f t="shared" si="161"/>
        <v>0.80</v>
      </c>
      <c r="AC1103" s="49">
        <f t="shared" si="162"/>
        <v>0</v>
      </c>
      <c r="AD1103" s="50">
        <f t="shared" si="163"/>
        <v>0</v>
      </c>
      <c r="AE1103" s="50">
        <f t="shared" si="164"/>
        <v>0</v>
      </c>
      <c r="AF1103" s="50">
        <f t="shared" si="165"/>
        <v>0</v>
      </c>
      <c r="AG1103" s="199">
        <f t="shared" si="166"/>
        <v>0</v>
      </c>
      <c r="AH1103" s="187"/>
      <c r="AI1103" s="185" t="s">
        <v>1463</v>
      </c>
      <c r="AJ1103" s="185"/>
      <c r="AK1103" s="277">
        <f t="shared" si="159"/>
        <v>4061.68</v>
      </c>
      <c r="AL1103" s="25">
        <f>(SUMIFS('T1 2019 Pipeline Data Lagasco'!$O:$O,'T1 2019 Pipeline Data Lagasco'!$A:$A,'Dec 31 2018 OFFS'!$AI1103,'T1 2019 Pipeline Data Lagasco'!$Q:$Q,'Dec 31 2018 OFFS'!$AK1103,'T1 2019 Pipeline Data Lagasco'!$E:$E,'Dec 31 2018 OFFS'!$U1103,'T1 2019 Pipeline Data Lagasco'!$G:$G,'Dec 31 2018 OFFS'!$W1103))/(MAX(COUNTIFS('T1 2019 Pipeline Data Lagasco'!$A:$A,'Dec 31 2018 OFFS'!$AI1103,'T1 2019 Pipeline Data Lagasco'!$Q:$Q,'Dec 31 2018 OFFS'!$AK1103,'T1 2019 Pipeline Data Lagasco'!$E:$E,'Dec 31 2018 OFFS'!$U1103,'T1 2019 Pipeline Data Lagasco'!$G:$G,'Dec 31 2018 OFFS'!$W1103),1))</f>
        <v>0</v>
      </c>
      <c r="AM1103" s="274">
        <f t="shared" si="167"/>
        <v>0</v>
      </c>
    </row>
    <row r="1104" spans="1:39" ht="12.7">
      <c r="A1104" s="193" t="s">
        <v>909</v>
      </c>
      <c r="B1104" s="40" t="s">
        <v>917</v>
      </c>
      <c r="C1104" s="40" t="s">
        <v>921</v>
      </c>
      <c r="D1104" s="40" t="s">
        <v>653</v>
      </c>
      <c r="E1104" s="40" t="s">
        <v>716</v>
      </c>
      <c r="F1104" s="40" t="s">
        <v>1051</v>
      </c>
      <c r="G1104" s="41" t="s">
        <v>673</v>
      </c>
      <c r="H1104" s="42">
        <v>42</v>
      </c>
      <c r="I1104" s="43">
        <v>8</v>
      </c>
      <c r="J1104" s="44">
        <v>55.80</v>
      </c>
      <c r="K1104" s="45">
        <v>82</v>
      </c>
      <c r="L1104" s="43">
        <v>12</v>
      </c>
      <c r="M1104" s="46">
        <v>52.20</v>
      </c>
      <c r="N1104" s="40" t="s">
        <v>677</v>
      </c>
      <c r="O1104" s="42">
        <v>42</v>
      </c>
      <c r="P1104" s="43">
        <v>9</v>
      </c>
      <c r="Q1104" s="44">
        <v>5.52</v>
      </c>
      <c r="R1104" s="45">
        <v>82</v>
      </c>
      <c r="S1104" s="43">
        <v>12</v>
      </c>
      <c r="T1104" s="46">
        <v>39.60</v>
      </c>
      <c r="U1104" s="40">
        <v>3</v>
      </c>
      <c r="V1104" s="47">
        <v>1367.22</v>
      </c>
      <c r="W1104" s="48">
        <v>1957</v>
      </c>
      <c r="X1104" s="40"/>
      <c r="Y1104" s="52"/>
      <c r="Z1104" s="40" t="s">
        <v>910</v>
      </c>
      <c r="AA1104" s="49">
        <f t="shared" si="160"/>
        <v>0</v>
      </c>
      <c r="AB1104" s="71">
        <f t="shared" si="161"/>
        <v>0.80</v>
      </c>
      <c r="AC1104" s="49">
        <f t="shared" si="162"/>
        <v>0</v>
      </c>
      <c r="AD1104" s="50">
        <f t="shared" si="163"/>
        <v>0</v>
      </c>
      <c r="AE1104" s="50">
        <f t="shared" si="164"/>
        <v>0</v>
      </c>
      <c r="AF1104" s="50">
        <f t="shared" si="165"/>
        <v>0</v>
      </c>
      <c r="AG1104" s="199">
        <f t="shared" si="166"/>
        <v>0</v>
      </c>
      <c r="AH1104" s="187"/>
      <c r="AI1104" s="185" t="s">
        <v>1463</v>
      </c>
      <c r="AJ1104" s="185"/>
      <c r="AK1104" s="277">
        <f t="shared" si="159"/>
        <v>1367.22</v>
      </c>
      <c r="AL1104" s="25">
        <f>(SUMIFS('T1 2019 Pipeline Data Lagasco'!$O:$O,'T1 2019 Pipeline Data Lagasco'!$A:$A,'Dec 31 2018 OFFS'!$AI1104,'T1 2019 Pipeline Data Lagasco'!$Q:$Q,'Dec 31 2018 OFFS'!$AK1104,'T1 2019 Pipeline Data Lagasco'!$E:$E,'Dec 31 2018 OFFS'!$U1104,'T1 2019 Pipeline Data Lagasco'!$G:$G,'Dec 31 2018 OFFS'!$W1104))/(MAX(COUNTIFS('T1 2019 Pipeline Data Lagasco'!$A:$A,'Dec 31 2018 OFFS'!$AI1104,'T1 2019 Pipeline Data Lagasco'!$Q:$Q,'Dec 31 2018 OFFS'!$AK1104,'T1 2019 Pipeline Data Lagasco'!$E:$E,'Dec 31 2018 OFFS'!$U1104,'T1 2019 Pipeline Data Lagasco'!$G:$G,'Dec 31 2018 OFFS'!$W1104),1))</f>
        <v>0</v>
      </c>
      <c r="AM1104" s="274">
        <f t="shared" si="167"/>
        <v>0</v>
      </c>
    </row>
    <row r="1105" spans="1:39" ht="12.7">
      <c r="A1105" s="193" t="s">
        <v>909</v>
      </c>
      <c r="B1105" s="40" t="s">
        <v>917</v>
      </c>
      <c r="C1105" s="40" t="s">
        <v>921</v>
      </c>
      <c r="D1105" s="40" t="s">
        <v>653</v>
      </c>
      <c r="E1105" s="40" t="s">
        <v>716</v>
      </c>
      <c r="F1105" s="40" t="s">
        <v>1051</v>
      </c>
      <c r="G1105" s="41" t="s">
        <v>676</v>
      </c>
      <c r="H1105" s="42">
        <v>42</v>
      </c>
      <c r="I1105" s="43">
        <v>8</v>
      </c>
      <c r="J1105" s="44">
        <v>43.26</v>
      </c>
      <c r="K1105" s="45">
        <v>82</v>
      </c>
      <c r="L1105" s="43">
        <v>12</v>
      </c>
      <c r="M1105" s="46">
        <v>50.76</v>
      </c>
      <c r="N1105" s="41" t="s">
        <v>670</v>
      </c>
      <c r="O1105" s="42">
        <v>42</v>
      </c>
      <c r="P1105" s="43">
        <v>9</v>
      </c>
      <c r="Q1105" s="44">
        <v>7.08</v>
      </c>
      <c r="R1105" s="45">
        <v>82</v>
      </c>
      <c r="S1105" s="43">
        <v>13</v>
      </c>
      <c r="T1105" s="46">
        <v>25.20</v>
      </c>
      <c r="U1105" s="40">
        <v>3</v>
      </c>
      <c r="V1105" s="47">
        <v>3542.16</v>
      </c>
      <c r="W1105" s="48">
        <v>1957</v>
      </c>
      <c r="X1105" s="40"/>
      <c r="Y1105" s="52"/>
      <c r="Z1105" s="40" t="s">
        <v>910</v>
      </c>
      <c r="AA1105" s="49">
        <f t="shared" si="160"/>
        <v>0</v>
      </c>
      <c r="AB1105" s="71">
        <f t="shared" si="161"/>
        <v>0.80</v>
      </c>
      <c r="AC1105" s="49">
        <f t="shared" si="162"/>
        <v>0</v>
      </c>
      <c r="AD1105" s="50">
        <f t="shared" si="163"/>
        <v>0</v>
      </c>
      <c r="AE1105" s="50">
        <f t="shared" si="164"/>
        <v>0</v>
      </c>
      <c r="AF1105" s="50">
        <f t="shared" si="165"/>
        <v>0</v>
      </c>
      <c r="AG1105" s="199">
        <f t="shared" si="166"/>
        <v>0</v>
      </c>
      <c r="AH1105" s="187"/>
      <c r="AI1105" s="185" t="s">
        <v>1463</v>
      </c>
      <c r="AJ1105" s="185"/>
      <c r="AK1105" s="277">
        <f t="shared" si="159"/>
        <v>3542.16</v>
      </c>
      <c r="AL1105" s="25">
        <f>(SUMIFS('T1 2019 Pipeline Data Lagasco'!$O:$O,'T1 2019 Pipeline Data Lagasco'!$A:$A,'Dec 31 2018 OFFS'!$AI1105,'T1 2019 Pipeline Data Lagasco'!$Q:$Q,'Dec 31 2018 OFFS'!$AK1105,'T1 2019 Pipeline Data Lagasco'!$E:$E,'Dec 31 2018 OFFS'!$U1105,'T1 2019 Pipeline Data Lagasco'!$G:$G,'Dec 31 2018 OFFS'!$W1105))/(MAX(COUNTIFS('T1 2019 Pipeline Data Lagasco'!$A:$A,'Dec 31 2018 OFFS'!$AI1105,'T1 2019 Pipeline Data Lagasco'!$Q:$Q,'Dec 31 2018 OFFS'!$AK1105,'T1 2019 Pipeline Data Lagasco'!$E:$E,'Dec 31 2018 OFFS'!$U1105,'T1 2019 Pipeline Data Lagasco'!$G:$G,'Dec 31 2018 OFFS'!$W1105),1))</f>
        <v>0</v>
      </c>
      <c r="AM1105" s="274">
        <f t="shared" si="167"/>
        <v>0</v>
      </c>
    </row>
    <row r="1106" spans="1:39" ht="12.7">
      <c r="A1106" s="193" t="s">
        <v>909</v>
      </c>
      <c r="B1106" s="40" t="s">
        <v>917</v>
      </c>
      <c r="C1106" s="40" t="s">
        <v>921</v>
      </c>
      <c r="D1106" s="40" t="s">
        <v>653</v>
      </c>
      <c r="E1106" s="40" t="s">
        <v>716</v>
      </c>
      <c r="F1106" s="139" t="s">
        <v>1051</v>
      </c>
      <c r="G1106" s="41" t="s">
        <v>678</v>
      </c>
      <c r="H1106" s="42">
        <v>42</v>
      </c>
      <c r="I1106" s="43">
        <v>8</v>
      </c>
      <c r="J1106" s="44">
        <v>14.58</v>
      </c>
      <c r="K1106" s="45">
        <v>82</v>
      </c>
      <c r="L1106" s="43">
        <v>12</v>
      </c>
      <c r="M1106" s="46">
        <v>44.10</v>
      </c>
      <c r="N1106" s="40" t="s">
        <v>679</v>
      </c>
      <c r="O1106" s="42">
        <v>42</v>
      </c>
      <c r="P1106" s="43">
        <v>8</v>
      </c>
      <c r="Q1106" s="44">
        <v>35.520000000000003</v>
      </c>
      <c r="R1106" s="45">
        <v>82</v>
      </c>
      <c r="S1106" s="43">
        <v>13</v>
      </c>
      <c r="T1106" s="46">
        <v>5.70</v>
      </c>
      <c r="U1106" s="40">
        <v>3</v>
      </c>
      <c r="V1106" s="47">
        <v>2672.5721010799998</v>
      </c>
      <c r="W1106" s="48">
        <v>1957</v>
      </c>
      <c r="X1106" s="40"/>
      <c r="Y1106" s="53" t="s">
        <v>1082</v>
      </c>
      <c r="Z1106" s="40" t="s">
        <v>910</v>
      </c>
      <c r="AA1106" s="49">
        <f t="shared" si="160"/>
        <v>0</v>
      </c>
      <c r="AB1106" s="71">
        <f t="shared" si="161"/>
        <v>0.80</v>
      </c>
      <c r="AC1106" s="49">
        <f t="shared" si="162"/>
        <v>0</v>
      </c>
      <c r="AD1106" s="50">
        <f t="shared" si="163"/>
        <v>0</v>
      </c>
      <c r="AE1106" s="50">
        <f t="shared" si="164"/>
        <v>0</v>
      </c>
      <c r="AF1106" s="50">
        <f t="shared" si="165"/>
        <v>0</v>
      </c>
      <c r="AG1106" s="199">
        <f t="shared" si="166"/>
        <v>0</v>
      </c>
      <c r="AH1106" s="187"/>
      <c r="AI1106" s="185" t="s">
        <v>1463</v>
      </c>
      <c r="AJ1106" s="185"/>
      <c r="AK1106" s="277">
        <f t="shared" si="159"/>
        <v>2672.57</v>
      </c>
      <c r="AL1106" s="25">
        <f>(SUMIFS('T1 2019 Pipeline Data Lagasco'!$O:$O,'T1 2019 Pipeline Data Lagasco'!$A:$A,'Dec 31 2018 OFFS'!$AI1106,'T1 2019 Pipeline Data Lagasco'!$Q:$Q,'Dec 31 2018 OFFS'!$AK1106,'T1 2019 Pipeline Data Lagasco'!$E:$E,'Dec 31 2018 OFFS'!$U1106,'T1 2019 Pipeline Data Lagasco'!$G:$G,'Dec 31 2018 OFFS'!$W1106))/(MAX(COUNTIFS('T1 2019 Pipeline Data Lagasco'!$A:$A,'Dec 31 2018 OFFS'!$AI1106,'T1 2019 Pipeline Data Lagasco'!$Q:$Q,'Dec 31 2018 OFFS'!$AK1106,'T1 2019 Pipeline Data Lagasco'!$E:$E,'Dec 31 2018 OFFS'!$U1106,'T1 2019 Pipeline Data Lagasco'!$G:$G,'Dec 31 2018 OFFS'!$W1106),1))</f>
        <v>0</v>
      </c>
      <c r="AM1106" s="274">
        <f t="shared" si="167"/>
        <v>0</v>
      </c>
    </row>
    <row r="1107" spans="1:39" ht="12.7">
      <c r="A1107" s="193" t="s">
        <v>909</v>
      </c>
      <c r="B1107" s="40" t="s">
        <v>917</v>
      </c>
      <c r="C1107" s="40" t="s">
        <v>921</v>
      </c>
      <c r="D1107" s="40" t="s">
        <v>653</v>
      </c>
      <c r="E1107" s="40" t="s">
        <v>716</v>
      </c>
      <c r="F1107" s="40"/>
      <c r="G1107" s="41" t="s">
        <v>680</v>
      </c>
      <c r="H1107" s="42">
        <v>42</v>
      </c>
      <c r="I1107" s="43">
        <v>7</v>
      </c>
      <c r="J1107" s="44">
        <v>37.92</v>
      </c>
      <c r="K1107" s="45">
        <v>82</v>
      </c>
      <c r="L1107" s="43">
        <v>11</v>
      </c>
      <c r="M1107" s="46">
        <v>25.08</v>
      </c>
      <c r="N1107" s="40" t="s">
        <v>681</v>
      </c>
      <c r="O1107" s="42">
        <v>42</v>
      </c>
      <c r="P1107" s="43">
        <v>7</v>
      </c>
      <c r="Q1107" s="44">
        <v>25.68</v>
      </c>
      <c r="R1107" s="45">
        <v>82</v>
      </c>
      <c r="S1107" s="43">
        <v>11</v>
      </c>
      <c r="T1107" s="46">
        <v>52.62</v>
      </c>
      <c r="U1107" s="40">
        <v>3</v>
      </c>
      <c r="V1107" s="47">
        <v>2417.2243394459997</v>
      </c>
      <c r="W1107" s="48">
        <v>1957</v>
      </c>
      <c r="X1107" s="40"/>
      <c r="Y1107" s="53" t="s">
        <v>1082</v>
      </c>
      <c r="Z1107" s="40" t="s">
        <v>910</v>
      </c>
      <c r="AA1107" s="49">
        <f t="shared" si="160"/>
        <v>57022.322167531136</v>
      </c>
      <c r="AB1107" s="71">
        <f t="shared" si="161"/>
        <v>0.80</v>
      </c>
      <c r="AC1107" s="49">
        <f t="shared" si="162"/>
        <v>11404.46</v>
      </c>
      <c r="AD1107" s="50">
        <f t="shared" si="163"/>
        <v>0</v>
      </c>
      <c r="AE1107" s="50">
        <f t="shared" si="164"/>
        <v>0</v>
      </c>
      <c r="AF1107" s="50">
        <f t="shared" si="165"/>
        <v>11404.46</v>
      </c>
      <c r="AG1107" s="199">
        <f t="shared" si="166"/>
        <v>11404</v>
      </c>
      <c r="AH1107" s="187"/>
      <c r="AI1107" s="185" t="s">
        <v>1463</v>
      </c>
      <c r="AJ1107" s="185"/>
      <c r="AK1107" s="277">
        <f t="shared" si="159"/>
        <v>2417.2199999999998</v>
      </c>
      <c r="AL1107" s="25">
        <f>(SUMIFS('T1 2019 Pipeline Data Lagasco'!$O:$O,'T1 2019 Pipeline Data Lagasco'!$A:$A,'Dec 31 2018 OFFS'!$AI1107,'T1 2019 Pipeline Data Lagasco'!$Q:$Q,'Dec 31 2018 OFFS'!$AK1107,'T1 2019 Pipeline Data Lagasco'!$E:$E,'Dec 31 2018 OFFS'!$U1107,'T1 2019 Pipeline Data Lagasco'!$G:$G,'Dec 31 2018 OFFS'!$W1107))/(MAX(COUNTIFS('T1 2019 Pipeline Data Lagasco'!$A:$A,'Dec 31 2018 OFFS'!$AI1107,'T1 2019 Pipeline Data Lagasco'!$Q:$Q,'Dec 31 2018 OFFS'!$AK1107,'T1 2019 Pipeline Data Lagasco'!$E:$E,'Dec 31 2018 OFFS'!$U1107,'T1 2019 Pipeline Data Lagasco'!$G:$G,'Dec 31 2018 OFFS'!$W1107),1))</f>
        <v>11404</v>
      </c>
      <c r="AM1107" s="274">
        <f t="shared" si="167"/>
        <v>0</v>
      </c>
    </row>
    <row r="1108" spans="1:39" ht="12.7">
      <c r="A1108" s="193" t="s">
        <v>909</v>
      </c>
      <c r="B1108" s="40" t="s">
        <v>917</v>
      </c>
      <c r="C1108" s="40" t="s">
        <v>921</v>
      </c>
      <c r="D1108" s="40" t="s">
        <v>653</v>
      </c>
      <c r="E1108" s="40" t="s">
        <v>716</v>
      </c>
      <c r="F1108" s="40"/>
      <c r="G1108" s="41" t="s">
        <v>681</v>
      </c>
      <c r="H1108" s="42">
        <v>42</v>
      </c>
      <c r="I1108" s="43">
        <v>7</v>
      </c>
      <c r="J1108" s="44">
        <v>25.68</v>
      </c>
      <c r="K1108" s="45">
        <v>82</v>
      </c>
      <c r="L1108" s="43">
        <v>11</v>
      </c>
      <c r="M1108" s="46">
        <v>52.62</v>
      </c>
      <c r="N1108" s="41" t="s">
        <v>687</v>
      </c>
      <c r="O1108" s="42">
        <v>42</v>
      </c>
      <c r="P1108" s="43">
        <v>7</v>
      </c>
      <c r="Q1108" s="44">
        <v>0.30</v>
      </c>
      <c r="R1108" s="45">
        <v>82</v>
      </c>
      <c r="S1108" s="43">
        <v>11</v>
      </c>
      <c r="T1108" s="46">
        <v>39.36</v>
      </c>
      <c r="U1108" s="40">
        <v>4</v>
      </c>
      <c r="V1108" s="47">
        <v>2756.8568755419997</v>
      </c>
      <c r="W1108" s="48">
        <v>1957</v>
      </c>
      <c r="X1108" s="40"/>
      <c r="Y1108" s="53" t="s">
        <v>1082</v>
      </c>
      <c r="Z1108" s="40" t="s">
        <v>910</v>
      </c>
      <c r="AA1108" s="49">
        <f t="shared" si="160"/>
        <v>72918.864358085892</v>
      </c>
      <c r="AB1108" s="71">
        <f t="shared" si="161"/>
        <v>0.80</v>
      </c>
      <c r="AC1108" s="49">
        <f t="shared" si="162"/>
        <v>14583.77</v>
      </c>
      <c r="AD1108" s="50">
        <f t="shared" si="163"/>
        <v>0</v>
      </c>
      <c r="AE1108" s="50">
        <f t="shared" si="164"/>
        <v>0</v>
      </c>
      <c r="AF1108" s="50">
        <f t="shared" si="165"/>
        <v>14583.77</v>
      </c>
      <c r="AG1108" s="199">
        <f t="shared" si="166"/>
        <v>14583</v>
      </c>
      <c r="AH1108" s="187"/>
      <c r="AI1108" s="185" t="s">
        <v>1463</v>
      </c>
      <c r="AJ1108" s="185"/>
      <c r="AK1108" s="277">
        <f t="shared" si="159"/>
        <v>2756.86</v>
      </c>
      <c r="AL1108" s="25">
        <f>(SUMIFS('T1 2019 Pipeline Data Lagasco'!$O:$O,'T1 2019 Pipeline Data Lagasco'!$A:$A,'Dec 31 2018 OFFS'!$AI1108,'T1 2019 Pipeline Data Lagasco'!$Q:$Q,'Dec 31 2018 OFFS'!$AK1108,'T1 2019 Pipeline Data Lagasco'!$E:$E,'Dec 31 2018 OFFS'!$U1108,'T1 2019 Pipeline Data Lagasco'!$G:$G,'Dec 31 2018 OFFS'!$W1108))/(MAX(COUNTIFS('T1 2019 Pipeline Data Lagasco'!$A:$A,'Dec 31 2018 OFFS'!$AI1108,'T1 2019 Pipeline Data Lagasco'!$Q:$Q,'Dec 31 2018 OFFS'!$AK1108,'T1 2019 Pipeline Data Lagasco'!$E:$E,'Dec 31 2018 OFFS'!$U1108,'T1 2019 Pipeline Data Lagasco'!$G:$G,'Dec 31 2018 OFFS'!$W1108),1))</f>
        <v>14583</v>
      </c>
      <c r="AM1108" s="274">
        <f t="shared" si="167"/>
        <v>0</v>
      </c>
    </row>
    <row r="1109" spans="1:39" ht="12.7">
      <c r="A1109" s="193" t="s">
        <v>909</v>
      </c>
      <c r="B1109" s="40" t="s">
        <v>917</v>
      </c>
      <c r="C1109" s="40" t="s">
        <v>921</v>
      </c>
      <c r="D1109" s="40" t="s">
        <v>653</v>
      </c>
      <c r="E1109" s="40" t="s">
        <v>716</v>
      </c>
      <c r="F1109" s="40"/>
      <c r="G1109" s="41" t="s">
        <v>682</v>
      </c>
      <c r="H1109" s="42">
        <v>42</v>
      </c>
      <c r="I1109" s="43">
        <v>7</v>
      </c>
      <c r="J1109" s="44">
        <v>50.04</v>
      </c>
      <c r="K1109" s="45">
        <v>82</v>
      </c>
      <c r="L1109" s="43">
        <v>12</v>
      </c>
      <c r="M1109" s="46">
        <v>6.78</v>
      </c>
      <c r="N1109" s="40" t="s">
        <v>683</v>
      </c>
      <c r="O1109" s="42">
        <v>42</v>
      </c>
      <c r="P1109" s="43">
        <v>8</v>
      </c>
      <c r="Q1109" s="44">
        <v>7.87</v>
      </c>
      <c r="R1109" s="45">
        <v>82</v>
      </c>
      <c r="S1109" s="43">
        <v>11</v>
      </c>
      <c r="T1109" s="46">
        <v>14.09</v>
      </c>
      <c r="U1109" s="40">
        <v>3</v>
      </c>
      <c r="V1109" s="47">
        <v>4361.4171965279993</v>
      </c>
      <c r="W1109" s="48">
        <v>1957</v>
      </c>
      <c r="X1109" s="40"/>
      <c r="Y1109" s="53" t="s">
        <v>1082</v>
      </c>
      <c r="Z1109" s="40" t="s">
        <v>910</v>
      </c>
      <c r="AA1109" s="49">
        <f t="shared" si="160"/>
        <v>102885.8316660955</v>
      </c>
      <c r="AB1109" s="71">
        <f t="shared" si="161"/>
        <v>0.80</v>
      </c>
      <c r="AC1109" s="49">
        <f t="shared" si="162"/>
        <v>20577.169999999998</v>
      </c>
      <c r="AD1109" s="50">
        <f t="shared" si="163"/>
        <v>0</v>
      </c>
      <c r="AE1109" s="50">
        <f t="shared" si="164"/>
        <v>0</v>
      </c>
      <c r="AF1109" s="50">
        <f t="shared" si="165"/>
        <v>20577.169999999998</v>
      </c>
      <c r="AG1109" s="199">
        <f t="shared" si="166"/>
        <v>20577</v>
      </c>
      <c r="AH1109" s="187"/>
      <c r="AI1109" s="185" t="s">
        <v>1463</v>
      </c>
      <c r="AJ1109" s="185"/>
      <c r="AK1109" s="277">
        <f t="shared" si="159"/>
        <v>4361.42</v>
      </c>
      <c r="AL1109" s="25">
        <f>(SUMIFS('T1 2019 Pipeline Data Lagasco'!$O:$O,'T1 2019 Pipeline Data Lagasco'!$A:$A,'Dec 31 2018 OFFS'!$AI1109,'T1 2019 Pipeline Data Lagasco'!$Q:$Q,'Dec 31 2018 OFFS'!$AK1109,'T1 2019 Pipeline Data Lagasco'!$E:$E,'Dec 31 2018 OFFS'!$U1109,'T1 2019 Pipeline Data Lagasco'!$G:$G,'Dec 31 2018 OFFS'!$W1109))/(MAX(COUNTIFS('T1 2019 Pipeline Data Lagasco'!$A:$A,'Dec 31 2018 OFFS'!$AI1109,'T1 2019 Pipeline Data Lagasco'!$Q:$Q,'Dec 31 2018 OFFS'!$AK1109,'T1 2019 Pipeline Data Lagasco'!$E:$E,'Dec 31 2018 OFFS'!$U1109,'T1 2019 Pipeline Data Lagasco'!$G:$G,'Dec 31 2018 OFFS'!$W1109),1))</f>
        <v>20577</v>
      </c>
      <c r="AM1109" s="274">
        <f t="shared" si="167"/>
        <v>0</v>
      </c>
    </row>
    <row r="1110" spans="1:39" ht="12.7">
      <c r="A1110" s="193" t="s">
        <v>909</v>
      </c>
      <c r="B1110" s="40" t="s">
        <v>917</v>
      </c>
      <c r="C1110" s="40" t="s">
        <v>921</v>
      </c>
      <c r="D1110" s="40" t="s">
        <v>653</v>
      </c>
      <c r="E1110" s="40" t="s">
        <v>716</v>
      </c>
      <c r="F1110" s="40"/>
      <c r="G1110" s="41" t="s">
        <v>682</v>
      </c>
      <c r="H1110" s="42">
        <v>42</v>
      </c>
      <c r="I1110" s="43">
        <v>7</v>
      </c>
      <c r="J1110" s="44">
        <v>50.04</v>
      </c>
      <c r="K1110" s="45">
        <v>82</v>
      </c>
      <c r="L1110" s="43">
        <v>12</v>
      </c>
      <c r="M1110" s="46">
        <v>6.78</v>
      </c>
      <c r="N1110" s="40" t="s">
        <v>681</v>
      </c>
      <c r="O1110" s="42">
        <v>42</v>
      </c>
      <c r="P1110" s="43">
        <v>7</v>
      </c>
      <c r="Q1110" s="44">
        <v>25.68</v>
      </c>
      <c r="R1110" s="45">
        <v>82</v>
      </c>
      <c r="S1110" s="43">
        <v>11</v>
      </c>
      <c r="T1110" s="46">
        <v>52.62</v>
      </c>
      <c r="U1110" s="40">
        <v>4</v>
      </c>
      <c r="V1110" s="47">
        <v>2687.0734129959997</v>
      </c>
      <c r="W1110" s="48">
        <v>1957</v>
      </c>
      <c r="X1110" s="40"/>
      <c r="Y1110" s="53" t="s">
        <v>1082</v>
      </c>
      <c r="Z1110" s="40" t="s">
        <v>910</v>
      </c>
      <c r="AA1110" s="49">
        <f t="shared" si="160"/>
        <v>71073.091773744192</v>
      </c>
      <c r="AB1110" s="71">
        <f t="shared" si="161"/>
        <v>0.80</v>
      </c>
      <c r="AC1110" s="49">
        <f t="shared" si="162"/>
        <v>14214.62</v>
      </c>
      <c r="AD1110" s="50">
        <f t="shared" si="163"/>
        <v>0</v>
      </c>
      <c r="AE1110" s="50">
        <f t="shared" si="164"/>
        <v>0</v>
      </c>
      <c r="AF1110" s="50">
        <f t="shared" si="165"/>
        <v>14214.62</v>
      </c>
      <c r="AG1110" s="199">
        <f t="shared" si="166"/>
        <v>14214</v>
      </c>
      <c r="AH1110" s="187"/>
      <c r="AI1110" s="185" t="s">
        <v>1463</v>
      </c>
      <c r="AJ1110" s="185"/>
      <c r="AK1110" s="277">
        <f t="shared" si="159"/>
        <v>2687.07</v>
      </c>
      <c r="AL1110" s="25">
        <f>(SUMIFS('T1 2019 Pipeline Data Lagasco'!$O:$O,'T1 2019 Pipeline Data Lagasco'!$A:$A,'Dec 31 2018 OFFS'!$AI1110,'T1 2019 Pipeline Data Lagasco'!$Q:$Q,'Dec 31 2018 OFFS'!$AK1110,'T1 2019 Pipeline Data Lagasco'!$E:$E,'Dec 31 2018 OFFS'!$U1110,'T1 2019 Pipeline Data Lagasco'!$G:$G,'Dec 31 2018 OFFS'!$W1110))/(MAX(COUNTIFS('T1 2019 Pipeline Data Lagasco'!$A:$A,'Dec 31 2018 OFFS'!$AI1110,'T1 2019 Pipeline Data Lagasco'!$Q:$Q,'Dec 31 2018 OFFS'!$AK1110,'T1 2019 Pipeline Data Lagasco'!$E:$E,'Dec 31 2018 OFFS'!$U1110,'T1 2019 Pipeline Data Lagasco'!$G:$G,'Dec 31 2018 OFFS'!$W1110),1))</f>
        <v>14214</v>
      </c>
      <c r="AM1110" s="274">
        <f t="shared" si="167"/>
        <v>0</v>
      </c>
    </row>
    <row r="1111" spans="1:39" ht="12.7">
      <c r="A1111" s="193" t="s">
        <v>909</v>
      </c>
      <c r="B1111" s="40" t="s">
        <v>917</v>
      </c>
      <c r="C1111" s="40" t="s">
        <v>921</v>
      </c>
      <c r="D1111" s="40" t="s">
        <v>653</v>
      </c>
      <c r="E1111" s="40" t="s">
        <v>716</v>
      </c>
      <c r="F1111" s="139" t="s">
        <v>1051</v>
      </c>
      <c r="G1111" s="41" t="s">
        <v>684</v>
      </c>
      <c r="H1111" s="42">
        <v>42</v>
      </c>
      <c r="I1111" s="43">
        <v>7</v>
      </c>
      <c r="J1111" s="44">
        <v>39</v>
      </c>
      <c r="K1111" s="45">
        <v>82</v>
      </c>
      <c r="L1111" s="43">
        <v>12</v>
      </c>
      <c r="M1111" s="46">
        <v>43.32</v>
      </c>
      <c r="N1111" s="40" t="s">
        <v>682</v>
      </c>
      <c r="O1111" s="42">
        <v>42</v>
      </c>
      <c r="P1111" s="43">
        <v>7</v>
      </c>
      <c r="Q1111" s="44">
        <v>50.04</v>
      </c>
      <c r="R1111" s="45">
        <v>82</v>
      </c>
      <c r="S1111" s="43">
        <v>12</v>
      </c>
      <c r="T1111" s="46">
        <v>6.78</v>
      </c>
      <c r="U1111" s="40">
        <v>3</v>
      </c>
      <c r="V1111" s="47">
        <v>2971.7846908399997</v>
      </c>
      <c r="W1111" s="48">
        <v>1957</v>
      </c>
      <c r="X1111" s="40"/>
      <c r="Y1111" s="53" t="s">
        <v>1082</v>
      </c>
      <c r="Z1111" s="40" t="s">
        <v>910</v>
      </c>
      <c r="AA1111" s="49">
        <f t="shared" si="160"/>
        <v>0</v>
      </c>
      <c r="AB1111" s="71">
        <f t="shared" si="161"/>
        <v>0.80</v>
      </c>
      <c r="AC1111" s="49">
        <f t="shared" si="162"/>
        <v>0</v>
      </c>
      <c r="AD1111" s="50">
        <f t="shared" si="163"/>
        <v>0</v>
      </c>
      <c r="AE1111" s="50">
        <f t="shared" si="164"/>
        <v>0</v>
      </c>
      <c r="AF1111" s="50">
        <f t="shared" si="165"/>
        <v>0</v>
      </c>
      <c r="AG1111" s="199">
        <f t="shared" si="166"/>
        <v>0</v>
      </c>
      <c r="AH1111" s="187"/>
      <c r="AI1111" s="185" t="s">
        <v>1463</v>
      </c>
      <c r="AJ1111" s="185"/>
      <c r="AK1111" s="277">
        <f t="shared" si="159"/>
        <v>2971.78</v>
      </c>
      <c r="AL1111" s="25">
        <f>(SUMIFS('T1 2019 Pipeline Data Lagasco'!$O:$O,'T1 2019 Pipeline Data Lagasco'!$A:$A,'Dec 31 2018 OFFS'!$AI1111,'T1 2019 Pipeline Data Lagasco'!$Q:$Q,'Dec 31 2018 OFFS'!$AK1111,'T1 2019 Pipeline Data Lagasco'!$E:$E,'Dec 31 2018 OFFS'!$U1111,'T1 2019 Pipeline Data Lagasco'!$G:$G,'Dec 31 2018 OFFS'!$W1111))/(MAX(COUNTIFS('T1 2019 Pipeline Data Lagasco'!$A:$A,'Dec 31 2018 OFFS'!$AI1111,'T1 2019 Pipeline Data Lagasco'!$Q:$Q,'Dec 31 2018 OFFS'!$AK1111,'T1 2019 Pipeline Data Lagasco'!$E:$E,'Dec 31 2018 OFFS'!$U1111,'T1 2019 Pipeline Data Lagasco'!$G:$G,'Dec 31 2018 OFFS'!$W1111),1))</f>
        <v>0</v>
      </c>
      <c r="AM1111" s="274">
        <f t="shared" si="167"/>
        <v>0</v>
      </c>
    </row>
    <row r="1112" spans="1:39" ht="12.7">
      <c r="A1112" s="193" t="s">
        <v>909</v>
      </c>
      <c r="B1112" s="40" t="s">
        <v>917</v>
      </c>
      <c r="C1112" s="40" t="s">
        <v>921</v>
      </c>
      <c r="D1112" s="40" t="s">
        <v>653</v>
      </c>
      <c r="E1112" s="40" t="s">
        <v>716</v>
      </c>
      <c r="F1112" s="139" t="s">
        <v>1051</v>
      </c>
      <c r="G1112" s="41" t="s">
        <v>685</v>
      </c>
      <c r="H1112" s="42">
        <v>42</v>
      </c>
      <c r="I1112" s="43">
        <v>7</v>
      </c>
      <c r="J1112" s="44">
        <v>15.96</v>
      </c>
      <c r="K1112" s="45">
        <v>82</v>
      </c>
      <c r="L1112" s="43">
        <v>12</v>
      </c>
      <c r="M1112" s="46">
        <v>27.78</v>
      </c>
      <c r="N1112" s="40" t="s">
        <v>681</v>
      </c>
      <c r="O1112" s="42">
        <v>42</v>
      </c>
      <c r="P1112" s="43">
        <v>7</v>
      </c>
      <c r="Q1112" s="44">
        <v>25.68</v>
      </c>
      <c r="R1112" s="45">
        <v>82</v>
      </c>
      <c r="S1112" s="43">
        <v>11</v>
      </c>
      <c r="T1112" s="46">
        <v>52.62</v>
      </c>
      <c r="U1112" s="40">
        <v>3</v>
      </c>
      <c r="V1112" s="47">
        <v>2826.673146486</v>
      </c>
      <c r="W1112" s="48">
        <v>1957</v>
      </c>
      <c r="X1112" s="40"/>
      <c r="Y1112" s="53" t="s">
        <v>1082</v>
      </c>
      <c r="Z1112" s="40" t="s">
        <v>910</v>
      </c>
      <c r="AA1112" s="49">
        <f t="shared" si="160"/>
        <v>0</v>
      </c>
      <c r="AB1112" s="71">
        <f t="shared" si="161"/>
        <v>0.80</v>
      </c>
      <c r="AC1112" s="49">
        <f t="shared" si="162"/>
        <v>0</v>
      </c>
      <c r="AD1112" s="50">
        <f t="shared" si="163"/>
        <v>0</v>
      </c>
      <c r="AE1112" s="50">
        <f t="shared" si="164"/>
        <v>0</v>
      </c>
      <c r="AF1112" s="50">
        <f t="shared" si="165"/>
        <v>0</v>
      </c>
      <c r="AG1112" s="199">
        <f t="shared" si="166"/>
        <v>0</v>
      </c>
      <c r="AH1112" s="187"/>
      <c r="AI1112" s="185" t="s">
        <v>1463</v>
      </c>
      <c r="AJ1112" s="185"/>
      <c r="AK1112" s="277">
        <f t="shared" si="159"/>
        <v>2826.67</v>
      </c>
      <c r="AL1112" s="25">
        <f>(SUMIFS('T1 2019 Pipeline Data Lagasco'!$O:$O,'T1 2019 Pipeline Data Lagasco'!$A:$A,'Dec 31 2018 OFFS'!$AI1112,'T1 2019 Pipeline Data Lagasco'!$Q:$Q,'Dec 31 2018 OFFS'!$AK1112,'T1 2019 Pipeline Data Lagasco'!$E:$E,'Dec 31 2018 OFFS'!$U1112,'T1 2019 Pipeline Data Lagasco'!$G:$G,'Dec 31 2018 OFFS'!$W1112))/(MAX(COUNTIFS('T1 2019 Pipeline Data Lagasco'!$A:$A,'Dec 31 2018 OFFS'!$AI1112,'T1 2019 Pipeline Data Lagasco'!$Q:$Q,'Dec 31 2018 OFFS'!$AK1112,'T1 2019 Pipeline Data Lagasco'!$E:$E,'Dec 31 2018 OFFS'!$U1112,'T1 2019 Pipeline Data Lagasco'!$G:$G,'Dec 31 2018 OFFS'!$W1112),1))</f>
        <v>0</v>
      </c>
      <c r="AM1112" s="274">
        <f t="shared" si="167"/>
        <v>0</v>
      </c>
    </row>
    <row r="1113" spans="1:39" ht="12.7">
      <c r="A1113" s="193" t="s">
        <v>909</v>
      </c>
      <c r="B1113" s="40" t="s">
        <v>917</v>
      </c>
      <c r="C1113" s="40" t="s">
        <v>921</v>
      </c>
      <c r="D1113" s="40" t="s">
        <v>653</v>
      </c>
      <c r="E1113" s="40" t="s">
        <v>716</v>
      </c>
      <c r="F1113" s="40"/>
      <c r="G1113" s="41" t="s">
        <v>686</v>
      </c>
      <c r="H1113" s="42">
        <v>42</v>
      </c>
      <c r="I1113" s="43">
        <v>6</v>
      </c>
      <c r="J1113" s="44">
        <v>51.72</v>
      </c>
      <c r="K1113" s="45">
        <v>82</v>
      </c>
      <c r="L1113" s="43">
        <v>12</v>
      </c>
      <c r="M1113" s="46">
        <v>13.02</v>
      </c>
      <c r="N1113" s="41" t="s">
        <v>687</v>
      </c>
      <c r="O1113" s="42">
        <v>42</v>
      </c>
      <c r="P1113" s="43">
        <v>7</v>
      </c>
      <c r="Q1113" s="44">
        <v>0.30</v>
      </c>
      <c r="R1113" s="45">
        <v>82</v>
      </c>
      <c r="S1113" s="43">
        <v>11</v>
      </c>
      <c r="T1113" s="46">
        <v>39.36</v>
      </c>
      <c r="U1113" s="40">
        <v>3</v>
      </c>
      <c r="V1113" s="47">
        <v>2681.6600273260001</v>
      </c>
      <c r="W1113" s="48">
        <v>1957</v>
      </c>
      <c r="X1113" s="40"/>
      <c r="Y1113" s="53" t="s">
        <v>1082</v>
      </c>
      <c r="Z1113" s="40" t="s">
        <v>910</v>
      </c>
      <c r="AA1113" s="49">
        <f t="shared" si="160"/>
        <v>63260.360044620342</v>
      </c>
      <c r="AB1113" s="71">
        <f t="shared" si="161"/>
        <v>0.80</v>
      </c>
      <c r="AC1113" s="49">
        <f t="shared" si="162"/>
        <v>12652.07</v>
      </c>
      <c r="AD1113" s="50">
        <f t="shared" si="163"/>
        <v>0</v>
      </c>
      <c r="AE1113" s="50">
        <f t="shared" si="164"/>
        <v>0</v>
      </c>
      <c r="AF1113" s="50">
        <f t="shared" si="165"/>
        <v>12652.07</v>
      </c>
      <c r="AG1113" s="199">
        <f t="shared" si="166"/>
        <v>12652</v>
      </c>
      <c r="AH1113" s="187"/>
      <c r="AI1113" s="185" t="s">
        <v>1463</v>
      </c>
      <c r="AJ1113" s="185"/>
      <c r="AK1113" s="277">
        <f t="shared" si="159"/>
        <v>2681.66</v>
      </c>
      <c r="AL1113" s="25">
        <f>(SUMIFS('T1 2019 Pipeline Data Lagasco'!$O:$O,'T1 2019 Pipeline Data Lagasco'!$A:$A,'Dec 31 2018 OFFS'!$AI1113,'T1 2019 Pipeline Data Lagasco'!$Q:$Q,'Dec 31 2018 OFFS'!$AK1113,'T1 2019 Pipeline Data Lagasco'!$E:$E,'Dec 31 2018 OFFS'!$U1113,'T1 2019 Pipeline Data Lagasco'!$G:$G,'Dec 31 2018 OFFS'!$W1113))/(MAX(COUNTIFS('T1 2019 Pipeline Data Lagasco'!$A:$A,'Dec 31 2018 OFFS'!$AI1113,'T1 2019 Pipeline Data Lagasco'!$Q:$Q,'Dec 31 2018 OFFS'!$AK1113,'T1 2019 Pipeline Data Lagasco'!$E:$E,'Dec 31 2018 OFFS'!$U1113,'T1 2019 Pipeline Data Lagasco'!$G:$G,'Dec 31 2018 OFFS'!$W1113),1))</f>
        <v>12652</v>
      </c>
      <c r="AM1113" s="274">
        <f t="shared" si="167"/>
        <v>0</v>
      </c>
    </row>
    <row r="1114" spans="1:39" ht="12.7">
      <c r="A1114" s="193" t="s">
        <v>909</v>
      </c>
      <c r="B1114" s="40" t="s">
        <v>917</v>
      </c>
      <c r="C1114" s="40" t="s">
        <v>921</v>
      </c>
      <c r="D1114" s="40" t="s">
        <v>653</v>
      </c>
      <c r="E1114" s="40" t="s">
        <v>716</v>
      </c>
      <c r="F1114" s="40"/>
      <c r="G1114" s="41" t="s">
        <v>687</v>
      </c>
      <c r="H1114" s="42">
        <v>42</v>
      </c>
      <c r="I1114" s="43">
        <v>7</v>
      </c>
      <c r="J1114" s="44">
        <v>0.30</v>
      </c>
      <c r="K1114" s="45">
        <v>82</v>
      </c>
      <c r="L1114" s="43">
        <v>11</v>
      </c>
      <c r="M1114" s="46">
        <v>39.36</v>
      </c>
      <c r="N1114" s="40" t="s">
        <v>689</v>
      </c>
      <c r="O1114" s="42">
        <v>42</v>
      </c>
      <c r="P1114" s="43">
        <v>6</v>
      </c>
      <c r="Q1114" s="44">
        <v>38.22</v>
      </c>
      <c r="R1114" s="45">
        <v>82</v>
      </c>
      <c r="S1114" s="43">
        <v>10</v>
      </c>
      <c r="T1114" s="46">
        <v>57.78</v>
      </c>
      <c r="U1114" s="40">
        <v>4</v>
      </c>
      <c r="V1114" s="47">
        <v>3849.5733793299996</v>
      </c>
      <c r="W1114" s="48">
        <v>1957</v>
      </c>
      <c r="X1114" s="40"/>
      <c r="Y1114" s="53" t="s">
        <v>1082</v>
      </c>
      <c r="Z1114" s="40" t="s">
        <v>910</v>
      </c>
      <c r="AA1114" s="49">
        <f t="shared" si="160"/>
        <v>101821.21588327849</v>
      </c>
      <c r="AB1114" s="71">
        <f t="shared" si="161"/>
        <v>0.80</v>
      </c>
      <c r="AC1114" s="49">
        <f t="shared" si="162"/>
        <v>20364.240000000002</v>
      </c>
      <c r="AD1114" s="50">
        <f t="shared" si="163"/>
        <v>0</v>
      </c>
      <c r="AE1114" s="50">
        <f t="shared" si="164"/>
        <v>0</v>
      </c>
      <c r="AF1114" s="50">
        <f t="shared" si="165"/>
        <v>20364.240000000002</v>
      </c>
      <c r="AG1114" s="199">
        <f t="shared" si="166"/>
        <v>20364</v>
      </c>
      <c r="AH1114" s="187"/>
      <c r="AI1114" s="185" t="s">
        <v>1463</v>
      </c>
      <c r="AJ1114" s="185"/>
      <c r="AK1114" s="277">
        <f t="shared" si="159"/>
        <v>3849.57</v>
      </c>
      <c r="AL1114" s="25">
        <f>(SUMIFS('T1 2019 Pipeline Data Lagasco'!$O:$O,'T1 2019 Pipeline Data Lagasco'!$A:$A,'Dec 31 2018 OFFS'!$AI1114,'T1 2019 Pipeline Data Lagasco'!$Q:$Q,'Dec 31 2018 OFFS'!$AK1114,'T1 2019 Pipeline Data Lagasco'!$E:$E,'Dec 31 2018 OFFS'!$U1114,'T1 2019 Pipeline Data Lagasco'!$G:$G,'Dec 31 2018 OFFS'!$W1114))/(MAX(COUNTIFS('T1 2019 Pipeline Data Lagasco'!$A:$A,'Dec 31 2018 OFFS'!$AI1114,'T1 2019 Pipeline Data Lagasco'!$Q:$Q,'Dec 31 2018 OFFS'!$AK1114,'T1 2019 Pipeline Data Lagasco'!$E:$E,'Dec 31 2018 OFFS'!$U1114,'T1 2019 Pipeline Data Lagasco'!$G:$G,'Dec 31 2018 OFFS'!$W1114),1))</f>
        <v>20364</v>
      </c>
      <c r="AM1114" s="274">
        <f t="shared" si="167"/>
        <v>0</v>
      </c>
    </row>
    <row r="1115" spans="1:39" ht="12.7">
      <c r="A1115" s="193" t="s">
        <v>909</v>
      </c>
      <c r="B1115" s="40" t="s">
        <v>917</v>
      </c>
      <c r="C1115" s="40" t="s">
        <v>921</v>
      </c>
      <c r="D1115" s="40" t="s">
        <v>653</v>
      </c>
      <c r="E1115" s="40" t="s">
        <v>716</v>
      </c>
      <c r="F1115" s="40"/>
      <c r="G1115" s="41" t="s">
        <v>690</v>
      </c>
      <c r="H1115" s="42">
        <v>42</v>
      </c>
      <c r="I1115" s="43">
        <v>6</v>
      </c>
      <c r="J1115" s="44">
        <f>0.923*60</f>
        <v>55.38</v>
      </c>
      <c r="K1115" s="45">
        <v>82</v>
      </c>
      <c r="L1115" s="43">
        <v>10</v>
      </c>
      <c r="M1115" s="46">
        <f>0.753*60</f>
        <v>45.18</v>
      </c>
      <c r="N1115" s="40" t="s">
        <v>688</v>
      </c>
      <c r="O1115" s="42">
        <v>42</v>
      </c>
      <c r="P1115" s="43">
        <v>6</v>
      </c>
      <c r="Q1115" s="44">
        <v>58.68</v>
      </c>
      <c r="R1115" s="45">
        <v>82</v>
      </c>
      <c r="S1115" s="43">
        <v>10</v>
      </c>
      <c r="T1115" s="46">
        <v>0</v>
      </c>
      <c r="U1115" s="40">
        <v>3</v>
      </c>
      <c r="V1115" s="47">
        <v>3421.7518694099999</v>
      </c>
      <c r="W1115" s="48">
        <v>1957</v>
      </c>
      <c r="X1115" s="40"/>
      <c r="Y1115" s="53" t="s">
        <v>1082</v>
      </c>
      <c r="Z1115" s="40" t="s">
        <v>910</v>
      </c>
      <c r="AA1115" s="49">
        <f t="shared" si="160"/>
        <v>80719.126599381896</v>
      </c>
      <c r="AB1115" s="71">
        <f t="shared" si="161"/>
        <v>0.80</v>
      </c>
      <c r="AC1115" s="49">
        <f t="shared" si="162"/>
        <v>16143.83</v>
      </c>
      <c r="AD1115" s="50">
        <f t="shared" si="163"/>
        <v>0</v>
      </c>
      <c r="AE1115" s="50">
        <f t="shared" si="164"/>
        <v>0</v>
      </c>
      <c r="AF1115" s="50">
        <f t="shared" si="165"/>
        <v>16143.83</v>
      </c>
      <c r="AG1115" s="199">
        <f t="shared" si="166"/>
        <v>16143</v>
      </c>
      <c r="AH1115" s="187"/>
      <c r="AI1115" s="185" t="s">
        <v>1463</v>
      </c>
      <c r="AJ1115" s="185"/>
      <c r="AK1115" s="277">
        <f t="shared" si="159"/>
        <v>3421.75</v>
      </c>
      <c r="AL1115" s="25">
        <f>(SUMIFS('T1 2019 Pipeline Data Lagasco'!$O:$O,'T1 2019 Pipeline Data Lagasco'!$A:$A,'Dec 31 2018 OFFS'!$AI1115,'T1 2019 Pipeline Data Lagasco'!$Q:$Q,'Dec 31 2018 OFFS'!$AK1115,'T1 2019 Pipeline Data Lagasco'!$E:$E,'Dec 31 2018 OFFS'!$U1115,'T1 2019 Pipeline Data Lagasco'!$G:$G,'Dec 31 2018 OFFS'!$W1115))/(MAX(COUNTIFS('T1 2019 Pipeline Data Lagasco'!$A:$A,'Dec 31 2018 OFFS'!$AI1115,'T1 2019 Pipeline Data Lagasco'!$Q:$Q,'Dec 31 2018 OFFS'!$AK1115,'T1 2019 Pipeline Data Lagasco'!$E:$E,'Dec 31 2018 OFFS'!$U1115,'T1 2019 Pipeline Data Lagasco'!$G:$G,'Dec 31 2018 OFFS'!$W1115),1))</f>
        <v>16143</v>
      </c>
      <c r="AM1115" s="274">
        <f t="shared" si="167"/>
        <v>0</v>
      </c>
    </row>
    <row r="1116" spans="1:39" ht="12.7">
      <c r="A1116" s="193" t="s">
        <v>909</v>
      </c>
      <c r="B1116" s="40" t="s">
        <v>917</v>
      </c>
      <c r="C1116" s="40" t="s">
        <v>921</v>
      </c>
      <c r="D1116" s="40" t="s">
        <v>653</v>
      </c>
      <c r="E1116" s="40" t="s">
        <v>716</v>
      </c>
      <c r="F1116" s="40"/>
      <c r="G1116" s="41" t="s">
        <v>689</v>
      </c>
      <c r="H1116" s="42">
        <v>42</v>
      </c>
      <c r="I1116" s="43">
        <v>6</v>
      </c>
      <c r="J1116" s="44">
        <v>38.22</v>
      </c>
      <c r="K1116" s="45">
        <v>82</v>
      </c>
      <c r="L1116" s="43">
        <v>10</v>
      </c>
      <c r="M1116" s="46">
        <v>57.78</v>
      </c>
      <c r="N1116" s="40" t="s">
        <v>690</v>
      </c>
      <c r="O1116" s="42">
        <v>42</v>
      </c>
      <c r="P1116" s="43">
        <v>6</v>
      </c>
      <c r="Q1116" s="44">
        <f>0.923*60</f>
        <v>55.38</v>
      </c>
      <c r="R1116" s="45">
        <v>82</v>
      </c>
      <c r="S1116" s="43">
        <v>10</v>
      </c>
      <c r="T1116" s="46">
        <f>0.753*60</f>
        <v>45.18</v>
      </c>
      <c r="U1116" s="40">
        <v>3</v>
      </c>
      <c r="V1116" s="47">
        <v>1979.855585708</v>
      </c>
      <c r="W1116" s="48">
        <v>1957</v>
      </c>
      <c r="X1116" s="40"/>
      <c r="Y1116" s="53" t="s">
        <v>1082</v>
      </c>
      <c r="Z1116" s="40" t="s">
        <v>910</v>
      </c>
      <c r="AA1116" s="49">
        <f t="shared" si="160"/>
        <v>46704.793266851717</v>
      </c>
      <c r="AB1116" s="71">
        <f t="shared" si="161"/>
        <v>0.80</v>
      </c>
      <c r="AC1116" s="49">
        <f t="shared" si="162"/>
        <v>9340.9599999999991</v>
      </c>
      <c r="AD1116" s="50">
        <f t="shared" si="163"/>
        <v>0</v>
      </c>
      <c r="AE1116" s="50">
        <f t="shared" si="164"/>
        <v>0</v>
      </c>
      <c r="AF1116" s="50">
        <f t="shared" si="165"/>
        <v>9340.9599999999991</v>
      </c>
      <c r="AG1116" s="199">
        <f t="shared" si="166"/>
        <v>9340</v>
      </c>
      <c r="AH1116" s="187"/>
      <c r="AI1116" s="185" t="s">
        <v>1463</v>
      </c>
      <c r="AJ1116" s="185"/>
      <c r="AK1116" s="277">
        <f t="shared" si="159"/>
        <v>1979.86</v>
      </c>
      <c r="AL1116" s="25">
        <f>(SUMIFS('T1 2019 Pipeline Data Lagasco'!$O:$O,'T1 2019 Pipeline Data Lagasco'!$A:$A,'Dec 31 2018 OFFS'!$AI1116,'T1 2019 Pipeline Data Lagasco'!$Q:$Q,'Dec 31 2018 OFFS'!$AK1116,'T1 2019 Pipeline Data Lagasco'!$E:$E,'Dec 31 2018 OFFS'!$U1116,'T1 2019 Pipeline Data Lagasco'!$G:$G,'Dec 31 2018 OFFS'!$W1116))/(MAX(COUNTIFS('T1 2019 Pipeline Data Lagasco'!$A:$A,'Dec 31 2018 OFFS'!$AI1116,'T1 2019 Pipeline Data Lagasco'!$Q:$Q,'Dec 31 2018 OFFS'!$AK1116,'T1 2019 Pipeline Data Lagasco'!$E:$E,'Dec 31 2018 OFFS'!$U1116,'T1 2019 Pipeline Data Lagasco'!$G:$G,'Dec 31 2018 OFFS'!$W1116),1))</f>
        <v>9340</v>
      </c>
      <c r="AM1116" s="274">
        <f t="shared" si="167"/>
        <v>0</v>
      </c>
    </row>
    <row r="1117" spans="1:39" ht="12.7">
      <c r="A1117" s="193" t="s">
        <v>909</v>
      </c>
      <c r="B1117" s="40" t="s">
        <v>917</v>
      </c>
      <c r="C1117" s="40" t="s">
        <v>921</v>
      </c>
      <c r="D1117" s="40" t="s">
        <v>653</v>
      </c>
      <c r="E1117" s="40" t="s">
        <v>716</v>
      </c>
      <c r="F1117" s="40"/>
      <c r="G1117" s="41" t="s">
        <v>689</v>
      </c>
      <c r="H1117" s="42">
        <v>42</v>
      </c>
      <c r="I1117" s="43">
        <v>6</v>
      </c>
      <c r="J1117" s="44">
        <v>38.22</v>
      </c>
      <c r="K1117" s="45">
        <v>82</v>
      </c>
      <c r="L1117" s="43">
        <v>10</v>
      </c>
      <c r="M1117" s="46">
        <v>57.78</v>
      </c>
      <c r="N1117" s="40" t="s">
        <v>691</v>
      </c>
      <c r="O1117" s="42">
        <v>42</v>
      </c>
      <c r="P1117" s="43">
        <v>6</v>
      </c>
      <c r="Q1117" s="44">
        <v>28.56</v>
      </c>
      <c r="R1117" s="45">
        <v>82</v>
      </c>
      <c r="S1117" s="43">
        <v>10</v>
      </c>
      <c r="T1117" s="46">
        <v>7.38</v>
      </c>
      <c r="U1117" s="40">
        <v>4</v>
      </c>
      <c r="V1117" s="47">
        <v>3923.0641908499997</v>
      </c>
      <c r="W1117" s="48">
        <v>1957</v>
      </c>
      <c r="X1117" s="40"/>
      <c r="Y1117" s="53" t="s">
        <v>1082</v>
      </c>
      <c r="Z1117" s="40" t="s">
        <v>910</v>
      </c>
      <c r="AA1117" s="49">
        <f t="shared" si="160"/>
        <v>103765.0478479825</v>
      </c>
      <c r="AB1117" s="71">
        <f t="shared" si="161"/>
        <v>0.80</v>
      </c>
      <c r="AC1117" s="49">
        <f t="shared" si="162"/>
        <v>20753.009999999998</v>
      </c>
      <c r="AD1117" s="50">
        <f t="shared" si="163"/>
        <v>0</v>
      </c>
      <c r="AE1117" s="50">
        <f t="shared" si="164"/>
        <v>0</v>
      </c>
      <c r="AF1117" s="50">
        <f t="shared" si="165"/>
        <v>20753.009999999998</v>
      </c>
      <c r="AG1117" s="199">
        <f t="shared" si="166"/>
        <v>20753</v>
      </c>
      <c r="AH1117" s="187"/>
      <c r="AI1117" s="185" t="s">
        <v>1463</v>
      </c>
      <c r="AJ1117" s="185"/>
      <c r="AK1117" s="277">
        <f t="shared" si="159"/>
        <v>3923.06</v>
      </c>
      <c r="AL1117" s="25">
        <f>(SUMIFS('T1 2019 Pipeline Data Lagasco'!$O:$O,'T1 2019 Pipeline Data Lagasco'!$A:$A,'Dec 31 2018 OFFS'!$AI1117,'T1 2019 Pipeline Data Lagasco'!$Q:$Q,'Dec 31 2018 OFFS'!$AK1117,'T1 2019 Pipeline Data Lagasco'!$E:$E,'Dec 31 2018 OFFS'!$U1117,'T1 2019 Pipeline Data Lagasco'!$G:$G,'Dec 31 2018 OFFS'!$W1117))/(MAX(COUNTIFS('T1 2019 Pipeline Data Lagasco'!$A:$A,'Dec 31 2018 OFFS'!$AI1117,'T1 2019 Pipeline Data Lagasco'!$Q:$Q,'Dec 31 2018 OFFS'!$AK1117,'T1 2019 Pipeline Data Lagasco'!$E:$E,'Dec 31 2018 OFFS'!$U1117,'T1 2019 Pipeline Data Lagasco'!$G:$G,'Dec 31 2018 OFFS'!$W1117),1))</f>
        <v>20753</v>
      </c>
      <c r="AM1117" s="274">
        <f t="shared" si="167"/>
        <v>0</v>
      </c>
    </row>
    <row r="1118" spans="1:39" ht="12.7">
      <c r="A1118" s="193" t="s">
        <v>909</v>
      </c>
      <c r="B1118" s="40" t="s">
        <v>917</v>
      </c>
      <c r="C1118" s="40" t="s">
        <v>921</v>
      </c>
      <c r="D1118" s="40" t="s">
        <v>653</v>
      </c>
      <c r="E1118" s="40" t="s">
        <v>716</v>
      </c>
      <c r="F1118" s="40"/>
      <c r="G1118" s="41" t="s">
        <v>691</v>
      </c>
      <c r="H1118" s="42">
        <v>42</v>
      </c>
      <c r="I1118" s="43">
        <v>6</v>
      </c>
      <c r="J1118" s="44">
        <v>28.56</v>
      </c>
      <c r="K1118" s="45">
        <v>82</v>
      </c>
      <c r="L1118" s="43">
        <v>10</v>
      </c>
      <c r="M1118" s="46">
        <v>7.38</v>
      </c>
      <c r="N1118" s="40" t="s">
        <v>692</v>
      </c>
      <c r="O1118" s="42">
        <v>42</v>
      </c>
      <c r="P1118" s="43">
        <v>6</v>
      </c>
      <c r="Q1118" s="44">
        <f>0.718*60</f>
        <v>43.08</v>
      </c>
      <c r="R1118" s="45">
        <v>82</v>
      </c>
      <c r="S1118" s="43">
        <v>9</v>
      </c>
      <c r="T1118" s="46">
        <f>0.619*60</f>
        <v>37.14</v>
      </c>
      <c r="U1118" s="40">
        <v>3</v>
      </c>
      <c r="V1118" s="47">
        <v>2712.3358794559999</v>
      </c>
      <c r="W1118" s="48">
        <v>1957</v>
      </c>
      <c r="X1118" s="40"/>
      <c r="Y1118" s="53" t="s">
        <v>1082</v>
      </c>
      <c r="Z1118" s="40" t="s">
        <v>910</v>
      </c>
      <c r="AA1118" s="49">
        <f t="shared" si="160"/>
        <v>63984.003396367036</v>
      </c>
      <c r="AB1118" s="71">
        <f t="shared" si="161"/>
        <v>0.80</v>
      </c>
      <c r="AC1118" s="49">
        <f t="shared" si="162"/>
        <v>12796.80</v>
      </c>
      <c r="AD1118" s="50">
        <f t="shared" si="163"/>
        <v>0</v>
      </c>
      <c r="AE1118" s="50">
        <f t="shared" si="164"/>
        <v>0</v>
      </c>
      <c r="AF1118" s="50">
        <f t="shared" si="165"/>
        <v>12796.80</v>
      </c>
      <c r="AG1118" s="199">
        <f t="shared" si="166"/>
        <v>12796</v>
      </c>
      <c r="AH1118" s="187"/>
      <c r="AI1118" s="185" t="s">
        <v>1463</v>
      </c>
      <c r="AJ1118" s="185"/>
      <c r="AK1118" s="277">
        <f t="shared" si="159"/>
        <v>2712.34</v>
      </c>
      <c r="AL1118" s="25">
        <f>(SUMIFS('T1 2019 Pipeline Data Lagasco'!$O:$O,'T1 2019 Pipeline Data Lagasco'!$A:$A,'Dec 31 2018 OFFS'!$AI1118,'T1 2019 Pipeline Data Lagasco'!$Q:$Q,'Dec 31 2018 OFFS'!$AK1118,'T1 2019 Pipeline Data Lagasco'!$E:$E,'Dec 31 2018 OFFS'!$U1118,'T1 2019 Pipeline Data Lagasco'!$G:$G,'Dec 31 2018 OFFS'!$W1118))/(MAX(COUNTIFS('T1 2019 Pipeline Data Lagasco'!$A:$A,'Dec 31 2018 OFFS'!$AI1118,'T1 2019 Pipeline Data Lagasco'!$Q:$Q,'Dec 31 2018 OFFS'!$AK1118,'T1 2019 Pipeline Data Lagasco'!$E:$E,'Dec 31 2018 OFFS'!$U1118,'T1 2019 Pipeline Data Lagasco'!$G:$G,'Dec 31 2018 OFFS'!$W1118),1))</f>
        <v>12796</v>
      </c>
      <c r="AM1118" s="274">
        <f t="shared" si="167"/>
        <v>0</v>
      </c>
    </row>
    <row r="1119" spans="1:39" ht="12.7">
      <c r="A1119" s="193" t="s">
        <v>909</v>
      </c>
      <c r="B1119" s="40" t="s">
        <v>917</v>
      </c>
      <c r="C1119" s="40" t="s">
        <v>921</v>
      </c>
      <c r="D1119" s="40" t="s">
        <v>653</v>
      </c>
      <c r="E1119" s="40" t="s">
        <v>716</v>
      </c>
      <c r="F1119" s="40"/>
      <c r="G1119" s="41" t="s">
        <v>691</v>
      </c>
      <c r="H1119" s="42">
        <v>42</v>
      </c>
      <c r="I1119" s="43">
        <v>6</v>
      </c>
      <c r="J1119" s="44">
        <v>28.56</v>
      </c>
      <c r="K1119" s="45">
        <v>82</v>
      </c>
      <c r="L1119" s="43">
        <v>10</v>
      </c>
      <c r="M1119" s="46">
        <v>7.38</v>
      </c>
      <c r="N1119" s="41" t="s">
        <v>693</v>
      </c>
      <c r="O1119" s="42">
        <v>42</v>
      </c>
      <c r="P1119" s="43">
        <v>6</v>
      </c>
      <c r="Q1119" s="44">
        <v>23.88</v>
      </c>
      <c r="R1119" s="45">
        <v>82</v>
      </c>
      <c r="S1119" s="43">
        <v>9</v>
      </c>
      <c r="T1119" s="46">
        <v>13.20</v>
      </c>
      <c r="U1119" s="40">
        <v>3</v>
      </c>
      <c r="V1119" s="47">
        <v>4111.6796709519995</v>
      </c>
      <c r="W1119" s="48">
        <v>1957</v>
      </c>
      <c r="X1119" s="40"/>
      <c r="Y1119" s="53" t="s">
        <v>1082</v>
      </c>
      <c r="Z1119" s="40" t="s">
        <v>910</v>
      </c>
      <c r="AA1119" s="49">
        <f t="shared" si="160"/>
        <v>96994.523437757671</v>
      </c>
      <c r="AB1119" s="71">
        <f t="shared" si="161"/>
        <v>0.80</v>
      </c>
      <c r="AC1119" s="49">
        <f t="shared" si="162"/>
        <v>19398.900000000001</v>
      </c>
      <c r="AD1119" s="50">
        <f t="shared" si="163"/>
        <v>0</v>
      </c>
      <c r="AE1119" s="50">
        <f t="shared" si="164"/>
        <v>0</v>
      </c>
      <c r="AF1119" s="50">
        <f t="shared" si="165"/>
        <v>19398.900000000001</v>
      </c>
      <c r="AG1119" s="199">
        <f t="shared" si="166"/>
        <v>19398</v>
      </c>
      <c r="AH1119" s="187"/>
      <c r="AI1119" s="185" t="s">
        <v>1463</v>
      </c>
      <c r="AJ1119" s="185"/>
      <c r="AK1119" s="277">
        <f t="shared" si="159"/>
        <v>4111.68</v>
      </c>
      <c r="AL1119" s="25">
        <f>(SUMIFS('T1 2019 Pipeline Data Lagasco'!$O:$O,'T1 2019 Pipeline Data Lagasco'!$A:$A,'Dec 31 2018 OFFS'!$AI1119,'T1 2019 Pipeline Data Lagasco'!$Q:$Q,'Dec 31 2018 OFFS'!$AK1119,'T1 2019 Pipeline Data Lagasco'!$E:$E,'Dec 31 2018 OFFS'!$U1119,'T1 2019 Pipeline Data Lagasco'!$G:$G,'Dec 31 2018 OFFS'!$W1119))/(MAX(COUNTIFS('T1 2019 Pipeline Data Lagasco'!$A:$A,'Dec 31 2018 OFFS'!$AI1119,'T1 2019 Pipeline Data Lagasco'!$Q:$Q,'Dec 31 2018 OFFS'!$AK1119,'T1 2019 Pipeline Data Lagasco'!$E:$E,'Dec 31 2018 OFFS'!$U1119,'T1 2019 Pipeline Data Lagasco'!$G:$G,'Dec 31 2018 OFFS'!$W1119),1))</f>
        <v>19398</v>
      </c>
      <c r="AM1119" s="274">
        <f t="shared" si="167"/>
        <v>0</v>
      </c>
    </row>
    <row r="1120" spans="1:39" ht="12.7">
      <c r="A1120" s="193" t="s">
        <v>909</v>
      </c>
      <c r="B1120" s="40" t="s">
        <v>917</v>
      </c>
      <c r="C1120" s="40" t="s">
        <v>921</v>
      </c>
      <c r="D1120" s="40" t="s">
        <v>653</v>
      </c>
      <c r="E1120" s="40" t="s">
        <v>716</v>
      </c>
      <c r="F1120" s="40" t="s">
        <v>1051</v>
      </c>
      <c r="G1120" s="41" t="s">
        <v>692</v>
      </c>
      <c r="H1120" s="42">
        <v>42</v>
      </c>
      <c r="I1120" s="43">
        <v>6</v>
      </c>
      <c r="J1120" s="44">
        <f>0.718*60</f>
        <v>43.08</v>
      </c>
      <c r="K1120" s="45">
        <v>82</v>
      </c>
      <c r="L1120" s="43">
        <v>9</v>
      </c>
      <c r="M1120" s="46">
        <f>0.619*60</f>
        <v>37.14</v>
      </c>
      <c r="N1120" s="40" t="s">
        <v>694</v>
      </c>
      <c r="O1120" s="42">
        <v>42</v>
      </c>
      <c r="P1120" s="43">
        <v>6</v>
      </c>
      <c r="Q1120" s="44">
        <v>40.89</v>
      </c>
      <c r="R1120" s="45">
        <v>82</v>
      </c>
      <c r="S1120" s="43">
        <v>9</v>
      </c>
      <c r="T1120" s="46">
        <v>28.81</v>
      </c>
      <c r="U1120" s="40">
        <v>3</v>
      </c>
      <c r="V1120" s="47">
        <v>665.88</v>
      </c>
      <c r="W1120" s="48">
        <v>1957</v>
      </c>
      <c r="X1120" s="40"/>
      <c r="Y1120" s="52"/>
      <c r="Z1120" s="40" t="s">
        <v>910</v>
      </c>
      <c r="AA1120" s="49">
        <f t="shared" si="160"/>
        <v>0</v>
      </c>
      <c r="AB1120" s="71">
        <f t="shared" si="161"/>
        <v>0.80</v>
      </c>
      <c r="AC1120" s="49">
        <f t="shared" si="162"/>
        <v>0</v>
      </c>
      <c r="AD1120" s="50">
        <f t="shared" si="163"/>
        <v>0</v>
      </c>
      <c r="AE1120" s="50">
        <f t="shared" si="164"/>
        <v>0</v>
      </c>
      <c r="AF1120" s="50">
        <f t="shared" si="165"/>
        <v>0</v>
      </c>
      <c r="AG1120" s="199">
        <f t="shared" si="166"/>
        <v>0</v>
      </c>
      <c r="AH1120" s="187"/>
      <c r="AI1120" s="185" t="s">
        <v>1463</v>
      </c>
      <c r="AJ1120" s="185"/>
      <c r="AK1120" s="277">
        <f t="shared" si="159"/>
        <v>665.88</v>
      </c>
      <c r="AL1120" s="25">
        <f>(SUMIFS('T1 2019 Pipeline Data Lagasco'!$O:$O,'T1 2019 Pipeline Data Lagasco'!$A:$A,'Dec 31 2018 OFFS'!$AI1120,'T1 2019 Pipeline Data Lagasco'!$Q:$Q,'Dec 31 2018 OFFS'!$AK1120,'T1 2019 Pipeline Data Lagasco'!$E:$E,'Dec 31 2018 OFFS'!$U1120,'T1 2019 Pipeline Data Lagasco'!$G:$G,'Dec 31 2018 OFFS'!$W1120))/(MAX(COUNTIFS('T1 2019 Pipeline Data Lagasco'!$A:$A,'Dec 31 2018 OFFS'!$AI1120,'T1 2019 Pipeline Data Lagasco'!$Q:$Q,'Dec 31 2018 OFFS'!$AK1120,'T1 2019 Pipeline Data Lagasco'!$E:$E,'Dec 31 2018 OFFS'!$U1120,'T1 2019 Pipeline Data Lagasco'!$G:$G,'Dec 31 2018 OFFS'!$W1120),1))</f>
        <v>0</v>
      </c>
      <c r="AM1120" s="274">
        <f t="shared" si="167"/>
        <v>0</v>
      </c>
    </row>
    <row r="1121" spans="1:39" ht="12.7">
      <c r="A1121" s="193" t="s">
        <v>909</v>
      </c>
      <c r="B1121" s="40" t="s">
        <v>917</v>
      </c>
      <c r="C1121" s="40" t="s">
        <v>921</v>
      </c>
      <c r="D1121" s="40" t="s">
        <v>653</v>
      </c>
      <c r="E1121" s="40" t="s">
        <v>716</v>
      </c>
      <c r="F1121" s="40" t="s">
        <v>1051</v>
      </c>
      <c r="G1121" s="41" t="s">
        <v>945</v>
      </c>
      <c r="H1121" s="42">
        <v>42</v>
      </c>
      <c r="I1121" s="43">
        <v>6</v>
      </c>
      <c r="J1121" s="44">
        <v>10.02</v>
      </c>
      <c r="K1121" s="45">
        <v>82</v>
      </c>
      <c r="L1121" s="43">
        <v>9</v>
      </c>
      <c r="M1121" s="46">
        <v>42.78</v>
      </c>
      <c r="N1121" s="40" t="s">
        <v>693</v>
      </c>
      <c r="O1121" s="42">
        <v>42</v>
      </c>
      <c r="P1121" s="43">
        <v>6</v>
      </c>
      <c r="Q1121" s="44">
        <v>23.88</v>
      </c>
      <c r="R1121" s="45">
        <v>82</v>
      </c>
      <c r="S1121" s="43">
        <v>9</v>
      </c>
      <c r="T1121" s="46">
        <v>13.20</v>
      </c>
      <c r="U1121" s="40">
        <v>4</v>
      </c>
      <c r="V1121" s="47">
        <v>2634.65</v>
      </c>
      <c r="W1121" s="48">
        <v>1957</v>
      </c>
      <c r="X1121" s="40"/>
      <c r="Y1121" s="52"/>
      <c r="Z1121" s="40" t="s">
        <v>910</v>
      </c>
      <c r="AA1121" s="49">
        <f t="shared" si="160"/>
        <v>0</v>
      </c>
      <c r="AB1121" s="71">
        <f t="shared" si="161"/>
        <v>0.80</v>
      </c>
      <c r="AC1121" s="49">
        <f t="shared" si="162"/>
        <v>0</v>
      </c>
      <c r="AD1121" s="50">
        <f t="shared" si="163"/>
        <v>0</v>
      </c>
      <c r="AE1121" s="50">
        <f t="shared" si="164"/>
        <v>0</v>
      </c>
      <c r="AF1121" s="50">
        <f t="shared" si="165"/>
        <v>0</v>
      </c>
      <c r="AG1121" s="199">
        <f t="shared" si="166"/>
        <v>0</v>
      </c>
      <c r="AH1121" s="187"/>
      <c r="AI1121" s="185" t="s">
        <v>1463</v>
      </c>
      <c r="AJ1121" s="185"/>
      <c r="AK1121" s="277">
        <f t="shared" si="159"/>
        <v>2634.65</v>
      </c>
      <c r="AL1121" s="25">
        <f>(SUMIFS('T1 2019 Pipeline Data Lagasco'!$O:$O,'T1 2019 Pipeline Data Lagasco'!$A:$A,'Dec 31 2018 OFFS'!$AI1121,'T1 2019 Pipeline Data Lagasco'!$Q:$Q,'Dec 31 2018 OFFS'!$AK1121,'T1 2019 Pipeline Data Lagasco'!$E:$E,'Dec 31 2018 OFFS'!$U1121,'T1 2019 Pipeline Data Lagasco'!$G:$G,'Dec 31 2018 OFFS'!$W1121))/(MAX(COUNTIFS('T1 2019 Pipeline Data Lagasco'!$A:$A,'Dec 31 2018 OFFS'!$AI1121,'T1 2019 Pipeline Data Lagasco'!$Q:$Q,'Dec 31 2018 OFFS'!$AK1121,'T1 2019 Pipeline Data Lagasco'!$E:$E,'Dec 31 2018 OFFS'!$U1121,'T1 2019 Pipeline Data Lagasco'!$G:$G,'Dec 31 2018 OFFS'!$W1121),1))</f>
        <v>0</v>
      </c>
      <c r="AM1121" s="274">
        <f t="shared" si="167"/>
        <v>0</v>
      </c>
    </row>
    <row r="1122" spans="1:39" ht="12.7">
      <c r="A1122" s="193" t="s">
        <v>909</v>
      </c>
      <c r="B1122" s="40" t="s">
        <v>917</v>
      </c>
      <c r="C1122" s="40" t="s">
        <v>921</v>
      </c>
      <c r="D1122" s="40" t="s">
        <v>653</v>
      </c>
      <c r="E1122" s="40" t="s">
        <v>716</v>
      </c>
      <c r="F1122" s="40"/>
      <c r="G1122" s="41" t="s">
        <v>695</v>
      </c>
      <c r="H1122" s="42">
        <v>42</v>
      </c>
      <c r="I1122" s="43">
        <v>6</v>
      </c>
      <c r="J1122" s="44">
        <v>23.88</v>
      </c>
      <c r="K1122" s="45">
        <v>82</v>
      </c>
      <c r="L1122" s="43">
        <v>9</v>
      </c>
      <c r="M1122" s="46">
        <v>13.20</v>
      </c>
      <c r="N1122" s="40" t="s">
        <v>696</v>
      </c>
      <c r="O1122" s="42">
        <v>42</v>
      </c>
      <c r="P1122" s="43">
        <v>6</v>
      </c>
      <c r="Q1122" s="44">
        <v>18.06</v>
      </c>
      <c r="R1122" s="45">
        <v>82</v>
      </c>
      <c r="S1122" s="43">
        <v>9</v>
      </c>
      <c r="T1122" s="46">
        <v>1.47</v>
      </c>
      <c r="U1122" s="40">
        <v>3</v>
      </c>
      <c r="V1122" s="47">
        <v>1062.5655860259999</v>
      </c>
      <c r="W1122" s="48">
        <v>1957</v>
      </c>
      <c r="X1122" s="40"/>
      <c r="Y1122" s="53" t="s">
        <v>1082</v>
      </c>
      <c r="Z1122" s="40" t="s">
        <v>910</v>
      </c>
      <c r="AA1122" s="49">
        <f t="shared" si="160"/>
        <v>25065.922174353338</v>
      </c>
      <c r="AB1122" s="71">
        <f t="shared" si="161"/>
        <v>0.80</v>
      </c>
      <c r="AC1122" s="49">
        <f t="shared" si="162"/>
        <v>5013.18</v>
      </c>
      <c r="AD1122" s="50">
        <f t="shared" si="163"/>
        <v>0</v>
      </c>
      <c r="AE1122" s="50">
        <f t="shared" si="164"/>
        <v>0</v>
      </c>
      <c r="AF1122" s="50">
        <f t="shared" si="165"/>
        <v>5013.18</v>
      </c>
      <c r="AG1122" s="199">
        <f t="shared" si="166"/>
        <v>5013</v>
      </c>
      <c r="AH1122" s="187"/>
      <c r="AI1122" s="185" t="s">
        <v>1463</v>
      </c>
      <c r="AJ1122" s="185"/>
      <c r="AK1122" s="277">
        <f t="shared" si="159"/>
        <v>1062.57</v>
      </c>
      <c r="AL1122" s="25">
        <f>(SUMIFS('T1 2019 Pipeline Data Lagasco'!$O:$O,'T1 2019 Pipeline Data Lagasco'!$A:$A,'Dec 31 2018 OFFS'!$AI1122,'T1 2019 Pipeline Data Lagasco'!$Q:$Q,'Dec 31 2018 OFFS'!$AK1122,'T1 2019 Pipeline Data Lagasco'!$E:$E,'Dec 31 2018 OFFS'!$U1122,'T1 2019 Pipeline Data Lagasco'!$G:$G,'Dec 31 2018 OFFS'!$W1122))/(MAX(COUNTIFS('T1 2019 Pipeline Data Lagasco'!$A:$A,'Dec 31 2018 OFFS'!$AI1122,'T1 2019 Pipeline Data Lagasco'!$Q:$Q,'Dec 31 2018 OFFS'!$AK1122,'T1 2019 Pipeline Data Lagasco'!$E:$E,'Dec 31 2018 OFFS'!$U1122,'T1 2019 Pipeline Data Lagasco'!$G:$G,'Dec 31 2018 OFFS'!$W1122),1))</f>
        <v>5013</v>
      </c>
      <c r="AM1122" s="274">
        <f t="shared" si="167"/>
        <v>0</v>
      </c>
    </row>
    <row r="1123" spans="1:39" ht="12.7">
      <c r="A1123" s="193" t="s">
        <v>909</v>
      </c>
      <c r="B1123" s="40" t="s">
        <v>917</v>
      </c>
      <c r="C1123" s="40" t="s">
        <v>921</v>
      </c>
      <c r="D1123" s="40" t="s">
        <v>653</v>
      </c>
      <c r="E1123" s="40" t="s">
        <v>716</v>
      </c>
      <c r="F1123" s="40"/>
      <c r="G1123" s="40" t="s">
        <v>697</v>
      </c>
      <c r="H1123" s="42">
        <v>42</v>
      </c>
      <c r="I1123" s="43">
        <v>6</v>
      </c>
      <c r="J1123" s="44">
        <v>20.896999999999998</v>
      </c>
      <c r="K1123" s="45">
        <v>82</v>
      </c>
      <c r="L1123" s="43">
        <v>9</v>
      </c>
      <c r="M1123" s="46">
        <v>5.5709999999999997</v>
      </c>
      <c r="N1123" s="41" t="s">
        <v>693</v>
      </c>
      <c r="O1123" s="42">
        <v>42</v>
      </c>
      <c r="P1123" s="43">
        <v>6</v>
      </c>
      <c r="Q1123" s="44">
        <v>23.88</v>
      </c>
      <c r="R1123" s="45">
        <v>82</v>
      </c>
      <c r="S1123" s="43">
        <v>9</v>
      </c>
      <c r="T1123" s="46">
        <v>13.20</v>
      </c>
      <c r="U1123" s="40">
        <v>3</v>
      </c>
      <c r="V1123" s="47">
        <v>649.57347200200002</v>
      </c>
      <c r="W1123" s="48">
        <v>1957</v>
      </c>
      <c r="X1123" s="40"/>
      <c r="Y1123" s="53" t="s">
        <v>1082</v>
      </c>
      <c r="Z1123" s="40" t="s">
        <v>910</v>
      </c>
      <c r="AA1123" s="49">
        <f t="shared" si="160"/>
        <v>15323.43820452718</v>
      </c>
      <c r="AB1123" s="71">
        <f t="shared" si="161"/>
        <v>0.80</v>
      </c>
      <c r="AC1123" s="49">
        <f t="shared" si="162"/>
        <v>3064.69</v>
      </c>
      <c r="AD1123" s="50">
        <f t="shared" si="163"/>
        <v>0</v>
      </c>
      <c r="AE1123" s="50">
        <f t="shared" si="164"/>
        <v>0</v>
      </c>
      <c r="AF1123" s="50">
        <f t="shared" si="165"/>
        <v>3064.69</v>
      </c>
      <c r="AG1123" s="199">
        <f t="shared" si="166"/>
        <v>3064</v>
      </c>
      <c r="AH1123" s="187"/>
      <c r="AI1123" s="185" t="s">
        <v>1463</v>
      </c>
      <c r="AJ1123" s="185"/>
      <c r="AK1123" s="277">
        <f t="shared" si="159"/>
        <v>649.57000000000005</v>
      </c>
      <c r="AL1123" s="25">
        <f>(SUMIFS('T1 2019 Pipeline Data Lagasco'!$O:$O,'T1 2019 Pipeline Data Lagasco'!$A:$A,'Dec 31 2018 OFFS'!$AI1123,'T1 2019 Pipeline Data Lagasco'!$Q:$Q,'Dec 31 2018 OFFS'!$AK1123,'T1 2019 Pipeline Data Lagasco'!$E:$E,'Dec 31 2018 OFFS'!$U1123,'T1 2019 Pipeline Data Lagasco'!$G:$G,'Dec 31 2018 OFFS'!$W1123))/(MAX(COUNTIFS('T1 2019 Pipeline Data Lagasco'!$A:$A,'Dec 31 2018 OFFS'!$AI1123,'T1 2019 Pipeline Data Lagasco'!$Q:$Q,'Dec 31 2018 OFFS'!$AK1123,'T1 2019 Pipeline Data Lagasco'!$E:$E,'Dec 31 2018 OFFS'!$U1123,'T1 2019 Pipeline Data Lagasco'!$G:$G,'Dec 31 2018 OFFS'!$W1123),1))</f>
        <v>3064</v>
      </c>
      <c r="AM1123" s="274">
        <f t="shared" si="167"/>
        <v>0</v>
      </c>
    </row>
    <row r="1124" spans="1:39" ht="12.7">
      <c r="A1124" s="193" t="s">
        <v>909</v>
      </c>
      <c r="B1124" s="40" t="s">
        <v>917</v>
      </c>
      <c r="C1124" s="40" t="s">
        <v>921</v>
      </c>
      <c r="D1124" s="40" t="s">
        <v>653</v>
      </c>
      <c r="E1124" s="40" t="s">
        <v>716</v>
      </c>
      <c r="F1124" s="40"/>
      <c r="G1124" s="40" t="s">
        <v>698</v>
      </c>
      <c r="H1124" s="42">
        <v>42</v>
      </c>
      <c r="I1124" s="43">
        <v>6</v>
      </c>
      <c r="J1124" s="44">
        <v>17.123000000000001</v>
      </c>
      <c r="K1124" s="45">
        <v>82</v>
      </c>
      <c r="L1124" s="43">
        <v>9</v>
      </c>
      <c r="M1124" s="46">
        <v>1.40</v>
      </c>
      <c r="N1124" s="41" t="s">
        <v>693</v>
      </c>
      <c r="O1124" s="42">
        <v>42</v>
      </c>
      <c r="P1124" s="43">
        <v>6</v>
      </c>
      <c r="Q1124" s="44">
        <v>23.88</v>
      </c>
      <c r="R1124" s="45">
        <v>82</v>
      </c>
      <c r="S1124" s="43">
        <v>9</v>
      </c>
      <c r="T1124" s="46">
        <v>13.20</v>
      </c>
      <c r="U1124" s="40">
        <v>3</v>
      </c>
      <c r="V1124" s="47">
        <v>1122.1456367939998</v>
      </c>
      <c r="W1124" s="48">
        <v>1957</v>
      </c>
      <c r="X1124" s="40"/>
      <c r="Y1124" s="53" t="s">
        <v>1082</v>
      </c>
      <c r="Z1124" s="40" t="s">
        <v>910</v>
      </c>
      <c r="AA1124" s="49">
        <f t="shared" si="160"/>
        <v>26471.415571970454</v>
      </c>
      <c r="AB1124" s="71">
        <f t="shared" si="161"/>
        <v>0.80</v>
      </c>
      <c r="AC1124" s="49">
        <f t="shared" si="162"/>
        <v>5294.28</v>
      </c>
      <c r="AD1124" s="50">
        <f t="shared" si="163"/>
        <v>0</v>
      </c>
      <c r="AE1124" s="50">
        <f t="shared" si="164"/>
        <v>0</v>
      </c>
      <c r="AF1124" s="50">
        <f t="shared" si="165"/>
        <v>5294.28</v>
      </c>
      <c r="AG1124" s="199">
        <f t="shared" si="166"/>
        <v>5294</v>
      </c>
      <c r="AH1124" s="187"/>
      <c r="AI1124" s="185" t="s">
        <v>1463</v>
      </c>
      <c r="AJ1124" s="185"/>
      <c r="AK1124" s="277">
        <f t="shared" si="159"/>
        <v>1122.1500000000001</v>
      </c>
      <c r="AL1124" s="25">
        <f>(SUMIFS('T1 2019 Pipeline Data Lagasco'!$O:$O,'T1 2019 Pipeline Data Lagasco'!$A:$A,'Dec 31 2018 OFFS'!$AI1124,'T1 2019 Pipeline Data Lagasco'!$Q:$Q,'Dec 31 2018 OFFS'!$AK1124,'T1 2019 Pipeline Data Lagasco'!$E:$E,'Dec 31 2018 OFFS'!$U1124,'T1 2019 Pipeline Data Lagasco'!$G:$G,'Dec 31 2018 OFFS'!$W1124))/(MAX(COUNTIFS('T1 2019 Pipeline Data Lagasco'!$A:$A,'Dec 31 2018 OFFS'!$AI1124,'T1 2019 Pipeline Data Lagasco'!$Q:$Q,'Dec 31 2018 OFFS'!$AK1124,'T1 2019 Pipeline Data Lagasco'!$E:$E,'Dec 31 2018 OFFS'!$U1124,'T1 2019 Pipeline Data Lagasco'!$G:$G,'Dec 31 2018 OFFS'!$W1124),1))</f>
        <v>5294</v>
      </c>
      <c r="AM1124" s="274">
        <f t="shared" si="167"/>
        <v>0</v>
      </c>
    </row>
    <row r="1125" spans="1:39" ht="12.7">
      <c r="A1125" s="193" t="s">
        <v>909</v>
      </c>
      <c r="B1125" s="40" t="s">
        <v>917</v>
      </c>
      <c r="C1125" s="40" t="s">
        <v>921</v>
      </c>
      <c r="D1125" s="40" t="s">
        <v>653</v>
      </c>
      <c r="E1125" s="40" t="s">
        <v>716</v>
      </c>
      <c r="F1125" s="40"/>
      <c r="G1125" s="41" t="s">
        <v>699</v>
      </c>
      <c r="H1125" s="42">
        <v>42</v>
      </c>
      <c r="I1125" s="43">
        <v>6</v>
      </c>
      <c r="J1125" s="44">
        <v>4.50</v>
      </c>
      <c r="K1125" s="45">
        <v>82</v>
      </c>
      <c r="L1125" s="43">
        <v>8</v>
      </c>
      <c r="M1125" s="46">
        <v>49.32</v>
      </c>
      <c r="N1125" s="40" t="s">
        <v>700</v>
      </c>
      <c r="O1125" s="42">
        <v>42</v>
      </c>
      <c r="P1125" s="43">
        <v>6</v>
      </c>
      <c r="Q1125" s="44">
        <v>2.61</v>
      </c>
      <c r="R1125" s="45">
        <v>82</v>
      </c>
      <c r="S1125" s="43">
        <v>8</v>
      </c>
      <c r="T1125" s="46">
        <v>42.73</v>
      </c>
      <c r="U1125" s="40">
        <v>3</v>
      </c>
      <c r="V1125" s="47">
        <v>532.41468274399995</v>
      </c>
      <c r="W1125" s="48">
        <v>1957</v>
      </c>
      <c r="X1125" s="40"/>
      <c r="Y1125" s="53" t="s">
        <v>1082</v>
      </c>
      <c r="Z1125" s="40" t="s">
        <v>910</v>
      </c>
      <c r="AA1125" s="49">
        <f t="shared" si="160"/>
        <v>12559.662365930959</v>
      </c>
      <c r="AB1125" s="71">
        <f t="shared" si="161"/>
        <v>0.80</v>
      </c>
      <c r="AC1125" s="49">
        <f t="shared" si="162"/>
        <v>2511.9299999999998</v>
      </c>
      <c r="AD1125" s="50">
        <f t="shared" si="163"/>
        <v>0</v>
      </c>
      <c r="AE1125" s="50">
        <f t="shared" si="164"/>
        <v>0</v>
      </c>
      <c r="AF1125" s="50">
        <f t="shared" si="165"/>
        <v>2511.9299999999998</v>
      </c>
      <c r="AG1125" s="199">
        <f t="shared" si="166"/>
        <v>2511</v>
      </c>
      <c r="AH1125" s="187"/>
      <c r="AI1125" s="185" t="s">
        <v>1463</v>
      </c>
      <c r="AJ1125" s="185"/>
      <c r="AK1125" s="277">
        <f t="shared" si="159"/>
        <v>532.41</v>
      </c>
      <c r="AL1125" s="25">
        <f>(SUMIFS('T1 2019 Pipeline Data Lagasco'!$O:$O,'T1 2019 Pipeline Data Lagasco'!$A:$A,'Dec 31 2018 OFFS'!$AI1125,'T1 2019 Pipeline Data Lagasco'!$Q:$Q,'Dec 31 2018 OFFS'!$AK1125,'T1 2019 Pipeline Data Lagasco'!$E:$E,'Dec 31 2018 OFFS'!$U1125,'T1 2019 Pipeline Data Lagasco'!$G:$G,'Dec 31 2018 OFFS'!$W1125))/(MAX(COUNTIFS('T1 2019 Pipeline Data Lagasco'!$A:$A,'Dec 31 2018 OFFS'!$AI1125,'T1 2019 Pipeline Data Lagasco'!$Q:$Q,'Dec 31 2018 OFFS'!$AK1125,'T1 2019 Pipeline Data Lagasco'!$E:$E,'Dec 31 2018 OFFS'!$U1125,'T1 2019 Pipeline Data Lagasco'!$G:$G,'Dec 31 2018 OFFS'!$W1125),1))</f>
        <v>2511</v>
      </c>
      <c r="AM1125" s="274">
        <f t="shared" si="167"/>
        <v>0</v>
      </c>
    </row>
    <row r="1126" spans="1:39" ht="12.7">
      <c r="A1126" s="193" t="s">
        <v>909</v>
      </c>
      <c r="B1126" s="40" t="s">
        <v>917</v>
      </c>
      <c r="C1126" s="40" t="s">
        <v>921</v>
      </c>
      <c r="D1126" s="40" t="s">
        <v>653</v>
      </c>
      <c r="E1126" s="40" t="s">
        <v>716</v>
      </c>
      <c r="F1126" s="40"/>
      <c r="G1126" s="41" t="s">
        <v>701</v>
      </c>
      <c r="H1126" s="42">
        <v>42</v>
      </c>
      <c r="I1126" s="43">
        <v>5</v>
      </c>
      <c r="J1126" s="44">
        <v>26.28</v>
      </c>
      <c r="K1126" s="45">
        <v>82</v>
      </c>
      <c r="L1126" s="43">
        <v>7</v>
      </c>
      <c r="M1126" s="46">
        <v>46.44</v>
      </c>
      <c r="N1126" s="40" t="s">
        <v>702</v>
      </c>
      <c r="O1126" s="42">
        <v>42</v>
      </c>
      <c r="P1126" s="43">
        <v>5</v>
      </c>
      <c r="Q1126" s="44">
        <v>46.08</v>
      </c>
      <c r="R1126" s="45">
        <v>82</v>
      </c>
      <c r="S1126" s="43">
        <v>8</v>
      </c>
      <c r="T1126" s="46">
        <v>24.78</v>
      </c>
      <c r="U1126" s="40">
        <v>3</v>
      </c>
      <c r="V1126" s="47">
        <v>3517.7492419579999</v>
      </c>
      <c r="W1126" s="48">
        <v>1957</v>
      </c>
      <c r="X1126" s="40"/>
      <c r="Y1126" s="53" t="s">
        <v>1082</v>
      </c>
      <c r="Z1126" s="40" t="s">
        <v>910</v>
      </c>
      <c r="AA1126" s="49">
        <f t="shared" si="160"/>
        <v>82983.704617789219</v>
      </c>
      <c r="AB1126" s="71">
        <f t="shared" si="161"/>
        <v>0.80</v>
      </c>
      <c r="AC1126" s="49">
        <f t="shared" si="162"/>
        <v>16596.740000000002</v>
      </c>
      <c r="AD1126" s="50">
        <f t="shared" si="163"/>
        <v>0</v>
      </c>
      <c r="AE1126" s="50">
        <f t="shared" si="164"/>
        <v>0</v>
      </c>
      <c r="AF1126" s="50">
        <f t="shared" si="165"/>
        <v>16596.740000000002</v>
      </c>
      <c r="AG1126" s="199">
        <f t="shared" si="166"/>
        <v>16596</v>
      </c>
      <c r="AH1126" s="187"/>
      <c r="AI1126" s="185" t="s">
        <v>1463</v>
      </c>
      <c r="AJ1126" s="185"/>
      <c r="AK1126" s="277">
        <f t="shared" si="159"/>
        <v>3517.75</v>
      </c>
      <c r="AL1126" s="25">
        <f>(SUMIFS('T1 2019 Pipeline Data Lagasco'!$O:$O,'T1 2019 Pipeline Data Lagasco'!$A:$A,'Dec 31 2018 OFFS'!$AI1126,'T1 2019 Pipeline Data Lagasco'!$Q:$Q,'Dec 31 2018 OFFS'!$AK1126,'T1 2019 Pipeline Data Lagasco'!$E:$E,'Dec 31 2018 OFFS'!$U1126,'T1 2019 Pipeline Data Lagasco'!$G:$G,'Dec 31 2018 OFFS'!$W1126))/(MAX(COUNTIFS('T1 2019 Pipeline Data Lagasco'!$A:$A,'Dec 31 2018 OFFS'!$AI1126,'T1 2019 Pipeline Data Lagasco'!$Q:$Q,'Dec 31 2018 OFFS'!$AK1126,'T1 2019 Pipeline Data Lagasco'!$E:$E,'Dec 31 2018 OFFS'!$U1126,'T1 2019 Pipeline Data Lagasco'!$G:$G,'Dec 31 2018 OFFS'!$W1126),1))</f>
        <v>16596</v>
      </c>
      <c r="AM1126" s="274">
        <f t="shared" si="167"/>
        <v>0</v>
      </c>
    </row>
    <row r="1127" spans="1:39" ht="12.7">
      <c r="A1127" s="193" t="s">
        <v>909</v>
      </c>
      <c r="B1127" s="40" t="s">
        <v>917</v>
      </c>
      <c r="C1127" s="40" t="s">
        <v>921</v>
      </c>
      <c r="D1127" s="40" t="s">
        <v>653</v>
      </c>
      <c r="E1127" s="40" t="s">
        <v>716</v>
      </c>
      <c r="F1127" s="40"/>
      <c r="G1127" s="41" t="s">
        <v>702</v>
      </c>
      <c r="H1127" s="42">
        <v>42</v>
      </c>
      <c r="I1127" s="43">
        <v>5</v>
      </c>
      <c r="J1127" s="44">
        <v>46.08</v>
      </c>
      <c r="K1127" s="45">
        <v>82</v>
      </c>
      <c r="L1127" s="43">
        <v>8</v>
      </c>
      <c r="M1127" s="46">
        <v>24.78</v>
      </c>
      <c r="N1127" s="40" t="s">
        <v>703</v>
      </c>
      <c r="O1127" s="42">
        <v>42</v>
      </c>
      <c r="P1127" s="43">
        <v>5</v>
      </c>
      <c r="Q1127" s="44">
        <v>44.65</v>
      </c>
      <c r="R1127" s="45">
        <v>82</v>
      </c>
      <c r="S1127" s="43">
        <v>8</v>
      </c>
      <c r="T1127" s="46">
        <v>21.11</v>
      </c>
      <c r="U1127" s="40">
        <v>3</v>
      </c>
      <c r="V1127" s="47">
        <v>312.27033216400002</v>
      </c>
      <c r="W1127" s="48">
        <v>1957</v>
      </c>
      <c r="X1127" s="40"/>
      <c r="Y1127" s="53" t="s">
        <v>1082</v>
      </c>
      <c r="Z1127" s="40" t="s">
        <v>910</v>
      </c>
      <c r="AA1127" s="49">
        <f t="shared" si="160"/>
        <v>7366.4571357487603</v>
      </c>
      <c r="AB1127" s="71">
        <f t="shared" si="161"/>
        <v>0.80</v>
      </c>
      <c r="AC1127" s="49">
        <f t="shared" si="162"/>
        <v>1473.29</v>
      </c>
      <c r="AD1127" s="50">
        <f t="shared" si="163"/>
        <v>0</v>
      </c>
      <c r="AE1127" s="50">
        <f t="shared" si="164"/>
        <v>0</v>
      </c>
      <c r="AF1127" s="50">
        <f t="shared" si="165"/>
        <v>1473.29</v>
      </c>
      <c r="AG1127" s="199">
        <f t="shared" si="166"/>
        <v>1473</v>
      </c>
      <c r="AH1127" s="187"/>
      <c r="AI1127" s="185" t="s">
        <v>1463</v>
      </c>
      <c r="AJ1127" s="185"/>
      <c r="AK1127" s="277">
        <f t="shared" si="159"/>
        <v>312.27</v>
      </c>
      <c r="AL1127" s="25">
        <f>(SUMIFS('T1 2019 Pipeline Data Lagasco'!$O:$O,'T1 2019 Pipeline Data Lagasco'!$A:$A,'Dec 31 2018 OFFS'!$AI1127,'T1 2019 Pipeline Data Lagasco'!$Q:$Q,'Dec 31 2018 OFFS'!$AK1127,'T1 2019 Pipeline Data Lagasco'!$E:$E,'Dec 31 2018 OFFS'!$U1127,'T1 2019 Pipeline Data Lagasco'!$G:$G,'Dec 31 2018 OFFS'!$W1127))/(MAX(COUNTIFS('T1 2019 Pipeline Data Lagasco'!$A:$A,'Dec 31 2018 OFFS'!$AI1127,'T1 2019 Pipeline Data Lagasco'!$Q:$Q,'Dec 31 2018 OFFS'!$AK1127,'T1 2019 Pipeline Data Lagasco'!$E:$E,'Dec 31 2018 OFFS'!$U1127,'T1 2019 Pipeline Data Lagasco'!$G:$G,'Dec 31 2018 OFFS'!$W1127),1))</f>
        <v>1473</v>
      </c>
      <c r="AM1127" s="274">
        <f t="shared" si="167"/>
        <v>0</v>
      </c>
    </row>
    <row r="1128" spans="1:39" ht="12.7">
      <c r="A1128" s="193" t="s">
        <v>909</v>
      </c>
      <c r="B1128" s="40" t="s">
        <v>917</v>
      </c>
      <c r="C1128" s="40" t="s">
        <v>921</v>
      </c>
      <c r="D1128" s="40" t="s">
        <v>653</v>
      </c>
      <c r="E1128" s="40" t="s">
        <v>716</v>
      </c>
      <c r="F1128" s="40"/>
      <c r="G1128" s="41" t="s">
        <v>704</v>
      </c>
      <c r="H1128" s="42">
        <v>42</v>
      </c>
      <c r="I1128" s="43">
        <v>5</v>
      </c>
      <c r="J1128" s="44">
        <v>33</v>
      </c>
      <c r="K1128" s="45">
        <v>82</v>
      </c>
      <c r="L1128" s="43">
        <v>8</v>
      </c>
      <c r="M1128" s="46">
        <v>54.54</v>
      </c>
      <c r="N1128" s="40" t="s">
        <v>702</v>
      </c>
      <c r="O1128" s="42">
        <v>42</v>
      </c>
      <c r="P1128" s="43">
        <v>5</v>
      </c>
      <c r="Q1128" s="44">
        <v>46.08</v>
      </c>
      <c r="R1128" s="45">
        <v>82</v>
      </c>
      <c r="S1128" s="43">
        <v>8</v>
      </c>
      <c r="T1128" s="46">
        <v>24.78</v>
      </c>
      <c r="U1128" s="40">
        <v>3</v>
      </c>
      <c r="V1128" s="47">
        <v>2605.4461187719999</v>
      </c>
      <c r="W1128" s="48">
        <v>1957</v>
      </c>
      <c r="X1128" s="40"/>
      <c r="Y1128" s="53" t="s">
        <v>1082</v>
      </c>
      <c r="Z1128" s="40" t="s">
        <v>910</v>
      </c>
      <c r="AA1128" s="49">
        <f t="shared" si="160"/>
        <v>61462.473941831478</v>
      </c>
      <c r="AB1128" s="71">
        <f t="shared" si="161"/>
        <v>0.80</v>
      </c>
      <c r="AC1128" s="49">
        <f t="shared" si="162"/>
        <v>12292.49</v>
      </c>
      <c r="AD1128" s="50">
        <f t="shared" si="163"/>
        <v>0</v>
      </c>
      <c r="AE1128" s="50">
        <f t="shared" si="164"/>
        <v>0</v>
      </c>
      <c r="AF1128" s="50">
        <f t="shared" si="165"/>
        <v>12292.49</v>
      </c>
      <c r="AG1128" s="199">
        <f t="shared" si="166"/>
        <v>12292</v>
      </c>
      <c r="AH1128" s="187"/>
      <c r="AI1128" s="185" t="s">
        <v>1463</v>
      </c>
      <c r="AJ1128" s="185"/>
      <c r="AK1128" s="277">
        <f t="shared" si="159"/>
        <v>2605.4499999999998</v>
      </c>
      <c r="AL1128" s="25">
        <f>(SUMIFS('T1 2019 Pipeline Data Lagasco'!$O:$O,'T1 2019 Pipeline Data Lagasco'!$A:$A,'Dec 31 2018 OFFS'!$AI1128,'T1 2019 Pipeline Data Lagasco'!$Q:$Q,'Dec 31 2018 OFFS'!$AK1128,'T1 2019 Pipeline Data Lagasco'!$E:$E,'Dec 31 2018 OFFS'!$U1128,'T1 2019 Pipeline Data Lagasco'!$G:$G,'Dec 31 2018 OFFS'!$W1128))/(MAX(COUNTIFS('T1 2019 Pipeline Data Lagasco'!$A:$A,'Dec 31 2018 OFFS'!$AI1128,'T1 2019 Pipeline Data Lagasco'!$Q:$Q,'Dec 31 2018 OFFS'!$AK1128,'T1 2019 Pipeline Data Lagasco'!$E:$E,'Dec 31 2018 OFFS'!$U1128,'T1 2019 Pipeline Data Lagasco'!$G:$G,'Dec 31 2018 OFFS'!$W1128),1))</f>
        <v>12292</v>
      </c>
      <c r="AM1128" s="274">
        <f t="shared" si="167"/>
        <v>0</v>
      </c>
    </row>
    <row r="1129" spans="1:39" ht="12.7">
      <c r="A1129" s="193" t="s">
        <v>909</v>
      </c>
      <c r="B1129" s="40" t="s">
        <v>917</v>
      </c>
      <c r="C1129" s="40" t="s">
        <v>921</v>
      </c>
      <c r="D1129" s="40" t="s">
        <v>653</v>
      </c>
      <c r="E1129" s="40" t="s">
        <v>716</v>
      </c>
      <c r="F1129" s="40"/>
      <c r="G1129" s="41" t="s">
        <v>705</v>
      </c>
      <c r="H1129" s="42">
        <v>42</v>
      </c>
      <c r="I1129" s="43">
        <v>5</v>
      </c>
      <c r="J1129" s="44">
        <v>53.40</v>
      </c>
      <c r="K1129" s="45">
        <v>82</v>
      </c>
      <c r="L1129" s="43">
        <v>9</v>
      </c>
      <c r="M1129" s="46">
        <v>19.86</v>
      </c>
      <c r="N1129" s="40" t="s">
        <v>699</v>
      </c>
      <c r="O1129" s="42">
        <v>42</v>
      </c>
      <c r="P1129" s="43">
        <v>6</v>
      </c>
      <c r="Q1129" s="44">
        <v>4.50</v>
      </c>
      <c r="R1129" s="45">
        <v>82</v>
      </c>
      <c r="S1129" s="43">
        <v>8</v>
      </c>
      <c r="T1129" s="46">
        <v>49.32</v>
      </c>
      <c r="U1129" s="40">
        <v>3</v>
      </c>
      <c r="V1129" s="47">
        <v>2562.0406082179998</v>
      </c>
      <c r="W1129" s="48">
        <v>1957</v>
      </c>
      <c r="X1129" s="40"/>
      <c r="Y1129" s="53" t="s">
        <v>1082</v>
      </c>
      <c r="Z1129" s="40" t="s">
        <v>910</v>
      </c>
      <c r="AA1129" s="49">
        <f t="shared" si="160"/>
        <v>60438.537947862613</v>
      </c>
      <c r="AB1129" s="71">
        <f t="shared" si="161"/>
        <v>0.80</v>
      </c>
      <c r="AC1129" s="49">
        <f t="shared" si="162"/>
        <v>12087.71</v>
      </c>
      <c r="AD1129" s="50">
        <f t="shared" si="163"/>
        <v>0</v>
      </c>
      <c r="AE1129" s="50">
        <f t="shared" si="164"/>
        <v>0</v>
      </c>
      <c r="AF1129" s="50">
        <f t="shared" si="165"/>
        <v>12087.71</v>
      </c>
      <c r="AG1129" s="199">
        <f t="shared" si="166"/>
        <v>12087</v>
      </c>
      <c r="AH1129" s="187"/>
      <c r="AI1129" s="185" t="s">
        <v>1463</v>
      </c>
      <c r="AJ1129" s="185"/>
      <c r="AK1129" s="277">
        <f t="shared" si="159"/>
        <v>2562.04</v>
      </c>
      <c r="AL1129" s="25">
        <f>(SUMIFS('T1 2019 Pipeline Data Lagasco'!$O:$O,'T1 2019 Pipeline Data Lagasco'!$A:$A,'Dec 31 2018 OFFS'!$AI1129,'T1 2019 Pipeline Data Lagasco'!$Q:$Q,'Dec 31 2018 OFFS'!$AK1129,'T1 2019 Pipeline Data Lagasco'!$E:$E,'Dec 31 2018 OFFS'!$U1129,'T1 2019 Pipeline Data Lagasco'!$G:$G,'Dec 31 2018 OFFS'!$W1129))/(MAX(COUNTIFS('T1 2019 Pipeline Data Lagasco'!$A:$A,'Dec 31 2018 OFFS'!$AI1129,'T1 2019 Pipeline Data Lagasco'!$Q:$Q,'Dec 31 2018 OFFS'!$AK1129,'T1 2019 Pipeline Data Lagasco'!$E:$E,'Dec 31 2018 OFFS'!$U1129,'T1 2019 Pipeline Data Lagasco'!$G:$G,'Dec 31 2018 OFFS'!$W1129),1))</f>
        <v>12087</v>
      </c>
      <c r="AM1129" s="274">
        <f t="shared" si="167"/>
        <v>0</v>
      </c>
    </row>
    <row r="1130" spans="1:39" ht="12.7">
      <c r="A1130" s="193" t="s">
        <v>909</v>
      </c>
      <c r="B1130" s="40" t="s">
        <v>917</v>
      </c>
      <c r="C1130" s="40" t="s">
        <v>921</v>
      </c>
      <c r="D1130" s="40" t="s">
        <v>653</v>
      </c>
      <c r="E1130" s="40" t="s">
        <v>716</v>
      </c>
      <c r="F1130" s="40"/>
      <c r="G1130" s="41" t="s">
        <v>706</v>
      </c>
      <c r="H1130" s="42">
        <v>42</v>
      </c>
      <c r="I1130" s="43">
        <v>4</v>
      </c>
      <c r="J1130" s="44">
        <v>58.98</v>
      </c>
      <c r="K1130" s="45">
        <v>82</v>
      </c>
      <c r="L1130" s="43">
        <v>9</v>
      </c>
      <c r="M1130" s="46">
        <v>1.1399999999999999</v>
      </c>
      <c r="N1130" s="40" t="s">
        <v>704</v>
      </c>
      <c r="O1130" s="42">
        <v>42</v>
      </c>
      <c r="P1130" s="43">
        <v>5</v>
      </c>
      <c r="Q1130" s="44">
        <v>33</v>
      </c>
      <c r="R1130" s="45">
        <v>82</v>
      </c>
      <c r="S1130" s="43">
        <v>8</v>
      </c>
      <c r="T1130" s="46">
        <v>54.54</v>
      </c>
      <c r="U1130" s="40">
        <v>3</v>
      </c>
      <c r="V1130" s="47">
        <v>3479.7571170740002</v>
      </c>
      <c r="W1130" s="48">
        <v>1957</v>
      </c>
      <c r="X1130" s="40"/>
      <c r="Y1130" s="53" t="s">
        <v>1082</v>
      </c>
      <c r="Z1130" s="40" t="s">
        <v>910</v>
      </c>
      <c r="AA1130" s="49">
        <f t="shared" si="160"/>
        <v>82087.470391775671</v>
      </c>
      <c r="AB1130" s="71">
        <f t="shared" si="161"/>
        <v>0.80</v>
      </c>
      <c r="AC1130" s="49">
        <f t="shared" si="162"/>
        <v>16417.490000000002</v>
      </c>
      <c r="AD1130" s="50">
        <f t="shared" si="163"/>
        <v>0</v>
      </c>
      <c r="AE1130" s="50">
        <f t="shared" si="164"/>
        <v>0</v>
      </c>
      <c r="AF1130" s="50">
        <f t="shared" si="165"/>
        <v>16417.490000000002</v>
      </c>
      <c r="AG1130" s="199">
        <f t="shared" si="166"/>
        <v>16417</v>
      </c>
      <c r="AH1130" s="187"/>
      <c r="AI1130" s="185" t="s">
        <v>1463</v>
      </c>
      <c r="AJ1130" s="185"/>
      <c r="AK1130" s="277">
        <f t="shared" si="159"/>
        <v>3479.76</v>
      </c>
      <c r="AL1130" s="25">
        <f>(SUMIFS('T1 2019 Pipeline Data Lagasco'!$O:$O,'T1 2019 Pipeline Data Lagasco'!$A:$A,'Dec 31 2018 OFFS'!$AI1130,'T1 2019 Pipeline Data Lagasco'!$Q:$Q,'Dec 31 2018 OFFS'!$AK1130,'T1 2019 Pipeline Data Lagasco'!$E:$E,'Dec 31 2018 OFFS'!$U1130,'T1 2019 Pipeline Data Lagasco'!$G:$G,'Dec 31 2018 OFFS'!$W1130))/(MAX(COUNTIFS('T1 2019 Pipeline Data Lagasco'!$A:$A,'Dec 31 2018 OFFS'!$AI1130,'T1 2019 Pipeline Data Lagasco'!$Q:$Q,'Dec 31 2018 OFFS'!$AK1130,'T1 2019 Pipeline Data Lagasco'!$E:$E,'Dec 31 2018 OFFS'!$U1130,'T1 2019 Pipeline Data Lagasco'!$G:$G,'Dec 31 2018 OFFS'!$W1130),1))</f>
        <v>16417</v>
      </c>
      <c r="AM1130" s="274">
        <f t="shared" si="167"/>
        <v>0</v>
      </c>
    </row>
    <row r="1131" spans="1:39" ht="12.7">
      <c r="A1131" s="193" t="s">
        <v>909</v>
      </c>
      <c r="B1131" s="139" t="s">
        <v>917</v>
      </c>
      <c r="C1131" s="139" t="s">
        <v>921</v>
      </c>
      <c r="D1131" s="139" t="s">
        <v>653</v>
      </c>
      <c r="E1131" s="139" t="s">
        <v>716</v>
      </c>
      <c r="F1131" s="40"/>
      <c r="G1131" s="155" t="s">
        <v>654</v>
      </c>
      <c r="H1131" s="42"/>
      <c r="I1131" s="43"/>
      <c r="J1131" s="44"/>
      <c r="K1131" s="45"/>
      <c r="L1131" s="43"/>
      <c r="M1131" s="46"/>
      <c r="N1131" s="139" t="s">
        <v>710</v>
      </c>
      <c r="O1131" s="42"/>
      <c r="P1131" s="43"/>
      <c r="Q1131" s="44"/>
      <c r="R1131" s="45"/>
      <c r="S1131" s="43"/>
      <c r="T1131" s="46"/>
      <c r="U1131" s="40">
        <v>6</v>
      </c>
      <c r="V1131" s="47">
        <v>12707</v>
      </c>
      <c r="W1131" s="48">
        <v>1994</v>
      </c>
      <c r="X1131" s="40"/>
      <c r="Y1131" s="53" t="s">
        <v>1082</v>
      </c>
      <c r="Z1131" s="139" t="s">
        <v>910</v>
      </c>
      <c r="AA1131" s="49">
        <f t="shared" si="160"/>
        <v>440043.41000000003</v>
      </c>
      <c r="AB1131" s="71">
        <f t="shared" si="161"/>
        <v>0.68</v>
      </c>
      <c r="AC1131" s="49">
        <f t="shared" si="162"/>
        <v>140813.89000000001</v>
      </c>
      <c r="AD1131" s="50">
        <f t="shared" si="163"/>
        <v>0</v>
      </c>
      <c r="AE1131" s="50">
        <f t="shared" si="164"/>
        <v>0</v>
      </c>
      <c r="AF1131" s="50">
        <f t="shared" si="165"/>
        <v>140813.89000000001</v>
      </c>
      <c r="AG1131" s="199">
        <f t="shared" si="166"/>
        <v>140813</v>
      </c>
      <c r="AH1131" s="187"/>
      <c r="AI1131" s="185" t="s">
        <v>1463</v>
      </c>
      <c r="AJ1131" s="185"/>
      <c r="AK1131" s="277">
        <f t="shared" si="159"/>
        <v>12707</v>
      </c>
      <c r="AL1131" s="25">
        <f>(SUMIFS('T1 2019 Pipeline Data Lagasco'!$O:$O,'T1 2019 Pipeline Data Lagasco'!$A:$A,'Dec 31 2018 OFFS'!$AI1131,'T1 2019 Pipeline Data Lagasco'!$Q:$Q,'Dec 31 2018 OFFS'!$AK1131,'T1 2019 Pipeline Data Lagasco'!$E:$E,'Dec 31 2018 OFFS'!$U1131,'T1 2019 Pipeline Data Lagasco'!$G:$G,'Dec 31 2018 OFFS'!$W1131))/(MAX(COUNTIFS('T1 2019 Pipeline Data Lagasco'!$A:$A,'Dec 31 2018 OFFS'!$AI1131,'T1 2019 Pipeline Data Lagasco'!$Q:$Q,'Dec 31 2018 OFFS'!$AK1131,'T1 2019 Pipeline Data Lagasco'!$E:$E,'Dec 31 2018 OFFS'!$U1131,'T1 2019 Pipeline Data Lagasco'!$G:$G,'Dec 31 2018 OFFS'!$W1131),1))</f>
        <v>140813</v>
      </c>
      <c r="AM1131" s="274">
        <f t="shared" si="167"/>
        <v>0</v>
      </c>
    </row>
    <row r="1132" spans="1:39" ht="12.7">
      <c r="A1132" s="193" t="s">
        <v>909</v>
      </c>
      <c r="B1132" s="40" t="s">
        <v>917</v>
      </c>
      <c r="C1132" s="40" t="s">
        <v>921</v>
      </c>
      <c r="D1132" s="40" t="s">
        <v>653</v>
      </c>
      <c r="E1132" s="40" t="s">
        <v>1220</v>
      </c>
      <c r="F1132" s="40"/>
      <c r="G1132" s="41" t="s">
        <v>713</v>
      </c>
      <c r="H1132" s="42">
        <v>42</v>
      </c>
      <c r="I1132" s="43">
        <v>5</v>
      </c>
      <c r="J1132" s="44">
        <f>0.006*60</f>
        <v>0.36</v>
      </c>
      <c r="K1132" s="45">
        <v>82</v>
      </c>
      <c r="L1132" s="43">
        <v>19</v>
      </c>
      <c r="M1132" s="46">
        <f>0.031*60</f>
        <v>1.86</v>
      </c>
      <c r="N1132" s="41" t="s">
        <v>667</v>
      </c>
      <c r="O1132" s="42">
        <v>42</v>
      </c>
      <c r="P1132" s="43">
        <v>5</v>
      </c>
      <c r="Q1132" s="44">
        <v>45.24</v>
      </c>
      <c r="R1132" s="45">
        <v>82</v>
      </c>
      <c r="S1132" s="43">
        <v>17</v>
      </c>
      <c r="T1132" s="46">
        <v>42.18</v>
      </c>
      <c r="U1132" s="40">
        <v>4</v>
      </c>
      <c r="V1132" s="47">
        <v>7532.8737975959993</v>
      </c>
      <c r="W1132" s="48">
        <v>1994</v>
      </c>
      <c r="X1132" s="40"/>
      <c r="Y1132" s="53" t="s">
        <v>1082</v>
      </c>
      <c r="Z1132" s="40" t="s">
        <v>910</v>
      </c>
      <c r="AA1132" s="49">
        <f t="shared" si="160"/>
        <v>199244.51194641419</v>
      </c>
      <c r="AB1132" s="71">
        <f t="shared" si="161"/>
        <v>0.68</v>
      </c>
      <c r="AC1132" s="49">
        <f t="shared" si="162"/>
        <v>63758.24</v>
      </c>
      <c r="AD1132" s="50">
        <f t="shared" si="163"/>
        <v>0</v>
      </c>
      <c r="AE1132" s="50">
        <f t="shared" si="164"/>
        <v>0</v>
      </c>
      <c r="AF1132" s="50">
        <f t="shared" si="165"/>
        <v>63758.24</v>
      </c>
      <c r="AG1132" s="199">
        <f t="shared" si="166"/>
        <v>63758</v>
      </c>
      <c r="AH1132" s="187"/>
      <c r="AI1132" s="185" t="s">
        <v>1463</v>
      </c>
      <c r="AJ1132" s="185"/>
      <c r="AK1132" s="277">
        <f t="shared" si="159"/>
        <v>7532.87</v>
      </c>
      <c r="AL1132" s="25">
        <f>(SUMIFS('T1 2019 Pipeline Data Lagasco'!$O:$O,'T1 2019 Pipeline Data Lagasco'!$A:$A,'Dec 31 2018 OFFS'!$AI1132,'T1 2019 Pipeline Data Lagasco'!$Q:$Q,'Dec 31 2018 OFFS'!$AK1132,'T1 2019 Pipeline Data Lagasco'!$E:$E,'Dec 31 2018 OFFS'!$U1132,'T1 2019 Pipeline Data Lagasco'!$G:$G,'Dec 31 2018 OFFS'!$W1132))/(MAX(COUNTIFS('T1 2019 Pipeline Data Lagasco'!$A:$A,'Dec 31 2018 OFFS'!$AI1132,'T1 2019 Pipeline Data Lagasco'!$Q:$Q,'Dec 31 2018 OFFS'!$AK1132,'T1 2019 Pipeline Data Lagasco'!$E:$E,'Dec 31 2018 OFFS'!$U1132,'T1 2019 Pipeline Data Lagasco'!$G:$G,'Dec 31 2018 OFFS'!$W1132),1))</f>
        <v>63758</v>
      </c>
      <c r="AM1132" s="274">
        <f t="shared" si="167"/>
        <v>0</v>
      </c>
    </row>
    <row r="1133" spans="1:39" ht="12.7">
      <c r="A1133" s="193" t="s">
        <v>909</v>
      </c>
      <c r="B1133" s="40" t="s">
        <v>917</v>
      </c>
      <c r="C1133" s="40" t="s">
        <v>921</v>
      </c>
      <c r="D1133" s="40" t="s">
        <v>653</v>
      </c>
      <c r="E1133" s="40" t="s">
        <v>1220</v>
      </c>
      <c r="F1133" s="40"/>
      <c r="G1133" s="41" t="s">
        <v>1362</v>
      </c>
      <c r="H1133" s="42">
        <v>42</v>
      </c>
      <c r="I1133" s="43">
        <v>4</v>
      </c>
      <c r="J1133" s="44">
        <f>0.387*60</f>
        <v>23.22</v>
      </c>
      <c r="K1133" s="45">
        <v>82</v>
      </c>
      <c r="L1133" s="43">
        <v>16</v>
      </c>
      <c r="M1133" s="46">
        <f>0.475*60</f>
        <v>28.50</v>
      </c>
      <c r="N1133" s="41" t="s">
        <v>668</v>
      </c>
      <c r="O1133" s="42">
        <v>42</v>
      </c>
      <c r="P1133" s="43">
        <v>4</v>
      </c>
      <c r="Q1133" s="44">
        <f>0.416*60</f>
        <v>24.959999999999997</v>
      </c>
      <c r="R1133" s="45">
        <v>82</v>
      </c>
      <c r="S1133" s="43">
        <v>16</v>
      </c>
      <c r="T1133" s="46">
        <f>0.586*60</f>
        <v>35.159999999999997</v>
      </c>
      <c r="U1133" s="40">
        <v>4</v>
      </c>
      <c r="V1133" s="47">
        <v>500</v>
      </c>
      <c r="W1133" s="48">
        <v>2010</v>
      </c>
      <c r="X1133" s="40"/>
      <c r="Y1133" s="53" t="s">
        <v>1082</v>
      </c>
      <c r="Z1133" s="40" t="s">
        <v>910</v>
      </c>
      <c r="AA1133" s="49">
        <f t="shared" si="160"/>
        <v>13225</v>
      </c>
      <c r="AB1133" s="71">
        <f t="shared" si="161"/>
        <v>0.39</v>
      </c>
      <c r="AC1133" s="49">
        <f t="shared" si="162"/>
        <v>8067.25</v>
      </c>
      <c r="AD1133" s="50">
        <f t="shared" si="163"/>
        <v>0</v>
      </c>
      <c r="AE1133" s="50">
        <f t="shared" si="164"/>
        <v>0</v>
      </c>
      <c r="AF1133" s="50">
        <f t="shared" si="165"/>
        <v>8067.25</v>
      </c>
      <c r="AG1133" s="199">
        <f t="shared" si="166"/>
        <v>8067</v>
      </c>
      <c r="AH1133" s="187"/>
      <c r="AI1133" s="185" t="s">
        <v>1463</v>
      </c>
      <c r="AJ1133" s="185"/>
      <c r="AK1133" s="277">
        <f t="shared" si="159"/>
        <v>500</v>
      </c>
      <c r="AL1133" s="25">
        <f>(SUMIFS('T1 2019 Pipeline Data Lagasco'!$O:$O,'T1 2019 Pipeline Data Lagasco'!$A:$A,'Dec 31 2018 OFFS'!$AI1133,'T1 2019 Pipeline Data Lagasco'!$Q:$Q,'Dec 31 2018 OFFS'!$AK1133,'T1 2019 Pipeline Data Lagasco'!$E:$E,'Dec 31 2018 OFFS'!$U1133,'T1 2019 Pipeline Data Lagasco'!$G:$G,'Dec 31 2018 OFFS'!$W1133))/(MAX(COUNTIFS('T1 2019 Pipeline Data Lagasco'!$A:$A,'Dec 31 2018 OFFS'!$AI1133,'T1 2019 Pipeline Data Lagasco'!$Q:$Q,'Dec 31 2018 OFFS'!$AK1133,'T1 2019 Pipeline Data Lagasco'!$E:$E,'Dec 31 2018 OFFS'!$U1133,'T1 2019 Pipeline Data Lagasco'!$G:$G,'Dec 31 2018 OFFS'!$W1133),1))</f>
        <v>8067</v>
      </c>
      <c r="AM1133" s="274">
        <f t="shared" si="167"/>
        <v>0</v>
      </c>
    </row>
    <row r="1134" spans="1:39" ht="12.7">
      <c r="A1134" s="193" t="s">
        <v>909</v>
      </c>
      <c r="B1134" s="40" t="s">
        <v>917</v>
      </c>
      <c r="C1134" s="40" t="s">
        <v>921</v>
      </c>
      <c r="D1134" s="40" t="s">
        <v>653</v>
      </c>
      <c r="E1134" s="40" t="s">
        <v>1220</v>
      </c>
      <c r="F1134" s="40"/>
      <c r="G1134" s="41" t="s">
        <v>714</v>
      </c>
      <c r="H1134" s="42">
        <v>42</v>
      </c>
      <c r="I1134" s="43">
        <v>2</v>
      </c>
      <c r="J1134" s="44">
        <v>0.81399999999999995</v>
      </c>
      <c r="K1134" s="45">
        <v>82</v>
      </c>
      <c r="L1134" s="43">
        <v>22</v>
      </c>
      <c r="M1134" s="46">
        <v>51.252000000000002</v>
      </c>
      <c r="N1134" s="41" t="s">
        <v>713</v>
      </c>
      <c r="O1134" s="42">
        <v>42</v>
      </c>
      <c r="P1134" s="43">
        <v>5</v>
      </c>
      <c r="Q1134" s="44">
        <f>0.006*60</f>
        <v>0.36</v>
      </c>
      <c r="R1134" s="45">
        <v>82</v>
      </c>
      <c r="S1134" s="43">
        <v>19</v>
      </c>
      <c r="T1134" s="46">
        <f>0.031*60</f>
        <v>1.86</v>
      </c>
      <c r="U1134" s="40">
        <v>4</v>
      </c>
      <c r="V1134" s="47">
        <v>25097.899535632001</v>
      </c>
      <c r="W1134" s="48">
        <v>1994</v>
      </c>
      <c r="X1134" s="40"/>
      <c r="Y1134" s="53" t="s">
        <v>1082</v>
      </c>
      <c r="Z1134" s="40" t="s">
        <v>910</v>
      </c>
      <c r="AA1134" s="49">
        <f t="shared" si="160"/>
        <v>663839.44271746639</v>
      </c>
      <c r="AB1134" s="71">
        <f t="shared" si="161"/>
        <v>0.68</v>
      </c>
      <c r="AC1134" s="49">
        <f t="shared" si="162"/>
        <v>212428.62</v>
      </c>
      <c r="AD1134" s="50">
        <f t="shared" si="163"/>
        <v>0</v>
      </c>
      <c r="AE1134" s="50">
        <f t="shared" si="164"/>
        <v>0</v>
      </c>
      <c r="AF1134" s="50">
        <f t="shared" si="165"/>
        <v>212428.62</v>
      </c>
      <c r="AG1134" s="199">
        <f t="shared" si="166"/>
        <v>212428</v>
      </c>
      <c r="AH1134" s="187"/>
      <c r="AI1134" s="185" t="s">
        <v>1463</v>
      </c>
      <c r="AJ1134" s="185"/>
      <c r="AK1134" s="277">
        <f t="shared" si="159"/>
        <v>25097.90</v>
      </c>
      <c r="AL1134" s="25">
        <f>(SUMIFS('T1 2019 Pipeline Data Lagasco'!$O:$O,'T1 2019 Pipeline Data Lagasco'!$A:$A,'Dec 31 2018 OFFS'!$AI1134,'T1 2019 Pipeline Data Lagasco'!$Q:$Q,'Dec 31 2018 OFFS'!$AK1134,'T1 2019 Pipeline Data Lagasco'!$E:$E,'Dec 31 2018 OFFS'!$U1134,'T1 2019 Pipeline Data Lagasco'!$G:$G,'Dec 31 2018 OFFS'!$W1134))/(MAX(COUNTIFS('T1 2019 Pipeline Data Lagasco'!$A:$A,'Dec 31 2018 OFFS'!$AI1134,'T1 2019 Pipeline Data Lagasco'!$Q:$Q,'Dec 31 2018 OFFS'!$AK1134,'T1 2019 Pipeline Data Lagasco'!$E:$E,'Dec 31 2018 OFFS'!$U1134,'T1 2019 Pipeline Data Lagasco'!$G:$G,'Dec 31 2018 OFFS'!$W1134),1))</f>
        <v>212428</v>
      </c>
      <c r="AM1134" s="274">
        <f t="shared" si="167"/>
        <v>0</v>
      </c>
    </row>
    <row r="1135" spans="1:39" ht="12.7">
      <c r="A1135" s="193" t="s">
        <v>909</v>
      </c>
      <c r="B1135" s="40" t="s">
        <v>917</v>
      </c>
      <c r="C1135" s="40" t="s">
        <v>921</v>
      </c>
      <c r="D1135" s="40" t="s">
        <v>653</v>
      </c>
      <c r="E1135" s="40" t="s">
        <v>1220</v>
      </c>
      <c r="F1135" s="40"/>
      <c r="G1135" s="41" t="s">
        <v>715</v>
      </c>
      <c r="H1135" s="42">
        <v>42</v>
      </c>
      <c r="I1135" s="43">
        <v>0</v>
      </c>
      <c r="J1135" s="44">
        <v>36.36</v>
      </c>
      <c r="K1135" s="45">
        <v>82</v>
      </c>
      <c r="L1135" s="43">
        <v>24</v>
      </c>
      <c r="M1135" s="46">
        <v>34.68</v>
      </c>
      <c r="N1135" s="41" t="s">
        <v>714</v>
      </c>
      <c r="O1135" s="42">
        <v>42</v>
      </c>
      <c r="P1135" s="43">
        <v>2</v>
      </c>
      <c r="Q1135" s="44">
        <v>0.81399999999999995</v>
      </c>
      <c r="R1135" s="45">
        <v>82</v>
      </c>
      <c r="S1135" s="43">
        <v>22</v>
      </c>
      <c r="T1135" s="46">
        <v>51.252000000000002</v>
      </c>
      <c r="U1135" s="40">
        <v>4</v>
      </c>
      <c r="V1135" s="47">
        <v>11578.477354975999</v>
      </c>
      <c r="W1135" s="48">
        <v>1994</v>
      </c>
      <c r="X1135" s="40"/>
      <c r="Y1135" s="53" t="s">
        <v>1082</v>
      </c>
      <c r="Z1135" s="40" t="s">
        <v>910</v>
      </c>
      <c r="AA1135" s="49">
        <f t="shared" si="160"/>
        <v>306250.72603911516</v>
      </c>
      <c r="AB1135" s="71">
        <f t="shared" si="161"/>
        <v>0.68</v>
      </c>
      <c r="AC1135" s="49">
        <f t="shared" si="162"/>
        <v>98000.23</v>
      </c>
      <c r="AD1135" s="50">
        <f t="shared" si="163"/>
        <v>0</v>
      </c>
      <c r="AE1135" s="50">
        <f t="shared" si="164"/>
        <v>0</v>
      </c>
      <c r="AF1135" s="50">
        <f t="shared" si="165"/>
        <v>98000.23</v>
      </c>
      <c r="AG1135" s="199">
        <f t="shared" si="166"/>
        <v>98000</v>
      </c>
      <c r="AH1135" s="187"/>
      <c r="AI1135" s="185" t="s">
        <v>1463</v>
      </c>
      <c r="AJ1135" s="185"/>
      <c r="AK1135" s="277">
        <f t="shared" si="159"/>
        <v>11578.48</v>
      </c>
      <c r="AL1135" s="25">
        <f>(SUMIFS('T1 2019 Pipeline Data Lagasco'!$O:$O,'T1 2019 Pipeline Data Lagasco'!$A:$A,'Dec 31 2018 OFFS'!$AI1135,'T1 2019 Pipeline Data Lagasco'!$Q:$Q,'Dec 31 2018 OFFS'!$AK1135,'T1 2019 Pipeline Data Lagasco'!$E:$E,'Dec 31 2018 OFFS'!$U1135,'T1 2019 Pipeline Data Lagasco'!$G:$G,'Dec 31 2018 OFFS'!$W1135))/(MAX(COUNTIFS('T1 2019 Pipeline Data Lagasco'!$A:$A,'Dec 31 2018 OFFS'!$AI1135,'T1 2019 Pipeline Data Lagasco'!$Q:$Q,'Dec 31 2018 OFFS'!$AK1135,'T1 2019 Pipeline Data Lagasco'!$E:$E,'Dec 31 2018 OFFS'!$U1135,'T1 2019 Pipeline Data Lagasco'!$G:$G,'Dec 31 2018 OFFS'!$W1135),1))</f>
        <v>98000</v>
      </c>
      <c r="AM1135" s="274">
        <f t="shared" si="167"/>
        <v>0</v>
      </c>
    </row>
    <row r="1136" spans="1:39" ht="12.7">
      <c r="A1136" s="193" t="s">
        <v>909</v>
      </c>
      <c r="B1136" s="40" t="s">
        <v>917</v>
      </c>
      <c r="C1136" s="40" t="s">
        <v>921</v>
      </c>
      <c r="D1136" s="40" t="s">
        <v>653</v>
      </c>
      <c r="E1136" s="40" t="s">
        <v>1220</v>
      </c>
      <c r="F1136" s="40" t="s">
        <v>1051</v>
      </c>
      <c r="G1136" s="41" t="s">
        <v>715</v>
      </c>
      <c r="H1136" s="42">
        <v>42</v>
      </c>
      <c r="I1136" s="43">
        <v>0</v>
      </c>
      <c r="J1136" s="44">
        <v>36.36</v>
      </c>
      <c r="K1136" s="45">
        <v>82</v>
      </c>
      <c r="L1136" s="43">
        <v>24</v>
      </c>
      <c r="M1136" s="46">
        <v>34.68</v>
      </c>
      <c r="N1136" s="41" t="s">
        <v>717</v>
      </c>
      <c r="O1136" s="42">
        <v>42</v>
      </c>
      <c r="P1136" s="43">
        <v>1</v>
      </c>
      <c r="Q1136" s="44">
        <v>4.1399999999999997</v>
      </c>
      <c r="R1136" s="45">
        <v>82</v>
      </c>
      <c r="S1136" s="43">
        <v>25</v>
      </c>
      <c r="T1136" s="46">
        <v>12.06</v>
      </c>
      <c r="U1136" s="40">
        <v>4</v>
      </c>
      <c r="V1136" s="47">
        <v>3984.219044722</v>
      </c>
      <c r="W1136" s="48">
        <v>1994</v>
      </c>
      <c r="X1136" s="40"/>
      <c r="Y1136" s="53" t="s">
        <v>1082</v>
      </c>
      <c r="Z1136" s="40" t="s">
        <v>910</v>
      </c>
      <c r="AA1136" s="49">
        <f t="shared" si="160"/>
        <v>0</v>
      </c>
      <c r="AB1136" s="71">
        <f t="shared" si="161"/>
        <v>0.68</v>
      </c>
      <c r="AC1136" s="49">
        <f t="shared" si="162"/>
        <v>0</v>
      </c>
      <c r="AD1136" s="50">
        <f t="shared" si="163"/>
        <v>0</v>
      </c>
      <c r="AE1136" s="50">
        <f t="shared" si="164"/>
        <v>0</v>
      </c>
      <c r="AF1136" s="50">
        <f t="shared" si="165"/>
        <v>0</v>
      </c>
      <c r="AG1136" s="199">
        <f t="shared" si="166"/>
        <v>0</v>
      </c>
      <c r="AH1136" s="187"/>
      <c r="AI1136" s="185" t="s">
        <v>1463</v>
      </c>
      <c r="AJ1136" s="185"/>
      <c r="AK1136" s="277">
        <f t="shared" si="159"/>
        <v>3984.22</v>
      </c>
      <c r="AL1136" s="25">
        <f>(SUMIFS('T1 2019 Pipeline Data Lagasco'!$O:$O,'T1 2019 Pipeline Data Lagasco'!$A:$A,'Dec 31 2018 OFFS'!$AI1136,'T1 2019 Pipeline Data Lagasco'!$Q:$Q,'Dec 31 2018 OFFS'!$AK1136,'T1 2019 Pipeline Data Lagasco'!$E:$E,'Dec 31 2018 OFFS'!$U1136,'T1 2019 Pipeline Data Lagasco'!$G:$G,'Dec 31 2018 OFFS'!$W1136))/(MAX(COUNTIFS('T1 2019 Pipeline Data Lagasco'!$A:$A,'Dec 31 2018 OFFS'!$AI1136,'T1 2019 Pipeline Data Lagasco'!$Q:$Q,'Dec 31 2018 OFFS'!$AK1136,'T1 2019 Pipeline Data Lagasco'!$E:$E,'Dec 31 2018 OFFS'!$U1136,'T1 2019 Pipeline Data Lagasco'!$G:$G,'Dec 31 2018 OFFS'!$W1136),1))</f>
        <v>0</v>
      </c>
      <c r="AM1136" s="274">
        <f t="shared" si="167"/>
        <v>0</v>
      </c>
    </row>
    <row r="1137" spans="1:39" s="126" customFormat="1" ht="15">
      <c r="A1137" s="193" t="s">
        <v>909</v>
      </c>
      <c r="B1137" s="40" t="s">
        <v>917</v>
      </c>
      <c r="C1137" s="40" t="s">
        <v>921</v>
      </c>
      <c r="D1137" s="40" t="s">
        <v>653</v>
      </c>
      <c r="E1137" s="40" t="s">
        <v>1220</v>
      </c>
      <c r="F1137" s="40"/>
      <c r="G1137" s="41" t="s">
        <v>718</v>
      </c>
      <c r="H1137" s="42">
        <v>42</v>
      </c>
      <c r="I1137" s="43">
        <v>0</v>
      </c>
      <c r="J1137" s="44">
        <v>20.033999999999999</v>
      </c>
      <c r="K1137" s="45">
        <v>82</v>
      </c>
      <c r="L1137" s="43">
        <v>24</v>
      </c>
      <c r="M1137" s="46">
        <v>57.640999999999998</v>
      </c>
      <c r="N1137" s="41" t="s">
        <v>715</v>
      </c>
      <c r="O1137" s="42">
        <v>42</v>
      </c>
      <c r="P1137" s="43">
        <v>0</v>
      </c>
      <c r="Q1137" s="44">
        <v>36.36</v>
      </c>
      <c r="R1137" s="45">
        <v>82</v>
      </c>
      <c r="S1137" s="43">
        <v>24</v>
      </c>
      <c r="T1137" s="46">
        <v>34.68</v>
      </c>
      <c r="U1137" s="40">
        <v>4</v>
      </c>
      <c r="V1137" s="47">
        <v>2395.3083295820002</v>
      </c>
      <c r="W1137" s="48">
        <v>1994</v>
      </c>
      <c r="X1137" s="40"/>
      <c r="Y1137" s="53" t="s">
        <v>1082</v>
      </c>
      <c r="Z1137" s="40" t="s">
        <v>910</v>
      </c>
      <c r="AA1137" s="49">
        <f t="shared" si="160"/>
        <v>63355.905317443903</v>
      </c>
      <c r="AB1137" s="71">
        <f t="shared" si="161"/>
        <v>0.68</v>
      </c>
      <c r="AC1137" s="49">
        <f t="shared" si="162"/>
        <v>20273.89</v>
      </c>
      <c r="AD1137" s="50">
        <f t="shared" si="163"/>
        <v>0</v>
      </c>
      <c r="AE1137" s="50">
        <f t="shared" si="164"/>
        <v>0</v>
      </c>
      <c r="AF1137" s="50">
        <f t="shared" si="165"/>
        <v>20273.89</v>
      </c>
      <c r="AG1137" s="199">
        <f t="shared" si="166"/>
        <v>20273</v>
      </c>
      <c r="AH1137" s="187"/>
      <c r="AI1137" s="185" t="s">
        <v>1463</v>
      </c>
      <c r="AJ1137" s="185"/>
      <c r="AK1137" s="277">
        <f t="shared" si="159"/>
        <v>2395.31</v>
      </c>
      <c r="AL1137" s="25">
        <f>(SUMIFS('T1 2019 Pipeline Data Lagasco'!$O:$O,'T1 2019 Pipeline Data Lagasco'!$A:$A,'Dec 31 2018 OFFS'!$AI1137,'T1 2019 Pipeline Data Lagasco'!$Q:$Q,'Dec 31 2018 OFFS'!$AK1137,'T1 2019 Pipeline Data Lagasco'!$E:$E,'Dec 31 2018 OFFS'!$U1137,'T1 2019 Pipeline Data Lagasco'!$G:$G,'Dec 31 2018 OFFS'!$W1137))/(MAX(COUNTIFS('T1 2019 Pipeline Data Lagasco'!$A:$A,'Dec 31 2018 OFFS'!$AI1137,'T1 2019 Pipeline Data Lagasco'!$Q:$Q,'Dec 31 2018 OFFS'!$AK1137,'T1 2019 Pipeline Data Lagasco'!$E:$E,'Dec 31 2018 OFFS'!$U1137,'T1 2019 Pipeline Data Lagasco'!$G:$G,'Dec 31 2018 OFFS'!$W1137),1))</f>
        <v>20273</v>
      </c>
      <c r="AM1137" s="274">
        <f t="shared" si="167"/>
        <v>0</v>
      </c>
    </row>
    <row r="1138" spans="1:39" s="126" customFormat="1" ht="15">
      <c r="A1138" s="193" t="s">
        <v>909</v>
      </c>
      <c r="B1138" s="40" t="s">
        <v>917</v>
      </c>
      <c r="C1138" s="40" t="s">
        <v>921</v>
      </c>
      <c r="D1138" s="40" t="s">
        <v>653</v>
      </c>
      <c r="E1138" s="40" t="s">
        <v>1220</v>
      </c>
      <c r="F1138" s="40"/>
      <c r="G1138" s="41" t="s">
        <v>719</v>
      </c>
      <c r="H1138" s="42">
        <v>41</v>
      </c>
      <c r="I1138" s="43">
        <v>59</v>
      </c>
      <c r="J1138" s="44">
        <v>29.70</v>
      </c>
      <c r="K1138" s="45">
        <v>82</v>
      </c>
      <c r="L1138" s="43">
        <v>26</v>
      </c>
      <c r="M1138" s="46">
        <v>5.34</v>
      </c>
      <c r="N1138" s="41" t="s">
        <v>718</v>
      </c>
      <c r="O1138" s="42">
        <v>42</v>
      </c>
      <c r="P1138" s="43">
        <v>0</v>
      </c>
      <c r="Q1138" s="44">
        <v>20.033999999999999</v>
      </c>
      <c r="R1138" s="45">
        <v>82</v>
      </c>
      <c r="S1138" s="43">
        <v>24</v>
      </c>
      <c r="T1138" s="46">
        <v>57.640999999999998</v>
      </c>
      <c r="U1138" s="40">
        <v>4</v>
      </c>
      <c r="V1138" s="47">
        <v>7218.2412607759998</v>
      </c>
      <c r="W1138" s="48">
        <v>1994</v>
      </c>
      <c r="X1138" s="40"/>
      <c r="Y1138" s="53" t="s">
        <v>1082</v>
      </c>
      <c r="Z1138" s="40" t="s">
        <v>910</v>
      </c>
      <c r="AA1138" s="49">
        <f t="shared" si="160"/>
        <v>190922.4813475252</v>
      </c>
      <c r="AB1138" s="71">
        <f t="shared" si="161"/>
        <v>0.68</v>
      </c>
      <c r="AC1138" s="49">
        <f t="shared" si="162"/>
        <v>61095.19</v>
      </c>
      <c r="AD1138" s="50">
        <f t="shared" si="163"/>
        <v>0</v>
      </c>
      <c r="AE1138" s="50">
        <f t="shared" si="164"/>
        <v>0</v>
      </c>
      <c r="AF1138" s="50">
        <f t="shared" si="165"/>
        <v>61095.19</v>
      </c>
      <c r="AG1138" s="199">
        <f t="shared" si="166"/>
        <v>61095</v>
      </c>
      <c r="AH1138" s="187"/>
      <c r="AI1138" s="185" t="s">
        <v>1463</v>
      </c>
      <c r="AJ1138" s="185"/>
      <c r="AK1138" s="277">
        <f t="shared" si="159"/>
        <v>7218.24</v>
      </c>
      <c r="AL1138" s="25">
        <f>(SUMIFS('T1 2019 Pipeline Data Lagasco'!$O:$O,'T1 2019 Pipeline Data Lagasco'!$A:$A,'Dec 31 2018 OFFS'!$AI1138,'T1 2019 Pipeline Data Lagasco'!$Q:$Q,'Dec 31 2018 OFFS'!$AK1138,'T1 2019 Pipeline Data Lagasco'!$E:$E,'Dec 31 2018 OFFS'!$U1138,'T1 2019 Pipeline Data Lagasco'!$G:$G,'Dec 31 2018 OFFS'!$W1138))/(MAX(COUNTIFS('T1 2019 Pipeline Data Lagasco'!$A:$A,'Dec 31 2018 OFFS'!$AI1138,'T1 2019 Pipeline Data Lagasco'!$Q:$Q,'Dec 31 2018 OFFS'!$AK1138,'T1 2019 Pipeline Data Lagasco'!$E:$E,'Dec 31 2018 OFFS'!$U1138,'T1 2019 Pipeline Data Lagasco'!$G:$G,'Dec 31 2018 OFFS'!$W1138),1))</f>
        <v>61095</v>
      </c>
      <c r="AM1138" s="274">
        <f t="shared" si="167"/>
        <v>0</v>
      </c>
    </row>
    <row r="1139" spans="1:39" s="126" customFormat="1" ht="15">
      <c r="A1139" s="193" t="s">
        <v>909</v>
      </c>
      <c r="B1139" s="40" t="s">
        <v>917</v>
      </c>
      <c r="C1139" s="40" t="s">
        <v>921</v>
      </c>
      <c r="D1139" s="40" t="s">
        <v>653</v>
      </c>
      <c r="E1139" s="40" t="s">
        <v>1220</v>
      </c>
      <c r="F1139" s="40" t="s">
        <v>1051</v>
      </c>
      <c r="G1139" s="41" t="s">
        <v>720</v>
      </c>
      <c r="H1139" s="42">
        <v>41</v>
      </c>
      <c r="I1139" s="43">
        <v>57</v>
      </c>
      <c r="J1139" s="44">
        <v>58.795999999999999</v>
      </c>
      <c r="K1139" s="45">
        <v>82</v>
      </c>
      <c r="L1139" s="43">
        <v>27</v>
      </c>
      <c r="M1139" s="46">
        <v>10.864000000000001</v>
      </c>
      <c r="N1139" s="41" t="s">
        <v>719</v>
      </c>
      <c r="O1139" s="42">
        <v>41</v>
      </c>
      <c r="P1139" s="43">
        <v>59</v>
      </c>
      <c r="Q1139" s="44">
        <v>29.70</v>
      </c>
      <c r="R1139" s="45">
        <v>82</v>
      </c>
      <c r="S1139" s="43">
        <v>26</v>
      </c>
      <c r="T1139" s="46">
        <v>5.34</v>
      </c>
      <c r="U1139" s="40">
        <v>4</v>
      </c>
      <c r="V1139" s="47">
        <v>10449.57</v>
      </c>
      <c r="W1139" s="48">
        <v>1994</v>
      </c>
      <c r="X1139" s="40"/>
      <c r="Y1139" s="53" t="s">
        <v>1082</v>
      </c>
      <c r="Z1139" s="40" t="s">
        <v>910</v>
      </c>
      <c r="AA1139" s="49">
        <f t="shared" si="160"/>
        <v>0</v>
      </c>
      <c r="AB1139" s="71">
        <f t="shared" si="161"/>
        <v>0.68</v>
      </c>
      <c r="AC1139" s="49">
        <f t="shared" si="162"/>
        <v>0</v>
      </c>
      <c r="AD1139" s="50">
        <f t="shared" si="163"/>
        <v>0</v>
      </c>
      <c r="AE1139" s="50">
        <f t="shared" si="164"/>
        <v>0</v>
      </c>
      <c r="AF1139" s="50">
        <f t="shared" si="165"/>
        <v>0</v>
      </c>
      <c r="AG1139" s="199">
        <f t="shared" si="166"/>
        <v>0</v>
      </c>
      <c r="AH1139" s="187"/>
      <c r="AI1139" s="185" t="s">
        <v>1463</v>
      </c>
      <c r="AJ1139" s="185"/>
      <c r="AK1139" s="277">
        <f t="shared" si="159"/>
        <v>10449.57</v>
      </c>
      <c r="AL1139" s="25">
        <f>(SUMIFS('T1 2019 Pipeline Data Lagasco'!$O:$O,'T1 2019 Pipeline Data Lagasco'!$A:$A,'Dec 31 2018 OFFS'!$AI1139,'T1 2019 Pipeline Data Lagasco'!$Q:$Q,'Dec 31 2018 OFFS'!$AK1139,'T1 2019 Pipeline Data Lagasco'!$E:$E,'Dec 31 2018 OFFS'!$U1139,'T1 2019 Pipeline Data Lagasco'!$G:$G,'Dec 31 2018 OFFS'!$W1139))/(MAX(COUNTIFS('T1 2019 Pipeline Data Lagasco'!$A:$A,'Dec 31 2018 OFFS'!$AI1139,'T1 2019 Pipeline Data Lagasco'!$Q:$Q,'Dec 31 2018 OFFS'!$AK1139,'T1 2019 Pipeline Data Lagasco'!$E:$E,'Dec 31 2018 OFFS'!$U1139,'T1 2019 Pipeline Data Lagasco'!$G:$G,'Dec 31 2018 OFFS'!$W1139),1))</f>
        <v>0</v>
      </c>
      <c r="AM1139" s="274">
        <f t="shared" si="167"/>
        <v>0</v>
      </c>
    </row>
    <row r="1140" spans="1:39" s="126" customFormat="1" ht="15">
      <c r="A1140" s="193" t="s">
        <v>909</v>
      </c>
      <c r="B1140" s="40" t="s">
        <v>917</v>
      </c>
      <c r="C1140" s="40" t="s">
        <v>921</v>
      </c>
      <c r="D1140" s="40" t="s">
        <v>653</v>
      </c>
      <c r="E1140" s="40" t="s">
        <v>1220</v>
      </c>
      <c r="F1140" s="40" t="s">
        <v>1051</v>
      </c>
      <c r="G1140" s="41" t="s">
        <v>721</v>
      </c>
      <c r="H1140" s="42">
        <v>41</v>
      </c>
      <c r="I1140" s="43">
        <v>55</v>
      </c>
      <c r="J1140" s="44">
        <v>32.58</v>
      </c>
      <c r="K1140" s="45">
        <v>82</v>
      </c>
      <c r="L1140" s="43">
        <v>27</v>
      </c>
      <c r="M1140" s="46">
        <v>46.08</v>
      </c>
      <c r="N1140" s="40" t="s">
        <v>722</v>
      </c>
      <c r="O1140" s="42">
        <v>41</v>
      </c>
      <c r="P1140" s="43">
        <v>55</v>
      </c>
      <c r="Q1140" s="44">
        <v>50.04</v>
      </c>
      <c r="R1140" s="45">
        <v>82</v>
      </c>
      <c r="S1140" s="43">
        <v>28</v>
      </c>
      <c r="T1140" s="46">
        <v>13.32</v>
      </c>
      <c r="U1140" s="40">
        <v>4</v>
      </c>
      <c r="V1140" s="47">
        <v>2713.94</v>
      </c>
      <c r="W1140" s="48">
        <v>1994</v>
      </c>
      <c r="X1140" s="40"/>
      <c r="Y1140" s="53" t="s">
        <v>1082</v>
      </c>
      <c r="Z1140" s="40" t="s">
        <v>910</v>
      </c>
      <c r="AA1140" s="49">
        <f t="shared" si="160"/>
        <v>0</v>
      </c>
      <c r="AB1140" s="71">
        <f t="shared" si="161"/>
        <v>0.68</v>
      </c>
      <c r="AC1140" s="49">
        <f t="shared" si="162"/>
        <v>0</v>
      </c>
      <c r="AD1140" s="50">
        <f t="shared" si="163"/>
        <v>0</v>
      </c>
      <c r="AE1140" s="50">
        <f t="shared" si="164"/>
        <v>0</v>
      </c>
      <c r="AF1140" s="50">
        <f t="shared" si="165"/>
        <v>0</v>
      </c>
      <c r="AG1140" s="199">
        <f t="shared" si="166"/>
        <v>0</v>
      </c>
      <c r="AH1140" s="187"/>
      <c r="AI1140" s="185" t="s">
        <v>1463</v>
      </c>
      <c r="AJ1140" s="185"/>
      <c r="AK1140" s="277">
        <f t="shared" si="159"/>
        <v>2713.94</v>
      </c>
      <c r="AL1140" s="25">
        <f>(SUMIFS('T1 2019 Pipeline Data Lagasco'!$O:$O,'T1 2019 Pipeline Data Lagasco'!$A:$A,'Dec 31 2018 OFFS'!$AI1140,'T1 2019 Pipeline Data Lagasco'!$Q:$Q,'Dec 31 2018 OFFS'!$AK1140,'T1 2019 Pipeline Data Lagasco'!$E:$E,'Dec 31 2018 OFFS'!$U1140,'T1 2019 Pipeline Data Lagasco'!$G:$G,'Dec 31 2018 OFFS'!$W1140))/(MAX(COUNTIFS('T1 2019 Pipeline Data Lagasco'!$A:$A,'Dec 31 2018 OFFS'!$AI1140,'T1 2019 Pipeline Data Lagasco'!$Q:$Q,'Dec 31 2018 OFFS'!$AK1140,'T1 2019 Pipeline Data Lagasco'!$E:$E,'Dec 31 2018 OFFS'!$U1140,'T1 2019 Pipeline Data Lagasco'!$G:$G,'Dec 31 2018 OFFS'!$W1140),1))</f>
        <v>0</v>
      </c>
      <c r="AM1140" s="274">
        <f t="shared" si="167"/>
        <v>0</v>
      </c>
    </row>
    <row r="1141" spans="1:39" ht="12.7">
      <c r="A1141" s="193" t="s">
        <v>909</v>
      </c>
      <c r="B1141" s="40" t="s">
        <v>917</v>
      </c>
      <c r="C1141" s="40" t="s">
        <v>921</v>
      </c>
      <c r="D1141" s="40" t="s">
        <v>653</v>
      </c>
      <c r="E1141" s="40" t="s">
        <v>1220</v>
      </c>
      <c r="F1141" s="40" t="s">
        <v>1051</v>
      </c>
      <c r="G1141" s="41" t="s">
        <v>721</v>
      </c>
      <c r="H1141" s="42">
        <v>41</v>
      </c>
      <c r="I1141" s="43">
        <v>55</v>
      </c>
      <c r="J1141" s="44">
        <v>32.58</v>
      </c>
      <c r="K1141" s="45">
        <v>82</v>
      </c>
      <c r="L1141" s="43">
        <v>27</v>
      </c>
      <c r="M1141" s="46">
        <v>46.08</v>
      </c>
      <c r="N1141" s="40" t="s">
        <v>723</v>
      </c>
      <c r="O1141" s="42">
        <v>41</v>
      </c>
      <c r="P1141" s="43">
        <v>53</v>
      </c>
      <c r="Q1141" s="44">
        <v>19.38</v>
      </c>
      <c r="R1141" s="45">
        <v>82</v>
      </c>
      <c r="S1141" s="43">
        <v>27</v>
      </c>
      <c r="T1141" s="46">
        <v>20.22</v>
      </c>
      <c r="U1141" s="40">
        <v>4</v>
      </c>
      <c r="V1141" s="47">
        <v>13610</v>
      </c>
      <c r="W1141" s="48">
        <v>1994</v>
      </c>
      <c r="X1141" s="40"/>
      <c r="Y1141" s="53" t="s">
        <v>1082</v>
      </c>
      <c r="Z1141" s="40" t="s">
        <v>910</v>
      </c>
      <c r="AA1141" s="49">
        <f t="shared" si="160"/>
        <v>0</v>
      </c>
      <c r="AB1141" s="71">
        <f t="shared" si="161"/>
        <v>0.68</v>
      </c>
      <c r="AC1141" s="49">
        <f t="shared" si="162"/>
        <v>0</v>
      </c>
      <c r="AD1141" s="50">
        <f t="shared" si="163"/>
        <v>0</v>
      </c>
      <c r="AE1141" s="50">
        <f t="shared" si="164"/>
        <v>0</v>
      </c>
      <c r="AF1141" s="50">
        <f t="shared" si="165"/>
        <v>0</v>
      </c>
      <c r="AG1141" s="199">
        <f t="shared" si="166"/>
        <v>0</v>
      </c>
      <c r="AH1141" s="187"/>
      <c r="AI1141" s="185" t="s">
        <v>1463</v>
      </c>
      <c r="AJ1141" s="185"/>
      <c r="AK1141" s="277">
        <f t="shared" si="159"/>
        <v>13610</v>
      </c>
      <c r="AL1141" s="25">
        <f>(SUMIFS('T1 2019 Pipeline Data Lagasco'!$O:$O,'T1 2019 Pipeline Data Lagasco'!$A:$A,'Dec 31 2018 OFFS'!$AI1141,'T1 2019 Pipeline Data Lagasco'!$Q:$Q,'Dec 31 2018 OFFS'!$AK1141,'T1 2019 Pipeline Data Lagasco'!$E:$E,'Dec 31 2018 OFFS'!$U1141,'T1 2019 Pipeline Data Lagasco'!$G:$G,'Dec 31 2018 OFFS'!$W1141))/(MAX(COUNTIFS('T1 2019 Pipeline Data Lagasco'!$A:$A,'Dec 31 2018 OFFS'!$AI1141,'T1 2019 Pipeline Data Lagasco'!$Q:$Q,'Dec 31 2018 OFFS'!$AK1141,'T1 2019 Pipeline Data Lagasco'!$E:$E,'Dec 31 2018 OFFS'!$U1141,'T1 2019 Pipeline Data Lagasco'!$G:$G,'Dec 31 2018 OFFS'!$W1141),1))</f>
        <v>0</v>
      </c>
      <c r="AM1141" s="274">
        <f t="shared" si="167"/>
        <v>0</v>
      </c>
    </row>
    <row r="1142" spans="1:39" ht="12.7">
      <c r="A1142" s="193" t="s">
        <v>909</v>
      </c>
      <c r="B1142" s="40" t="s">
        <v>917</v>
      </c>
      <c r="C1142" s="40" t="s">
        <v>921</v>
      </c>
      <c r="D1142" s="40" t="s">
        <v>653</v>
      </c>
      <c r="E1142" s="40" t="s">
        <v>1220</v>
      </c>
      <c r="F1142" s="40" t="s">
        <v>1051</v>
      </c>
      <c r="G1142" s="40" t="s">
        <v>722</v>
      </c>
      <c r="H1142" s="42">
        <v>41</v>
      </c>
      <c r="I1142" s="43">
        <v>55</v>
      </c>
      <c r="J1142" s="44">
        <v>50.04</v>
      </c>
      <c r="K1142" s="45">
        <v>82</v>
      </c>
      <c r="L1142" s="43">
        <v>28</v>
      </c>
      <c r="M1142" s="46">
        <v>13.32</v>
      </c>
      <c r="N1142" s="41" t="s">
        <v>720</v>
      </c>
      <c r="O1142" s="42">
        <v>41</v>
      </c>
      <c r="P1142" s="43">
        <v>57</v>
      </c>
      <c r="Q1142" s="44">
        <v>58.795999999999999</v>
      </c>
      <c r="R1142" s="45">
        <v>82</v>
      </c>
      <c r="S1142" s="43">
        <v>27</v>
      </c>
      <c r="T1142" s="46">
        <v>10.864000000000001</v>
      </c>
      <c r="U1142" s="40">
        <v>4</v>
      </c>
      <c r="V1142" s="47">
        <v>13863.35</v>
      </c>
      <c r="W1142" s="48">
        <v>1994</v>
      </c>
      <c r="X1142" s="40"/>
      <c r="Y1142" s="53" t="s">
        <v>1082</v>
      </c>
      <c r="Z1142" s="40" t="s">
        <v>910</v>
      </c>
      <c r="AA1142" s="49">
        <f t="shared" si="160"/>
        <v>0</v>
      </c>
      <c r="AB1142" s="71">
        <f t="shared" si="161"/>
        <v>0.68</v>
      </c>
      <c r="AC1142" s="49">
        <f t="shared" si="162"/>
        <v>0</v>
      </c>
      <c r="AD1142" s="50">
        <f t="shared" si="163"/>
        <v>0</v>
      </c>
      <c r="AE1142" s="50">
        <f t="shared" si="164"/>
        <v>0</v>
      </c>
      <c r="AF1142" s="50">
        <f t="shared" si="165"/>
        <v>0</v>
      </c>
      <c r="AG1142" s="199">
        <f t="shared" si="166"/>
        <v>0</v>
      </c>
      <c r="AH1142" s="187"/>
      <c r="AI1142" s="185" t="s">
        <v>1463</v>
      </c>
      <c r="AJ1142" s="185"/>
      <c r="AK1142" s="277">
        <f t="shared" si="159"/>
        <v>13863.35</v>
      </c>
      <c r="AL1142" s="25">
        <f>(SUMIFS('T1 2019 Pipeline Data Lagasco'!$O:$O,'T1 2019 Pipeline Data Lagasco'!$A:$A,'Dec 31 2018 OFFS'!$AI1142,'T1 2019 Pipeline Data Lagasco'!$Q:$Q,'Dec 31 2018 OFFS'!$AK1142,'T1 2019 Pipeline Data Lagasco'!$E:$E,'Dec 31 2018 OFFS'!$U1142,'T1 2019 Pipeline Data Lagasco'!$G:$G,'Dec 31 2018 OFFS'!$W1142))/(MAX(COUNTIFS('T1 2019 Pipeline Data Lagasco'!$A:$A,'Dec 31 2018 OFFS'!$AI1142,'T1 2019 Pipeline Data Lagasco'!$Q:$Q,'Dec 31 2018 OFFS'!$AK1142,'T1 2019 Pipeline Data Lagasco'!$E:$E,'Dec 31 2018 OFFS'!$U1142,'T1 2019 Pipeline Data Lagasco'!$G:$G,'Dec 31 2018 OFFS'!$W1142),1))</f>
        <v>0</v>
      </c>
      <c r="AM1142" s="274">
        <f t="shared" si="167"/>
        <v>0</v>
      </c>
    </row>
    <row r="1143" spans="1:39" ht="12.7">
      <c r="A1143" s="193" t="s">
        <v>909</v>
      </c>
      <c r="B1143" s="40" t="s">
        <v>917</v>
      </c>
      <c r="C1143" s="40" t="s">
        <v>921</v>
      </c>
      <c r="D1143" s="40" t="s">
        <v>653</v>
      </c>
      <c r="E1143" s="40" t="s">
        <v>1220</v>
      </c>
      <c r="F1143" s="40" t="s">
        <v>1051</v>
      </c>
      <c r="G1143" s="41" t="s">
        <v>724</v>
      </c>
      <c r="H1143" s="42">
        <v>41</v>
      </c>
      <c r="I1143" s="43">
        <v>52</v>
      </c>
      <c r="J1143" s="44">
        <v>0.90</v>
      </c>
      <c r="K1143" s="45">
        <v>82</v>
      </c>
      <c r="L1143" s="43">
        <v>27</v>
      </c>
      <c r="M1143" s="46">
        <v>8.2200000000000006</v>
      </c>
      <c r="N1143" s="40" t="s">
        <v>723</v>
      </c>
      <c r="O1143" s="42">
        <v>41</v>
      </c>
      <c r="P1143" s="43">
        <v>53</v>
      </c>
      <c r="Q1143" s="44">
        <v>19.38</v>
      </c>
      <c r="R1143" s="45">
        <v>82</v>
      </c>
      <c r="S1143" s="43">
        <v>27</v>
      </c>
      <c r="T1143" s="44">
        <v>20.22</v>
      </c>
      <c r="U1143" s="40">
        <v>4</v>
      </c>
      <c r="V1143" s="47">
        <v>7996.78</v>
      </c>
      <c r="W1143" s="48">
        <v>1994</v>
      </c>
      <c r="X1143" s="40"/>
      <c r="Y1143" s="52"/>
      <c r="Z1143" s="40" t="s">
        <v>910</v>
      </c>
      <c r="AA1143" s="49">
        <f t="shared" si="160"/>
        <v>0</v>
      </c>
      <c r="AB1143" s="71">
        <f t="shared" si="161"/>
        <v>0.68</v>
      </c>
      <c r="AC1143" s="49">
        <f t="shared" si="162"/>
        <v>0</v>
      </c>
      <c r="AD1143" s="50">
        <f t="shared" si="163"/>
        <v>0</v>
      </c>
      <c r="AE1143" s="50">
        <f t="shared" si="164"/>
        <v>0</v>
      </c>
      <c r="AF1143" s="50">
        <f t="shared" si="165"/>
        <v>0</v>
      </c>
      <c r="AG1143" s="199">
        <f t="shared" si="166"/>
        <v>0</v>
      </c>
      <c r="AH1143" s="187"/>
      <c r="AI1143" s="185" t="s">
        <v>1463</v>
      </c>
      <c r="AJ1143" s="185"/>
      <c r="AK1143" s="277">
        <f t="shared" si="159"/>
        <v>7996.78</v>
      </c>
      <c r="AL1143" s="25">
        <f>(SUMIFS('T1 2019 Pipeline Data Lagasco'!$O:$O,'T1 2019 Pipeline Data Lagasco'!$A:$A,'Dec 31 2018 OFFS'!$AI1143,'T1 2019 Pipeline Data Lagasco'!$Q:$Q,'Dec 31 2018 OFFS'!$AK1143,'T1 2019 Pipeline Data Lagasco'!$E:$E,'Dec 31 2018 OFFS'!$U1143,'T1 2019 Pipeline Data Lagasco'!$G:$G,'Dec 31 2018 OFFS'!$W1143))/(MAX(COUNTIFS('T1 2019 Pipeline Data Lagasco'!$A:$A,'Dec 31 2018 OFFS'!$AI1143,'T1 2019 Pipeline Data Lagasco'!$Q:$Q,'Dec 31 2018 OFFS'!$AK1143,'T1 2019 Pipeline Data Lagasco'!$E:$E,'Dec 31 2018 OFFS'!$U1143,'T1 2019 Pipeline Data Lagasco'!$G:$G,'Dec 31 2018 OFFS'!$W1143),1))</f>
        <v>0</v>
      </c>
      <c r="AM1143" s="274">
        <f t="shared" si="167"/>
        <v>0</v>
      </c>
    </row>
    <row r="1144" spans="1:39" ht="12.7">
      <c r="A1144" s="193" t="s">
        <v>909</v>
      </c>
      <c r="B1144" s="40" t="s">
        <v>917</v>
      </c>
      <c r="C1144" s="40" t="s">
        <v>921</v>
      </c>
      <c r="D1144" s="40" t="s">
        <v>653</v>
      </c>
      <c r="E1144" s="40" t="s">
        <v>1220</v>
      </c>
      <c r="F1144" s="40" t="s">
        <v>1051</v>
      </c>
      <c r="G1144" s="41" t="s">
        <v>946</v>
      </c>
      <c r="H1144" s="42">
        <v>41</v>
      </c>
      <c r="I1144" s="43">
        <v>51</v>
      </c>
      <c r="J1144" s="44">
        <v>54.48</v>
      </c>
      <c r="K1144" s="45">
        <v>82</v>
      </c>
      <c r="L1144" s="43">
        <v>26</v>
      </c>
      <c r="M1144" s="46">
        <v>30.90</v>
      </c>
      <c r="N1144" s="40" t="s">
        <v>724</v>
      </c>
      <c r="O1144" s="42">
        <v>41</v>
      </c>
      <c r="P1144" s="43">
        <v>52</v>
      </c>
      <c r="Q1144" s="44">
        <v>0.90</v>
      </c>
      <c r="R1144" s="45">
        <v>82</v>
      </c>
      <c r="S1144" s="43">
        <v>27</v>
      </c>
      <c r="T1144" s="44">
        <v>8.2200000000000006</v>
      </c>
      <c r="U1144" s="40">
        <v>4</v>
      </c>
      <c r="V1144" s="47">
        <v>2897.97</v>
      </c>
      <c r="W1144" s="48">
        <v>1994</v>
      </c>
      <c r="X1144" s="40"/>
      <c r="Y1144" s="52"/>
      <c r="Z1144" s="40" t="s">
        <v>910</v>
      </c>
      <c r="AA1144" s="49">
        <f t="shared" si="160"/>
        <v>0</v>
      </c>
      <c r="AB1144" s="71">
        <f t="shared" si="161"/>
        <v>0.68</v>
      </c>
      <c r="AC1144" s="49">
        <f t="shared" si="162"/>
        <v>0</v>
      </c>
      <c r="AD1144" s="50">
        <f t="shared" si="163"/>
        <v>0</v>
      </c>
      <c r="AE1144" s="50">
        <f t="shared" si="164"/>
        <v>0</v>
      </c>
      <c r="AF1144" s="50">
        <f t="shared" si="165"/>
        <v>0</v>
      </c>
      <c r="AG1144" s="199">
        <f t="shared" si="166"/>
        <v>0</v>
      </c>
      <c r="AH1144" s="187"/>
      <c r="AI1144" s="185" t="s">
        <v>1463</v>
      </c>
      <c r="AJ1144" s="185"/>
      <c r="AK1144" s="277">
        <f t="shared" si="159"/>
        <v>2897.97</v>
      </c>
      <c r="AL1144" s="25">
        <f>(SUMIFS('T1 2019 Pipeline Data Lagasco'!$O:$O,'T1 2019 Pipeline Data Lagasco'!$A:$A,'Dec 31 2018 OFFS'!$AI1144,'T1 2019 Pipeline Data Lagasco'!$Q:$Q,'Dec 31 2018 OFFS'!$AK1144,'T1 2019 Pipeline Data Lagasco'!$E:$E,'Dec 31 2018 OFFS'!$U1144,'T1 2019 Pipeline Data Lagasco'!$G:$G,'Dec 31 2018 OFFS'!$W1144))/(MAX(COUNTIFS('T1 2019 Pipeline Data Lagasco'!$A:$A,'Dec 31 2018 OFFS'!$AI1144,'T1 2019 Pipeline Data Lagasco'!$Q:$Q,'Dec 31 2018 OFFS'!$AK1144,'T1 2019 Pipeline Data Lagasco'!$E:$E,'Dec 31 2018 OFFS'!$U1144,'T1 2019 Pipeline Data Lagasco'!$G:$G,'Dec 31 2018 OFFS'!$W1144),1))</f>
        <v>0</v>
      </c>
      <c r="AM1144" s="274">
        <f t="shared" si="167"/>
        <v>0</v>
      </c>
    </row>
    <row r="1145" spans="1:39" ht="12.7">
      <c r="A1145" s="200" t="s">
        <v>909</v>
      </c>
      <c r="B1145" s="201" t="s">
        <v>917</v>
      </c>
      <c r="C1145" s="201" t="s">
        <v>921</v>
      </c>
      <c r="D1145" s="201" t="s">
        <v>653</v>
      </c>
      <c r="E1145" s="201" t="s">
        <v>1220</v>
      </c>
      <c r="F1145" s="202" t="s">
        <v>1051</v>
      </c>
      <c r="G1145" s="208" t="s">
        <v>946</v>
      </c>
      <c r="H1145" s="203">
        <v>41</v>
      </c>
      <c r="I1145" s="204">
        <v>51</v>
      </c>
      <c r="J1145" s="205">
        <f>60*0.917</f>
        <v>55.02</v>
      </c>
      <c r="K1145" s="206">
        <v>82</v>
      </c>
      <c r="L1145" s="204">
        <v>26</v>
      </c>
      <c r="M1145" s="207">
        <f>60*0.518</f>
        <v>31.08</v>
      </c>
      <c r="N1145" s="201" t="s">
        <v>1357</v>
      </c>
      <c r="O1145" s="203">
        <v>41</v>
      </c>
      <c r="P1145" s="204">
        <v>59</v>
      </c>
      <c r="Q1145" s="205">
        <f>60*0.495</f>
        <v>29.70</v>
      </c>
      <c r="R1145" s="206">
        <v>82</v>
      </c>
      <c r="S1145" s="204">
        <v>26</v>
      </c>
      <c r="T1145" s="205">
        <f>60*0.089</f>
        <v>5.34</v>
      </c>
      <c r="U1145" s="201">
        <v>4</v>
      </c>
      <c r="V1145" s="209">
        <v>46086</v>
      </c>
      <c r="W1145" s="210">
        <v>1979</v>
      </c>
      <c r="X1145" s="201"/>
      <c r="Y1145" s="52"/>
      <c r="Z1145" s="201" t="s">
        <v>910</v>
      </c>
      <c r="AA1145" s="211">
        <f t="shared" si="160"/>
        <v>0</v>
      </c>
      <c r="AB1145" s="212">
        <f t="shared" si="161"/>
        <v>0.80</v>
      </c>
      <c r="AC1145" s="211">
        <f t="shared" si="162"/>
        <v>0</v>
      </c>
      <c r="AD1145" s="213">
        <f t="shared" si="163"/>
        <v>0</v>
      </c>
      <c r="AE1145" s="213">
        <f t="shared" si="164"/>
        <v>0</v>
      </c>
      <c r="AF1145" s="213">
        <f t="shared" si="165"/>
        <v>0</v>
      </c>
      <c r="AG1145" s="214">
        <f t="shared" si="166"/>
        <v>0</v>
      </c>
      <c r="AH1145" s="215"/>
      <c r="AI1145" s="216" t="s">
        <v>1463</v>
      </c>
      <c r="AJ1145" s="216" t="s">
        <v>1560</v>
      </c>
      <c r="AK1145" s="283">
        <f t="shared" si="159"/>
        <v>46086</v>
      </c>
      <c r="AL1145" s="284">
        <f>(SUMIFS('T1 2019 Pipeline Data Lagasco'!$O:$O,'T1 2019 Pipeline Data Lagasco'!$A:$A,'Dec 31 2018 OFFS'!$AI1145,'T1 2019 Pipeline Data Lagasco'!$Q:$Q,'Dec 31 2018 OFFS'!$AK1145,'T1 2019 Pipeline Data Lagasco'!$E:$E,'Dec 31 2018 OFFS'!$U1145,'T1 2019 Pipeline Data Lagasco'!$G:$G,'Dec 31 2018 OFFS'!$W1145))/(MAX(COUNTIFS('T1 2019 Pipeline Data Lagasco'!$A:$A,'Dec 31 2018 OFFS'!$AI1145,'T1 2019 Pipeline Data Lagasco'!$Q:$Q,'Dec 31 2018 OFFS'!$AK1145,'T1 2019 Pipeline Data Lagasco'!$E:$E,'Dec 31 2018 OFFS'!$U1145,'T1 2019 Pipeline Data Lagasco'!$G:$G,'Dec 31 2018 OFFS'!$W1145),1))</f>
        <v>0</v>
      </c>
      <c r="AM1145" s="285">
        <f t="shared" si="167"/>
        <v>0</v>
      </c>
    </row>
    <row r="1146" spans="1:39" ht="12.7">
      <c r="A1146" s="193" t="s">
        <v>909</v>
      </c>
      <c r="B1146" s="40" t="s">
        <v>917</v>
      </c>
      <c r="C1146" s="40" t="s">
        <v>921</v>
      </c>
      <c r="D1146" s="40" t="s">
        <v>653</v>
      </c>
      <c r="E1146" s="40" t="s">
        <v>1220</v>
      </c>
      <c r="F1146" s="40"/>
      <c r="G1146" s="40" t="s">
        <v>1359</v>
      </c>
      <c r="H1146" s="42">
        <v>42</v>
      </c>
      <c r="I1146" s="43">
        <v>0</v>
      </c>
      <c r="J1146" s="44">
        <v>36</v>
      </c>
      <c r="K1146" s="45">
        <v>82</v>
      </c>
      <c r="L1146" s="43">
        <v>28</v>
      </c>
      <c r="M1146" s="44">
        <v>0</v>
      </c>
      <c r="N1146" s="40" t="s">
        <v>1357</v>
      </c>
      <c r="O1146" s="42">
        <v>41</v>
      </c>
      <c r="P1146" s="43">
        <v>59</v>
      </c>
      <c r="Q1146" s="44">
        <f>60*0.495</f>
        <v>29.70</v>
      </c>
      <c r="R1146" s="45">
        <v>82</v>
      </c>
      <c r="S1146" s="43">
        <v>26</v>
      </c>
      <c r="T1146" s="44">
        <f>60*0.089</f>
        <v>5.34</v>
      </c>
      <c r="U1146" s="40">
        <v>4</v>
      </c>
      <c r="V1146" s="47">
        <v>10936</v>
      </c>
      <c r="W1146" s="48">
        <v>1994</v>
      </c>
      <c r="X1146" s="40"/>
      <c r="Y1146" s="52"/>
      <c r="Z1146" s="40" t="s">
        <v>910</v>
      </c>
      <c r="AA1146" s="49">
        <f t="shared" si="160"/>
        <v>289257.20</v>
      </c>
      <c r="AB1146" s="71">
        <f t="shared" si="161"/>
        <v>0.68</v>
      </c>
      <c r="AC1146" s="49">
        <f t="shared" si="162"/>
        <v>92562.30</v>
      </c>
      <c r="AD1146" s="50">
        <f t="shared" si="163"/>
        <v>0</v>
      </c>
      <c r="AE1146" s="50">
        <f t="shared" si="164"/>
        <v>0</v>
      </c>
      <c r="AF1146" s="50">
        <f t="shared" si="165"/>
        <v>92562.30</v>
      </c>
      <c r="AG1146" s="199">
        <f t="shared" si="166"/>
        <v>92562</v>
      </c>
      <c r="AH1146" s="187"/>
      <c r="AI1146" s="185" t="s">
        <v>1463</v>
      </c>
      <c r="AJ1146" s="185"/>
      <c r="AK1146" s="277">
        <f t="shared" si="159"/>
        <v>10936</v>
      </c>
      <c r="AL1146" s="25">
        <f>(SUMIFS('T1 2019 Pipeline Data Lagasco'!$O:$O,'T1 2019 Pipeline Data Lagasco'!$A:$A,'Dec 31 2018 OFFS'!$AI1146,'T1 2019 Pipeline Data Lagasco'!$Q:$Q,'Dec 31 2018 OFFS'!$AK1146,'T1 2019 Pipeline Data Lagasco'!$E:$E,'Dec 31 2018 OFFS'!$U1146,'T1 2019 Pipeline Data Lagasco'!$G:$G,'Dec 31 2018 OFFS'!$W1146))/(MAX(COUNTIFS('T1 2019 Pipeline Data Lagasco'!$A:$A,'Dec 31 2018 OFFS'!$AI1146,'T1 2019 Pipeline Data Lagasco'!$Q:$Q,'Dec 31 2018 OFFS'!$AK1146,'T1 2019 Pipeline Data Lagasco'!$E:$E,'Dec 31 2018 OFFS'!$U1146,'T1 2019 Pipeline Data Lagasco'!$G:$G,'Dec 31 2018 OFFS'!$W1146),1))</f>
        <v>92562</v>
      </c>
      <c r="AM1146" s="274">
        <f t="shared" si="167"/>
        <v>0</v>
      </c>
    </row>
    <row r="1147" spans="1:39" ht="12.7">
      <c r="A1147" s="193" t="s">
        <v>909</v>
      </c>
      <c r="B1147" s="40" t="s">
        <v>917</v>
      </c>
      <c r="C1147" s="40" t="s">
        <v>921</v>
      </c>
      <c r="D1147" s="40" t="s">
        <v>653</v>
      </c>
      <c r="E1147" s="40" t="s">
        <v>1222</v>
      </c>
      <c r="F1147" s="40"/>
      <c r="G1147" s="41" t="s">
        <v>710</v>
      </c>
      <c r="H1147" s="42">
        <v>42</v>
      </c>
      <c r="I1147" s="43">
        <v>10</v>
      </c>
      <c r="J1147" s="44">
        <v>35</v>
      </c>
      <c r="K1147" s="45">
        <v>82</v>
      </c>
      <c r="L1147" s="43">
        <v>15</v>
      </c>
      <c r="M1147" s="46">
        <v>4</v>
      </c>
      <c r="N1147" s="41" t="s">
        <v>709</v>
      </c>
      <c r="O1147" s="42">
        <v>42</v>
      </c>
      <c r="P1147" s="43">
        <v>9</v>
      </c>
      <c r="Q1147" s="44">
        <f>0.751*60</f>
        <v>45.06</v>
      </c>
      <c r="R1147" s="45">
        <v>82</v>
      </c>
      <c r="S1147" s="43">
        <v>13</v>
      </c>
      <c r="T1147" s="46">
        <f>0.936*60</f>
        <v>56.16</v>
      </c>
      <c r="U1147" s="40">
        <v>4</v>
      </c>
      <c r="V1147" s="47">
        <v>7187.7622590339997</v>
      </c>
      <c r="W1147" s="48">
        <v>1994</v>
      </c>
      <c r="X1147" s="40"/>
      <c r="Y1147" s="53" t="s">
        <v>1082</v>
      </c>
      <c r="Z1147" s="40" t="s">
        <v>910</v>
      </c>
      <c r="AA1147" s="49">
        <f t="shared" si="160"/>
        <v>190116.31175144928</v>
      </c>
      <c r="AB1147" s="71">
        <f t="shared" si="161"/>
        <v>0.68</v>
      </c>
      <c r="AC1147" s="49">
        <f t="shared" si="162"/>
        <v>60837.22</v>
      </c>
      <c r="AD1147" s="50">
        <f t="shared" si="163"/>
        <v>0</v>
      </c>
      <c r="AE1147" s="50">
        <f t="shared" si="164"/>
        <v>0</v>
      </c>
      <c r="AF1147" s="50">
        <f t="shared" si="165"/>
        <v>60837.22</v>
      </c>
      <c r="AG1147" s="199">
        <f t="shared" si="166"/>
        <v>60837</v>
      </c>
      <c r="AH1147" s="187">
        <f>SUM(AF1070:AF1147)</f>
        <v>1751439.7299999997</v>
      </c>
      <c r="AI1147" s="185" t="s">
        <v>1463</v>
      </c>
      <c r="AJ1147" s="185"/>
      <c r="AK1147" s="277">
        <f t="shared" si="159"/>
        <v>7187.76</v>
      </c>
      <c r="AL1147" s="25">
        <f>(SUMIFS('T1 2019 Pipeline Data Lagasco'!$O:$O,'T1 2019 Pipeline Data Lagasco'!$A:$A,'Dec 31 2018 OFFS'!$AI1147,'T1 2019 Pipeline Data Lagasco'!$Q:$Q,'Dec 31 2018 OFFS'!$AK1147,'T1 2019 Pipeline Data Lagasco'!$E:$E,'Dec 31 2018 OFFS'!$U1147,'T1 2019 Pipeline Data Lagasco'!$G:$G,'Dec 31 2018 OFFS'!$W1147))/(MAX(COUNTIFS('T1 2019 Pipeline Data Lagasco'!$A:$A,'Dec 31 2018 OFFS'!$AI1147,'T1 2019 Pipeline Data Lagasco'!$Q:$Q,'Dec 31 2018 OFFS'!$AK1147,'T1 2019 Pipeline Data Lagasco'!$E:$E,'Dec 31 2018 OFFS'!$U1147,'T1 2019 Pipeline Data Lagasco'!$G:$G,'Dec 31 2018 OFFS'!$W1147),1))</f>
        <v>60837</v>
      </c>
      <c r="AM1147" s="274">
        <f t="shared" si="167"/>
        <v>0</v>
      </c>
    </row>
    <row r="1148" spans="1:39" ht="12.7">
      <c r="A1148" s="193" t="s">
        <v>909</v>
      </c>
      <c r="B1148" s="40" t="s">
        <v>917</v>
      </c>
      <c r="C1148" s="139" t="s">
        <v>1443</v>
      </c>
      <c r="D1148" s="40" t="s">
        <v>1360</v>
      </c>
      <c r="E1148" s="40" t="s">
        <v>1220</v>
      </c>
      <c r="F1148" s="40"/>
      <c r="G1148" s="41" t="s">
        <v>1358</v>
      </c>
      <c r="H1148" s="42">
        <v>42</v>
      </c>
      <c r="I1148" s="43">
        <v>1</v>
      </c>
      <c r="J1148" s="44">
        <v>0</v>
      </c>
      <c r="K1148" s="45">
        <v>82</v>
      </c>
      <c r="L1148" s="43">
        <v>29</v>
      </c>
      <c r="M1148" s="46">
        <v>30</v>
      </c>
      <c r="N1148" s="40" t="s">
        <v>1359</v>
      </c>
      <c r="O1148" s="42">
        <v>42</v>
      </c>
      <c r="P1148" s="43">
        <v>0</v>
      </c>
      <c r="Q1148" s="44">
        <v>36</v>
      </c>
      <c r="R1148" s="45">
        <v>82</v>
      </c>
      <c r="S1148" s="43">
        <v>28</v>
      </c>
      <c r="T1148" s="44">
        <v>0</v>
      </c>
      <c r="U1148" s="40">
        <v>4</v>
      </c>
      <c r="V1148" s="280">
        <v>7185</v>
      </c>
      <c r="W1148" s="48">
        <v>1994</v>
      </c>
      <c r="X1148" s="40"/>
      <c r="Y1148" s="52"/>
      <c r="Z1148" s="40" t="s">
        <v>910</v>
      </c>
      <c r="AA1148" s="49">
        <f t="shared" si="160"/>
        <v>190043.25</v>
      </c>
      <c r="AB1148" s="71">
        <f t="shared" si="161"/>
        <v>0.68</v>
      </c>
      <c r="AC1148" s="49">
        <f t="shared" si="162"/>
        <v>60813.84</v>
      </c>
      <c r="AD1148" s="50">
        <f t="shared" si="163"/>
        <v>0</v>
      </c>
      <c r="AE1148" s="50">
        <f t="shared" si="164"/>
        <v>0</v>
      </c>
      <c r="AF1148" s="50">
        <f t="shared" si="165"/>
        <v>60813.84</v>
      </c>
      <c r="AG1148" s="199">
        <f t="shared" si="166"/>
        <v>60813</v>
      </c>
      <c r="AH1148" s="197">
        <f>SUM(AF1148)</f>
        <v>60813.84</v>
      </c>
      <c r="AI1148" s="186" t="s">
        <v>1464</v>
      </c>
      <c r="AJ1148" s="186" t="s">
        <v>1563</v>
      </c>
      <c r="AK1148" s="277">
        <f t="shared" si="159"/>
        <v>7185</v>
      </c>
      <c r="AL1148" s="25">
        <f>(SUMIFS('T1 2019 Pipeline Data Lagasco'!$O:$O,'T1 2019 Pipeline Data Lagasco'!$A:$A,'Dec 31 2018 OFFS'!$AI1148,'T1 2019 Pipeline Data Lagasco'!$Q:$Q,'Dec 31 2018 OFFS'!$AK1148,'T1 2019 Pipeline Data Lagasco'!$E:$E,'Dec 31 2018 OFFS'!$U1148,'T1 2019 Pipeline Data Lagasco'!$G:$G,'Dec 31 2018 OFFS'!$W1148))/(MAX(COUNTIFS('T1 2019 Pipeline Data Lagasco'!$A:$A,'Dec 31 2018 OFFS'!$AI1148,'T1 2019 Pipeline Data Lagasco'!$Q:$Q,'Dec 31 2018 OFFS'!$AK1148,'T1 2019 Pipeline Data Lagasco'!$E:$E,'Dec 31 2018 OFFS'!$U1148,'T1 2019 Pipeline Data Lagasco'!$G:$G,'Dec 31 2018 OFFS'!$W1148),1))</f>
        <v>0</v>
      </c>
      <c r="AM1148" s="274">
        <f t="shared" si="167"/>
        <v>60813</v>
      </c>
    </row>
    <row r="1149" spans="1:39" ht="12.7">
      <c r="A1149" s="193" t="s">
        <v>909</v>
      </c>
      <c r="B1149" s="40" t="s">
        <v>917</v>
      </c>
      <c r="C1149" s="40" t="s">
        <v>921</v>
      </c>
      <c r="D1149" s="40" t="s">
        <v>716</v>
      </c>
      <c r="E1149" s="40" t="s">
        <v>1222</v>
      </c>
      <c r="F1149" s="40"/>
      <c r="G1149" s="40" t="s">
        <v>764</v>
      </c>
      <c r="H1149" s="42">
        <v>42</v>
      </c>
      <c r="I1149" s="43">
        <v>9</v>
      </c>
      <c r="J1149" s="44">
        <v>59.64</v>
      </c>
      <c r="K1149" s="45">
        <v>82</v>
      </c>
      <c r="L1149" s="43">
        <v>11</v>
      </c>
      <c r="M1149" s="46">
        <v>0.48</v>
      </c>
      <c r="N1149" s="41" t="s">
        <v>765</v>
      </c>
      <c r="O1149" s="42">
        <v>42</v>
      </c>
      <c r="P1149" s="43">
        <v>10</v>
      </c>
      <c r="Q1149" s="44">
        <v>23.12</v>
      </c>
      <c r="R1149" s="45">
        <v>82</v>
      </c>
      <c r="S1149" s="43">
        <v>8</v>
      </c>
      <c r="T1149" s="46">
        <v>42.65</v>
      </c>
      <c r="U1149" s="40">
        <v>4</v>
      </c>
      <c r="V1149" s="47">
        <v>10578</v>
      </c>
      <c r="W1149" s="48">
        <v>1994</v>
      </c>
      <c r="X1149" s="40"/>
      <c r="Y1149" s="53" t="s">
        <v>1082</v>
      </c>
      <c r="Z1149" s="40" t="s">
        <v>910</v>
      </c>
      <c r="AA1149" s="49">
        <f t="shared" si="160"/>
        <v>279788.09999999998</v>
      </c>
      <c r="AB1149" s="71">
        <f t="shared" si="161"/>
        <v>0.68</v>
      </c>
      <c r="AC1149" s="49">
        <f t="shared" si="162"/>
        <v>89532.19</v>
      </c>
      <c r="AD1149" s="50">
        <f t="shared" si="163"/>
        <v>0</v>
      </c>
      <c r="AE1149" s="50">
        <f t="shared" si="164"/>
        <v>0</v>
      </c>
      <c r="AF1149" s="50">
        <f t="shared" si="165"/>
        <v>89532.19</v>
      </c>
      <c r="AG1149" s="199">
        <f t="shared" si="166"/>
        <v>89532</v>
      </c>
      <c r="AH1149" s="187"/>
      <c r="AI1149" s="185" t="s">
        <v>1465</v>
      </c>
      <c r="AJ1149" s="185"/>
      <c r="AK1149" s="277">
        <f t="shared" si="159"/>
        <v>10578</v>
      </c>
      <c r="AL1149" s="25">
        <f>(SUMIFS('T1 2019 Pipeline Data Lagasco'!$O:$O,'T1 2019 Pipeline Data Lagasco'!$A:$A,'Dec 31 2018 OFFS'!$AI1149,'T1 2019 Pipeline Data Lagasco'!$Q:$Q,'Dec 31 2018 OFFS'!$AK1149,'T1 2019 Pipeline Data Lagasco'!$E:$E,'Dec 31 2018 OFFS'!$U1149,'T1 2019 Pipeline Data Lagasco'!$G:$G,'Dec 31 2018 OFFS'!$W1149))/(MAX(COUNTIFS('T1 2019 Pipeline Data Lagasco'!$A:$A,'Dec 31 2018 OFFS'!$AI1149,'T1 2019 Pipeline Data Lagasco'!$Q:$Q,'Dec 31 2018 OFFS'!$AK1149,'T1 2019 Pipeline Data Lagasco'!$E:$E,'Dec 31 2018 OFFS'!$U1149,'T1 2019 Pipeline Data Lagasco'!$G:$G,'Dec 31 2018 OFFS'!$W1149),1))</f>
        <v>89532</v>
      </c>
      <c r="AM1149" s="274">
        <f t="shared" si="167"/>
        <v>0</v>
      </c>
    </row>
    <row r="1150" spans="1:39" ht="12.7">
      <c r="A1150" s="193" t="s">
        <v>909</v>
      </c>
      <c r="B1150" s="40" t="s">
        <v>917</v>
      </c>
      <c r="C1150" s="40" t="s">
        <v>921</v>
      </c>
      <c r="D1150" s="40" t="s">
        <v>716</v>
      </c>
      <c r="E1150" s="40" t="s">
        <v>716</v>
      </c>
      <c r="F1150" s="40" t="s">
        <v>1051</v>
      </c>
      <c r="G1150" s="41" t="s">
        <v>951</v>
      </c>
      <c r="H1150" s="42">
        <v>42</v>
      </c>
      <c r="I1150" s="43">
        <v>9</v>
      </c>
      <c r="J1150" s="44">
        <v>22.86</v>
      </c>
      <c r="K1150" s="45">
        <v>82</v>
      </c>
      <c r="L1150" s="43">
        <v>11</v>
      </c>
      <c r="M1150" s="46">
        <v>40.86</v>
      </c>
      <c r="N1150" s="40" t="s">
        <v>758</v>
      </c>
      <c r="O1150" s="42">
        <v>42</v>
      </c>
      <c r="P1150" s="43">
        <v>9</v>
      </c>
      <c r="Q1150" s="44">
        <v>6.90</v>
      </c>
      <c r="R1150" s="45">
        <v>82</v>
      </c>
      <c r="S1150" s="43">
        <v>12</v>
      </c>
      <c r="T1150" s="46">
        <v>12</v>
      </c>
      <c r="U1150" s="40">
        <v>3</v>
      </c>
      <c r="V1150" s="47">
        <v>2848.33</v>
      </c>
      <c r="W1150" s="48">
        <v>1957</v>
      </c>
      <c r="X1150" s="40"/>
      <c r="Y1150" s="52"/>
      <c r="Z1150" s="40" t="s">
        <v>910</v>
      </c>
      <c r="AA1150" s="49">
        <f t="shared" si="160"/>
        <v>0</v>
      </c>
      <c r="AB1150" s="71">
        <f t="shared" si="161"/>
        <v>0.80</v>
      </c>
      <c r="AC1150" s="49">
        <f t="shared" si="162"/>
        <v>0</v>
      </c>
      <c r="AD1150" s="50">
        <f t="shared" si="163"/>
        <v>0</v>
      </c>
      <c r="AE1150" s="50">
        <f t="shared" si="164"/>
        <v>0</v>
      </c>
      <c r="AF1150" s="50">
        <f t="shared" si="165"/>
        <v>0</v>
      </c>
      <c r="AG1150" s="199">
        <f t="shared" si="166"/>
        <v>0</v>
      </c>
      <c r="AH1150" s="187"/>
      <c r="AI1150" s="185" t="s">
        <v>1465</v>
      </c>
      <c r="AJ1150" s="185"/>
      <c r="AK1150" s="277">
        <f t="shared" si="159"/>
        <v>2848.33</v>
      </c>
      <c r="AL1150" s="25">
        <f>(SUMIFS('T1 2019 Pipeline Data Lagasco'!$O:$O,'T1 2019 Pipeline Data Lagasco'!$A:$A,'Dec 31 2018 OFFS'!$AI1150,'T1 2019 Pipeline Data Lagasco'!$Q:$Q,'Dec 31 2018 OFFS'!$AK1150,'T1 2019 Pipeline Data Lagasco'!$E:$E,'Dec 31 2018 OFFS'!$U1150,'T1 2019 Pipeline Data Lagasco'!$G:$G,'Dec 31 2018 OFFS'!$W1150))/(MAX(COUNTIFS('T1 2019 Pipeline Data Lagasco'!$A:$A,'Dec 31 2018 OFFS'!$AI1150,'T1 2019 Pipeline Data Lagasco'!$Q:$Q,'Dec 31 2018 OFFS'!$AK1150,'T1 2019 Pipeline Data Lagasco'!$E:$E,'Dec 31 2018 OFFS'!$U1150,'T1 2019 Pipeline Data Lagasco'!$G:$G,'Dec 31 2018 OFFS'!$W1150),1))</f>
        <v>0</v>
      </c>
      <c r="AM1150" s="274">
        <f t="shared" si="167"/>
        <v>0</v>
      </c>
    </row>
    <row r="1151" spans="1:39" s="74" customFormat="1" ht="12.7">
      <c r="A1151" s="193" t="s">
        <v>909</v>
      </c>
      <c r="B1151" s="40" t="s">
        <v>917</v>
      </c>
      <c r="C1151" s="40" t="s">
        <v>921</v>
      </c>
      <c r="D1151" s="40" t="s">
        <v>716</v>
      </c>
      <c r="E1151" s="40" t="s">
        <v>1222</v>
      </c>
      <c r="F1151" s="40"/>
      <c r="G1151" s="40" t="s">
        <v>708</v>
      </c>
      <c r="H1151" s="42">
        <v>42</v>
      </c>
      <c r="I1151" s="43">
        <v>9</v>
      </c>
      <c r="J1151" s="44">
        <v>33.46</v>
      </c>
      <c r="K1151" s="45">
        <v>82</v>
      </c>
      <c r="L1151" s="43">
        <v>12</v>
      </c>
      <c r="M1151" s="46">
        <v>57</v>
      </c>
      <c r="N1151" s="41" t="s">
        <v>766</v>
      </c>
      <c r="O1151" s="42">
        <v>42</v>
      </c>
      <c r="P1151" s="43">
        <v>9</v>
      </c>
      <c r="Q1151" s="44">
        <f>0.994*60</f>
        <v>59.64</v>
      </c>
      <c r="R1151" s="45">
        <v>82</v>
      </c>
      <c r="S1151" s="43">
        <v>11</v>
      </c>
      <c r="T1151" s="46">
        <f>0.008*60</f>
        <v>0.48</v>
      </c>
      <c r="U1151" s="40">
        <v>4</v>
      </c>
      <c r="V1151" s="47">
        <v>9167.5194195479999</v>
      </c>
      <c r="W1151" s="48">
        <v>1994</v>
      </c>
      <c r="X1151" s="40"/>
      <c r="Y1151" s="53" t="s">
        <v>1082</v>
      </c>
      <c r="Z1151" s="40" t="s">
        <v>910</v>
      </c>
      <c r="AA1151" s="49">
        <f t="shared" si="160"/>
        <v>242480.8886470446</v>
      </c>
      <c r="AB1151" s="71">
        <f t="shared" si="161"/>
        <v>0.68</v>
      </c>
      <c r="AC1151" s="49">
        <f t="shared" si="162"/>
        <v>77593.88</v>
      </c>
      <c r="AD1151" s="50">
        <f t="shared" si="163"/>
        <v>0</v>
      </c>
      <c r="AE1151" s="50">
        <f t="shared" si="164"/>
        <v>0</v>
      </c>
      <c r="AF1151" s="50">
        <f t="shared" si="165"/>
        <v>77593.88</v>
      </c>
      <c r="AG1151" s="199">
        <f t="shared" si="166"/>
        <v>77593</v>
      </c>
      <c r="AH1151" s="187"/>
      <c r="AI1151" s="185" t="s">
        <v>1465</v>
      </c>
      <c r="AJ1151" s="185"/>
      <c r="AK1151" s="277">
        <f t="shared" si="159"/>
        <v>9167.52</v>
      </c>
      <c r="AL1151" s="25">
        <f>(SUMIFS('T1 2019 Pipeline Data Lagasco'!$O:$O,'T1 2019 Pipeline Data Lagasco'!$A:$A,'Dec 31 2018 OFFS'!$AI1151,'T1 2019 Pipeline Data Lagasco'!$Q:$Q,'Dec 31 2018 OFFS'!$AK1151,'T1 2019 Pipeline Data Lagasco'!$E:$E,'Dec 31 2018 OFFS'!$U1151,'T1 2019 Pipeline Data Lagasco'!$G:$G,'Dec 31 2018 OFFS'!$W1151))/(MAX(COUNTIFS('T1 2019 Pipeline Data Lagasco'!$A:$A,'Dec 31 2018 OFFS'!$AI1151,'T1 2019 Pipeline Data Lagasco'!$Q:$Q,'Dec 31 2018 OFFS'!$AK1151,'T1 2019 Pipeline Data Lagasco'!$E:$E,'Dec 31 2018 OFFS'!$U1151,'T1 2019 Pipeline Data Lagasco'!$G:$G,'Dec 31 2018 OFFS'!$W1151),1))</f>
        <v>77593</v>
      </c>
      <c r="AM1151" s="274">
        <f t="shared" si="167"/>
        <v>0</v>
      </c>
    </row>
    <row r="1152" spans="1:39" ht="12.7">
      <c r="A1152" s="193" t="s">
        <v>909</v>
      </c>
      <c r="B1152" s="40" t="s">
        <v>917</v>
      </c>
      <c r="C1152" s="40" t="s">
        <v>921</v>
      </c>
      <c r="D1152" s="40" t="s">
        <v>716</v>
      </c>
      <c r="E1152" s="40" t="s">
        <v>716</v>
      </c>
      <c r="F1152" s="40"/>
      <c r="G1152" s="41" t="s">
        <v>759</v>
      </c>
      <c r="H1152" s="42">
        <v>42</v>
      </c>
      <c r="I1152" s="43">
        <v>9</v>
      </c>
      <c r="J1152" s="44">
        <f>0.487*60</f>
        <v>29.22</v>
      </c>
      <c r="K1152" s="45">
        <v>82</v>
      </c>
      <c r="L1152" s="43">
        <v>12</v>
      </c>
      <c r="M1152" s="46">
        <f>0.69*60</f>
        <v>41.40</v>
      </c>
      <c r="N1152" s="40" t="s">
        <v>672</v>
      </c>
      <c r="O1152" s="42">
        <v>42</v>
      </c>
      <c r="P1152" s="43">
        <v>9</v>
      </c>
      <c r="Q1152" s="44">
        <v>24.98</v>
      </c>
      <c r="R1152" s="45">
        <v>82</v>
      </c>
      <c r="S1152" s="43">
        <v>12</v>
      </c>
      <c r="T1152" s="46">
        <v>46.72</v>
      </c>
      <c r="U1152" s="40">
        <v>3</v>
      </c>
      <c r="V1152" s="47">
        <v>587.20470740399992</v>
      </c>
      <c r="W1152" s="48">
        <v>1957</v>
      </c>
      <c r="X1152" s="40"/>
      <c r="Y1152" s="53" t="s">
        <v>1082</v>
      </c>
      <c r="Z1152" s="40" t="s">
        <v>910</v>
      </c>
      <c r="AA1152" s="49">
        <f t="shared" si="160"/>
        <v>13852.159047660358</v>
      </c>
      <c r="AB1152" s="71">
        <f t="shared" si="161"/>
        <v>0.80</v>
      </c>
      <c r="AC1152" s="49">
        <f t="shared" si="162"/>
        <v>2770.43</v>
      </c>
      <c r="AD1152" s="50">
        <f t="shared" si="163"/>
        <v>0</v>
      </c>
      <c r="AE1152" s="50">
        <f t="shared" si="164"/>
        <v>0</v>
      </c>
      <c r="AF1152" s="50">
        <f t="shared" si="165"/>
        <v>2770.43</v>
      </c>
      <c r="AG1152" s="199">
        <f t="shared" si="166"/>
        <v>2770</v>
      </c>
      <c r="AH1152" s="187"/>
      <c r="AI1152" s="185" t="s">
        <v>1465</v>
      </c>
      <c r="AJ1152" s="185"/>
      <c r="AK1152" s="277">
        <f t="shared" si="159"/>
        <v>587.20000000000005</v>
      </c>
      <c r="AL1152" s="25">
        <f>(SUMIFS('T1 2019 Pipeline Data Lagasco'!$O:$O,'T1 2019 Pipeline Data Lagasco'!$A:$A,'Dec 31 2018 OFFS'!$AI1152,'T1 2019 Pipeline Data Lagasco'!$Q:$Q,'Dec 31 2018 OFFS'!$AK1152,'T1 2019 Pipeline Data Lagasco'!$E:$E,'Dec 31 2018 OFFS'!$U1152,'T1 2019 Pipeline Data Lagasco'!$G:$G,'Dec 31 2018 OFFS'!$W1152))/(MAX(COUNTIFS('T1 2019 Pipeline Data Lagasco'!$A:$A,'Dec 31 2018 OFFS'!$AI1152,'T1 2019 Pipeline Data Lagasco'!$Q:$Q,'Dec 31 2018 OFFS'!$AK1152,'T1 2019 Pipeline Data Lagasco'!$E:$E,'Dec 31 2018 OFFS'!$U1152,'T1 2019 Pipeline Data Lagasco'!$G:$G,'Dec 31 2018 OFFS'!$W1152),1))</f>
        <v>2770</v>
      </c>
      <c r="AM1152" s="274">
        <f t="shared" si="167"/>
        <v>0</v>
      </c>
    </row>
    <row r="1153" spans="1:39" ht="12.7">
      <c r="A1153" s="193" t="s">
        <v>909</v>
      </c>
      <c r="B1153" s="40" t="s">
        <v>917</v>
      </c>
      <c r="C1153" s="40" t="s">
        <v>921</v>
      </c>
      <c r="D1153" s="40" t="s">
        <v>716</v>
      </c>
      <c r="E1153" s="40" t="s">
        <v>716</v>
      </c>
      <c r="F1153" s="40" t="s">
        <v>1051</v>
      </c>
      <c r="G1153" s="41" t="s">
        <v>758</v>
      </c>
      <c r="H1153" s="42">
        <v>42</v>
      </c>
      <c r="I1153" s="43">
        <v>9</v>
      </c>
      <c r="J1153" s="44">
        <v>6.90</v>
      </c>
      <c r="K1153" s="45">
        <v>82</v>
      </c>
      <c r="L1153" s="43">
        <v>12</v>
      </c>
      <c r="M1153" s="46">
        <v>12</v>
      </c>
      <c r="N1153" s="40" t="s">
        <v>669</v>
      </c>
      <c r="O1153" s="42">
        <v>42</v>
      </c>
      <c r="P1153" s="43">
        <v>9</v>
      </c>
      <c r="Q1153" s="44">
        <v>4.66</v>
      </c>
      <c r="R1153" s="45">
        <v>82</v>
      </c>
      <c r="S1153" s="43">
        <v>12</v>
      </c>
      <c r="T1153" s="46">
        <v>22.16</v>
      </c>
      <c r="U1153" s="40">
        <v>3</v>
      </c>
      <c r="V1153" s="47">
        <v>798.26</v>
      </c>
      <c r="W1153" s="48">
        <v>1957</v>
      </c>
      <c r="X1153" s="40"/>
      <c r="Y1153" s="52"/>
      <c r="Z1153" s="40" t="s">
        <v>910</v>
      </c>
      <c r="AA1153" s="49">
        <f t="shared" si="160"/>
        <v>0</v>
      </c>
      <c r="AB1153" s="71">
        <f t="shared" si="161"/>
        <v>0.80</v>
      </c>
      <c r="AC1153" s="49">
        <f t="shared" si="162"/>
        <v>0</v>
      </c>
      <c r="AD1153" s="50">
        <f t="shared" si="163"/>
        <v>0</v>
      </c>
      <c r="AE1153" s="50">
        <f t="shared" si="164"/>
        <v>0</v>
      </c>
      <c r="AF1153" s="50">
        <f t="shared" si="165"/>
        <v>0</v>
      </c>
      <c r="AG1153" s="199">
        <f t="shared" si="166"/>
        <v>0</v>
      </c>
      <c r="AH1153" s="187"/>
      <c r="AI1153" s="185" t="s">
        <v>1465</v>
      </c>
      <c r="AJ1153" s="185"/>
      <c r="AK1153" s="277">
        <f t="shared" si="159"/>
        <v>798.26</v>
      </c>
      <c r="AL1153" s="25">
        <f>(SUMIFS('T1 2019 Pipeline Data Lagasco'!$O:$O,'T1 2019 Pipeline Data Lagasco'!$A:$A,'Dec 31 2018 OFFS'!$AI1153,'T1 2019 Pipeline Data Lagasco'!$Q:$Q,'Dec 31 2018 OFFS'!$AK1153,'T1 2019 Pipeline Data Lagasco'!$E:$E,'Dec 31 2018 OFFS'!$U1153,'T1 2019 Pipeline Data Lagasco'!$G:$G,'Dec 31 2018 OFFS'!$W1153))/(MAX(COUNTIFS('T1 2019 Pipeline Data Lagasco'!$A:$A,'Dec 31 2018 OFFS'!$AI1153,'T1 2019 Pipeline Data Lagasco'!$Q:$Q,'Dec 31 2018 OFFS'!$AK1153,'T1 2019 Pipeline Data Lagasco'!$E:$E,'Dec 31 2018 OFFS'!$U1153,'T1 2019 Pipeline Data Lagasco'!$G:$G,'Dec 31 2018 OFFS'!$W1153),1))</f>
        <v>0</v>
      </c>
      <c r="AM1153" s="274">
        <f t="shared" si="167"/>
        <v>0</v>
      </c>
    </row>
    <row r="1154" spans="1:39" ht="12.7">
      <c r="A1154" s="193" t="s">
        <v>909</v>
      </c>
      <c r="B1154" s="40" t="s">
        <v>917</v>
      </c>
      <c r="C1154" s="40" t="s">
        <v>921</v>
      </c>
      <c r="D1154" s="40" t="s">
        <v>716</v>
      </c>
      <c r="E1154" s="40" t="s">
        <v>716</v>
      </c>
      <c r="F1154" s="40" t="s">
        <v>1051</v>
      </c>
      <c r="G1154" s="41" t="s">
        <v>953</v>
      </c>
      <c r="H1154" s="42">
        <v>42</v>
      </c>
      <c r="I1154" s="43">
        <v>9</v>
      </c>
      <c r="J1154" s="44">
        <v>42.99</v>
      </c>
      <c r="K1154" s="45">
        <v>82</v>
      </c>
      <c r="L1154" s="43">
        <v>13</v>
      </c>
      <c r="M1154" s="46">
        <v>8.6259999999999994</v>
      </c>
      <c r="N1154" s="41" t="s">
        <v>767</v>
      </c>
      <c r="O1154" s="42">
        <v>42</v>
      </c>
      <c r="P1154" s="43">
        <v>9</v>
      </c>
      <c r="Q1154" s="44">
        <f>0.935*60</f>
        <v>56.10</v>
      </c>
      <c r="R1154" s="45">
        <v>82</v>
      </c>
      <c r="S1154" s="43">
        <v>12</v>
      </c>
      <c r="T1154" s="46">
        <f>0.794*60</f>
        <v>47.64</v>
      </c>
      <c r="U1154" s="40">
        <v>3</v>
      </c>
      <c r="V1154" s="47">
        <v>2058</v>
      </c>
      <c r="W1154" s="147">
        <v>1957</v>
      </c>
      <c r="X1154" s="40"/>
      <c r="Y1154" s="52"/>
      <c r="Z1154" s="40" t="s">
        <v>910</v>
      </c>
      <c r="AA1154" s="49">
        <f t="shared" si="160"/>
        <v>0</v>
      </c>
      <c r="AB1154" s="71">
        <f t="shared" si="161"/>
        <v>0.80</v>
      </c>
      <c r="AC1154" s="49">
        <f t="shared" si="162"/>
        <v>0</v>
      </c>
      <c r="AD1154" s="50">
        <f t="shared" si="163"/>
        <v>0</v>
      </c>
      <c r="AE1154" s="50">
        <f t="shared" si="164"/>
        <v>0</v>
      </c>
      <c r="AF1154" s="50">
        <f t="shared" si="165"/>
        <v>0</v>
      </c>
      <c r="AG1154" s="199">
        <f t="shared" si="166"/>
        <v>0</v>
      </c>
      <c r="AH1154" s="187"/>
      <c r="AI1154" s="185" t="s">
        <v>1465</v>
      </c>
      <c r="AJ1154" s="185"/>
      <c r="AK1154" s="277">
        <f t="shared" si="159"/>
        <v>2058</v>
      </c>
      <c r="AL1154" s="25">
        <f>(SUMIFS('T1 2019 Pipeline Data Lagasco'!$O:$O,'T1 2019 Pipeline Data Lagasco'!$A:$A,'Dec 31 2018 OFFS'!$AI1154,'T1 2019 Pipeline Data Lagasco'!$Q:$Q,'Dec 31 2018 OFFS'!$AK1154,'T1 2019 Pipeline Data Lagasco'!$E:$E,'Dec 31 2018 OFFS'!$U1154,'T1 2019 Pipeline Data Lagasco'!$G:$G,'Dec 31 2018 OFFS'!$W1154))/(MAX(COUNTIFS('T1 2019 Pipeline Data Lagasco'!$A:$A,'Dec 31 2018 OFFS'!$AI1154,'T1 2019 Pipeline Data Lagasco'!$Q:$Q,'Dec 31 2018 OFFS'!$AK1154,'T1 2019 Pipeline Data Lagasco'!$E:$E,'Dec 31 2018 OFFS'!$U1154,'T1 2019 Pipeline Data Lagasco'!$G:$G,'Dec 31 2018 OFFS'!$W1154),1))</f>
        <v>0</v>
      </c>
      <c r="AM1154" s="274">
        <f t="shared" si="167"/>
        <v>0</v>
      </c>
    </row>
    <row r="1155" spans="1:39" ht="12.7">
      <c r="A1155" s="193" t="s">
        <v>909</v>
      </c>
      <c r="B1155" s="40" t="s">
        <v>917</v>
      </c>
      <c r="C1155" s="40" t="s">
        <v>921</v>
      </c>
      <c r="D1155" s="40" t="s">
        <v>716</v>
      </c>
      <c r="E1155" s="40" t="s">
        <v>716</v>
      </c>
      <c r="F1155" s="40"/>
      <c r="G1155" s="41" t="s">
        <v>760</v>
      </c>
      <c r="H1155" s="42">
        <v>42</v>
      </c>
      <c r="I1155" s="43">
        <v>8</v>
      </c>
      <c r="J1155" s="44">
        <v>13.50</v>
      </c>
      <c r="K1155" s="45">
        <v>82</v>
      </c>
      <c r="L1155" s="43">
        <v>11</v>
      </c>
      <c r="M1155" s="46">
        <v>8.10</v>
      </c>
      <c r="N1155" s="40" t="s">
        <v>683</v>
      </c>
      <c r="O1155" s="42">
        <v>42</v>
      </c>
      <c r="P1155" s="43">
        <v>8</v>
      </c>
      <c r="Q1155" s="44">
        <v>7.87</v>
      </c>
      <c r="R1155" s="45">
        <v>82</v>
      </c>
      <c r="S1155" s="43">
        <v>11</v>
      </c>
      <c r="T1155" s="46">
        <v>14.09</v>
      </c>
      <c r="U1155" s="40">
        <v>3</v>
      </c>
      <c r="V1155" s="47">
        <v>727.03409967999994</v>
      </c>
      <c r="W1155" s="48">
        <v>1957</v>
      </c>
      <c r="X1155" s="40"/>
      <c r="Y1155" s="53" t="s">
        <v>1082</v>
      </c>
      <c r="Z1155" s="40" t="s">
        <v>910</v>
      </c>
      <c r="AA1155" s="49">
        <f t="shared" si="160"/>
        <v>17150.734411451198</v>
      </c>
      <c r="AB1155" s="71">
        <f t="shared" si="161"/>
        <v>0.80</v>
      </c>
      <c r="AC1155" s="49">
        <f t="shared" si="162"/>
        <v>3430.15</v>
      </c>
      <c r="AD1155" s="50">
        <f t="shared" si="163"/>
        <v>0</v>
      </c>
      <c r="AE1155" s="50">
        <f t="shared" si="164"/>
        <v>0</v>
      </c>
      <c r="AF1155" s="50">
        <f t="shared" si="165"/>
        <v>3430.15</v>
      </c>
      <c r="AG1155" s="199">
        <f t="shared" si="166"/>
        <v>3430</v>
      </c>
      <c r="AH1155" s="187"/>
      <c r="AI1155" s="185" t="s">
        <v>1465</v>
      </c>
      <c r="AJ1155" s="185"/>
      <c r="AK1155" s="277">
        <f t="shared" si="168" ref="AK1155:AK1166">ROUND(V1155,2)</f>
        <v>727.03</v>
      </c>
      <c r="AL1155" s="25">
        <f>(SUMIFS('T1 2019 Pipeline Data Lagasco'!$O:$O,'T1 2019 Pipeline Data Lagasco'!$A:$A,'Dec 31 2018 OFFS'!$AI1155,'T1 2019 Pipeline Data Lagasco'!$Q:$Q,'Dec 31 2018 OFFS'!$AK1155,'T1 2019 Pipeline Data Lagasco'!$E:$E,'Dec 31 2018 OFFS'!$U1155,'T1 2019 Pipeline Data Lagasco'!$G:$G,'Dec 31 2018 OFFS'!$W1155))/(MAX(COUNTIFS('T1 2019 Pipeline Data Lagasco'!$A:$A,'Dec 31 2018 OFFS'!$AI1155,'T1 2019 Pipeline Data Lagasco'!$Q:$Q,'Dec 31 2018 OFFS'!$AK1155,'T1 2019 Pipeline Data Lagasco'!$E:$E,'Dec 31 2018 OFFS'!$U1155,'T1 2019 Pipeline Data Lagasco'!$G:$G,'Dec 31 2018 OFFS'!$W1155),1))</f>
        <v>3430</v>
      </c>
      <c r="AM1155" s="274">
        <f t="shared" si="167"/>
        <v>0</v>
      </c>
    </row>
    <row r="1156" spans="1:39" ht="12.7">
      <c r="A1156" s="193" t="s">
        <v>909</v>
      </c>
      <c r="B1156" s="40" t="s">
        <v>917</v>
      </c>
      <c r="C1156" s="40" t="s">
        <v>921</v>
      </c>
      <c r="D1156" s="40" t="s">
        <v>716</v>
      </c>
      <c r="E1156" s="40" t="s">
        <v>716</v>
      </c>
      <c r="F1156" s="40"/>
      <c r="G1156" s="41" t="s">
        <v>761</v>
      </c>
      <c r="H1156" s="42">
        <v>42</v>
      </c>
      <c r="I1156" s="43">
        <v>8</v>
      </c>
      <c r="J1156" s="44">
        <f>0.439*60</f>
        <v>26.34</v>
      </c>
      <c r="K1156" s="45">
        <v>82</v>
      </c>
      <c r="L1156" s="43">
        <v>10</v>
      </c>
      <c r="M1156" s="46">
        <f>0.478*60</f>
        <v>28.68</v>
      </c>
      <c r="N1156" s="40" t="s">
        <v>760</v>
      </c>
      <c r="O1156" s="42">
        <v>42</v>
      </c>
      <c r="P1156" s="43">
        <v>8</v>
      </c>
      <c r="Q1156" s="44">
        <v>13.50</v>
      </c>
      <c r="R1156" s="45">
        <v>82</v>
      </c>
      <c r="S1156" s="43">
        <v>11</v>
      </c>
      <c r="T1156" s="46">
        <v>8.10</v>
      </c>
      <c r="U1156" s="40">
        <v>3</v>
      </c>
      <c r="V1156" s="47">
        <v>3242.1586987579999</v>
      </c>
      <c r="W1156" s="48">
        <v>1957</v>
      </c>
      <c r="X1156" s="40"/>
      <c r="Y1156" s="53" t="s">
        <v>1082</v>
      </c>
      <c r="Z1156" s="40" t="s">
        <v>910</v>
      </c>
      <c r="AA1156" s="49">
        <f t="shared" si="169" ref="AA1156:AA1194">IF(F1156="ABAND",0,(IF(Z1156="steel",VLOOKUP(U1156,steelrates,2,FALSE)*V1156,VLOOKUP(U1156,plasticrates,2,FALSE)*V1156)))</f>
        <v>76482.523703701212</v>
      </c>
      <c r="AB1156" s="71">
        <f t="shared" si="170" ref="AB1156:AB1194">IF(W1156=0,0,(VLOOKUP(W1156,depreciation,2)))</f>
        <v>0.80</v>
      </c>
      <c r="AC1156" s="49">
        <f t="shared" si="171" ref="AC1156:AC1194">ROUND(+AA1156-(+AA1156*AB1156),2)</f>
        <v>15296.50</v>
      </c>
      <c r="AD1156" s="50">
        <f t="shared" si="172" ref="AD1156:AD1194">(IF(X1156="LOOP",AC1156*0.25,0))</f>
        <v>0</v>
      </c>
      <c r="AE1156" s="50">
        <f t="shared" si="173" ref="AE1156:AE1194">(IF(F1156="SUSP",AC1156*0.2,0))</f>
        <v>0</v>
      </c>
      <c r="AF1156" s="50">
        <f t="shared" si="174" ref="AF1156:AF1194">+AC1156-AD1156-AE1156</f>
        <v>15296.50</v>
      </c>
      <c r="AG1156" s="199">
        <f t="shared" si="175" ref="AG1156:AG1194">ROUNDDOWN(AF1156,0)</f>
        <v>15296</v>
      </c>
      <c r="AH1156" s="187"/>
      <c r="AI1156" s="185" t="s">
        <v>1465</v>
      </c>
      <c r="AJ1156" s="185"/>
      <c r="AK1156" s="277">
        <f t="shared" si="168"/>
        <v>3242.16</v>
      </c>
      <c r="AL1156" s="25">
        <f>(SUMIFS('T1 2019 Pipeline Data Lagasco'!$O:$O,'T1 2019 Pipeline Data Lagasco'!$A:$A,'Dec 31 2018 OFFS'!$AI1156,'T1 2019 Pipeline Data Lagasco'!$Q:$Q,'Dec 31 2018 OFFS'!$AK1156,'T1 2019 Pipeline Data Lagasco'!$E:$E,'Dec 31 2018 OFFS'!$U1156,'T1 2019 Pipeline Data Lagasco'!$G:$G,'Dec 31 2018 OFFS'!$W1156))/(MAX(COUNTIFS('T1 2019 Pipeline Data Lagasco'!$A:$A,'Dec 31 2018 OFFS'!$AI1156,'T1 2019 Pipeline Data Lagasco'!$Q:$Q,'Dec 31 2018 OFFS'!$AK1156,'T1 2019 Pipeline Data Lagasco'!$E:$E,'Dec 31 2018 OFFS'!$U1156,'T1 2019 Pipeline Data Lagasco'!$G:$G,'Dec 31 2018 OFFS'!$W1156),1))</f>
        <v>15296</v>
      </c>
      <c r="AM1156" s="274">
        <f t="shared" si="176" ref="AM1156:AM1194">AG1156-AL1156</f>
        <v>0</v>
      </c>
    </row>
    <row r="1157" spans="1:39" ht="12.7">
      <c r="A1157" s="193" t="s">
        <v>909</v>
      </c>
      <c r="B1157" s="40" t="s">
        <v>917</v>
      </c>
      <c r="C1157" s="40" t="s">
        <v>921</v>
      </c>
      <c r="D1157" s="40" t="s">
        <v>716</v>
      </c>
      <c r="E1157" s="40" t="s">
        <v>716</v>
      </c>
      <c r="F1157" s="40" t="s">
        <v>1051</v>
      </c>
      <c r="G1157" s="41" t="s">
        <v>952</v>
      </c>
      <c r="H1157" s="42">
        <v>42</v>
      </c>
      <c r="I1157" s="43">
        <v>6</v>
      </c>
      <c r="J1157" s="44">
        <v>52.08</v>
      </c>
      <c r="K1157" s="45">
        <v>82</v>
      </c>
      <c r="L1157" s="43">
        <v>9</v>
      </c>
      <c r="M1157" s="46">
        <v>4.0199999999999996</v>
      </c>
      <c r="N1157" s="40" t="s">
        <v>694</v>
      </c>
      <c r="O1157" s="42">
        <v>42</v>
      </c>
      <c r="P1157" s="43">
        <v>6</v>
      </c>
      <c r="Q1157" s="44">
        <v>40.89</v>
      </c>
      <c r="R1157" s="45">
        <v>82</v>
      </c>
      <c r="S1157" s="43">
        <v>9</v>
      </c>
      <c r="T1157" s="46">
        <v>28.81</v>
      </c>
      <c r="U1157" s="40">
        <v>3</v>
      </c>
      <c r="V1157" s="47">
        <v>2185.14</v>
      </c>
      <c r="W1157" s="48">
        <v>1957</v>
      </c>
      <c r="X1157" s="40"/>
      <c r="Y1157" s="52"/>
      <c r="Z1157" s="40" t="s">
        <v>910</v>
      </c>
      <c r="AA1157" s="49">
        <f t="shared" si="169"/>
        <v>0</v>
      </c>
      <c r="AB1157" s="71">
        <f t="shared" si="170"/>
        <v>0.80</v>
      </c>
      <c r="AC1157" s="49">
        <f t="shared" si="171"/>
        <v>0</v>
      </c>
      <c r="AD1157" s="50">
        <f t="shared" si="172"/>
        <v>0</v>
      </c>
      <c r="AE1157" s="50">
        <f t="shared" si="173"/>
        <v>0</v>
      </c>
      <c r="AF1157" s="50">
        <f t="shared" si="174"/>
        <v>0</v>
      </c>
      <c r="AG1157" s="199">
        <f t="shared" si="175"/>
        <v>0</v>
      </c>
      <c r="AH1157" s="187"/>
      <c r="AI1157" s="185" t="s">
        <v>1465</v>
      </c>
      <c r="AJ1157" s="185"/>
      <c r="AK1157" s="277">
        <f t="shared" si="168"/>
        <v>2185.14</v>
      </c>
      <c r="AL1157" s="25">
        <f>(SUMIFS('T1 2019 Pipeline Data Lagasco'!$O:$O,'T1 2019 Pipeline Data Lagasco'!$A:$A,'Dec 31 2018 OFFS'!$AI1157,'T1 2019 Pipeline Data Lagasco'!$Q:$Q,'Dec 31 2018 OFFS'!$AK1157,'T1 2019 Pipeline Data Lagasco'!$E:$E,'Dec 31 2018 OFFS'!$U1157,'T1 2019 Pipeline Data Lagasco'!$G:$G,'Dec 31 2018 OFFS'!$W1157))/(MAX(COUNTIFS('T1 2019 Pipeline Data Lagasco'!$A:$A,'Dec 31 2018 OFFS'!$AI1157,'T1 2019 Pipeline Data Lagasco'!$Q:$Q,'Dec 31 2018 OFFS'!$AK1157,'T1 2019 Pipeline Data Lagasco'!$E:$E,'Dec 31 2018 OFFS'!$U1157,'T1 2019 Pipeline Data Lagasco'!$G:$G,'Dec 31 2018 OFFS'!$W1157),1))</f>
        <v>0</v>
      </c>
      <c r="AM1157" s="274">
        <f t="shared" si="176"/>
        <v>0</v>
      </c>
    </row>
    <row r="1158" spans="1:39" ht="12.7">
      <c r="A1158" s="193" t="s">
        <v>909</v>
      </c>
      <c r="B1158" s="40" t="s">
        <v>917</v>
      </c>
      <c r="C1158" s="40" t="s">
        <v>921</v>
      </c>
      <c r="D1158" s="40" t="s">
        <v>716</v>
      </c>
      <c r="E1158" s="40" t="s">
        <v>716</v>
      </c>
      <c r="F1158" s="40"/>
      <c r="G1158" s="41" t="s">
        <v>762</v>
      </c>
      <c r="H1158" s="42">
        <v>42</v>
      </c>
      <c r="I1158" s="43">
        <v>6</v>
      </c>
      <c r="J1158" s="44">
        <f>0.616*60</f>
        <v>36.96</v>
      </c>
      <c r="K1158" s="45">
        <v>82</v>
      </c>
      <c r="L1158" s="43">
        <v>8</v>
      </c>
      <c r="M1158" s="46">
        <f>0.719*60</f>
        <v>43.14</v>
      </c>
      <c r="N1158" s="40" t="s">
        <v>697</v>
      </c>
      <c r="O1158" s="42">
        <v>42</v>
      </c>
      <c r="P1158" s="43">
        <v>6</v>
      </c>
      <c r="Q1158" s="44">
        <v>20.896999999999998</v>
      </c>
      <c r="R1158" s="45">
        <v>82</v>
      </c>
      <c r="S1158" s="43">
        <v>9</v>
      </c>
      <c r="T1158" s="46">
        <v>5.5709999999999997</v>
      </c>
      <c r="U1158" s="40">
        <v>3</v>
      </c>
      <c r="V1158" s="47">
        <v>2345.931690592</v>
      </c>
      <c r="W1158" s="48">
        <v>1957</v>
      </c>
      <c r="X1158" s="40"/>
      <c r="Y1158" s="53" t="s">
        <v>1082</v>
      </c>
      <c r="Z1158" s="40" t="s">
        <v>910</v>
      </c>
      <c r="AA1158" s="49">
        <f t="shared" si="169"/>
        <v>55340.528581065279</v>
      </c>
      <c r="AB1158" s="71">
        <f t="shared" si="170"/>
        <v>0.80</v>
      </c>
      <c r="AC1158" s="49">
        <f t="shared" si="171"/>
        <v>11068.11</v>
      </c>
      <c r="AD1158" s="50">
        <f t="shared" si="172"/>
        <v>0</v>
      </c>
      <c r="AE1158" s="50">
        <f t="shared" si="173"/>
        <v>0</v>
      </c>
      <c r="AF1158" s="50">
        <f t="shared" si="174"/>
        <v>11068.11</v>
      </c>
      <c r="AG1158" s="199">
        <f t="shared" si="175"/>
        <v>11068</v>
      </c>
      <c r="AH1158" s="187"/>
      <c r="AI1158" s="185" t="s">
        <v>1465</v>
      </c>
      <c r="AJ1158" s="185"/>
      <c r="AK1158" s="277">
        <f t="shared" si="168"/>
        <v>2345.9299999999998</v>
      </c>
      <c r="AL1158" s="25">
        <f>(SUMIFS('T1 2019 Pipeline Data Lagasco'!$O:$O,'T1 2019 Pipeline Data Lagasco'!$A:$A,'Dec 31 2018 OFFS'!$AI1158,'T1 2019 Pipeline Data Lagasco'!$Q:$Q,'Dec 31 2018 OFFS'!$AK1158,'T1 2019 Pipeline Data Lagasco'!$E:$E,'Dec 31 2018 OFFS'!$U1158,'T1 2019 Pipeline Data Lagasco'!$G:$G,'Dec 31 2018 OFFS'!$W1158))/(MAX(COUNTIFS('T1 2019 Pipeline Data Lagasco'!$A:$A,'Dec 31 2018 OFFS'!$AI1158,'T1 2019 Pipeline Data Lagasco'!$Q:$Q,'Dec 31 2018 OFFS'!$AK1158,'T1 2019 Pipeline Data Lagasco'!$E:$E,'Dec 31 2018 OFFS'!$U1158,'T1 2019 Pipeline Data Lagasco'!$G:$G,'Dec 31 2018 OFFS'!$W1158),1))</f>
        <v>11068</v>
      </c>
      <c r="AM1158" s="274">
        <f t="shared" si="176"/>
        <v>0</v>
      </c>
    </row>
    <row r="1159" spans="1:39" ht="12.7">
      <c r="A1159" s="193" t="s">
        <v>909</v>
      </c>
      <c r="B1159" s="40" t="s">
        <v>917</v>
      </c>
      <c r="C1159" s="40" t="s">
        <v>921</v>
      </c>
      <c r="D1159" s="40" t="s">
        <v>716</v>
      </c>
      <c r="E1159" s="40" t="s">
        <v>716</v>
      </c>
      <c r="F1159" s="40"/>
      <c r="G1159" s="40" t="s">
        <v>700</v>
      </c>
      <c r="H1159" s="42">
        <v>42</v>
      </c>
      <c r="I1159" s="43">
        <v>6</v>
      </c>
      <c r="J1159" s="44">
        <v>2.61</v>
      </c>
      <c r="K1159" s="45">
        <v>82</v>
      </c>
      <c r="L1159" s="43">
        <v>8</v>
      </c>
      <c r="M1159" s="46">
        <v>42.73</v>
      </c>
      <c r="N1159" s="41" t="s">
        <v>763</v>
      </c>
      <c r="O1159" s="42">
        <v>42</v>
      </c>
      <c r="P1159" s="43">
        <v>6</v>
      </c>
      <c r="Q1159" s="44">
        <v>17.10</v>
      </c>
      <c r="R1159" s="45">
        <v>82</v>
      </c>
      <c r="S1159" s="43">
        <v>8</v>
      </c>
      <c r="T1159" s="46">
        <v>19.32</v>
      </c>
      <c r="U1159" s="40">
        <v>3</v>
      </c>
      <c r="V1159" s="47">
        <v>2294.8490149059999</v>
      </c>
      <c r="W1159" s="48">
        <v>1957</v>
      </c>
      <c r="X1159" s="40"/>
      <c r="Y1159" s="53" t="s">
        <v>1082</v>
      </c>
      <c r="Z1159" s="40" t="s">
        <v>910</v>
      </c>
      <c r="AA1159" s="49">
        <f t="shared" si="169"/>
        <v>54135.488261632534</v>
      </c>
      <c r="AB1159" s="71">
        <f t="shared" si="170"/>
        <v>0.80</v>
      </c>
      <c r="AC1159" s="49">
        <f t="shared" si="171"/>
        <v>10827.10</v>
      </c>
      <c r="AD1159" s="50">
        <f t="shared" si="172"/>
        <v>0</v>
      </c>
      <c r="AE1159" s="50">
        <f t="shared" si="173"/>
        <v>0</v>
      </c>
      <c r="AF1159" s="50">
        <f t="shared" si="174"/>
        <v>10827.10</v>
      </c>
      <c r="AG1159" s="199">
        <f t="shared" si="175"/>
        <v>10827</v>
      </c>
      <c r="AH1159" s="187"/>
      <c r="AI1159" s="185" t="s">
        <v>1465</v>
      </c>
      <c r="AJ1159" s="185"/>
      <c r="AK1159" s="277">
        <f t="shared" si="168"/>
        <v>2294.85</v>
      </c>
      <c r="AL1159" s="25">
        <f>(SUMIFS('T1 2019 Pipeline Data Lagasco'!$O:$O,'T1 2019 Pipeline Data Lagasco'!$A:$A,'Dec 31 2018 OFFS'!$AI1159,'T1 2019 Pipeline Data Lagasco'!$Q:$Q,'Dec 31 2018 OFFS'!$AK1159,'T1 2019 Pipeline Data Lagasco'!$E:$E,'Dec 31 2018 OFFS'!$U1159,'T1 2019 Pipeline Data Lagasco'!$G:$G,'Dec 31 2018 OFFS'!$W1159))/(MAX(COUNTIFS('T1 2019 Pipeline Data Lagasco'!$A:$A,'Dec 31 2018 OFFS'!$AI1159,'T1 2019 Pipeline Data Lagasco'!$Q:$Q,'Dec 31 2018 OFFS'!$AK1159,'T1 2019 Pipeline Data Lagasco'!$E:$E,'Dec 31 2018 OFFS'!$U1159,'T1 2019 Pipeline Data Lagasco'!$G:$G,'Dec 31 2018 OFFS'!$W1159),1))</f>
        <v>10827</v>
      </c>
      <c r="AM1159" s="274">
        <f t="shared" si="176"/>
        <v>0</v>
      </c>
    </row>
    <row r="1160" spans="1:39" ht="12.7">
      <c r="A1160" s="193" t="s">
        <v>909</v>
      </c>
      <c r="B1160" s="40" t="s">
        <v>917</v>
      </c>
      <c r="C1160" s="40" t="s">
        <v>921</v>
      </c>
      <c r="D1160" s="40" t="s">
        <v>716</v>
      </c>
      <c r="E1160" s="40" t="s">
        <v>716</v>
      </c>
      <c r="F1160" s="40"/>
      <c r="G1160" s="41" t="s">
        <v>763</v>
      </c>
      <c r="H1160" s="42">
        <v>42</v>
      </c>
      <c r="I1160" s="43">
        <v>6</v>
      </c>
      <c r="J1160" s="44">
        <v>17.10</v>
      </c>
      <c r="K1160" s="45">
        <v>82</v>
      </c>
      <c r="L1160" s="43">
        <v>8</v>
      </c>
      <c r="M1160" s="46">
        <v>19.32</v>
      </c>
      <c r="N1160" s="40" t="s">
        <v>698</v>
      </c>
      <c r="O1160" s="42">
        <v>42</v>
      </c>
      <c r="P1160" s="43">
        <v>6</v>
      </c>
      <c r="Q1160" s="44">
        <v>17.123000000000001</v>
      </c>
      <c r="R1160" s="45">
        <v>82</v>
      </c>
      <c r="S1160" s="43">
        <v>9</v>
      </c>
      <c r="T1160" s="46">
        <v>1.40</v>
      </c>
      <c r="U1160" s="40">
        <v>3</v>
      </c>
      <c r="V1160" s="47">
        <v>3172.2440026199997</v>
      </c>
      <c r="W1160" s="48">
        <v>1957</v>
      </c>
      <c r="X1160" s="40"/>
      <c r="Y1160" s="53" t="s">
        <v>1082</v>
      </c>
      <c r="Z1160" s="40" t="s">
        <v>910</v>
      </c>
      <c r="AA1160" s="49">
        <f t="shared" si="169"/>
        <v>74833.236021805787</v>
      </c>
      <c r="AB1160" s="71">
        <f t="shared" si="170"/>
        <v>0.80</v>
      </c>
      <c r="AC1160" s="49">
        <f t="shared" si="171"/>
        <v>14966.65</v>
      </c>
      <c r="AD1160" s="50">
        <f t="shared" si="172"/>
        <v>0</v>
      </c>
      <c r="AE1160" s="50">
        <f t="shared" si="173"/>
        <v>0</v>
      </c>
      <c r="AF1160" s="50">
        <f t="shared" si="174"/>
        <v>14966.65</v>
      </c>
      <c r="AG1160" s="199">
        <f t="shared" si="175"/>
        <v>14966</v>
      </c>
      <c r="AH1160" s="187"/>
      <c r="AI1160" s="185" t="s">
        <v>1465</v>
      </c>
      <c r="AJ1160" s="185"/>
      <c r="AK1160" s="277">
        <f t="shared" si="168"/>
        <v>3172.24</v>
      </c>
      <c r="AL1160" s="25">
        <f>(SUMIFS('T1 2019 Pipeline Data Lagasco'!$O:$O,'T1 2019 Pipeline Data Lagasco'!$A:$A,'Dec 31 2018 OFFS'!$AI1160,'T1 2019 Pipeline Data Lagasco'!$Q:$Q,'Dec 31 2018 OFFS'!$AK1160,'T1 2019 Pipeline Data Lagasco'!$E:$E,'Dec 31 2018 OFFS'!$U1160,'T1 2019 Pipeline Data Lagasco'!$G:$G,'Dec 31 2018 OFFS'!$W1160))/(MAX(COUNTIFS('T1 2019 Pipeline Data Lagasco'!$A:$A,'Dec 31 2018 OFFS'!$AI1160,'T1 2019 Pipeline Data Lagasco'!$Q:$Q,'Dec 31 2018 OFFS'!$AK1160,'T1 2019 Pipeline Data Lagasco'!$E:$E,'Dec 31 2018 OFFS'!$U1160,'T1 2019 Pipeline Data Lagasco'!$G:$G,'Dec 31 2018 OFFS'!$W1160),1))</f>
        <v>14966</v>
      </c>
      <c r="AM1160" s="274">
        <f t="shared" si="176"/>
        <v>0</v>
      </c>
    </row>
    <row r="1161" spans="1:39" ht="12.7">
      <c r="A1161" s="193" t="s">
        <v>909</v>
      </c>
      <c r="B1161" s="40" t="s">
        <v>917</v>
      </c>
      <c r="C1161" s="40" t="s">
        <v>921</v>
      </c>
      <c r="D1161" s="40" t="s">
        <v>716</v>
      </c>
      <c r="E1161" s="40" t="s">
        <v>716</v>
      </c>
      <c r="F1161" s="40"/>
      <c r="G1161" s="40" t="s">
        <v>703</v>
      </c>
      <c r="H1161" s="42">
        <v>42</v>
      </c>
      <c r="I1161" s="43">
        <v>5</v>
      </c>
      <c r="J1161" s="44">
        <v>44.65</v>
      </c>
      <c r="K1161" s="45">
        <v>82</v>
      </c>
      <c r="L1161" s="43">
        <v>8</v>
      </c>
      <c r="M1161" s="46">
        <v>21.11</v>
      </c>
      <c r="N1161" s="41" t="s">
        <v>763</v>
      </c>
      <c r="O1161" s="42">
        <v>42</v>
      </c>
      <c r="P1161" s="43">
        <v>6</v>
      </c>
      <c r="Q1161" s="44">
        <v>17.10</v>
      </c>
      <c r="R1161" s="45">
        <v>82</v>
      </c>
      <c r="S1161" s="43">
        <v>8</v>
      </c>
      <c r="T1161" s="46">
        <v>19.32</v>
      </c>
      <c r="U1161" s="40">
        <v>3</v>
      </c>
      <c r="V1161" s="47">
        <v>3287.7951803759997</v>
      </c>
      <c r="W1161" s="48">
        <v>1957</v>
      </c>
      <c r="X1161" s="40"/>
      <c r="Y1161" s="53" t="s">
        <v>1082</v>
      </c>
      <c r="Z1161" s="40" t="s">
        <v>910</v>
      </c>
      <c r="AA1161" s="49">
        <f t="shared" si="169"/>
        <v>77559.088305069832</v>
      </c>
      <c r="AB1161" s="71">
        <f t="shared" si="170"/>
        <v>0.80</v>
      </c>
      <c r="AC1161" s="49">
        <f t="shared" si="171"/>
        <v>15511.82</v>
      </c>
      <c r="AD1161" s="50">
        <f t="shared" si="172"/>
        <v>0</v>
      </c>
      <c r="AE1161" s="50">
        <f t="shared" si="173"/>
        <v>0</v>
      </c>
      <c r="AF1161" s="50">
        <f t="shared" si="174"/>
        <v>15511.82</v>
      </c>
      <c r="AG1161" s="199">
        <f t="shared" si="175"/>
        <v>15511</v>
      </c>
      <c r="AH1161" s="187"/>
      <c r="AI1161" s="185" t="s">
        <v>1465</v>
      </c>
      <c r="AJ1161" s="185"/>
      <c r="AK1161" s="277">
        <f t="shared" si="168"/>
        <v>3287.80</v>
      </c>
      <c r="AL1161" s="25">
        <f>(SUMIFS('T1 2019 Pipeline Data Lagasco'!$O:$O,'T1 2019 Pipeline Data Lagasco'!$A:$A,'Dec 31 2018 OFFS'!$AI1161,'T1 2019 Pipeline Data Lagasco'!$Q:$Q,'Dec 31 2018 OFFS'!$AK1161,'T1 2019 Pipeline Data Lagasco'!$E:$E,'Dec 31 2018 OFFS'!$U1161,'T1 2019 Pipeline Data Lagasco'!$G:$G,'Dec 31 2018 OFFS'!$W1161))/(MAX(COUNTIFS('T1 2019 Pipeline Data Lagasco'!$A:$A,'Dec 31 2018 OFFS'!$AI1161,'T1 2019 Pipeline Data Lagasco'!$Q:$Q,'Dec 31 2018 OFFS'!$AK1161,'T1 2019 Pipeline Data Lagasco'!$E:$E,'Dec 31 2018 OFFS'!$U1161,'T1 2019 Pipeline Data Lagasco'!$G:$G,'Dec 31 2018 OFFS'!$W1161),1))</f>
        <v>15511</v>
      </c>
      <c r="AM1161" s="274">
        <f t="shared" si="176"/>
        <v>0</v>
      </c>
    </row>
    <row r="1162" spans="1:39" ht="12.7">
      <c r="A1162" s="193" t="s">
        <v>909</v>
      </c>
      <c r="B1162" s="40" t="s">
        <v>917</v>
      </c>
      <c r="C1162" s="40" t="s">
        <v>921</v>
      </c>
      <c r="D1162" s="40" t="s">
        <v>716</v>
      </c>
      <c r="E1162" s="40" t="s">
        <v>716</v>
      </c>
      <c r="F1162" s="40"/>
      <c r="G1162" s="40" t="s">
        <v>672</v>
      </c>
      <c r="H1162" s="42">
        <v>42</v>
      </c>
      <c r="I1162" s="43">
        <v>9</v>
      </c>
      <c r="J1162" s="44">
        <v>24.98</v>
      </c>
      <c r="K1162" s="45">
        <v>82</v>
      </c>
      <c r="L1162" s="43">
        <v>12</v>
      </c>
      <c r="M1162" s="46">
        <v>46.72</v>
      </c>
      <c r="N1162" s="40" t="s">
        <v>1329</v>
      </c>
      <c r="O1162" s="42">
        <v>42</v>
      </c>
      <c r="P1162" s="43">
        <v>9</v>
      </c>
      <c r="Q1162" s="44">
        <v>38.46</v>
      </c>
      <c r="R1162" s="45">
        <v>82</v>
      </c>
      <c r="S1162" s="43">
        <v>12</v>
      </c>
      <c r="T1162" s="46">
        <v>3.54</v>
      </c>
      <c r="U1162" s="40">
        <v>4</v>
      </c>
      <c r="V1162" s="47">
        <v>2180</v>
      </c>
      <c r="W1162" s="48">
        <v>1992</v>
      </c>
      <c r="X1162" s="40"/>
      <c r="Y1162" s="53"/>
      <c r="Z1162" s="40" t="s">
        <v>910</v>
      </c>
      <c r="AA1162" s="49">
        <f t="shared" si="169"/>
        <v>57661</v>
      </c>
      <c r="AB1162" s="71">
        <f t="shared" si="170"/>
        <v>0.71</v>
      </c>
      <c r="AC1162" s="49">
        <f t="shared" si="171"/>
        <v>16721.689999999999</v>
      </c>
      <c r="AD1162" s="50">
        <f t="shared" si="172"/>
        <v>0</v>
      </c>
      <c r="AE1162" s="50">
        <f t="shared" si="173"/>
        <v>0</v>
      </c>
      <c r="AF1162" s="50">
        <f t="shared" si="174"/>
        <v>16721.689999999999</v>
      </c>
      <c r="AG1162" s="199">
        <f t="shared" si="175"/>
        <v>16721</v>
      </c>
      <c r="AH1162" s="187"/>
      <c r="AI1162" s="185" t="s">
        <v>1465</v>
      </c>
      <c r="AJ1162" s="185"/>
      <c r="AK1162" s="277">
        <f t="shared" si="168"/>
        <v>2180</v>
      </c>
      <c r="AL1162" s="25">
        <f>(SUMIFS('T1 2019 Pipeline Data Lagasco'!$O:$O,'T1 2019 Pipeline Data Lagasco'!$A:$A,'Dec 31 2018 OFFS'!$AI1162,'T1 2019 Pipeline Data Lagasco'!$Q:$Q,'Dec 31 2018 OFFS'!$AK1162,'T1 2019 Pipeline Data Lagasco'!$E:$E,'Dec 31 2018 OFFS'!$U1162,'T1 2019 Pipeline Data Lagasco'!$G:$G,'Dec 31 2018 OFFS'!$W1162))/(MAX(COUNTIFS('T1 2019 Pipeline Data Lagasco'!$A:$A,'Dec 31 2018 OFFS'!$AI1162,'T1 2019 Pipeline Data Lagasco'!$Q:$Q,'Dec 31 2018 OFFS'!$AK1162,'T1 2019 Pipeline Data Lagasco'!$E:$E,'Dec 31 2018 OFFS'!$U1162,'T1 2019 Pipeline Data Lagasco'!$G:$G,'Dec 31 2018 OFFS'!$W1162),1))</f>
        <v>16721</v>
      </c>
      <c r="AM1162" s="274">
        <f t="shared" si="176"/>
        <v>0</v>
      </c>
    </row>
    <row r="1163" spans="1:39" ht="12.7">
      <c r="A1163" s="193" t="s">
        <v>909</v>
      </c>
      <c r="B1163" s="40" t="s">
        <v>917</v>
      </c>
      <c r="C1163" s="40" t="s">
        <v>921</v>
      </c>
      <c r="D1163" s="40" t="s">
        <v>716</v>
      </c>
      <c r="E1163" s="40" t="s">
        <v>716</v>
      </c>
      <c r="F1163" s="40"/>
      <c r="G1163" s="40" t="s">
        <v>1329</v>
      </c>
      <c r="H1163" s="42">
        <v>42</v>
      </c>
      <c r="I1163" s="43">
        <v>9</v>
      </c>
      <c r="J1163" s="44">
        <v>38.46</v>
      </c>
      <c r="K1163" s="45">
        <v>82</v>
      </c>
      <c r="L1163" s="43">
        <v>12</v>
      </c>
      <c r="M1163" s="46">
        <v>3.54</v>
      </c>
      <c r="N1163" s="40" t="s">
        <v>1330</v>
      </c>
      <c r="O1163" s="42">
        <v>42</v>
      </c>
      <c r="P1163" s="43">
        <v>10</v>
      </c>
      <c r="Q1163" s="44">
        <v>4.38</v>
      </c>
      <c r="R1163" s="45">
        <v>82</v>
      </c>
      <c r="S1163" s="43">
        <v>11</v>
      </c>
      <c r="T1163" s="46">
        <v>18.96</v>
      </c>
      <c r="U1163" s="40">
        <v>4</v>
      </c>
      <c r="V1163" s="47">
        <v>4367</v>
      </c>
      <c r="W1163" s="48">
        <v>1992</v>
      </c>
      <c r="X1163" s="40"/>
      <c r="Y1163" s="53"/>
      <c r="Z1163" s="40" t="s">
        <v>910</v>
      </c>
      <c r="AA1163" s="49">
        <f t="shared" si="169"/>
        <v>115507.15</v>
      </c>
      <c r="AB1163" s="71">
        <f t="shared" si="170"/>
        <v>0.71</v>
      </c>
      <c r="AC1163" s="49">
        <f t="shared" si="171"/>
        <v>33497.07</v>
      </c>
      <c r="AD1163" s="50">
        <f t="shared" si="172"/>
        <v>0</v>
      </c>
      <c r="AE1163" s="50">
        <f t="shared" si="173"/>
        <v>0</v>
      </c>
      <c r="AF1163" s="50">
        <f t="shared" si="174"/>
        <v>33497.07</v>
      </c>
      <c r="AG1163" s="199">
        <f t="shared" si="175"/>
        <v>33497</v>
      </c>
      <c r="AH1163" s="187"/>
      <c r="AI1163" s="185" t="s">
        <v>1465</v>
      </c>
      <c r="AJ1163" s="185"/>
      <c r="AK1163" s="277">
        <f t="shared" si="168"/>
        <v>4367</v>
      </c>
      <c r="AL1163" s="25">
        <f>(SUMIFS('T1 2019 Pipeline Data Lagasco'!$O:$O,'T1 2019 Pipeline Data Lagasco'!$A:$A,'Dec 31 2018 OFFS'!$AI1163,'T1 2019 Pipeline Data Lagasco'!$Q:$Q,'Dec 31 2018 OFFS'!$AK1163,'T1 2019 Pipeline Data Lagasco'!$E:$E,'Dec 31 2018 OFFS'!$U1163,'T1 2019 Pipeline Data Lagasco'!$G:$G,'Dec 31 2018 OFFS'!$W1163))/(MAX(COUNTIFS('T1 2019 Pipeline Data Lagasco'!$A:$A,'Dec 31 2018 OFFS'!$AI1163,'T1 2019 Pipeline Data Lagasco'!$Q:$Q,'Dec 31 2018 OFFS'!$AK1163,'T1 2019 Pipeline Data Lagasco'!$E:$E,'Dec 31 2018 OFFS'!$U1163,'T1 2019 Pipeline Data Lagasco'!$G:$G,'Dec 31 2018 OFFS'!$W1163),1))</f>
        <v>33497</v>
      </c>
      <c r="AM1163" s="274">
        <f t="shared" si="176"/>
        <v>0</v>
      </c>
    </row>
    <row r="1164" spans="1:39" ht="12.7">
      <c r="A1164" s="193" t="s">
        <v>909</v>
      </c>
      <c r="B1164" s="40" t="s">
        <v>917</v>
      </c>
      <c r="C1164" s="40" t="s">
        <v>921</v>
      </c>
      <c r="D1164" s="40" t="s">
        <v>716</v>
      </c>
      <c r="E1164" s="40" t="s">
        <v>716</v>
      </c>
      <c r="F1164" s="40"/>
      <c r="G1164" s="40" t="s">
        <v>1330</v>
      </c>
      <c r="H1164" s="42">
        <v>42</v>
      </c>
      <c r="I1164" s="43">
        <v>10</v>
      </c>
      <c r="J1164" s="44">
        <v>4.38</v>
      </c>
      <c r="K1164" s="45">
        <v>82</v>
      </c>
      <c r="L1164" s="43">
        <v>11</v>
      </c>
      <c r="M1164" s="46">
        <v>18.96</v>
      </c>
      <c r="N1164" s="40" t="s">
        <v>1331</v>
      </c>
      <c r="O1164" s="42">
        <v>42</v>
      </c>
      <c r="P1164" s="43">
        <v>10</v>
      </c>
      <c r="Q1164" s="44">
        <v>27.30</v>
      </c>
      <c r="R1164" s="45">
        <v>82</v>
      </c>
      <c r="S1164" s="43">
        <v>10</v>
      </c>
      <c r="T1164" s="46">
        <v>37.200000000000003</v>
      </c>
      <c r="U1164" s="40">
        <v>4</v>
      </c>
      <c r="V1164" s="47">
        <v>3992</v>
      </c>
      <c r="W1164" s="48">
        <v>1994</v>
      </c>
      <c r="X1164" s="40"/>
      <c r="Y1164" s="53"/>
      <c r="Z1164" s="40" t="s">
        <v>910</v>
      </c>
      <c r="AA1164" s="49">
        <f t="shared" si="169"/>
        <v>105588.40</v>
      </c>
      <c r="AB1164" s="71">
        <f t="shared" si="170"/>
        <v>0.68</v>
      </c>
      <c r="AC1164" s="49">
        <f t="shared" si="171"/>
        <v>33788.29</v>
      </c>
      <c r="AD1164" s="50">
        <f t="shared" si="172"/>
        <v>0</v>
      </c>
      <c r="AE1164" s="50">
        <f t="shared" si="173"/>
        <v>0</v>
      </c>
      <c r="AF1164" s="50">
        <f t="shared" si="174"/>
        <v>33788.29</v>
      </c>
      <c r="AG1164" s="199">
        <f t="shared" si="175"/>
        <v>33788</v>
      </c>
      <c r="AH1164" s="187"/>
      <c r="AI1164" s="185" t="s">
        <v>1465</v>
      </c>
      <c r="AJ1164" s="185"/>
      <c r="AK1164" s="277">
        <f t="shared" si="168"/>
        <v>3992</v>
      </c>
      <c r="AL1164" s="25">
        <f>(SUMIFS('T1 2019 Pipeline Data Lagasco'!$O:$O,'T1 2019 Pipeline Data Lagasco'!$A:$A,'Dec 31 2018 OFFS'!$AI1164,'T1 2019 Pipeline Data Lagasco'!$Q:$Q,'Dec 31 2018 OFFS'!$AK1164,'T1 2019 Pipeline Data Lagasco'!$E:$E,'Dec 31 2018 OFFS'!$U1164,'T1 2019 Pipeline Data Lagasco'!$G:$G,'Dec 31 2018 OFFS'!$W1164))/(MAX(COUNTIFS('T1 2019 Pipeline Data Lagasco'!$A:$A,'Dec 31 2018 OFFS'!$AI1164,'T1 2019 Pipeline Data Lagasco'!$Q:$Q,'Dec 31 2018 OFFS'!$AK1164,'T1 2019 Pipeline Data Lagasco'!$E:$E,'Dec 31 2018 OFFS'!$U1164,'T1 2019 Pipeline Data Lagasco'!$G:$G,'Dec 31 2018 OFFS'!$W1164),1))</f>
        <v>33788</v>
      </c>
      <c r="AM1164" s="274">
        <f t="shared" si="176"/>
        <v>0</v>
      </c>
    </row>
    <row r="1165" spans="1:39" ht="12.7">
      <c r="A1165" s="193" t="s">
        <v>909</v>
      </c>
      <c r="B1165" s="40" t="s">
        <v>917</v>
      </c>
      <c r="C1165" s="40" t="s">
        <v>921</v>
      </c>
      <c r="D1165" s="40" t="s">
        <v>716</v>
      </c>
      <c r="E1165" s="40" t="s">
        <v>716</v>
      </c>
      <c r="F1165" s="40"/>
      <c r="G1165" s="40" t="s">
        <v>1331</v>
      </c>
      <c r="H1165" s="42">
        <v>42</v>
      </c>
      <c r="I1165" s="43">
        <v>10</v>
      </c>
      <c r="J1165" s="44">
        <v>27.30</v>
      </c>
      <c r="K1165" s="45">
        <v>82</v>
      </c>
      <c r="L1165" s="43">
        <v>10</v>
      </c>
      <c r="M1165" s="46">
        <v>37.200000000000003</v>
      </c>
      <c r="N1165" s="40" t="s">
        <v>1332</v>
      </c>
      <c r="O1165" s="42">
        <v>42</v>
      </c>
      <c r="P1165" s="43">
        <v>10</v>
      </c>
      <c r="Q1165" s="44">
        <v>50.76</v>
      </c>
      <c r="R1165" s="45">
        <v>82</v>
      </c>
      <c r="S1165" s="43">
        <v>9</v>
      </c>
      <c r="T1165" s="46">
        <v>54.60</v>
      </c>
      <c r="U1165" s="40">
        <v>4</v>
      </c>
      <c r="V1165" s="47">
        <v>3838</v>
      </c>
      <c r="W1165" s="48">
        <v>1996</v>
      </c>
      <c r="X1165" s="40"/>
      <c r="Y1165" s="53"/>
      <c r="Z1165" s="40" t="s">
        <v>910</v>
      </c>
      <c r="AA1165" s="49">
        <f t="shared" si="169"/>
        <v>101515.09999999999</v>
      </c>
      <c r="AB1165" s="71">
        <f t="shared" si="170"/>
        <v>0.66</v>
      </c>
      <c r="AC1165" s="49">
        <f t="shared" si="171"/>
        <v>34515.129999999997</v>
      </c>
      <c r="AD1165" s="50">
        <f t="shared" si="172"/>
        <v>0</v>
      </c>
      <c r="AE1165" s="50">
        <f t="shared" si="173"/>
        <v>0</v>
      </c>
      <c r="AF1165" s="50">
        <f t="shared" si="174"/>
        <v>34515.129999999997</v>
      </c>
      <c r="AG1165" s="199">
        <f t="shared" si="175"/>
        <v>34515</v>
      </c>
      <c r="AH1165" s="187"/>
      <c r="AI1165" s="185" t="s">
        <v>1465</v>
      </c>
      <c r="AJ1165" s="185"/>
      <c r="AK1165" s="277">
        <f t="shared" si="168"/>
        <v>3838</v>
      </c>
      <c r="AL1165" s="25">
        <f>(SUMIFS('T1 2019 Pipeline Data Lagasco'!$O:$O,'T1 2019 Pipeline Data Lagasco'!$A:$A,'Dec 31 2018 OFFS'!$AI1165,'T1 2019 Pipeline Data Lagasco'!$Q:$Q,'Dec 31 2018 OFFS'!$AK1165,'T1 2019 Pipeline Data Lagasco'!$E:$E,'Dec 31 2018 OFFS'!$U1165,'T1 2019 Pipeline Data Lagasco'!$G:$G,'Dec 31 2018 OFFS'!$W1165))/(MAX(COUNTIFS('T1 2019 Pipeline Data Lagasco'!$A:$A,'Dec 31 2018 OFFS'!$AI1165,'T1 2019 Pipeline Data Lagasco'!$Q:$Q,'Dec 31 2018 OFFS'!$AK1165,'T1 2019 Pipeline Data Lagasco'!$E:$E,'Dec 31 2018 OFFS'!$U1165,'T1 2019 Pipeline Data Lagasco'!$G:$G,'Dec 31 2018 OFFS'!$W1165),1))</f>
        <v>34515</v>
      </c>
      <c r="AM1165" s="274">
        <f t="shared" si="176"/>
        <v>0</v>
      </c>
    </row>
    <row r="1166" spans="1:39" ht="12.7">
      <c r="A1166" s="193" t="s">
        <v>909</v>
      </c>
      <c r="B1166" s="40" t="s">
        <v>917</v>
      </c>
      <c r="C1166" s="40" t="s">
        <v>921</v>
      </c>
      <c r="D1166" s="40" t="s">
        <v>716</v>
      </c>
      <c r="E1166" s="40" t="s">
        <v>716</v>
      </c>
      <c r="F1166" s="40"/>
      <c r="G1166" s="40" t="s">
        <v>1332</v>
      </c>
      <c r="H1166" s="42">
        <v>42</v>
      </c>
      <c r="I1166" s="43">
        <v>10</v>
      </c>
      <c r="J1166" s="44">
        <v>50.76</v>
      </c>
      <c r="K1166" s="45">
        <v>82</v>
      </c>
      <c r="L1166" s="43">
        <v>9</v>
      </c>
      <c r="M1166" s="46">
        <v>54.60</v>
      </c>
      <c r="N1166" s="40" t="s">
        <v>1333</v>
      </c>
      <c r="O1166" s="42">
        <v>42</v>
      </c>
      <c r="P1166" s="43">
        <v>10</v>
      </c>
      <c r="Q1166" s="44">
        <v>39</v>
      </c>
      <c r="R1166" s="45" t="s">
        <v>1338</v>
      </c>
      <c r="S1166" s="43">
        <v>9</v>
      </c>
      <c r="T1166" s="46">
        <v>0</v>
      </c>
      <c r="U1166" s="40">
        <v>4</v>
      </c>
      <c r="V1166" s="47">
        <v>780</v>
      </c>
      <c r="W1166" s="48">
        <v>1994</v>
      </c>
      <c r="X1166" s="40"/>
      <c r="Y1166" s="53"/>
      <c r="Z1166" s="40" t="s">
        <v>910</v>
      </c>
      <c r="AA1166" s="49">
        <f t="shared" si="169"/>
        <v>20631</v>
      </c>
      <c r="AB1166" s="71">
        <f t="shared" si="170"/>
        <v>0.68</v>
      </c>
      <c r="AC1166" s="49">
        <f t="shared" si="171"/>
        <v>6601.92</v>
      </c>
      <c r="AD1166" s="50">
        <f t="shared" si="172"/>
        <v>0</v>
      </c>
      <c r="AE1166" s="50">
        <f t="shared" si="173"/>
        <v>0</v>
      </c>
      <c r="AF1166" s="50">
        <f t="shared" si="174"/>
        <v>6601.92</v>
      </c>
      <c r="AG1166" s="199">
        <f t="shared" si="175"/>
        <v>6601</v>
      </c>
      <c r="AH1166" s="187">
        <f>SUM(AF1149:AF1166)</f>
        <v>366120.93</v>
      </c>
      <c r="AI1166" s="185" t="s">
        <v>1465</v>
      </c>
      <c r="AJ1166" s="185"/>
      <c r="AK1166" s="277">
        <f t="shared" si="168"/>
        <v>780</v>
      </c>
      <c r="AL1166" s="25">
        <f>(SUMIFS('T1 2019 Pipeline Data Lagasco'!$O:$O,'T1 2019 Pipeline Data Lagasco'!$A:$A,'Dec 31 2018 OFFS'!$AI1166,'T1 2019 Pipeline Data Lagasco'!$Q:$Q,'Dec 31 2018 OFFS'!$AK1166,'T1 2019 Pipeline Data Lagasco'!$E:$E,'Dec 31 2018 OFFS'!$U1166,'T1 2019 Pipeline Data Lagasco'!$G:$G,'Dec 31 2018 OFFS'!$W1166))/(MAX(COUNTIFS('T1 2019 Pipeline Data Lagasco'!$A:$A,'Dec 31 2018 OFFS'!$AI1166,'T1 2019 Pipeline Data Lagasco'!$Q:$Q,'Dec 31 2018 OFFS'!$AK1166,'T1 2019 Pipeline Data Lagasco'!$E:$E,'Dec 31 2018 OFFS'!$U1166,'T1 2019 Pipeline Data Lagasco'!$G:$G,'Dec 31 2018 OFFS'!$W1166),1))</f>
        <v>6601</v>
      </c>
      <c r="AM1166" s="274">
        <f t="shared" si="176"/>
        <v>0</v>
      </c>
    </row>
    <row r="1167" spans="1:39" ht="12.7">
      <c r="A1167" s="193" t="s">
        <v>909</v>
      </c>
      <c r="B1167" s="40" t="s">
        <v>1248</v>
      </c>
      <c r="C1167" s="40" t="s">
        <v>1265</v>
      </c>
      <c r="D1167" s="40" t="s">
        <v>890</v>
      </c>
      <c r="E1167" s="40" t="s">
        <v>889</v>
      </c>
      <c r="F1167" s="40"/>
      <c r="G1167" s="41" t="s">
        <v>900</v>
      </c>
      <c r="H1167" s="42">
        <v>42</v>
      </c>
      <c r="I1167" s="43">
        <v>47</v>
      </c>
      <c r="J1167" s="44">
        <v>39</v>
      </c>
      <c r="K1167" s="45">
        <v>79</v>
      </c>
      <c r="L1167" s="43">
        <v>11</v>
      </c>
      <c r="M1167" s="46">
        <v>3</v>
      </c>
      <c r="N1167" s="41" t="s">
        <v>901</v>
      </c>
      <c r="O1167" s="42">
        <v>42</v>
      </c>
      <c r="P1167" s="43">
        <v>47</v>
      </c>
      <c r="Q1167" s="44">
        <v>42</v>
      </c>
      <c r="R1167" s="45">
        <v>79</v>
      </c>
      <c r="S1167" s="43">
        <v>12</v>
      </c>
      <c r="T1167" s="46">
        <v>13.98</v>
      </c>
      <c r="U1167" s="40">
        <v>3</v>
      </c>
      <c r="V1167" s="47">
        <v>5302.0667755859995</v>
      </c>
      <c r="W1167" s="48">
        <v>1969</v>
      </c>
      <c r="X1167" s="40"/>
      <c r="Y1167" s="40" t="s">
        <v>1081</v>
      </c>
      <c r="Z1167" s="40" t="s">
        <v>910</v>
      </c>
      <c r="AA1167" s="49">
        <f t="shared" si="169"/>
        <v>125075.75523607373</v>
      </c>
      <c r="AB1167" s="71">
        <f t="shared" si="170"/>
        <v>0.80</v>
      </c>
      <c r="AC1167" s="49">
        <f t="shared" si="171"/>
        <v>25015.15</v>
      </c>
      <c r="AD1167" s="50">
        <f t="shared" si="172"/>
        <v>0</v>
      </c>
      <c r="AE1167" s="50">
        <f t="shared" si="173"/>
        <v>0</v>
      </c>
      <c r="AF1167" s="50">
        <f t="shared" si="174"/>
        <v>25015.15</v>
      </c>
      <c r="AG1167" s="199">
        <f t="shared" si="175"/>
        <v>25015</v>
      </c>
      <c r="AH1167" s="187"/>
      <c r="AI1167" s="185" t="s">
        <v>1466</v>
      </c>
      <c r="AJ1167" s="185"/>
      <c r="AK1167" s="277">
        <f>ROUND(V1167,2)</f>
        <v>5302.07</v>
      </c>
      <c r="AL1167" s="25">
        <f>(SUMIFS('T1 2019 Pipeline Data Lagasco'!$O:$O,'T1 2019 Pipeline Data Lagasco'!$A:$A,'Dec 31 2018 OFFS'!$AI1167,'T1 2019 Pipeline Data Lagasco'!$Q:$Q,'Dec 31 2018 OFFS'!$AK1167,'T1 2019 Pipeline Data Lagasco'!$E:$E,'Dec 31 2018 OFFS'!$U1167,'T1 2019 Pipeline Data Lagasco'!$G:$G,'Dec 31 2018 OFFS'!$W1167))/(MAX(COUNTIFS('T1 2019 Pipeline Data Lagasco'!$A:$A,'Dec 31 2018 OFFS'!$AI1167,'T1 2019 Pipeline Data Lagasco'!$Q:$Q,'Dec 31 2018 OFFS'!$AK1167,'T1 2019 Pipeline Data Lagasco'!$E:$E,'Dec 31 2018 OFFS'!$U1167,'T1 2019 Pipeline Data Lagasco'!$G:$G,'Dec 31 2018 OFFS'!$W1167),1))</f>
        <v>25015</v>
      </c>
      <c r="AM1167" s="274">
        <f t="shared" si="176"/>
        <v>0</v>
      </c>
    </row>
    <row r="1168" spans="1:39" ht="12.7">
      <c r="A1168" s="193" t="s">
        <v>909</v>
      </c>
      <c r="B1168" s="40" t="s">
        <v>1248</v>
      </c>
      <c r="C1168" s="40" t="s">
        <v>1265</v>
      </c>
      <c r="D1168" s="40" t="s">
        <v>890</v>
      </c>
      <c r="E1168" s="40" t="s">
        <v>889</v>
      </c>
      <c r="F1168" s="40" t="s">
        <v>1051</v>
      </c>
      <c r="G1168" s="41" t="s">
        <v>900</v>
      </c>
      <c r="H1168" s="42">
        <v>42</v>
      </c>
      <c r="I1168" s="43">
        <v>47</v>
      </c>
      <c r="J1168" s="44">
        <v>39</v>
      </c>
      <c r="K1168" s="45">
        <v>79</v>
      </c>
      <c r="L1168" s="43">
        <v>11</v>
      </c>
      <c r="M1168" s="46">
        <v>3</v>
      </c>
      <c r="N1168" s="41" t="s">
        <v>887</v>
      </c>
      <c r="O1168" s="42">
        <v>42</v>
      </c>
      <c r="P1168" s="43">
        <v>46</v>
      </c>
      <c r="Q1168" s="44">
        <v>52.02</v>
      </c>
      <c r="R1168" s="45">
        <v>79</v>
      </c>
      <c r="S1168" s="43">
        <v>12</v>
      </c>
      <c r="T1168" s="46">
        <v>16.98</v>
      </c>
      <c r="U1168" s="40">
        <v>4</v>
      </c>
      <c r="V1168" s="47">
        <v>7285.400051482</v>
      </c>
      <c r="W1168" s="48">
        <v>1969</v>
      </c>
      <c r="X1168" s="40"/>
      <c r="Y1168" s="40" t="s">
        <v>1081</v>
      </c>
      <c r="Z1168" s="40" t="s">
        <v>910</v>
      </c>
      <c r="AA1168" s="49">
        <f t="shared" si="169"/>
        <v>0</v>
      </c>
      <c r="AB1168" s="71">
        <f t="shared" si="170"/>
        <v>0.80</v>
      </c>
      <c r="AC1168" s="49">
        <f t="shared" si="171"/>
        <v>0</v>
      </c>
      <c r="AD1168" s="50">
        <f t="shared" si="172"/>
        <v>0</v>
      </c>
      <c r="AE1168" s="50">
        <f t="shared" si="173"/>
        <v>0</v>
      </c>
      <c r="AF1168" s="50">
        <f t="shared" si="174"/>
        <v>0</v>
      </c>
      <c r="AG1168" s="199">
        <f t="shared" si="175"/>
        <v>0</v>
      </c>
      <c r="AH1168" s="187"/>
      <c r="AI1168" s="185" t="s">
        <v>1466</v>
      </c>
      <c r="AJ1168" s="185"/>
      <c r="AK1168" s="277">
        <f t="shared" si="177" ref="AK1168:AK1194">ROUND(V1168,2)</f>
        <v>7285.40</v>
      </c>
      <c r="AL1168" s="25">
        <f>(SUMIFS('T1 2019 Pipeline Data Lagasco'!$O:$O,'T1 2019 Pipeline Data Lagasco'!$A:$A,'Dec 31 2018 OFFS'!$AI1168,'T1 2019 Pipeline Data Lagasco'!$Q:$Q,'Dec 31 2018 OFFS'!$AK1168,'T1 2019 Pipeline Data Lagasco'!$E:$E,'Dec 31 2018 OFFS'!$U1168,'T1 2019 Pipeline Data Lagasco'!$G:$G,'Dec 31 2018 OFFS'!$W1168))/(MAX(COUNTIFS('T1 2019 Pipeline Data Lagasco'!$A:$A,'Dec 31 2018 OFFS'!$AI1168,'T1 2019 Pipeline Data Lagasco'!$Q:$Q,'Dec 31 2018 OFFS'!$AK1168,'T1 2019 Pipeline Data Lagasco'!$E:$E,'Dec 31 2018 OFFS'!$U1168,'T1 2019 Pipeline Data Lagasco'!$G:$G,'Dec 31 2018 OFFS'!$W1168),1))</f>
        <v>0</v>
      </c>
      <c r="AM1168" s="274">
        <f t="shared" si="176"/>
        <v>0</v>
      </c>
    </row>
    <row r="1169" spans="1:39" ht="12.7">
      <c r="A1169" s="193" t="s">
        <v>909</v>
      </c>
      <c r="B1169" s="40" t="s">
        <v>1248</v>
      </c>
      <c r="C1169" s="40" t="s">
        <v>1265</v>
      </c>
      <c r="D1169" s="40" t="s">
        <v>890</v>
      </c>
      <c r="E1169" s="40" t="s">
        <v>889</v>
      </c>
      <c r="F1169" s="40" t="s">
        <v>1051</v>
      </c>
      <c r="G1169" s="41" t="s">
        <v>887</v>
      </c>
      <c r="H1169" s="42">
        <v>42</v>
      </c>
      <c r="I1169" s="43">
        <v>46</v>
      </c>
      <c r="J1169" s="44">
        <v>52.02</v>
      </c>
      <c r="K1169" s="45">
        <v>79</v>
      </c>
      <c r="L1169" s="43">
        <v>12</v>
      </c>
      <c r="M1169" s="46">
        <v>16.98</v>
      </c>
      <c r="N1169" s="40" t="s">
        <v>888</v>
      </c>
      <c r="O1169" s="42">
        <v>42</v>
      </c>
      <c r="P1169" s="43">
        <v>45</v>
      </c>
      <c r="Q1169" s="44">
        <v>59.58</v>
      </c>
      <c r="R1169" s="45">
        <v>79</v>
      </c>
      <c r="S1169" s="43">
        <v>13</v>
      </c>
      <c r="T1169" s="46">
        <v>31.02</v>
      </c>
      <c r="U1169" s="40">
        <v>2</v>
      </c>
      <c r="V1169" s="47">
        <v>7661.9420353280002</v>
      </c>
      <c r="W1169" s="48">
        <v>1981</v>
      </c>
      <c r="X1169" s="40"/>
      <c r="Y1169" s="40" t="s">
        <v>1081</v>
      </c>
      <c r="Z1169" s="40" t="s">
        <v>910</v>
      </c>
      <c r="AA1169" s="49">
        <f t="shared" si="169"/>
        <v>0</v>
      </c>
      <c r="AB1169" s="71">
        <f t="shared" si="170"/>
        <v>0.80</v>
      </c>
      <c r="AC1169" s="49">
        <f t="shared" si="171"/>
        <v>0</v>
      </c>
      <c r="AD1169" s="50">
        <f t="shared" si="172"/>
        <v>0</v>
      </c>
      <c r="AE1169" s="50">
        <f t="shared" si="173"/>
        <v>0</v>
      </c>
      <c r="AF1169" s="50">
        <f t="shared" si="174"/>
        <v>0</v>
      </c>
      <c r="AG1169" s="199">
        <f t="shared" si="175"/>
        <v>0</v>
      </c>
      <c r="AH1169" s="187"/>
      <c r="AI1169" s="185" t="s">
        <v>1466</v>
      </c>
      <c r="AJ1169" s="185"/>
      <c r="AK1169" s="277">
        <f t="shared" si="177"/>
        <v>7661.94</v>
      </c>
      <c r="AL1169" s="25">
        <f>(SUMIFS('T1 2019 Pipeline Data Lagasco'!$O:$O,'T1 2019 Pipeline Data Lagasco'!$A:$A,'Dec 31 2018 OFFS'!$AI1169,'T1 2019 Pipeline Data Lagasco'!$Q:$Q,'Dec 31 2018 OFFS'!$AK1169,'T1 2019 Pipeline Data Lagasco'!$E:$E,'Dec 31 2018 OFFS'!$U1169,'T1 2019 Pipeline Data Lagasco'!$G:$G,'Dec 31 2018 OFFS'!$W1169))/(MAX(COUNTIFS('T1 2019 Pipeline Data Lagasco'!$A:$A,'Dec 31 2018 OFFS'!$AI1169,'T1 2019 Pipeline Data Lagasco'!$Q:$Q,'Dec 31 2018 OFFS'!$AK1169,'T1 2019 Pipeline Data Lagasco'!$E:$E,'Dec 31 2018 OFFS'!$U1169,'T1 2019 Pipeline Data Lagasco'!$G:$G,'Dec 31 2018 OFFS'!$W1169),1))</f>
        <v>0</v>
      </c>
      <c r="AM1169" s="274">
        <f t="shared" si="176"/>
        <v>0</v>
      </c>
    </row>
    <row r="1170" spans="1:39" ht="12.7">
      <c r="A1170" s="193" t="s">
        <v>909</v>
      </c>
      <c r="B1170" s="40" t="s">
        <v>1248</v>
      </c>
      <c r="C1170" s="40" t="s">
        <v>1265</v>
      </c>
      <c r="D1170" s="40" t="s">
        <v>890</v>
      </c>
      <c r="E1170" s="40" t="s">
        <v>889</v>
      </c>
      <c r="F1170" s="40"/>
      <c r="G1170" s="41" t="s">
        <v>902</v>
      </c>
      <c r="H1170" s="42">
        <v>42</v>
      </c>
      <c r="I1170" s="43">
        <v>45</v>
      </c>
      <c r="J1170" s="44">
        <v>10.102</v>
      </c>
      <c r="K1170" s="45">
        <v>79</v>
      </c>
      <c r="L1170" s="43">
        <v>10</v>
      </c>
      <c r="M1170" s="46">
        <v>4.8979999999999997</v>
      </c>
      <c r="N1170" s="41" t="s">
        <v>903</v>
      </c>
      <c r="O1170" s="42">
        <v>42</v>
      </c>
      <c r="P1170" s="43">
        <v>44</v>
      </c>
      <c r="Q1170" s="44">
        <v>57</v>
      </c>
      <c r="R1170" s="45">
        <v>79</v>
      </c>
      <c r="S1170" s="43">
        <v>10</v>
      </c>
      <c r="T1170" s="46">
        <v>34.020000000000003</v>
      </c>
      <c r="U1170" s="40">
        <v>4</v>
      </c>
      <c r="V1170" s="47">
        <v>2546.2925771780001</v>
      </c>
      <c r="W1170" s="48">
        <v>1969</v>
      </c>
      <c r="X1170" s="40"/>
      <c r="Y1170" s="40" t="s">
        <v>1081</v>
      </c>
      <c r="Z1170" s="40" t="s">
        <v>910</v>
      </c>
      <c r="AA1170" s="49">
        <f t="shared" si="169"/>
        <v>67349.438666358095</v>
      </c>
      <c r="AB1170" s="71">
        <f t="shared" si="170"/>
        <v>0.80</v>
      </c>
      <c r="AC1170" s="49">
        <f t="shared" si="171"/>
        <v>13469.89</v>
      </c>
      <c r="AD1170" s="50">
        <f t="shared" si="172"/>
        <v>0</v>
      </c>
      <c r="AE1170" s="50">
        <f t="shared" si="173"/>
        <v>0</v>
      </c>
      <c r="AF1170" s="50">
        <f t="shared" si="174"/>
        <v>13469.89</v>
      </c>
      <c r="AG1170" s="199">
        <f t="shared" si="175"/>
        <v>13469</v>
      </c>
      <c r="AH1170" s="187"/>
      <c r="AI1170" s="185" t="s">
        <v>1466</v>
      </c>
      <c r="AJ1170" s="185"/>
      <c r="AK1170" s="277">
        <f t="shared" si="177"/>
        <v>2546.29</v>
      </c>
      <c r="AL1170" s="25">
        <f>(SUMIFS('T1 2019 Pipeline Data Lagasco'!$O:$O,'T1 2019 Pipeline Data Lagasco'!$A:$A,'Dec 31 2018 OFFS'!$AI1170,'T1 2019 Pipeline Data Lagasco'!$Q:$Q,'Dec 31 2018 OFFS'!$AK1170,'T1 2019 Pipeline Data Lagasco'!$E:$E,'Dec 31 2018 OFFS'!$U1170,'T1 2019 Pipeline Data Lagasco'!$G:$G,'Dec 31 2018 OFFS'!$W1170))/(MAX(COUNTIFS('T1 2019 Pipeline Data Lagasco'!$A:$A,'Dec 31 2018 OFFS'!$AI1170,'T1 2019 Pipeline Data Lagasco'!$Q:$Q,'Dec 31 2018 OFFS'!$AK1170,'T1 2019 Pipeline Data Lagasco'!$E:$E,'Dec 31 2018 OFFS'!$U1170,'T1 2019 Pipeline Data Lagasco'!$G:$G,'Dec 31 2018 OFFS'!$W1170),1))</f>
        <v>13469</v>
      </c>
      <c r="AM1170" s="274">
        <f t="shared" si="176"/>
        <v>0</v>
      </c>
    </row>
    <row r="1171" spans="1:39" ht="12.7">
      <c r="A1171" s="193" t="s">
        <v>909</v>
      </c>
      <c r="B1171" s="40" t="s">
        <v>1248</v>
      </c>
      <c r="C1171" s="40" t="s">
        <v>1265</v>
      </c>
      <c r="D1171" s="40" t="s">
        <v>890</v>
      </c>
      <c r="E1171" s="40" t="s">
        <v>889</v>
      </c>
      <c r="F1171" s="40"/>
      <c r="G1171" s="41" t="s">
        <v>891</v>
      </c>
      <c r="H1171" s="42">
        <v>42</v>
      </c>
      <c r="I1171" s="43">
        <v>48</v>
      </c>
      <c r="J1171" s="44">
        <v>30</v>
      </c>
      <c r="K1171" s="45">
        <v>79</v>
      </c>
      <c r="L1171" s="43">
        <v>9</v>
      </c>
      <c r="M1171" s="46">
        <v>58.02</v>
      </c>
      <c r="N1171" s="40" t="s">
        <v>892</v>
      </c>
      <c r="O1171" s="42">
        <v>42</v>
      </c>
      <c r="P1171" s="43">
        <v>48</v>
      </c>
      <c r="Q1171" s="44">
        <v>31.02</v>
      </c>
      <c r="R1171" s="45">
        <v>79</v>
      </c>
      <c r="S1171" s="43">
        <v>9</v>
      </c>
      <c r="T1171" s="46">
        <v>58.98</v>
      </c>
      <c r="U1171" s="40">
        <v>2</v>
      </c>
      <c r="V1171" s="47">
        <v>125.65616433999999</v>
      </c>
      <c r="W1171" s="48">
        <v>1969</v>
      </c>
      <c r="X1171" s="40"/>
      <c r="Y1171" s="40" t="s">
        <v>1081</v>
      </c>
      <c r="Z1171" s="40" t="s">
        <v>910</v>
      </c>
      <c r="AA1171" s="49">
        <f t="shared" si="169"/>
        <v>2040.6561088815997</v>
      </c>
      <c r="AB1171" s="71">
        <f t="shared" si="170"/>
        <v>0.80</v>
      </c>
      <c r="AC1171" s="49">
        <f t="shared" si="171"/>
        <v>408.13</v>
      </c>
      <c r="AD1171" s="50">
        <f t="shared" si="172"/>
        <v>0</v>
      </c>
      <c r="AE1171" s="50">
        <f t="shared" si="173"/>
        <v>0</v>
      </c>
      <c r="AF1171" s="50">
        <f t="shared" si="174"/>
        <v>408.13</v>
      </c>
      <c r="AG1171" s="199">
        <f t="shared" si="175"/>
        <v>408</v>
      </c>
      <c r="AH1171" s="187"/>
      <c r="AI1171" s="185" t="s">
        <v>1466</v>
      </c>
      <c r="AJ1171" s="185"/>
      <c r="AK1171" s="277">
        <f t="shared" si="177"/>
        <v>125.66</v>
      </c>
      <c r="AL1171" s="25">
        <f>(SUMIFS('T1 2019 Pipeline Data Lagasco'!$O:$O,'T1 2019 Pipeline Data Lagasco'!$A:$A,'Dec 31 2018 OFFS'!$AI1171,'T1 2019 Pipeline Data Lagasco'!$Q:$Q,'Dec 31 2018 OFFS'!$AK1171,'T1 2019 Pipeline Data Lagasco'!$E:$E,'Dec 31 2018 OFFS'!$U1171,'T1 2019 Pipeline Data Lagasco'!$G:$G,'Dec 31 2018 OFFS'!$W1171))/(MAX(COUNTIFS('T1 2019 Pipeline Data Lagasco'!$A:$A,'Dec 31 2018 OFFS'!$AI1171,'T1 2019 Pipeline Data Lagasco'!$Q:$Q,'Dec 31 2018 OFFS'!$AK1171,'T1 2019 Pipeline Data Lagasco'!$E:$E,'Dec 31 2018 OFFS'!$U1171,'T1 2019 Pipeline Data Lagasco'!$G:$G,'Dec 31 2018 OFFS'!$W1171),1))</f>
        <v>408</v>
      </c>
      <c r="AM1171" s="274">
        <f t="shared" si="176"/>
        <v>0</v>
      </c>
    </row>
    <row r="1172" spans="1:39" ht="12.7">
      <c r="A1172" s="193" t="s">
        <v>909</v>
      </c>
      <c r="B1172" s="40" t="s">
        <v>1248</v>
      </c>
      <c r="C1172" s="40" t="s">
        <v>1265</v>
      </c>
      <c r="D1172" s="40" t="s">
        <v>890</v>
      </c>
      <c r="E1172" s="40" t="s">
        <v>889</v>
      </c>
      <c r="F1172" s="40"/>
      <c r="G1172" s="41" t="s">
        <v>904</v>
      </c>
      <c r="H1172" s="42">
        <v>42</v>
      </c>
      <c r="I1172" s="43">
        <v>48</v>
      </c>
      <c r="J1172" s="44">
        <v>34.020000000000003</v>
      </c>
      <c r="K1172" s="45">
        <v>79</v>
      </c>
      <c r="L1172" s="43">
        <v>9</v>
      </c>
      <c r="M1172" s="46">
        <v>40.020000000000003</v>
      </c>
      <c r="N1172" s="41" t="s">
        <v>905</v>
      </c>
      <c r="O1172" s="42">
        <v>42</v>
      </c>
      <c r="P1172" s="43">
        <v>48</v>
      </c>
      <c r="Q1172" s="44">
        <v>30</v>
      </c>
      <c r="R1172" s="45">
        <v>79</v>
      </c>
      <c r="S1172" s="43">
        <v>7</v>
      </c>
      <c r="T1172" s="46">
        <v>37.020000000000003</v>
      </c>
      <c r="U1172" s="40">
        <v>4</v>
      </c>
      <c r="V1172" s="47">
        <v>9179.8225687980012</v>
      </c>
      <c r="W1172" s="48">
        <v>1970</v>
      </c>
      <c r="X1172" s="40"/>
      <c r="Y1172" s="40" t="s">
        <v>1081</v>
      </c>
      <c r="Z1172" s="40" t="s">
        <v>910</v>
      </c>
      <c r="AA1172" s="49">
        <f t="shared" si="169"/>
        <v>242806.30694470712</v>
      </c>
      <c r="AB1172" s="71">
        <f t="shared" si="170"/>
        <v>0.80</v>
      </c>
      <c r="AC1172" s="49">
        <f t="shared" si="171"/>
        <v>48561.26</v>
      </c>
      <c r="AD1172" s="50">
        <f t="shared" si="172"/>
        <v>0</v>
      </c>
      <c r="AE1172" s="50">
        <f t="shared" si="173"/>
        <v>0</v>
      </c>
      <c r="AF1172" s="50">
        <f t="shared" si="174"/>
        <v>48561.26</v>
      </c>
      <c r="AG1172" s="199">
        <f t="shared" si="175"/>
        <v>48561</v>
      </c>
      <c r="AH1172" s="187"/>
      <c r="AI1172" s="185" t="s">
        <v>1466</v>
      </c>
      <c r="AJ1172" s="185"/>
      <c r="AK1172" s="277">
        <f t="shared" si="177"/>
        <v>9179.82</v>
      </c>
      <c r="AL1172" s="25">
        <f>(SUMIFS('T1 2019 Pipeline Data Lagasco'!$O:$O,'T1 2019 Pipeline Data Lagasco'!$A:$A,'Dec 31 2018 OFFS'!$AI1172,'T1 2019 Pipeline Data Lagasco'!$Q:$Q,'Dec 31 2018 OFFS'!$AK1172,'T1 2019 Pipeline Data Lagasco'!$E:$E,'Dec 31 2018 OFFS'!$U1172,'T1 2019 Pipeline Data Lagasco'!$G:$G,'Dec 31 2018 OFFS'!$W1172))/(MAX(COUNTIFS('T1 2019 Pipeline Data Lagasco'!$A:$A,'Dec 31 2018 OFFS'!$AI1172,'T1 2019 Pipeline Data Lagasco'!$Q:$Q,'Dec 31 2018 OFFS'!$AK1172,'T1 2019 Pipeline Data Lagasco'!$E:$E,'Dec 31 2018 OFFS'!$U1172,'T1 2019 Pipeline Data Lagasco'!$G:$G,'Dec 31 2018 OFFS'!$W1172),1))</f>
        <v>48561</v>
      </c>
      <c r="AM1172" s="274">
        <f t="shared" si="176"/>
        <v>0</v>
      </c>
    </row>
    <row r="1173" spans="1:39" ht="12.7">
      <c r="A1173" s="193" t="s">
        <v>909</v>
      </c>
      <c r="B1173" s="40" t="s">
        <v>1248</v>
      </c>
      <c r="C1173" s="40" t="s">
        <v>1265</v>
      </c>
      <c r="D1173" s="40" t="s">
        <v>890</v>
      </c>
      <c r="E1173" s="40" t="s">
        <v>889</v>
      </c>
      <c r="F1173" s="40"/>
      <c r="G1173" s="41" t="s">
        <v>904</v>
      </c>
      <c r="H1173" s="42">
        <v>42</v>
      </c>
      <c r="I1173" s="43">
        <v>48</v>
      </c>
      <c r="J1173" s="44">
        <v>34.020000000000003</v>
      </c>
      <c r="K1173" s="45">
        <v>79</v>
      </c>
      <c r="L1173" s="43">
        <v>9</v>
      </c>
      <c r="M1173" s="46">
        <v>40.020000000000003</v>
      </c>
      <c r="N1173" s="40" t="s">
        <v>891</v>
      </c>
      <c r="O1173" s="42">
        <v>42</v>
      </c>
      <c r="P1173" s="43">
        <v>48</v>
      </c>
      <c r="Q1173" s="44">
        <v>30</v>
      </c>
      <c r="R1173" s="45">
        <v>79</v>
      </c>
      <c r="S1173" s="43">
        <v>9</v>
      </c>
      <c r="T1173" s="46">
        <v>58.02</v>
      </c>
      <c r="U1173" s="40">
        <v>4</v>
      </c>
      <c r="V1173" s="47">
        <v>1402.4277809079999</v>
      </c>
      <c r="W1173" s="48">
        <v>1969</v>
      </c>
      <c r="X1173" s="40"/>
      <c r="Y1173" s="40" t="s">
        <v>1081</v>
      </c>
      <c r="Z1173" s="40" t="s">
        <v>910</v>
      </c>
      <c r="AA1173" s="49">
        <f t="shared" si="169"/>
        <v>37094.2148050166</v>
      </c>
      <c r="AB1173" s="71">
        <f t="shared" si="170"/>
        <v>0.80</v>
      </c>
      <c r="AC1173" s="49">
        <f t="shared" si="171"/>
        <v>7418.84</v>
      </c>
      <c r="AD1173" s="50">
        <f t="shared" si="172"/>
        <v>0</v>
      </c>
      <c r="AE1173" s="50">
        <f t="shared" si="173"/>
        <v>0</v>
      </c>
      <c r="AF1173" s="50">
        <f t="shared" si="174"/>
        <v>7418.84</v>
      </c>
      <c r="AG1173" s="199">
        <f t="shared" si="175"/>
        <v>7418</v>
      </c>
      <c r="AH1173" s="187"/>
      <c r="AI1173" s="185" t="s">
        <v>1466</v>
      </c>
      <c r="AJ1173" s="185"/>
      <c r="AK1173" s="277">
        <f t="shared" si="177"/>
        <v>1402.43</v>
      </c>
      <c r="AL1173" s="25">
        <f>(SUMIFS('T1 2019 Pipeline Data Lagasco'!$O:$O,'T1 2019 Pipeline Data Lagasco'!$A:$A,'Dec 31 2018 OFFS'!$AI1173,'T1 2019 Pipeline Data Lagasco'!$Q:$Q,'Dec 31 2018 OFFS'!$AK1173,'T1 2019 Pipeline Data Lagasco'!$E:$E,'Dec 31 2018 OFFS'!$U1173,'T1 2019 Pipeline Data Lagasco'!$G:$G,'Dec 31 2018 OFFS'!$W1173))/(MAX(COUNTIFS('T1 2019 Pipeline Data Lagasco'!$A:$A,'Dec 31 2018 OFFS'!$AI1173,'T1 2019 Pipeline Data Lagasco'!$Q:$Q,'Dec 31 2018 OFFS'!$AK1173,'T1 2019 Pipeline Data Lagasco'!$E:$E,'Dec 31 2018 OFFS'!$U1173,'T1 2019 Pipeline Data Lagasco'!$G:$G,'Dec 31 2018 OFFS'!$W1173),1))</f>
        <v>7418</v>
      </c>
      <c r="AM1173" s="274">
        <f t="shared" si="176"/>
        <v>0</v>
      </c>
    </row>
    <row r="1174" spans="1:39" ht="12.7">
      <c r="A1174" s="193" t="s">
        <v>909</v>
      </c>
      <c r="B1174" s="40" t="s">
        <v>1248</v>
      </c>
      <c r="C1174" s="40" t="s">
        <v>1265</v>
      </c>
      <c r="D1174" s="40" t="s">
        <v>890</v>
      </c>
      <c r="E1174" s="40" t="s">
        <v>889</v>
      </c>
      <c r="F1174" s="40"/>
      <c r="G1174" s="41" t="s">
        <v>904</v>
      </c>
      <c r="H1174" s="42">
        <v>42</v>
      </c>
      <c r="I1174" s="43">
        <v>48</v>
      </c>
      <c r="J1174" s="44">
        <v>34.020000000000003</v>
      </c>
      <c r="K1174" s="45">
        <v>79</v>
      </c>
      <c r="L1174" s="43">
        <v>9</v>
      </c>
      <c r="M1174" s="46">
        <v>40.020000000000003</v>
      </c>
      <c r="N1174" s="40" t="s">
        <v>906</v>
      </c>
      <c r="O1174" s="42">
        <v>42</v>
      </c>
      <c r="P1174" s="43">
        <v>47</v>
      </c>
      <c r="Q1174" s="44">
        <v>58.02</v>
      </c>
      <c r="R1174" s="45">
        <v>79</v>
      </c>
      <c r="S1174" s="43">
        <v>9</v>
      </c>
      <c r="T1174" s="46">
        <v>42</v>
      </c>
      <c r="U1174" s="40">
        <v>4</v>
      </c>
      <c r="V1174" s="47">
        <v>3648.4578995899997</v>
      </c>
      <c r="W1174" s="48">
        <v>1968</v>
      </c>
      <c r="X1174" s="40"/>
      <c r="Y1174" s="40" t="s">
        <v>1081</v>
      </c>
      <c r="Z1174" s="40" t="s">
        <v>910</v>
      </c>
      <c r="AA1174" s="49">
        <f t="shared" si="169"/>
        <v>96501.711444155488</v>
      </c>
      <c r="AB1174" s="71">
        <f t="shared" si="170"/>
        <v>0.80</v>
      </c>
      <c r="AC1174" s="49">
        <f t="shared" si="171"/>
        <v>19300.34</v>
      </c>
      <c r="AD1174" s="50">
        <f t="shared" si="172"/>
        <v>0</v>
      </c>
      <c r="AE1174" s="50">
        <f t="shared" si="173"/>
        <v>0</v>
      </c>
      <c r="AF1174" s="50">
        <f t="shared" si="174"/>
        <v>19300.34</v>
      </c>
      <c r="AG1174" s="199">
        <f t="shared" si="175"/>
        <v>19300</v>
      </c>
      <c r="AH1174" s="187"/>
      <c r="AI1174" s="185" t="s">
        <v>1466</v>
      </c>
      <c r="AJ1174" s="185"/>
      <c r="AK1174" s="277">
        <f t="shared" si="177"/>
        <v>3648.46</v>
      </c>
      <c r="AL1174" s="25">
        <f>(SUMIFS('T1 2019 Pipeline Data Lagasco'!$O:$O,'T1 2019 Pipeline Data Lagasco'!$A:$A,'Dec 31 2018 OFFS'!$AI1174,'T1 2019 Pipeline Data Lagasco'!$Q:$Q,'Dec 31 2018 OFFS'!$AK1174,'T1 2019 Pipeline Data Lagasco'!$E:$E,'Dec 31 2018 OFFS'!$U1174,'T1 2019 Pipeline Data Lagasco'!$G:$G,'Dec 31 2018 OFFS'!$W1174))/(MAX(COUNTIFS('T1 2019 Pipeline Data Lagasco'!$A:$A,'Dec 31 2018 OFFS'!$AI1174,'T1 2019 Pipeline Data Lagasco'!$Q:$Q,'Dec 31 2018 OFFS'!$AK1174,'T1 2019 Pipeline Data Lagasco'!$E:$E,'Dec 31 2018 OFFS'!$U1174,'T1 2019 Pipeline Data Lagasco'!$G:$G,'Dec 31 2018 OFFS'!$W1174),1))</f>
        <v>19300</v>
      </c>
      <c r="AM1174" s="274">
        <f t="shared" si="176"/>
        <v>0</v>
      </c>
    </row>
    <row r="1175" spans="1:39" ht="12.7">
      <c r="A1175" s="193" t="s">
        <v>909</v>
      </c>
      <c r="B1175" s="40" t="s">
        <v>1248</v>
      </c>
      <c r="C1175" s="40" t="s">
        <v>1265</v>
      </c>
      <c r="D1175" s="40" t="s">
        <v>890</v>
      </c>
      <c r="E1175" s="40" t="s">
        <v>889</v>
      </c>
      <c r="F1175" s="40"/>
      <c r="G1175" s="41" t="s">
        <v>893</v>
      </c>
      <c r="H1175" s="42">
        <v>42</v>
      </c>
      <c r="I1175" s="43">
        <v>47</v>
      </c>
      <c r="J1175" s="44">
        <v>40.98</v>
      </c>
      <c r="K1175" s="45">
        <v>79</v>
      </c>
      <c r="L1175" s="43">
        <v>8</v>
      </c>
      <c r="M1175" s="46">
        <v>46.02</v>
      </c>
      <c r="N1175" s="40" t="s">
        <v>894</v>
      </c>
      <c r="O1175" s="42">
        <v>42</v>
      </c>
      <c r="P1175" s="43">
        <v>47</v>
      </c>
      <c r="Q1175" s="44">
        <v>43.02</v>
      </c>
      <c r="R1175" s="45">
        <v>79</v>
      </c>
      <c r="S1175" s="43">
        <v>8</v>
      </c>
      <c r="T1175" s="46">
        <v>43.98</v>
      </c>
      <c r="U1175" s="40">
        <v>2</v>
      </c>
      <c r="V1175" s="47">
        <v>256.56167235999999</v>
      </c>
      <c r="W1175" s="48">
        <v>1969</v>
      </c>
      <c r="X1175" s="40"/>
      <c r="Y1175" s="40" t="s">
        <v>1081</v>
      </c>
      <c r="Z1175" s="40" t="s">
        <v>910</v>
      </c>
      <c r="AA1175" s="49">
        <f t="shared" si="169"/>
        <v>4166.5615591263995</v>
      </c>
      <c r="AB1175" s="71">
        <f t="shared" si="170"/>
        <v>0.80</v>
      </c>
      <c r="AC1175" s="49">
        <f t="shared" si="171"/>
        <v>833.31</v>
      </c>
      <c r="AD1175" s="50">
        <f t="shared" si="172"/>
        <v>0</v>
      </c>
      <c r="AE1175" s="50">
        <f t="shared" si="173"/>
        <v>0</v>
      </c>
      <c r="AF1175" s="50">
        <f t="shared" si="174"/>
        <v>833.31</v>
      </c>
      <c r="AG1175" s="199">
        <f t="shared" si="175"/>
        <v>833</v>
      </c>
      <c r="AH1175" s="187"/>
      <c r="AI1175" s="185" t="s">
        <v>1466</v>
      </c>
      <c r="AJ1175" s="185"/>
      <c r="AK1175" s="277">
        <f t="shared" si="177"/>
        <v>256.56</v>
      </c>
      <c r="AL1175" s="25">
        <f>(SUMIFS('T1 2019 Pipeline Data Lagasco'!$O:$O,'T1 2019 Pipeline Data Lagasco'!$A:$A,'Dec 31 2018 OFFS'!$AI1175,'T1 2019 Pipeline Data Lagasco'!$Q:$Q,'Dec 31 2018 OFFS'!$AK1175,'T1 2019 Pipeline Data Lagasco'!$E:$E,'Dec 31 2018 OFFS'!$U1175,'T1 2019 Pipeline Data Lagasco'!$G:$G,'Dec 31 2018 OFFS'!$W1175))/(MAX(COUNTIFS('T1 2019 Pipeline Data Lagasco'!$A:$A,'Dec 31 2018 OFFS'!$AI1175,'T1 2019 Pipeline Data Lagasco'!$Q:$Q,'Dec 31 2018 OFFS'!$AK1175,'T1 2019 Pipeline Data Lagasco'!$E:$E,'Dec 31 2018 OFFS'!$U1175,'T1 2019 Pipeline Data Lagasco'!$G:$G,'Dec 31 2018 OFFS'!$W1175),1))</f>
        <v>833</v>
      </c>
      <c r="AM1175" s="274">
        <f t="shared" si="176"/>
        <v>0</v>
      </c>
    </row>
    <row r="1176" spans="1:39" ht="12.7">
      <c r="A1176" s="193" t="s">
        <v>909</v>
      </c>
      <c r="B1176" s="40" t="s">
        <v>1248</v>
      </c>
      <c r="C1176" s="40" t="s">
        <v>1265</v>
      </c>
      <c r="D1176" s="40" t="s">
        <v>890</v>
      </c>
      <c r="E1176" s="40" t="s">
        <v>889</v>
      </c>
      <c r="F1176" s="139" t="s">
        <v>1051</v>
      </c>
      <c r="G1176" s="41" t="s">
        <v>906</v>
      </c>
      <c r="H1176" s="42">
        <v>42</v>
      </c>
      <c r="I1176" s="43">
        <v>47</v>
      </c>
      <c r="J1176" s="44">
        <v>58.02</v>
      </c>
      <c r="K1176" s="45">
        <v>79</v>
      </c>
      <c r="L1176" s="43">
        <v>9</v>
      </c>
      <c r="M1176" s="46">
        <v>42</v>
      </c>
      <c r="N1176" s="40" t="s">
        <v>895</v>
      </c>
      <c r="O1176" s="42">
        <v>42</v>
      </c>
      <c r="P1176" s="43">
        <v>48</v>
      </c>
      <c r="Q1176" s="44">
        <v>0</v>
      </c>
      <c r="R1176" s="45">
        <v>79</v>
      </c>
      <c r="S1176" s="43">
        <v>9</v>
      </c>
      <c r="T1176" s="46">
        <v>58.02</v>
      </c>
      <c r="U1176" s="40">
        <v>2</v>
      </c>
      <c r="V1176" s="47">
        <v>1211.3188625579999</v>
      </c>
      <c r="W1176" s="48">
        <v>1966</v>
      </c>
      <c r="X1176" s="40"/>
      <c r="Y1176" s="40" t="s">
        <v>1081</v>
      </c>
      <c r="Z1176" s="40" t="s">
        <v>910</v>
      </c>
      <c r="AA1176" s="49">
        <f t="shared" si="169"/>
        <v>0</v>
      </c>
      <c r="AB1176" s="71">
        <f t="shared" si="170"/>
        <v>0.80</v>
      </c>
      <c r="AC1176" s="49">
        <f t="shared" si="171"/>
        <v>0</v>
      </c>
      <c r="AD1176" s="50">
        <f t="shared" si="172"/>
        <v>0</v>
      </c>
      <c r="AE1176" s="50">
        <f t="shared" si="173"/>
        <v>0</v>
      </c>
      <c r="AF1176" s="50">
        <f t="shared" si="174"/>
        <v>0</v>
      </c>
      <c r="AG1176" s="199">
        <f t="shared" si="175"/>
        <v>0</v>
      </c>
      <c r="AH1176" s="187"/>
      <c r="AI1176" s="185" t="s">
        <v>1466</v>
      </c>
      <c r="AJ1176" s="185"/>
      <c r="AK1176" s="277">
        <f t="shared" si="177"/>
        <v>1211.32</v>
      </c>
      <c r="AL1176" s="25">
        <f>(SUMIFS('T1 2019 Pipeline Data Lagasco'!$O:$O,'T1 2019 Pipeline Data Lagasco'!$A:$A,'Dec 31 2018 OFFS'!$AI1176,'T1 2019 Pipeline Data Lagasco'!$Q:$Q,'Dec 31 2018 OFFS'!$AK1176,'T1 2019 Pipeline Data Lagasco'!$E:$E,'Dec 31 2018 OFFS'!$U1176,'T1 2019 Pipeline Data Lagasco'!$G:$G,'Dec 31 2018 OFFS'!$W1176))/(MAX(COUNTIFS('T1 2019 Pipeline Data Lagasco'!$A:$A,'Dec 31 2018 OFFS'!$AI1176,'T1 2019 Pipeline Data Lagasco'!$Q:$Q,'Dec 31 2018 OFFS'!$AK1176,'T1 2019 Pipeline Data Lagasco'!$E:$E,'Dec 31 2018 OFFS'!$U1176,'T1 2019 Pipeline Data Lagasco'!$G:$G,'Dec 31 2018 OFFS'!$W1176),1))</f>
        <v>0</v>
      </c>
      <c r="AM1176" s="274">
        <f t="shared" si="176"/>
        <v>0</v>
      </c>
    </row>
    <row r="1177" spans="1:39" ht="12.7">
      <c r="A1177" s="193" t="s">
        <v>909</v>
      </c>
      <c r="B1177" s="40" t="s">
        <v>1248</v>
      </c>
      <c r="C1177" s="40" t="s">
        <v>1265</v>
      </c>
      <c r="D1177" s="40" t="s">
        <v>890</v>
      </c>
      <c r="E1177" s="40" t="s">
        <v>889</v>
      </c>
      <c r="F1177" s="40"/>
      <c r="G1177" s="41" t="s">
        <v>906</v>
      </c>
      <c r="H1177" s="42">
        <v>42</v>
      </c>
      <c r="I1177" s="43">
        <v>47</v>
      </c>
      <c r="J1177" s="44">
        <v>58.02</v>
      </c>
      <c r="K1177" s="45">
        <v>79</v>
      </c>
      <c r="L1177" s="43">
        <v>9</v>
      </c>
      <c r="M1177" s="46">
        <v>42</v>
      </c>
      <c r="N1177" s="40" t="s">
        <v>893</v>
      </c>
      <c r="O1177" s="42">
        <v>42</v>
      </c>
      <c r="P1177" s="43">
        <v>47</v>
      </c>
      <c r="Q1177" s="44">
        <v>40.98</v>
      </c>
      <c r="R1177" s="45">
        <v>79</v>
      </c>
      <c r="S1177" s="43">
        <v>8</v>
      </c>
      <c r="T1177" s="46">
        <v>46.02</v>
      </c>
      <c r="U1177" s="40">
        <v>4</v>
      </c>
      <c r="V1177" s="47">
        <v>4517.1586618339998</v>
      </c>
      <c r="W1177" s="48">
        <v>1968</v>
      </c>
      <c r="X1177" s="40"/>
      <c r="Y1177" s="40" t="s">
        <v>1081</v>
      </c>
      <c r="Z1177" s="40" t="s">
        <v>910</v>
      </c>
      <c r="AA1177" s="49">
        <f t="shared" si="169"/>
        <v>119478.84660550929</v>
      </c>
      <c r="AB1177" s="71">
        <f t="shared" si="170"/>
        <v>0.80</v>
      </c>
      <c r="AC1177" s="49">
        <f t="shared" si="171"/>
        <v>23895.77</v>
      </c>
      <c r="AD1177" s="50">
        <f t="shared" si="172"/>
        <v>0</v>
      </c>
      <c r="AE1177" s="50">
        <f t="shared" si="173"/>
        <v>0</v>
      </c>
      <c r="AF1177" s="50">
        <f t="shared" si="174"/>
        <v>23895.77</v>
      </c>
      <c r="AG1177" s="199">
        <f t="shared" si="175"/>
        <v>23895</v>
      </c>
      <c r="AH1177" s="187"/>
      <c r="AI1177" s="185" t="s">
        <v>1466</v>
      </c>
      <c r="AJ1177" s="185"/>
      <c r="AK1177" s="277">
        <f t="shared" si="177"/>
        <v>4517.16</v>
      </c>
      <c r="AL1177" s="25">
        <f>(SUMIFS('T1 2019 Pipeline Data Lagasco'!$O:$O,'T1 2019 Pipeline Data Lagasco'!$A:$A,'Dec 31 2018 OFFS'!$AI1177,'T1 2019 Pipeline Data Lagasco'!$Q:$Q,'Dec 31 2018 OFFS'!$AK1177,'T1 2019 Pipeline Data Lagasco'!$E:$E,'Dec 31 2018 OFFS'!$U1177,'T1 2019 Pipeline Data Lagasco'!$G:$G,'Dec 31 2018 OFFS'!$W1177))/(MAX(COUNTIFS('T1 2019 Pipeline Data Lagasco'!$A:$A,'Dec 31 2018 OFFS'!$AI1177,'T1 2019 Pipeline Data Lagasco'!$Q:$Q,'Dec 31 2018 OFFS'!$AK1177,'T1 2019 Pipeline Data Lagasco'!$E:$E,'Dec 31 2018 OFFS'!$U1177,'T1 2019 Pipeline Data Lagasco'!$G:$G,'Dec 31 2018 OFFS'!$W1177),1))</f>
        <v>23895</v>
      </c>
      <c r="AM1177" s="274">
        <f t="shared" si="176"/>
        <v>0</v>
      </c>
    </row>
    <row r="1178" spans="1:39" ht="12.7">
      <c r="A1178" s="193" t="s">
        <v>909</v>
      </c>
      <c r="B1178" s="40" t="s">
        <v>1248</v>
      </c>
      <c r="C1178" s="40" t="s">
        <v>1265</v>
      </c>
      <c r="D1178" s="40" t="s">
        <v>890</v>
      </c>
      <c r="E1178" s="40" t="s">
        <v>889</v>
      </c>
      <c r="F1178" s="40"/>
      <c r="G1178" s="41" t="s">
        <v>906</v>
      </c>
      <c r="H1178" s="42">
        <v>42</v>
      </c>
      <c r="I1178" s="43">
        <v>47</v>
      </c>
      <c r="J1178" s="44">
        <v>58.02</v>
      </c>
      <c r="K1178" s="45">
        <v>79</v>
      </c>
      <c r="L1178" s="43">
        <v>9</v>
      </c>
      <c r="M1178" s="46">
        <v>42</v>
      </c>
      <c r="N1178" s="40" t="s">
        <v>900</v>
      </c>
      <c r="O1178" s="42">
        <v>42</v>
      </c>
      <c r="P1178" s="43">
        <v>47</v>
      </c>
      <c r="Q1178" s="44">
        <v>39</v>
      </c>
      <c r="R1178" s="45">
        <v>79</v>
      </c>
      <c r="S1178" s="43">
        <v>11</v>
      </c>
      <c r="T1178" s="46">
        <v>3</v>
      </c>
      <c r="U1178" s="40">
        <v>4</v>
      </c>
      <c r="V1178" s="47">
        <v>6340.0588715100002</v>
      </c>
      <c r="W1178" s="48">
        <v>1969</v>
      </c>
      <c r="X1178" s="40"/>
      <c r="Y1178" s="40" t="s">
        <v>1081</v>
      </c>
      <c r="Z1178" s="40" t="s">
        <v>910</v>
      </c>
      <c r="AA1178" s="49">
        <f t="shared" si="169"/>
        <v>167694.55715143951</v>
      </c>
      <c r="AB1178" s="71">
        <f t="shared" si="170"/>
        <v>0.80</v>
      </c>
      <c r="AC1178" s="49">
        <f t="shared" si="171"/>
        <v>33538.910000000003</v>
      </c>
      <c r="AD1178" s="50">
        <f t="shared" si="172"/>
        <v>0</v>
      </c>
      <c r="AE1178" s="50">
        <f t="shared" si="173"/>
        <v>0</v>
      </c>
      <c r="AF1178" s="50">
        <f t="shared" si="174"/>
        <v>33538.910000000003</v>
      </c>
      <c r="AG1178" s="199">
        <f t="shared" si="175"/>
        <v>33538</v>
      </c>
      <c r="AH1178" s="187"/>
      <c r="AI1178" s="185" t="s">
        <v>1466</v>
      </c>
      <c r="AJ1178" s="185"/>
      <c r="AK1178" s="277">
        <f t="shared" si="177"/>
        <v>6340.06</v>
      </c>
      <c r="AL1178" s="25">
        <f>(SUMIFS('T1 2019 Pipeline Data Lagasco'!$O:$O,'T1 2019 Pipeline Data Lagasco'!$A:$A,'Dec 31 2018 OFFS'!$AI1178,'T1 2019 Pipeline Data Lagasco'!$Q:$Q,'Dec 31 2018 OFFS'!$AK1178,'T1 2019 Pipeline Data Lagasco'!$E:$E,'Dec 31 2018 OFFS'!$U1178,'T1 2019 Pipeline Data Lagasco'!$G:$G,'Dec 31 2018 OFFS'!$W1178))/(MAX(COUNTIFS('T1 2019 Pipeline Data Lagasco'!$A:$A,'Dec 31 2018 OFFS'!$AI1178,'T1 2019 Pipeline Data Lagasco'!$Q:$Q,'Dec 31 2018 OFFS'!$AK1178,'T1 2019 Pipeline Data Lagasco'!$E:$E,'Dec 31 2018 OFFS'!$U1178,'T1 2019 Pipeline Data Lagasco'!$G:$G,'Dec 31 2018 OFFS'!$W1178),1))</f>
        <v>33538</v>
      </c>
      <c r="AM1178" s="274">
        <f t="shared" si="176"/>
        <v>0</v>
      </c>
    </row>
    <row r="1179" spans="1:39" ht="12.7">
      <c r="A1179" s="193" t="s">
        <v>909</v>
      </c>
      <c r="B1179" s="40" t="s">
        <v>1248</v>
      </c>
      <c r="C1179" s="40" t="s">
        <v>1265</v>
      </c>
      <c r="D1179" s="40" t="s">
        <v>890</v>
      </c>
      <c r="E1179" s="40" t="s">
        <v>889</v>
      </c>
      <c r="F1179" s="40"/>
      <c r="G1179" s="41" t="s">
        <v>906</v>
      </c>
      <c r="H1179" s="42">
        <v>42</v>
      </c>
      <c r="I1179" s="43">
        <v>47</v>
      </c>
      <c r="J1179" s="44">
        <v>58.02</v>
      </c>
      <c r="K1179" s="45">
        <v>79</v>
      </c>
      <c r="L1179" s="43">
        <v>9</v>
      </c>
      <c r="M1179" s="46">
        <v>42</v>
      </c>
      <c r="N1179" s="41" t="s">
        <v>907</v>
      </c>
      <c r="O1179" s="42">
        <v>42</v>
      </c>
      <c r="P1179" s="43">
        <v>45</v>
      </c>
      <c r="Q1179" s="44">
        <v>54.025</v>
      </c>
      <c r="R1179" s="45">
        <v>79</v>
      </c>
      <c r="S1179" s="43">
        <v>9</v>
      </c>
      <c r="T1179" s="46">
        <v>52.445999999999998</v>
      </c>
      <c r="U1179" s="40">
        <v>4</v>
      </c>
      <c r="V1179" s="47">
        <v>12580.248979508</v>
      </c>
      <c r="W1179" s="48">
        <v>1969</v>
      </c>
      <c r="X1179" s="40"/>
      <c r="Y1179" s="40" t="s">
        <v>1081</v>
      </c>
      <c r="Z1179" s="40" t="s">
        <v>910</v>
      </c>
      <c r="AA1179" s="49">
        <f t="shared" si="169"/>
        <v>332747.5855079866</v>
      </c>
      <c r="AB1179" s="71">
        <f t="shared" si="170"/>
        <v>0.80</v>
      </c>
      <c r="AC1179" s="49">
        <f t="shared" si="171"/>
        <v>66549.52</v>
      </c>
      <c r="AD1179" s="50">
        <f t="shared" si="172"/>
        <v>0</v>
      </c>
      <c r="AE1179" s="50">
        <f t="shared" si="173"/>
        <v>0</v>
      </c>
      <c r="AF1179" s="50">
        <f t="shared" si="174"/>
        <v>66549.52</v>
      </c>
      <c r="AG1179" s="199">
        <f t="shared" si="175"/>
        <v>66549</v>
      </c>
      <c r="AH1179" s="187"/>
      <c r="AI1179" s="185" t="s">
        <v>1466</v>
      </c>
      <c r="AJ1179" s="185"/>
      <c r="AK1179" s="277">
        <f t="shared" si="177"/>
        <v>12580.25</v>
      </c>
      <c r="AL1179" s="25">
        <f>(SUMIFS('T1 2019 Pipeline Data Lagasco'!$O:$O,'T1 2019 Pipeline Data Lagasco'!$A:$A,'Dec 31 2018 OFFS'!$AI1179,'T1 2019 Pipeline Data Lagasco'!$Q:$Q,'Dec 31 2018 OFFS'!$AK1179,'T1 2019 Pipeline Data Lagasco'!$E:$E,'Dec 31 2018 OFFS'!$U1179,'T1 2019 Pipeline Data Lagasco'!$G:$G,'Dec 31 2018 OFFS'!$W1179))/(MAX(COUNTIFS('T1 2019 Pipeline Data Lagasco'!$A:$A,'Dec 31 2018 OFFS'!$AI1179,'T1 2019 Pipeline Data Lagasco'!$Q:$Q,'Dec 31 2018 OFFS'!$AK1179,'T1 2019 Pipeline Data Lagasco'!$E:$E,'Dec 31 2018 OFFS'!$U1179,'T1 2019 Pipeline Data Lagasco'!$G:$G,'Dec 31 2018 OFFS'!$W1179),1))</f>
        <v>66549</v>
      </c>
      <c r="AM1179" s="274">
        <f t="shared" si="176"/>
        <v>0</v>
      </c>
    </row>
    <row r="1180" spans="1:39" ht="12.7">
      <c r="A1180" s="193" t="s">
        <v>909</v>
      </c>
      <c r="B1180" s="40" t="s">
        <v>1248</v>
      </c>
      <c r="C1180" s="40" t="s">
        <v>1265</v>
      </c>
      <c r="D1180" s="40" t="s">
        <v>890</v>
      </c>
      <c r="E1180" s="40" t="s">
        <v>889</v>
      </c>
      <c r="F1180" s="40"/>
      <c r="G1180" s="41" t="s">
        <v>907</v>
      </c>
      <c r="H1180" s="42">
        <v>42</v>
      </c>
      <c r="I1180" s="43">
        <v>45</v>
      </c>
      <c r="J1180" s="44">
        <v>54.025</v>
      </c>
      <c r="K1180" s="45">
        <v>79</v>
      </c>
      <c r="L1180" s="43">
        <v>9</v>
      </c>
      <c r="M1180" s="46">
        <v>52.445999999999998</v>
      </c>
      <c r="N1180" s="41" t="s">
        <v>908</v>
      </c>
      <c r="O1180" s="42">
        <v>42</v>
      </c>
      <c r="P1180" s="43">
        <v>45</v>
      </c>
      <c r="Q1180" s="44">
        <v>27.789000000000001</v>
      </c>
      <c r="R1180" s="45">
        <v>79</v>
      </c>
      <c r="S1180" s="43">
        <v>9</v>
      </c>
      <c r="T1180" s="46">
        <v>43.682000000000002</v>
      </c>
      <c r="U1180" s="40">
        <v>4</v>
      </c>
      <c r="V1180" s="47">
        <v>2736.023542812</v>
      </c>
      <c r="W1180" s="48">
        <v>1969</v>
      </c>
      <c r="X1180" s="40"/>
      <c r="Y1180" s="40" t="s">
        <v>1081</v>
      </c>
      <c r="Z1180" s="40" t="s">
        <v>910</v>
      </c>
      <c r="AA1180" s="49">
        <f t="shared" si="169"/>
        <v>72367.822707377403</v>
      </c>
      <c r="AB1180" s="71">
        <f t="shared" si="170"/>
        <v>0.80</v>
      </c>
      <c r="AC1180" s="49">
        <f t="shared" si="171"/>
        <v>14473.56</v>
      </c>
      <c r="AD1180" s="50">
        <f t="shared" si="172"/>
        <v>0</v>
      </c>
      <c r="AE1180" s="50">
        <f t="shared" si="173"/>
        <v>0</v>
      </c>
      <c r="AF1180" s="50">
        <f t="shared" si="174"/>
        <v>14473.56</v>
      </c>
      <c r="AG1180" s="199">
        <f t="shared" si="175"/>
        <v>14473</v>
      </c>
      <c r="AH1180" s="187"/>
      <c r="AI1180" s="185" t="s">
        <v>1466</v>
      </c>
      <c r="AJ1180" s="185"/>
      <c r="AK1180" s="277">
        <f t="shared" si="177"/>
        <v>2736.02</v>
      </c>
      <c r="AL1180" s="25">
        <f>(SUMIFS('T1 2019 Pipeline Data Lagasco'!$O:$O,'T1 2019 Pipeline Data Lagasco'!$A:$A,'Dec 31 2018 OFFS'!$AI1180,'T1 2019 Pipeline Data Lagasco'!$Q:$Q,'Dec 31 2018 OFFS'!$AK1180,'T1 2019 Pipeline Data Lagasco'!$E:$E,'Dec 31 2018 OFFS'!$U1180,'T1 2019 Pipeline Data Lagasco'!$G:$G,'Dec 31 2018 OFFS'!$W1180))/(MAX(COUNTIFS('T1 2019 Pipeline Data Lagasco'!$A:$A,'Dec 31 2018 OFFS'!$AI1180,'T1 2019 Pipeline Data Lagasco'!$Q:$Q,'Dec 31 2018 OFFS'!$AK1180,'T1 2019 Pipeline Data Lagasco'!$E:$E,'Dec 31 2018 OFFS'!$U1180,'T1 2019 Pipeline Data Lagasco'!$G:$G,'Dec 31 2018 OFFS'!$W1180),1))</f>
        <v>14473</v>
      </c>
      <c r="AM1180" s="274">
        <f t="shared" si="176"/>
        <v>0</v>
      </c>
    </row>
    <row r="1181" spans="1:39" ht="12.7">
      <c r="A1181" s="193" t="s">
        <v>909</v>
      </c>
      <c r="B1181" s="40" t="s">
        <v>1248</v>
      </c>
      <c r="C1181" s="40" t="s">
        <v>1265</v>
      </c>
      <c r="D1181" s="40" t="s">
        <v>890</v>
      </c>
      <c r="E1181" s="40" t="s">
        <v>889</v>
      </c>
      <c r="F1181" s="40"/>
      <c r="G1181" s="41" t="s">
        <v>908</v>
      </c>
      <c r="H1181" s="42">
        <v>42</v>
      </c>
      <c r="I1181" s="43">
        <v>45</v>
      </c>
      <c r="J1181" s="44">
        <v>27.789000000000001</v>
      </c>
      <c r="K1181" s="45">
        <v>79</v>
      </c>
      <c r="L1181" s="43">
        <v>9</v>
      </c>
      <c r="M1181" s="46">
        <v>43.682000000000002</v>
      </c>
      <c r="N1181" s="41" t="s">
        <v>902</v>
      </c>
      <c r="O1181" s="42">
        <v>42</v>
      </c>
      <c r="P1181" s="43">
        <v>45</v>
      </c>
      <c r="Q1181" s="44">
        <v>10.102</v>
      </c>
      <c r="R1181" s="45">
        <v>79</v>
      </c>
      <c r="S1181" s="43">
        <v>10</v>
      </c>
      <c r="T1181" s="46">
        <v>4.8979999999999997</v>
      </c>
      <c r="U1181" s="40">
        <v>4</v>
      </c>
      <c r="V1181" s="47">
        <v>2390.485495076</v>
      </c>
      <c r="W1181" s="48">
        <v>1969</v>
      </c>
      <c r="X1181" s="40"/>
      <c r="Y1181" s="40" t="s">
        <v>1081</v>
      </c>
      <c r="Z1181" s="40" t="s">
        <v>910</v>
      </c>
      <c r="AA1181" s="49">
        <f t="shared" si="169"/>
        <v>63228.3413447602</v>
      </c>
      <c r="AB1181" s="71">
        <f t="shared" si="170"/>
        <v>0.80</v>
      </c>
      <c r="AC1181" s="49">
        <f t="shared" si="171"/>
        <v>12645.67</v>
      </c>
      <c r="AD1181" s="50">
        <f t="shared" si="172"/>
        <v>0</v>
      </c>
      <c r="AE1181" s="50">
        <f t="shared" si="173"/>
        <v>0</v>
      </c>
      <c r="AF1181" s="50">
        <f t="shared" si="174"/>
        <v>12645.67</v>
      </c>
      <c r="AG1181" s="199">
        <f t="shared" si="175"/>
        <v>12645</v>
      </c>
      <c r="AH1181" s="187"/>
      <c r="AI1181" s="185" t="s">
        <v>1466</v>
      </c>
      <c r="AJ1181" s="185"/>
      <c r="AK1181" s="277">
        <f t="shared" si="177"/>
        <v>2390.4899999999998</v>
      </c>
      <c r="AL1181" s="25">
        <f>(SUMIFS('T1 2019 Pipeline Data Lagasco'!$O:$O,'T1 2019 Pipeline Data Lagasco'!$A:$A,'Dec 31 2018 OFFS'!$AI1181,'T1 2019 Pipeline Data Lagasco'!$Q:$Q,'Dec 31 2018 OFFS'!$AK1181,'T1 2019 Pipeline Data Lagasco'!$E:$E,'Dec 31 2018 OFFS'!$U1181,'T1 2019 Pipeline Data Lagasco'!$G:$G,'Dec 31 2018 OFFS'!$W1181))/(MAX(COUNTIFS('T1 2019 Pipeline Data Lagasco'!$A:$A,'Dec 31 2018 OFFS'!$AI1181,'T1 2019 Pipeline Data Lagasco'!$Q:$Q,'Dec 31 2018 OFFS'!$AK1181,'T1 2019 Pipeline Data Lagasco'!$E:$E,'Dec 31 2018 OFFS'!$U1181,'T1 2019 Pipeline Data Lagasco'!$G:$G,'Dec 31 2018 OFFS'!$W1181),1))</f>
        <v>12645</v>
      </c>
      <c r="AM1181" s="274">
        <f t="shared" si="176"/>
        <v>0</v>
      </c>
    </row>
    <row r="1182" spans="1:39" ht="12.7">
      <c r="A1182" s="193" t="s">
        <v>909</v>
      </c>
      <c r="B1182" s="40" t="s">
        <v>1248</v>
      </c>
      <c r="C1182" s="40" t="s">
        <v>1265</v>
      </c>
      <c r="D1182" s="40" t="s">
        <v>890</v>
      </c>
      <c r="E1182" s="40" t="s">
        <v>889</v>
      </c>
      <c r="F1182" s="139" t="s">
        <v>1051</v>
      </c>
      <c r="G1182" s="41" t="s">
        <v>896</v>
      </c>
      <c r="H1182" s="42">
        <v>42</v>
      </c>
      <c r="I1182" s="43">
        <v>44</v>
      </c>
      <c r="J1182" s="44">
        <v>7.02</v>
      </c>
      <c r="K1182" s="45">
        <v>79</v>
      </c>
      <c r="L1182" s="43">
        <v>12</v>
      </c>
      <c r="M1182" s="46">
        <v>48</v>
      </c>
      <c r="N1182" s="40" t="s">
        <v>897</v>
      </c>
      <c r="O1182" s="42">
        <v>42</v>
      </c>
      <c r="P1182" s="43">
        <v>44</v>
      </c>
      <c r="Q1182" s="44">
        <v>13.02</v>
      </c>
      <c r="R1182" s="45">
        <v>79</v>
      </c>
      <c r="S1182" s="43">
        <v>13</v>
      </c>
      <c r="T1182" s="46">
        <v>30</v>
      </c>
      <c r="U1182" s="40">
        <v>2</v>
      </c>
      <c r="V1182" s="281">
        <v>3193.4054193299999</v>
      </c>
      <c r="W1182" s="48">
        <v>1968</v>
      </c>
      <c r="X1182" s="40"/>
      <c r="Y1182" s="40" t="s">
        <v>1081</v>
      </c>
      <c r="Z1182" s="40" t="s">
        <v>910</v>
      </c>
      <c r="AA1182" s="49">
        <f t="shared" si="169"/>
        <v>0</v>
      </c>
      <c r="AB1182" s="71">
        <f t="shared" si="170"/>
        <v>0.80</v>
      </c>
      <c r="AC1182" s="49">
        <f t="shared" si="171"/>
        <v>0</v>
      </c>
      <c r="AD1182" s="50">
        <f t="shared" si="172"/>
        <v>0</v>
      </c>
      <c r="AE1182" s="50">
        <f t="shared" si="173"/>
        <v>0</v>
      </c>
      <c r="AF1182" s="50">
        <f t="shared" si="174"/>
        <v>0</v>
      </c>
      <c r="AG1182" s="199">
        <f t="shared" si="175"/>
        <v>0</v>
      </c>
      <c r="AH1182" s="187"/>
      <c r="AI1182" s="185" t="s">
        <v>1466</v>
      </c>
      <c r="AJ1182" s="185"/>
      <c r="AK1182" s="277">
        <f t="shared" si="177"/>
        <v>3193.41</v>
      </c>
      <c r="AL1182" s="25">
        <f>(SUMIFS('T1 2019 Pipeline Data Lagasco'!$O:$O,'T1 2019 Pipeline Data Lagasco'!$A:$A,'Dec 31 2018 OFFS'!$AI1182,'T1 2019 Pipeline Data Lagasco'!$Q:$Q,'Dec 31 2018 OFFS'!$AK1182,'T1 2019 Pipeline Data Lagasco'!$E:$E,'Dec 31 2018 OFFS'!$U1182,'T1 2019 Pipeline Data Lagasco'!$G:$G,'Dec 31 2018 OFFS'!$W1182))/(MAX(COUNTIFS('T1 2019 Pipeline Data Lagasco'!$A:$A,'Dec 31 2018 OFFS'!$AI1182,'T1 2019 Pipeline Data Lagasco'!$Q:$Q,'Dec 31 2018 OFFS'!$AK1182,'T1 2019 Pipeline Data Lagasco'!$E:$E,'Dec 31 2018 OFFS'!$U1182,'T1 2019 Pipeline Data Lagasco'!$G:$G,'Dec 31 2018 OFFS'!$W1182),1))</f>
        <v>0</v>
      </c>
      <c r="AM1182" s="274">
        <f t="shared" si="176"/>
        <v>0</v>
      </c>
    </row>
    <row r="1183" spans="1:39" ht="12.7">
      <c r="A1183" s="193" t="s">
        <v>909</v>
      </c>
      <c r="B1183" s="40" t="s">
        <v>1248</v>
      </c>
      <c r="C1183" s="40" t="s">
        <v>1265</v>
      </c>
      <c r="D1183" s="40" t="s">
        <v>890</v>
      </c>
      <c r="E1183" s="40" t="s">
        <v>889</v>
      </c>
      <c r="F1183" s="139" t="s">
        <v>1428</v>
      </c>
      <c r="G1183" s="41" t="s">
        <v>896</v>
      </c>
      <c r="H1183" s="42">
        <v>42</v>
      </c>
      <c r="I1183" s="43">
        <v>44</v>
      </c>
      <c r="J1183" s="44">
        <v>7.02</v>
      </c>
      <c r="K1183" s="45">
        <v>79</v>
      </c>
      <c r="L1183" s="43">
        <v>12</v>
      </c>
      <c r="M1183" s="46">
        <v>48</v>
      </c>
      <c r="N1183" s="40" t="s">
        <v>897</v>
      </c>
      <c r="O1183" s="42">
        <v>42</v>
      </c>
      <c r="P1183" s="43">
        <v>44</v>
      </c>
      <c r="Q1183" s="44">
        <v>13.02</v>
      </c>
      <c r="R1183" s="45">
        <v>79</v>
      </c>
      <c r="S1183" s="43">
        <v>13</v>
      </c>
      <c r="T1183" s="46">
        <v>30</v>
      </c>
      <c r="U1183" s="40">
        <v>3</v>
      </c>
      <c r="V1183" s="281">
        <v>3193.4054193299999</v>
      </c>
      <c r="W1183" s="48">
        <v>2004</v>
      </c>
      <c r="X1183" s="40"/>
      <c r="Y1183" s="40" t="s">
        <v>1081</v>
      </c>
      <c r="Z1183" s="40" t="s">
        <v>910</v>
      </c>
      <c r="AA1183" s="49">
        <f t="shared" si="169"/>
        <v>75332.433841994702</v>
      </c>
      <c r="AB1183" s="71">
        <f t="shared" si="170"/>
        <v>0.56000000000000005</v>
      </c>
      <c r="AC1183" s="49">
        <f t="shared" si="171"/>
        <v>33146.269999999997</v>
      </c>
      <c r="AD1183" s="50">
        <f t="shared" si="172"/>
        <v>0</v>
      </c>
      <c r="AE1183" s="50">
        <f t="shared" si="173"/>
        <v>0</v>
      </c>
      <c r="AF1183" s="50">
        <f t="shared" si="174"/>
        <v>33146.269999999997</v>
      </c>
      <c r="AG1183" s="199">
        <f t="shared" si="175"/>
        <v>33146</v>
      </c>
      <c r="AH1183" s="187"/>
      <c r="AI1183" s="185" t="s">
        <v>1466</v>
      </c>
      <c r="AJ1183" s="185"/>
      <c r="AK1183" s="277">
        <f t="shared" si="177"/>
        <v>3193.41</v>
      </c>
      <c r="AL1183" s="25">
        <f>(SUMIFS('T1 2019 Pipeline Data Lagasco'!$O:$O,'T1 2019 Pipeline Data Lagasco'!$A:$A,'Dec 31 2018 OFFS'!$AI1183,'T1 2019 Pipeline Data Lagasco'!$Q:$Q,'Dec 31 2018 OFFS'!$AK1183,'T1 2019 Pipeline Data Lagasco'!$E:$E,'Dec 31 2018 OFFS'!$U1183,'T1 2019 Pipeline Data Lagasco'!$G:$G,'Dec 31 2018 OFFS'!$W1183))/(MAX(COUNTIFS('T1 2019 Pipeline Data Lagasco'!$A:$A,'Dec 31 2018 OFFS'!$AI1183,'T1 2019 Pipeline Data Lagasco'!$Q:$Q,'Dec 31 2018 OFFS'!$AK1183,'T1 2019 Pipeline Data Lagasco'!$E:$E,'Dec 31 2018 OFFS'!$U1183,'T1 2019 Pipeline Data Lagasco'!$G:$G,'Dec 31 2018 OFFS'!$W1183),1))</f>
        <v>33146</v>
      </c>
      <c r="AM1183" s="274">
        <f t="shared" si="176"/>
        <v>0</v>
      </c>
    </row>
    <row r="1184" spans="1:39" ht="12.7">
      <c r="A1184" s="193" t="s">
        <v>909</v>
      </c>
      <c r="B1184" s="40" t="s">
        <v>1248</v>
      </c>
      <c r="C1184" s="40" t="s">
        <v>1265</v>
      </c>
      <c r="D1184" s="40" t="s">
        <v>890</v>
      </c>
      <c r="E1184" s="40" t="s">
        <v>889</v>
      </c>
      <c r="F1184" s="40"/>
      <c r="G1184" s="41" t="s">
        <v>896</v>
      </c>
      <c r="H1184" s="42">
        <v>42</v>
      </c>
      <c r="I1184" s="43">
        <v>44</v>
      </c>
      <c r="J1184" s="44">
        <v>7.02</v>
      </c>
      <c r="K1184" s="45">
        <v>79</v>
      </c>
      <c r="L1184" s="43">
        <v>12</v>
      </c>
      <c r="M1184" s="46">
        <v>48</v>
      </c>
      <c r="N1184" s="41" t="s">
        <v>898</v>
      </c>
      <c r="O1184" s="42">
        <v>42</v>
      </c>
      <c r="P1184" s="43">
        <v>42</v>
      </c>
      <c r="Q1184" s="44">
        <v>56.835</v>
      </c>
      <c r="R1184" s="45">
        <v>79</v>
      </c>
      <c r="S1184" s="43">
        <v>16</v>
      </c>
      <c r="T1184" s="46">
        <v>9.1389999999999993</v>
      </c>
      <c r="U1184" s="40">
        <v>4</v>
      </c>
      <c r="V1184" s="47">
        <v>16604</v>
      </c>
      <c r="W1184" s="48">
        <v>1969</v>
      </c>
      <c r="X1184" s="40"/>
      <c r="Y1184" s="40" t="s">
        <v>1081</v>
      </c>
      <c r="Z1184" s="40" t="s">
        <v>910</v>
      </c>
      <c r="AA1184" s="49">
        <f t="shared" si="169"/>
        <v>439175.80</v>
      </c>
      <c r="AB1184" s="71">
        <f t="shared" si="170"/>
        <v>0.80</v>
      </c>
      <c r="AC1184" s="49">
        <f t="shared" si="171"/>
        <v>87835.16</v>
      </c>
      <c r="AD1184" s="50">
        <f t="shared" si="172"/>
        <v>0</v>
      </c>
      <c r="AE1184" s="50">
        <f t="shared" si="173"/>
        <v>0</v>
      </c>
      <c r="AF1184" s="50">
        <f t="shared" si="174"/>
        <v>87835.16</v>
      </c>
      <c r="AG1184" s="199">
        <f t="shared" si="175"/>
        <v>87835</v>
      </c>
      <c r="AH1184" s="187"/>
      <c r="AI1184" s="185" t="s">
        <v>1466</v>
      </c>
      <c r="AJ1184" s="185"/>
      <c r="AK1184" s="277">
        <f t="shared" si="177"/>
        <v>16604</v>
      </c>
      <c r="AL1184" s="25">
        <f>(SUMIFS('T1 2019 Pipeline Data Lagasco'!$O:$O,'T1 2019 Pipeline Data Lagasco'!$A:$A,'Dec 31 2018 OFFS'!$AI1184,'T1 2019 Pipeline Data Lagasco'!$Q:$Q,'Dec 31 2018 OFFS'!$AK1184,'T1 2019 Pipeline Data Lagasco'!$E:$E,'Dec 31 2018 OFFS'!$U1184,'T1 2019 Pipeline Data Lagasco'!$G:$G,'Dec 31 2018 OFFS'!$W1184))/(MAX(COUNTIFS('T1 2019 Pipeline Data Lagasco'!$A:$A,'Dec 31 2018 OFFS'!$AI1184,'T1 2019 Pipeline Data Lagasco'!$Q:$Q,'Dec 31 2018 OFFS'!$AK1184,'T1 2019 Pipeline Data Lagasco'!$E:$E,'Dec 31 2018 OFFS'!$U1184,'T1 2019 Pipeline Data Lagasco'!$G:$G,'Dec 31 2018 OFFS'!$W1184),1))</f>
        <v>87835</v>
      </c>
      <c r="AM1184" s="274">
        <f t="shared" si="176"/>
        <v>0</v>
      </c>
    </row>
    <row r="1185" spans="1:39" ht="12.7">
      <c r="A1185" s="193" t="s">
        <v>909</v>
      </c>
      <c r="B1185" s="40" t="s">
        <v>1248</v>
      </c>
      <c r="C1185" s="40" t="s">
        <v>1265</v>
      </c>
      <c r="D1185" s="40" t="s">
        <v>890</v>
      </c>
      <c r="E1185" s="40" t="s">
        <v>889</v>
      </c>
      <c r="F1185" s="40"/>
      <c r="G1185" s="41" t="s">
        <v>896</v>
      </c>
      <c r="H1185" s="42">
        <v>42</v>
      </c>
      <c r="I1185" s="43">
        <v>44</v>
      </c>
      <c r="J1185" s="44">
        <v>7.02</v>
      </c>
      <c r="K1185" s="45">
        <v>79</v>
      </c>
      <c r="L1185" s="43">
        <v>12</v>
      </c>
      <c r="M1185" s="46">
        <v>48</v>
      </c>
      <c r="N1185" s="40" t="s">
        <v>903</v>
      </c>
      <c r="O1185" s="42">
        <v>42</v>
      </c>
      <c r="P1185" s="43">
        <v>44</v>
      </c>
      <c r="Q1185" s="44">
        <v>57</v>
      </c>
      <c r="R1185" s="45">
        <v>79</v>
      </c>
      <c r="S1185" s="43">
        <v>10</v>
      </c>
      <c r="T1185" s="46">
        <v>34.020000000000003</v>
      </c>
      <c r="U1185" s="40">
        <v>4</v>
      </c>
      <c r="V1185" s="47">
        <v>11207.808074371998</v>
      </c>
      <c r="W1185" s="48">
        <v>1968</v>
      </c>
      <c r="X1185" s="40"/>
      <c r="Y1185" s="40" t="s">
        <v>1081</v>
      </c>
      <c r="Z1185" s="40" t="s">
        <v>910</v>
      </c>
      <c r="AA1185" s="49">
        <f t="shared" si="169"/>
        <v>296446.52356713935</v>
      </c>
      <c r="AB1185" s="71">
        <f t="shared" si="170"/>
        <v>0.80</v>
      </c>
      <c r="AC1185" s="49">
        <f t="shared" si="171"/>
        <v>59289.30</v>
      </c>
      <c r="AD1185" s="50">
        <f t="shared" si="172"/>
        <v>0</v>
      </c>
      <c r="AE1185" s="50">
        <f t="shared" si="173"/>
        <v>0</v>
      </c>
      <c r="AF1185" s="50">
        <f t="shared" si="174"/>
        <v>59289.30</v>
      </c>
      <c r="AG1185" s="199">
        <f t="shared" si="175"/>
        <v>59289</v>
      </c>
      <c r="AH1185" s="187"/>
      <c r="AI1185" s="185" t="s">
        <v>1466</v>
      </c>
      <c r="AJ1185" s="185"/>
      <c r="AK1185" s="277">
        <f t="shared" si="177"/>
        <v>11207.81</v>
      </c>
      <c r="AL1185" s="25">
        <f>(SUMIFS('T1 2019 Pipeline Data Lagasco'!$O:$O,'T1 2019 Pipeline Data Lagasco'!$A:$A,'Dec 31 2018 OFFS'!$AI1185,'T1 2019 Pipeline Data Lagasco'!$Q:$Q,'Dec 31 2018 OFFS'!$AK1185,'T1 2019 Pipeline Data Lagasco'!$E:$E,'Dec 31 2018 OFFS'!$U1185,'T1 2019 Pipeline Data Lagasco'!$G:$G,'Dec 31 2018 OFFS'!$W1185))/(MAX(COUNTIFS('T1 2019 Pipeline Data Lagasco'!$A:$A,'Dec 31 2018 OFFS'!$AI1185,'T1 2019 Pipeline Data Lagasco'!$Q:$Q,'Dec 31 2018 OFFS'!$AK1185,'T1 2019 Pipeline Data Lagasco'!$E:$E,'Dec 31 2018 OFFS'!$U1185,'T1 2019 Pipeline Data Lagasco'!$G:$G,'Dec 31 2018 OFFS'!$W1185),1))</f>
        <v>59289</v>
      </c>
      <c r="AM1185" s="274">
        <f t="shared" si="176"/>
        <v>0</v>
      </c>
    </row>
    <row r="1186" spans="1:39" ht="12.7">
      <c r="A1186" s="193" t="s">
        <v>909</v>
      </c>
      <c r="B1186" s="40" t="s">
        <v>1248</v>
      </c>
      <c r="C1186" s="40" t="s">
        <v>1265</v>
      </c>
      <c r="D1186" s="40" t="s">
        <v>890</v>
      </c>
      <c r="E1186" s="40" t="s">
        <v>889</v>
      </c>
      <c r="F1186" s="40" t="s">
        <v>1051</v>
      </c>
      <c r="G1186" s="41" t="s">
        <v>898</v>
      </c>
      <c r="H1186" s="42">
        <v>42</v>
      </c>
      <c r="I1186" s="43">
        <v>42</v>
      </c>
      <c r="J1186" s="44">
        <v>56.835</v>
      </c>
      <c r="K1186" s="45">
        <v>79</v>
      </c>
      <c r="L1186" s="43">
        <v>16</v>
      </c>
      <c r="M1186" s="46">
        <v>9.1389999999999993</v>
      </c>
      <c r="N1186" s="41" t="s">
        <v>899</v>
      </c>
      <c r="O1186" s="42">
        <v>42</v>
      </c>
      <c r="P1186" s="43">
        <v>42</v>
      </c>
      <c r="Q1186" s="44">
        <v>48</v>
      </c>
      <c r="R1186" s="45">
        <v>79</v>
      </c>
      <c r="S1186" s="43">
        <v>16</v>
      </c>
      <c r="T1186" s="46">
        <v>10.98</v>
      </c>
      <c r="U1186" s="40">
        <v>2</v>
      </c>
      <c r="V1186" s="47">
        <v>905.12</v>
      </c>
      <c r="W1186" s="48">
        <v>1975</v>
      </c>
      <c r="X1186" s="40"/>
      <c r="Y1186" s="52"/>
      <c r="Z1186" s="40" t="s">
        <v>910</v>
      </c>
      <c r="AA1186" s="49">
        <f t="shared" si="169"/>
        <v>0</v>
      </c>
      <c r="AB1186" s="71">
        <f t="shared" si="170"/>
        <v>0.80</v>
      </c>
      <c r="AC1186" s="49">
        <f t="shared" si="171"/>
        <v>0</v>
      </c>
      <c r="AD1186" s="50">
        <f t="shared" si="172"/>
        <v>0</v>
      </c>
      <c r="AE1186" s="50">
        <f t="shared" si="173"/>
        <v>0</v>
      </c>
      <c r="AF1186" s="50">
        <f t="shared" si="174"/>
        <v>0</v>
      </c>
      <c r="AG1186" s="199">
        <f t="shared" si="175"/>
        <v>0</v>
      </c>
      <c r="AH1186" s="187"/>
      <c r="AI1186" s="185" t="s">
        <v>1466</v>
      </c>
      <c r="AJ1186" s="185"/>
      <c r="AK1186" s="277">
        <f t="shared" si="177"/>
        <v>905.12</v>
      </c>
      <c r="AL1186" s="25">
        <f>(SUMIFS('T1 2019 Pipeline Data Lagasco'!$O:$O,'T1 2019 Pipeline Data Lagasco'!$A:$A,'Dec 31 2018 OFFS'!$AI1186,'T1 2019 Pipeline Data Lagasco'!$Q:$Q,'Dec 31 2018 OFFS'!$AK1186,'T1 2019 Pipeline Data Lagasco'!$E:$E,'Dec 31 2018 OFFS'!$U1186,'T1 2019 Pipeline Data Lagasco'!$G:$G,'Dec 31 2018 OFFS'!$W1186))/(MAX(COUNTIFS('T1 2019 Pipeline Data Lagasco'!$A:$A,'Dec 31 2018 OFFS'!$AI1186,'T1 2019 Pipeline Data Lagasco'!$Q:$Q,'Dec 31 2018 OFFS'!$AK1186,'T1 2019 Pipeline Data Lagasco'!$E:$E,'Dec 31 2018 OFFS'!$U1186,'T1 2019 Pipeline Data Lagasco'!$G:$G,'Dec 31 2018 OFFS'!$W1186),1))</f>
        <v>0</v>
      </c>
      <c r="AM1186" s="274">
        <f t="shared" si="176"/>
        <v>0</v>
      </c>
    </row>
    <row r="1187" spans="1:39" ht="12.7">
      <c r="A1187" s="193" t="s">
        <v>909</v>
      </c>
      <c r="B1187" s="40" t="s">
        <v>1248</v>
      </c>
      <c r="C1187" s="40" t="s">
        <v>1265</v>
      </c>
      <c r="D1187" s="40" t="s">
        <v>890</v>
      </c>
      <c r="E1187" s="40" t="s">
        <v>889</v>
      </c>
      <c r="F1187" s="40"/>
      <c r="G1187" s="40" t="s">
        <v>11</v>
      </c>
      <c r="H1187" s="42">
        <v>42</v>
      </c>
      <c r="I1187" s="43">
        <v>42</v>
      </c>
      <c r="J1187" s="44">
        <v>44.86</v>
      </c>
      <c r="K1187" s="45">
        <v>79</v>
      </c>
      <c r="L1187" s="43">
        <v>16</v>
      </c>
      <c r="M1187" s="46">
        <v>40.65</v>
      </c>
      <c r="N1187" s="41" t="s">
        <v>898</v>
      </c>
      <c r="O1187" s="42">
        <v>42</v>
      </c>
      <c r="P1187" s="43">
        <v>42</v>
      </c>
      <c r="Q1187" s="44">
        <v>56.835</v>
      </c>
      <c r="R1187" s="45">
        <v>79</v>
      </c>
      <c r="S1187" s="43">
        <v>16</v>
      </c>
      <c r="T1187" s="46">
        <v>9.1389999999999993</v>
      </c>
      <c r="U1187" s="40">
        <v>2</v>
      </c>
      <c r="V1187" s="47">
        <v>2646.9815506399996</v>
      </c>
      <c r="W1187" s="48">
        <v>1975</v>
      </c>
      <c r="X1187" s="40"/>
      <c r="Y1187" s="40" t="s">
        <v>1081</v>
      </c>
      <c r="Z1187" s="40" t="s">
        <v>910</v>
      </c>
      <c r="AA1187" s="49">
        <f t="shared" si="169"/>
        <v>42986.980382393587</v>
      </c>
      <c r="AB1187" s="71">
        <f t="shared" si="170"/>
        <v>0.80</v>
      </c>
      <c r="AC1187" s="49">
        <f t="shared" si="171"/>
        <v>8597.40</v>
      </c>
      <c r="AD1187" s="50">
        <f t="shared" si="172"/>
        <v>0</v>
      </c>
      <c r="AE1187" s="50">
        <f t="shared" si="173"/>
        <v>0</v>
      </c>
      <c r="AF1187" s="50">
        <f t="shared" si="174"/>
        <v>8597.40</v>
      </c>
      <c r="AG1187" s="199">
        <f t="shared" si="175"/>
        <v>8597</v>
      </c>
      <c r="AH1187" s="187">
        <f>SUM(AF1167:AF1187)</f>
        <v>454978.48000000004</v>
      </c>
      <c r="AI1187" s="185" t="s">
        <v>1466</v>
      </c>
      <c r="AJ1187" s="185"/>
      <c r="AK1187" s="277">
        <f t="shared" si="177"/>
        <v>2646.98</v>
      </c>
      <c r="AL1187" s="25">
        <f>(SUMIFS('T1 2019 Pipeline Data Lagasco'!$O:$O,'T1 2019 Pipeline Data Lagasco'!$A:$A,'Dec 31 2018 OFFS'!$AI1187,'T1 2019 Pipeline Data Lagasco'!$Q:$Q,'Dec 31 2018 OFFS'!$AK1187,'T1 2019 Pipeline Data Lagasco'!$E:$E,'Dec 31 2018 OFFS'!$U1187,'T1 2019 Pipeline Data Lagasco'!$G:$G,'Dec 31 2018 OFFS'!$W1187))/(MAX(COUNTIFS('T1 2019 Pipeline Data Lagasco'!$A:$A,'Dec 31 2018 OFFS'!$AI1187,'T1 2019 Pipeline Data Lagasco'!$Q:$Q,'Dec 31 2018 OFFS'!$AK1187,'T1 2019 Pipeline Data Lagasco'!$E:$E,'Dec 31 2018 OFFS'!$U1187,'T1 2019 Pipeline Data Lagasco'!$G:$G,'Dec 31 2018 OFFS'!$W1187),1))</f>
        <v>8597</v>
      </c>
      <c r="AM1187" s="274">
        <f t="shared" si="176"/>
        <v>0</v>
      </c>
    </row>
    <row r="1188" spans="1:39" ht="12.7">
      <c r="A1188" s="193" t="s">
        <v>909</v>
      </c>
      <c r="B1188" s="40" t="s">
        <v>922</v>
      </c>
      <c r="C1188" s="40" t="s">
        <v>1265</v>
      </c>
      <c r="D1188" s="40" t="s">
        <v>8</v>
      </c>
      <c r="E1188" s="40" t="s">
        <v>17</v>
      </c>
      <c r="F1188" s="40"/>
      <c r="G1188" s="40" t="s">
        <v>13</v>
      </c>
      <c r="H1188" s="42">
        <v>42</v>
      </c>
      <c r="I1188" s="43">
        <v>48</v>
      </c>
      <c r="J1188" s="44">
        <v>21.45</v>
      </c>
      <c r="K1188" s="45">
        <v>79</v>
      </c>
      <c r="L1188" s="43">
        <v>22</v>
      </c>
      <c r="M1188" s="46">
        <v>25.75</v>
      </c>
      <c r="N1188" s="40" t="s">
        <v>14</v>
      </c>
      <c r="O1188" s="42">
        <v>42</v>
      </c>
      <c r="P1188" s="43">
        <v>48</v>
      </c>
      <c r="Q1188" s="44">
        <v>45</v>
      </c>
      <c r="R1188" s="45">
        <v>79</v>
      </c>
      <c r="S1188" s="43">
        <v>21</v>
      </c>
      <c r="T1188" s="46">
        <v>13.98</v>
      </c>
      <c r="U1188" s="40">
        <v>3</v>
      </c>
      <c r="V1188" s="47">
        <v>5858.0378880939998</v>
      </c>
      <c r="W1188" s="48">
        <v>1977</v>
      </c>
      <c r="X1188" s="40"/>
      <c r="Y1188" s="40" t="s">
        <v>1081</v>
      </c>
      <c r="Z1188" s="40" t="s">
        <v>910</v>
      </c>
      <c r="AA1188" s="49">
        <f t="shared" si="169"/>
        <v>138191.11378013744</v>
      </c>
      <c r="AB1188" s="71">
        <f t="shared" si="170"/>
        <v>0.80</v>
      </c>
      <c r="AC1188" s="49">
        <f t="shared" si="171"/>
        <v>27638.22</v>
      </c>
      <c r="AD1188" s="50">
        <f t="shared" si="172"/>
        <v>0</v>
      </c>
      <c r="AE1188" s="50">
        <f t="shared" si="173"/>
        <v>0</v>
      </c>
      <c r="AF1188" s="50">
        <f t="shared" si="174"/>
        <v>27638.22</v>
      </c>
      <c r="AG1188" s="199">
        <f t="shared" si="175"/>
        <v>27638</v>
      </c>
      <c r="AH1188" s="187"/>
      <c r="AI1188" s="185" t="s">
        <v>1467</v>
      </c>
      <c r="AJ1188" s="185"/>
      <c r="AK1188" s="277">
        <f t="shared" si="177"/>
        <v>5858.04</v>
      </c>
      <c r="AL1188" s="25">
        <f>(SUMIFS('T1 2019 Pipeline Data Lagasco'!$O:$O,'T1 2019 Pipeline Data Lagasco'!$A:$A,'Dec 31 2018 OFFS'!$AI1188,'T1 2019 Pipeline Data Lagasco'!$Q:$Q,'Dec 31 2018 OFFS'!$AK1188,'T1 2019 Pipeline Data Lagasco'!$E:$E,'Dec 31 2018 OFFS'!$U1188,'T1 2019 Pipeline Data Lagasco'!$G:$G,'Dec 31 2018 OFFS'!$W1188))/(MAX(COUNTIFS('T1 2019 Pipeline Data Lagasco'!$A:$A,'Dec 31 2018 OFFS'!$AI1188,'T1 2019 Pipeline Data Lagasco'!$Q:$Q,'Dec 31 2018 OFFS'!$AK1188,'T1 2019 Pipeline Data Lagasco'!$E:$E,'Dec 31 2018 OFFS'!$U1188,'T1 2019 Pipeline Data Lagasco'!$G:$G,'Dec 31 2018 OFFS'!$W1188),1))</f>
        <v>27638</v>
      </c>
      <c r="AM1188" s="274">
        <f t="shared" si="176"/>
        <v>0</v>
      </c>
    </row>
    <row r="1189" spans="1:39" ht="12.7">
      <c r="A1189" s="193" t="s">
        <v>909</v>
      </c>
      <c r="B1189" s="40" t="s">
        <v>922</v>
      </c>
      <c r="C1189" s="40" t="s">
        <v>1265</v>
      </c>
      <c r="D1189" s="40" t="s">
        <v>8</v>
      </c>
      <c r="E1189" s="40" t="s">
        <v>17</v>
      </c>
      <c r="F1189" s="40" t="s">
        <v>1051</v>
      </c>
      <c r="G1189" s="40" t="s">
        <v>1174</v>
      </c>
      <c r="H1189" s="42">
        <v>42</v>
      </c>
      <c r="I1189" s="43">
        <v>46</v>
      </c>
      <c r="J1189" s="44">
        <v>54</v>
      </c>
      <c r="K1189" s="45">
        <v>79</v>
      </c>
      <c r="L1189" s="43">
        <v>20</v>
      </c>
      <c r="M1189" s="46">
        <v>24</v>
      </c>
      <c r="N1189" s="41" t="s">
        <v>7</v>
      </c>
      <c r="O1189" s="42">
        <v>42</v>
      </c>
      <c r="P1189" s="43">
        <v>46</v>
      </c>
      <c r="Q1189" s="44">
        <v>45</v>
      </c>
      <c r="R1189" s="45">
        <v>79</v>
      </c>
      <c r="S1189" s="43">
        <v>19</v>
      </c>
      <c r="T1189" s="46">
        <v>15</v>
      </c>
      <c r="U1189" s="40">
        <v>3</v>
      </c>
      <c r="V1189" s="47">
        <v>5190</v>
      </c>
      <c r="W1189" s="48">
        <v>2003</v>
      </c>
      <c r="X1189" s="40"/>
      <c r="Y1189" s="40" t="s">
        <v>1081</v>
      </c>
      <c r="Z1189" s="40" t="s">
        <v>910</v>
      </c>
      <c r="AA1189" s="49">
        <f t="shared" si="169"/>
        <v>0</v>
      </c>
      <c r="AB1189" s="71">
        <f t="shared" si="170"/>
        <v>0.56999999999999995</v>
      </c>
      <c r="AC1189" s="49">
        <f t="shared" si="171"/>
        <v>0</v>
      </c>
      <c r="AD1189" s="50">
        <f t="shared" si="172"/>
        <v>0</v>
      </c>
      <c r="AE1189" s="50">
        <f t="shared" si="173"/>
        <v>0</v>
      </c>
      <c r="AF1189" s="50">
        <f t="shared" si="174"/>
        <v>0</v>
      </c>
      <c r="AG1189" s="199">
        <f t="shared" si="175"/>
        <v>0</v>
      </c>
      <c r="AH1189" s="187"/>
      <c r="AI1189" s="185" t="s">
        <v>1467</v>
      </c>
      <c r="AJ1189" s="185"/>
      <c r="AK1189" s="277">
        <f t="shared" si="177"/>
        <v>5190</v>
      </c>
      <c r="AL1189" s="25">
        <f>(SUMIFS('T1 2019 Pipeline Data Lagasco'!$O:$O,'T1 2019 Pipeline Data Lagasco'!$A:$A,'Dec 31 2018 OFFS'!$AI1189,'T1 2019 Pipeline Data Lagasco'!$Q:$Q,'Dec 31 2018 OFFS'!$AK1189,'T1 2019 Pipeline Data Lagasco'!$E:$E,'Dec 31 2018 OFFS'!$U1189,'T1 2019 Pipeline Data Lagasco'!$G:$G,'Dec 31 2018 OFFS'!$W1189))/(MAX(COUNTIFS('T1 2019 Pipeline Data Lagasco'!$A:$A,'Dec 31 2018 OFFS'!$AI1189,'T1 2019 Pipeline Data Lagasco'!$Q:$Q,'Dec 31 2018 OFFS'!$AK1189,'T1 2019 Pipeline Data Lagasco'!$E:$E,'Dec 31 2018 OFFS'!$U1189,'T1 2019 Pipeline Data Lagasco'!$G:$G,'Dec 31 2018 OFFS'!$W1189),1))</f>
        <v>0</v>
      </c>
      <c r="AM1189" s="274">
        <f t="shared" si="176"/>
        <v>0</v>
      </c>
    </row>
    <row r="1190" spans="1:39" ht="12.7">
      <c r="A1190" s="193" t="s">
        <v>909</v>
      </c>
      <c r="B1190" s="40" t="s">
        <v>922</v>
      </c>
      <c r="C1190" s="40" t="s">
        <v>1265</v>
      </c>
      <c r="D1190" s="40" t="s">
        <v>8</v>
      </c>
      <c r="E1190" s="40" t="s">
        <v>17</v>
      </c>
      <c r="F1190" s="40"/>
      <c r="G1190" s="40" t="s">
        <v>6</v>
      </c>
      <c r="H1190" s="42">
        <v>42</v>
      </c>
      <c r="I1190" s="43">
        <v>45</v>
      </c>
      <c r="J1190" s="44">
        <v>36.11</v>
      </c>
      <c r="K1190" s="45">
        <v>79</v>
      </c>
      <c r="L1190" s="43">
        <v>19</v>
      </c>
      <c r="M1190" s="46">
        <v>59.43</v>
      </c>
      <c r="N1190" s="41" t="s">
        <v>7</v>
      </c>
      <c r="O1190" s="42">
        <v>42</v>
      </c>
      <c r="P1190" s="43">
        <v>46</v>
      </c>
      <c r="Q1190" s="44">
        <v>45</v>
      </c>
      <c r="R1190" s="45">
        <v>79</v>
      </c>
      <c r="S1190" s="43">
        <v>19</v>
      </c>
      <c r="T1190" s="46">
        <v>15</v>
      </c>
      <c r="U1190" s="40">
        <v>2</v>
      </c>
      <c r="V1190" s="47">
        <v>7723.0968892000001</v>
      </c>
      <c r="W1190" s="48">
        <v>1975</v>
      </c>
      <c r="X1190" s="40"/>
      <c r="Y1190" s="40" t="s">
        <v>1081</v>
      </c>
      <c r="Z1190" s="40" t="s">
        <v>910</v>
      </c>
      <c r="AA1190" s="49">
        <f t="shared" si="169"/>
        <v>125423.09348060799</v>
      </c>
      <c r="AB1190" s="71">
        <f t="shared" si="170"/>
        <v>0.80</v>
      </c>
      <c r="AC1190" s="49">
        <f t="shared" si="171"/>
        <v>25084.62</v>
      </c>
      <c r="AD1190" s="50">
        <f t="shared" si="172"/>
        <v>0</v>
      </c>
      <c r="AE1190" s="50">
        <f t="shared" si="173"/>
        <v>0</v>
      </c>
      <c r="AF1190" s="50">
        <f t="shared" si="174"/>
        <v>25084.62</v>
      </c>
      <c r="AG1190" s="199">
        <f t="shared" si="175"/>
        <v>25084</v>
      </c>
      <c r="AH1190" s="187"/>
      <c r="AI1190" s="185" t="s">
        <v>1467</v>
      </c>
      <c r="AJ1190" s="185"/>
      <c r="AK1190" s="277">
        <f t="shared" si="177"/>
        <v>7723.10</v>
      </c>
      <c r="AL1190" s="25">
        <f>(SUMIFS('T1 2019 Pipeline Data Lagasco'!$O:$O,'T1 2019 Pipeline Data Lagasco'!$A:$A,'Dec 31 2018 OFFS'!$AI1190,'T1 2019 Pipeline Data Lagasco'!$Q:$Q,'Dec 31 2018 OFFS'!$AK1190,'T1 2019 Pipeline Data Lagasco'!$E:$E,'Dec 31 2018 OFFS'!$U1190,'T1 2019 Pipeline Data Lagasco'!$G:$G,'Dec 31 2018 OFFS'!$W1190))/(MAX(COUNTIFS('T1 2019 Pipeline Data Lagasco'!$A:$A,'Dec 31 2018 OFFS'!$AI1190,'T1 2019 Pipeline Data Lagasco'!$Q:$Q,'Dec 31 2018 OFFS'!$AK1190,'T1 2019 Pipeline Data Lagasco'!$E:$E,'Dec 31 2018 OFFS'!$U1190,'T1 2019 Pipeline Data Lagasco'!$G:$G,'Dec 31 2018 OFFS'!$W1190),1))</f>
        <v>25084</v>
      </c>
      <c r="AM1190" s="274">
        <f t="shared" si="176"/>
        <v>0</v>
      </c>
    </row>
    <row r="1191" spans="1:39" ht="12.7">
      <c r="A1191" s="193" t="s">
        <v>909</v>
      </c>
      <c r="B1191" s="40" t="s">
        <v>922</v>
      </c>
      <c r="C1191" s="40" t="s">
        <v>1265</v>
      </c>
      <c r="D1191" s="40" t="s">
        <v>8</v>
      </c>
      <c r="E1191" s="40" t="s">
        <v>889</v>
      </c>
      <c r="F1191" s="40"/>
      <c r="G1191" s="41" t="s">
        <v>9</v>
      </c>
      <c r="H1191" s="42">
        <v>42</v>
      </c>
      <c r="I1191" s="43">
        <v>42</v>
      </c>
      <c r="J1191" s="44">
        <v>43.98</v>
      </c>
      <c r="K1191" s="45">
        <v>79</v>
      </c>
      <c r="L1191" s="43">
        <v>16</v>
      </c>
      <c r="M1191" s="46">
        <v>43.98</v>
      </c>
      <c r="N1191" s="41" t="s">
        <v>10</v>
      </c>
      <c r="O1191" s="42">
        <v>42</v>
      </c>
      <c r="P1191" s="43">
        <v>42</v>
      </c>
      <c r="Q1191" s="44">
        <v>31.02</v>
      </c>
      <c r="R1191" s="45">
        <v>79</v>
      </c>
      <c r="S1191" s="43">
        <v>17</v>
      </c>
      <c r="T1191" s="46" t="s">
        <v>1121</v>
      </c>
      <c r="U1191" s="40">
        <v>2</v>
      </c>
      <c r="V1191" s="47">
        <v>1775.7545417499998</v>
      </c>
      <c r="W1191" s="48">
        <v>1975</v>
      </c>
      <c r="X1191" s="40"/>
      <c r="Y1191" s="40" t="s">
        <v>1081</v>
      </c>
      <c r="Z1191" s="40" t="s">
        <v>910</v>
      </c>
      <c r="AA1191" s="49">
        <f t="shared" si="169"/>
        <v>28838.253758019993</v>
      </c>
      <c r="AB1191" s="71">
        <f t="shared" si="170"/>
        <v>0.80</v>
      </c>
      <c r="AC1191" s="49">
        <f t="shared" si="171"/>
        <v>5767.65</v>
      </c>
      <c r="AD1191" s="50">
        <f t="shared" si="172"/>
        <v>0</v>
      </c>
      <c r="AE1191" s="50">
        <f t="shared" si="173"/>
        <v>0</v>
      </c>
      <c r="AF1191" s="50">
        <f t="shared" si="174"/>
        <v>5767.65</v>
      </c>
      <c r="AG1191" s="199">
        <f t="shared" si="175"/>
        <v>5767</v>
      </c>
      <c r="AH1191" s="187"/>
      <c r="AI1191" s="185" t="s">
        <v>1467</v>
      </c>
      <c r="AJ1191" s="185"/>
      <c r="AK1191" s="277">
        <f t="shared" si="177"/>
        <v>1775.75</v>
      </c>
      <c r="AL1191" s="25">
        <f>(SUMIFS('T1 2019 Pipeline Data Lagasco'!$O:$O,'T1 2019 Pipeline Data Lagasco'!$A:$A,'Dec 31 2018 OFFS'!$AI1191,'T1 2019 Pipeline Data Lagasco'!$Q:$Q,'Dec 31 2018 OFFS'!$AK1191,'T1 2019 Pipeline Data Lagasco'!$E:$E,'Dec 31 2018 OFFS'!$U1191,'T1 2019 Pipeline Data Lagasco'!$G:$G,'Dec 31 2018 OFFS'!$W1191))/(MAX(COUNTIFS('T1 2019 Pipeline Data Lagasco'!$A:$A,'Dec 31 2018 OFFS'!$AI1191,'T1 2019 Pipeline Data Lagasco'!$Q:$Q,'Dec 31 2018 OFFS'!$AK1191,'T1 2019 Pipeline Data Lagasco'!$E:$E,'Dec 31 2018 OFFS'!$U1191,'T1 2019 Pipeline Data Lagasco'!$G:$G,'Dec 31 2018 OFFS'!$W1191),1))</f>
        <v>5767</v>
      </c>
      <c r="AM1191" s="274">
        <f t="shared" si="176"/>
        <v>0</v>
      </c>
    </row>
    <row r="1192" spans="1:39" s="73" customFormat="1" ht="12.7">
      <c r="A1192" s="193" t="s">
        <v>909</v>
      </c>
      <c r="B1192" s="40" t="s">
        <v>922</v>
      </c>
      <c r="C1192" s="40" t="s">
        <v>1265</v>
      </c>
      <c r="D1192" s="40" t="s">
        <v>8</v>
      </c>
      <c r="E1192" s="40" t="s">
        <v>889</v>
      </c>
      <c r="F1192" s="40"/>
      <c r="G1192" s="41" t="s">
        <v>9</v>
      </c>
      <c r="H1192" s="42">
        <v>42</v>
      </c>
      <c r="I1192" s="43">
        <v>42</v>
      </c>
      <c r="J1192" s="44">
        <v>43.98</v>
      </c>
      <c r="K1192" s="45">
        <v>79</v>
      </c>
      <c r="L1192" s="43">
        <v>16</v>
      </c>
      <c r="M1192" s="46">
        <v>43.98</v>
      </c>
      <c r="N1192" s="40" t="s">
        <v>11</v>
      </c>
      <c r="O1192" s="42">
        <v>42</v>
      </c>
      <c r="P1192" s="43">
        <v>42</v>
      </c>
      <c r="Q1192" s="44">
        <v>44.86</v>
      </c>
      <c r="R1192" s="45">
        <v>79</v>
      </c>
      <c r="S1192" s="43">
        <v>16</v>
      </c>
      <c r="T1192" s="46">
        <v>40.65</v>
      </c>
      <c r="U1192" s="40">
        <v>2</v>
      </c>
      <c r="V1192" s="47">
        <v>264.140412298</v>
      </c>
      <c r="W1192" s="48">
        <v>1975</v>
      </c>
      <c r="X1192" s="40"/>
      <c r="Y1192" s="40" t="s">
        <v>1081</v>
      </c>
      <c r="Z1192" s="40" t="s">
        <v>910</v>
      </c>
      <c r="AA1192" s="49">
        <f t="shared" si="169"/>
        <v>4289.6402957195196</v>
      </c>
      <c r="AB1192" s="71">
        <f t="shared" si="170"/>
        <v>0.80</v>
      </c>
      <c r="AC1192" s="49">
        <f t="shared" si="171"/>
        <v>857.93</v>
      </c>
      <c r="AD1192" s="50">
        <f t="shared" si="172"/>
        <v>0</v>
      </c>
      <c r="AE1192" s="50">
        <f t="shared" si="173"/>
        <v>0</v>
      </c>
      <c r="AF1192" s="50">
        <f t="shared" si="174"/>
        <v>857.93</v>
      </c>
      <c r="AG1192" s="199">
        <f t="shared" si="175"/>
        <v>857</v>
      </c>
      <c r="AH1192" s="187"/>
      <c r="AI1192" s="185" t="s">
        <v>1467</v>
      </c>
      <c r="AJ1192" s="185"/>
      <c r="AK1192" s="277">
        <f t="shared" si="177"/>
        <v>264.14</v>
      </c>
      <c r="AL1192" s="25">
        <f>(SUMIFS('T1 2019 Pipeline Data Lagasco'!$O:$O,'T1 2019 Pipeline Data Lagasco'!$A:$A,'Dec 31 2018 OFFS'!$AI1192,'T1 2019 Pipeline Data Lagasco'!$Q:$Q,'Dec 31 2018 OFFS'!$AK1192,'T1 2019 Pipeline Data Lagasco'!$E:$E,'Dec 31 2018 OFFS'!$U1192,'T1 2019 Pipeline Data Lagasco'!$G:$G,'Dec 31 2018 OFFS'!$W1192))/(MAX(COUNTIFS('T1 2019 Pipeline Data Lagasco'!$A:$A,'Dec 31 2018 OFFS'!$AI1192,'T1 2019 Pipeline Data Lagasco'!$Q:$Q,'Dec 31 2018 OFFS'!$AK1192,'T1 2019 Pipeline Data Lagasco'!$E:$E,'Dec 31 2018 OFFS'!$U1192,'T1 2019 Pipeline Data Lagasco'!$G:$G,'Dec 31 2018 OFFS'!$W1192),1))</f>
        <v>857</v>
      </c>
      <c r="AM1192" s="274">
        <f t="shared" si="176"/>
        <v>0</v>
      </c>
    </row>
    <row r="1193" spans="1:39" ht="12.7">
      <c r="A1193" s="193" t="s">
        <v>909</v>
      </c>
      <c r="B1193" s="40" t="s">
        <v>922</v>
      </c>
      <c r="C1193" s="40" t="s">
        <v>1265</v>
      </c>
      <c r="D1193" s="40" t="s">
        <v>8</v>
      </c>
      <c r="E1193" s="40" t="s">
        <v>889</v>
      </c>
      <c r="F1193" s="40"/>
      <c r="G1193" s="40" t="s">
        <v>15</v>
      </c>
      <c r="H1193" s="42">
        <v>42</v>
      </c>
      <c r="I1193" s="43">
        <v>42</v>
      </c>
      <c r="J1193" s="44">
        <v>30.06</v>
      </c>
      <c r="K1193" s="45">
        <v>79</v>
      </c>
      <c r="L1193" s="43">
        <v>17</v>
      </c>
      <c r="M1193" s="46">
        <v>15.13</v>
      </c>
      <c r="N1193" s="41" t="s">
        <v>9</v>
      </c>
      <c r="O1193" s="42">
        <v>42</v>
      </c>
      <c r="P1193" s="43">
        <v>42</v>
      </c>
      <c r="Q1193" s="44">
        <v>43.98</v>
      </c>
      <c r="R1193" s="45">
        <v>79</v>
      </c>
      <c r="S1193" s="43">
        <v>16</v>
      </c>
      <c r="T1193" s="46">
        <v>43.98</v>
      </c>
      <c r="U1193" s="40">
        <v>4</v>
      </c>
      <c r="V1193" s="47">
        <v>2719.849002598</v>
      </c>
      <c r="W1193" s="48">
        <v>1975</v>
      </c>
      <c r="X1193" s="40"/>
      <c r="Y1193" s="40" t="s">
        <v>1081</v>
      </c>
      <c r="Z1193" s="40" t="s">
        <v>910</v>
      </c>
      <c r="AA1193" s="49">
        <f t="shared" si="169"/>
        <v>71940.006118717094</v>
      </c>
      <c r="AB1193" s="71">
        <f t="shared" si="170"/>
        <v>0.80</v>
      </c>
      <c r="AC1193" s="49">
        <f t="shared" si="171"/>
        <v>14388</v>
      </c>
      <c r="AD1193" s="50">
        <f t="shared" si="172"/>
        <v>0</v>
      </c>
      <c r="AE1193" s="50">
        <f t="shared" si="173"/>
        <v>0</v>
      </c>
      <c r="AF1193" s="50">
        <f t="shared" si="174"/>
        <v>14388</v>
      </c>
      <c r="AG1193" s="199">
        <f t="shared" si="175"/>
        <v>14388</v>
      </c>
      <c r="AH1193" s="187"/>
      <c r="AI1193" s="185" t="s">
        <v>1467</v>
      </c>
      <c r="AJ1193" s="185"/>
      <c r="AK1193" s="277">
        <f t="shared" si="177"/>
        <v>2719.85</v>
      </c>
      <c r="AL1193" s="25">
        <f>(SUMIFS('T1 2019 Pipeline Data Lagasco'!$O:$O,'T1 2019 Pipeline Data Lagasco'!$A:$A,'Dec 31 2018 OFFS'!$AI1193,'T1 2019 Pipeline Data Lagasco'!$Q:$Q,'Dec 31 2018 OFFS'!$AK1193,'T1 2019 Pipeline Data Lagasco'!$E:$E,'Dec 31 2018 OFFS'!$U1193,'T1 2019 Pipeline Data Lagasco'!$G:$G,'Dec 31 2018 OFFS'!$W1193))/(MAX(COUNTIFS('T1 2019 Pipeline Data Lagasco'!$A:$A,'Dec 31 2018 OFFS'!$AI1193,'T1 2019 Pipeline Data Lagasco'!$Q:$Q,'Dec 31 2018 OFFS'!$AK1193,'T1 2019 Pipeline Data Lagasco'!$E:$E,'Dec 31 2018 OFFS'!$U1193,'T1 2019 Pipeline Data Lagasco'!$G:$G,'Dec 31 2018 OFFS'!$W1193),1))</f>
        <v>14388</v>
      </c>
      <c r="AM1193" s="274">
        <f t="shared" si="176"/>
        <v>0</v>
      </c>
    </row>
    <row r="1194" spans="1:39" ht="12.7">
      <c r="A1194" s="195" t="s">
        <v>909</v>
      </c>
      <c r="B1194" s="88" t="s">
        <v>922</v>
      </c>
      <c r="C1194" s="88" t="s">
        <v>1265</v>
      </c>
      <c r="D1194" s="88" t="s">
        <v>8</v>
      </c>
      <c r="E1194" s="88" t="s">
        <v>889</v>
      </c>
      <c r="F1194" s="88"/>
      <c r="G1194" s="88" t="s">
        <v>12</v>
      </c>
      <c r="H1194" s="89">
        <v>42</v>
      </c>
      <c r="I1194" s="90">
        <v>42</v>
      </c>
      <c r="J1194" s="91">
        <v>57.54</v>
      </c>
      <c r="K1194" s="92">
        <v>79</v>
      </c>
      <c r="L1194" s="90">
        <v>17</v>
      </c>
      <c r="M1194" s="93">
        <v>39.43</v>
      </c>
      <c r="N1194" s="94" t="s">
        <v>9</v>
      </c>
      <c r="O1194" s="89">
        <v>42</v>
      </c>
      <c r="P1194" s="90">
        <v>42</v>
      </c>
      <c r="Q1194" s="91">
        <v>43.98</v>
      </c>
      <c r="R1194" s="92">
        <v>79</v>
      </c>
      <c r="S1194" s="90">
        <v>16</v>
      </c>
      <c r="T1194" s="93">
        <v>43.98</v>
      </c>
      <c r="U1194" s="88">
        <v>2</v>
      </c>
      <c r="V1194" s="95">
        <v>4362.2045980799994</v>
      </c>
      <c r="W1194" s="96">
        <v>1975</v>
      </c>
      <c r="X1194" s="88"/>
      <c r="Y1194" s="88" t="s">
        <v>1081</v>
      </c>
      <c r="Z1194" s="88" t="s">
        <v>910</v>
      </c>
      <c r="AA1194" s="49">
        <f t="shared" si="169"/>
        <v>70842.202672819185</v>
      </c>
      <c r="AB1194" s="71">
        <f t="shared" si="170"/>
        <v>0.80</v>
      </c>
      <c r="AC1194" s="49">
        <f t="shared" si="171"/>
        <v>14168.44</v>
      </c>
      <c r="AD1194" s="50">
        <f t="shared" si="172"/>
        <v>0</v>
      </c>
      <c r="AE1194" s="50">
        <f t="shared" si="173"/>
        <v>0</v>
      </c>
      <c r="AF1194" s="50">
        <f t="shared" si="174"/>
        <v>14168.44</v>
      </c>
      <c r="AG1194" s="199">
        <f t="shared" si="175"/>
        <v>14168</v>
      </c>
      <c r="AH1194" s="187">
        <f>SUM(AF1188:AF1194)</f>
        <v>87904.86</v>
      </c>
      <c r="AI1194" s="185" t="s">
        <v>1467</v>
      </c>
      <c r="AJ1194" s="185"/>
      <c r="AK1194" s="277">
        <f t="shared" si="177"/>
        <v>4362.20</v>
      </c>
      <c r="AL1194" s="25">
        <f>(SUMIFS('T1 2019 Pipeline Data Lagasco'!$O:$O,'T1 2019 Pipeline Data Lagasco'!$A:$A,'Dec 31 2018 OFFS'!$AI1194,'T1 2019 Pipeline Data Lagasco'!$Q:$Q,'Dec 31 2018 OFFS'!$AK1194,'T1 2019 Pipeline Data Lagasco'!$E:$E,'Dec 31 2018 OFFS'!$U1194,'T1 2019 Pipeline Data Lagasco'!$G:$G,'Dec 31 2018 OFFS'!$W1194))/(MAX(COUNTIFS('T1 2019 Pipeline Data Lagasco'!$A:$A,'Dec 31 2018 OFFS'!$AI1194,'T1 2019 Pipeline Data Lagasco'!$Q:$Q,'Dec 31 2018 OFFS'!$AK1194,'T1 2019 Pipeline Data Lagasco'!$E:$E,'Dec 31 2018 OFFS'!$U1194,'T1 2019 Pipeline Data Lagasco'!$G:$G,'Dec 31 2018 OFFS'!$W1194),1))</f>
        <v>14168</v>
      </c>
      <c r="AM1194" s="274">
        <f t="shared" si="176"/>
        <v>0</v>
      </c>
    </row>
    <row r="1198" spans="1:37" ht="12.7">
      <c r="A1198" s="58"/>
      <c r="B1198" s="59"/>
      <c r="C1198" s="59"/>
      <c r="D1198" s="59"/>
      <c r="E1198" s="59"/>
      <c r="F1198" s="59"/>
      <c r="G1198" s="59"/>
      <c r="H1198" s="60"/>
      <c r="I1198" s="61"/>
      <c r="J1198" s="62"/>
      <c r="K1198" s="63"/>
      <c r="L1198" s="61"/>
      <c r="M1198" s="64"/>
      <c r="N1198" s="86"/>
      <c r="O1198" s="60"/>
      <c r="P1198" s="61"/>
      <c r="Q1198" s="62"/>
      <c r="R1198" s="63"/>
      <c r="S1198" s="61"/>
      <c r="T1198" s="64"/>
      <c r="U1198" s="59"/>
      <c r="V1198" s="65"/>
      <c r="W1198" s="66"/>
      <c r="X1198" s="59"/>
      <c r="Y1198" s="59"/>
      <c r="Z1198" s="59"/>
      <c r="AA1198" s="67"/>
      <c r="AB1198" s="75"/>
      <c r="AC1198" s="67"/>
      <c r="AD1198" s="68"/>
      <c r="AE1198" s="68"/>
      <c r="AF1198" s="68"/>
      <c r="AG1198" s="187"/>
      <c r="AH1198" s="187"/>
      <c r="AI1198" s="122"/>
      <c r="AJ1198" s="122"/>
      <c r="AK1198" s="122"/>
    </row>
    <row r="1199" spans="4:37" ht="12.7">
      <c r="D1199" s="73"/>
      <c r="E1199" s="73"/>
      <c r="H1199" s="76"/>
      <c r="I1199" s="77"/>
      <c r="J1199" s="78"/>
      <c r="K1199" s="79"/>
      <c r="L1199" s="77"/>
      <c r="M1199" s="80"/>
      <c r="O1199" s="76"/>
      <c r="P1199" s="77"/>
      <c r="Q1199" s="78"/>
      <c r="R1199" s="79"/>
      <c r="S1199" s="77"/>
      <c r="T1199" s="80"/>
      <c r="U1199" s="73"/>
      <c r="V1199" s="81"/>
      <c r="W1199" s="82"/>
      <c r="AA1199" s="83"/>
      <c r="AB1199" s="84"/>
      <c r="AC1199" s="83"/>
      <c r="AD1199" s="85"/>
      <c r="AE1199" s="85"/>
      <c r="AF1199" s="85"/>
      <c r="AG1199" s="85"/>
      <c r="AH1199" s="85"/>
      <c r="AI1199" s="122"/>
      <c r="AJ1199" s="122"/>
      <c r="AK1199" s="122"/>
    </row>
    <row r="1200" spans="22:37" ht="15.35" thickBot="1">
      <c r="V1200" s="117">
        <f>SUBTOTAL(9,V3:V1198)</f>
        <v>7440452.8860379001</v>
      </c>
      <c r="AA1200" s="118">
        <f>SUBTOTAL(9,AA3:AA1198)</f>
        <v>127941916.99569677</v>
      </c>
      <c r="AB1200" s="73"/>
      <c r="AC1200" s="120">
        <f t="shared" si="178" ref="AC1200:AG1200">SUBTOTAL(9,AC3:AC1198)</f>
        <v>37785485.900000021</v>
      </c>
      <c r="AD1200" s="118">
        <f t="shared" si="178"/>
        <v>739625.9175000001</v>
      </c>
      <c r="AE1200" s="118">
        <f t="shared" si="178"/>
        <v>0</v>
      </c>
      <c r="AF1200" s="118">
        <f t="shared" si="178"/>
        <v>37045859.982500009</v>
      </c>
      <c r="AG1200" s="196">
        <f t="shared" si="178"/>
        <v>37045508</v>
      </c>
      <c r="AH1200" s="118">
        <f>SUBTOTAL(9,AH3:AH1198)</f>
        <v>37045859.982499994</v>
      </c>
      <c r="AI1200" s="122"/>
      <c r="AJ1200" s="122"/>
      <c r="AK1200" s="122"/>
    </row>
    <row r="1201" spans="7:37" ht="13" thickTop="1">
      <c r="G1201" s="25" t="s">
        <v>1237</v>
      </c>
      <c r="AA1201" s="73"/>
      <c r="AB1201" s="73"/>
      <c r="AC1201" s="73"/>
      <c r="AD1201" s="73"/>
      <c r="AE1201" s="73"/>
      <c r="AF1201" s="73"/>
      <c r="AG1201" s="73"/>
      <c r="AH1201" s="73"/>
      <c r="AI1201" s="122"/>
      <c r="AJ1201" s="122"/>
      <c r="AK1201" s="122"/>
    </row>
    <row r="1203" spans="27:34" ht="12.7">
      <c r="AA1203" s="85"/>
      <c r="AC1203" s="85"/>
      <c r="AD1203" s="85"/>
      <c r="AE1203" s="85"/>
      <c r="AF1203" s="85"/>
      <c r="AG1203" s="85"/>
      <c r="AH1203" s="85"/>
    </row>
  </sheetData>
  <autoFilter ref="A2:AM1194"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3">
    <mergeCell ref="H2:M2"/>
    <mergeCell ref="O2:T2"/>
    <mergeCell ref="C1:G1"/>
  </mergeCells>
  <printOptions gridLines="1" horizontalCentered="1"/>
  <pageMargins left="0" right="0" top="0.35" bottom="0.35" header="0" footer="0"/>
  <pageSetup orientation="landscape" scale="70" r:id="rId2"/>
  <headerFooter alignWithMargins="0"/>
  <ignoredErrors>
    <ignoredError sqref="G832 N831 N810" numberStoredAsText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F109"/>
  <sheetViews>
    <sheetView showGridLines="0" workbookViewId="0" topLeftCell="A1">
      <selection pane="topLeft" activeCell="A1" sqref="A1"/>
    </sheetView>
  </sheetViews>
  <sheetFormatPr defaultColWidth="9.14285714285714" defaultRowHeight="12.75"/>
  <cols>
    <col min="1" max="1" width="13.1428571428571" customWidth="1"/>
    <col min="2" max="2" width="20.7142857142857" customWidth="1"/>
    <col min="3" max="3" width="15.7142857142857" customWidth="1"/>
    <col min="4" max="4" width="25.1428571428571" customWidth="1"/>
    <col min="5" max="5" width="29.4285714285714" customWidth="1"/>
    <col min="6" max="6" width="8.28571428571429" bestFit="1" customWidth="1"/>
  </cols>
  <sheetData>
    <row r="1" spans="1:4" ht="12.7">
      <c r="A1" s="4" t="s">
        <v>923</v>
      </c>
      <c r="B1" s="5" t="s">
        <v>1167</v>
      </c>
      <c r="D1" t="s">
        <v>1301</v>
      </c>
    </row>
    <row r="2" spans="1:4" ht="12.7">
      <c r="A2" s="6" t="s">
        <v>925</v>
      </c>
      <c r="B2" s="6" t="s">
        <v>1439</v>
      </c>
      <c r="D2" t="s">
        <v>1186</v>
      </c>
    </row>
    <row r="3" spans="1:4" ht="12.7">
      <c r="A3" s="1">
        <v>1</v>
      </c>
      <c r="B3" s="10">
        <f>+'2017-2020 RATES'!B6</f>
        <v>5.88</v>
      </c>
      <c r="D3" s="136" t="s">
        <v>1438</v>
      </c>
    </row>
    <row r="4" spans="1:2" ht="12.7">
      <c r="A4" s="1">
        <v>2</v>
      </c>
      <c r="B4" s="10">
        <f>+'2017-2020 RATES'!B8</f>
        <v>16.239999999999998</v>
      </c>
    </row>
    <row r="5" spans="1:4" ht="13.7">
      <c r="A5" s="7">
        <v>3</v>
      </c>
      <c r="B5" s="10">
        <f>+'2017-2020 RATES'!B9</f>
        <v>23.59</v>
      </c>
      <c r="D5" s="134" t="s">
        <v>1430</v>
      </c>
    </row>
    <row r="6" spans="1:4" ht="12.7">
      <c r="A6" s="7">
        <v>4</v>
      </c>
      <c r="B6" s="10">
        <f>+'2017-2020 RATES'!B10</f>
        <v>26.45</v>
      </c>
      <c r="D6" s="109"/>
    </row>
    <row r="7" spans="1:2" ht="12.7">
      <c r="A7" s="7">
        <v>6</v>
      </c>
      <c r="B7" s="10">
        <f>+'2017-2020 RATES'!B12</f>
        <v>34.630000000000003</v>
      </c>
    </row>
    <row r="8" spans="1:2" ht="12.7">
      <c r="A8" s="7">
        <v>8</v>
      </c>
      <c r="B8" s="10">
        <f>+'2017-2020 RATES'!B13</f>
        <v>49.30</v>
      </c>
    </row>
    <row r="9" spans="1:3" ht="12.7">
      <c r="A9" s="7">
        <v>10</v>
      </c>
      <c r="B9" s="10">
        <f>B8</f>
        <v>49.30</v>
      </c>
      <c r="C9" t="s">
        <v>1168</v>
      </c>
    </row>
    <row r="11" spans="1:2" ht="12.7">
      <c r="A11" s="4" t="s">
        <v>923</v>
      </c>
      <c r="B11" s="5" t="s">
        <v>924</v>
      </c>
    </row>
    <row r="12" spans="1:2" ht="25.35">
      <c r="A12" s="6" t="s">
        <v>925</v>
      </c>
      <c r="B12" s="23" t="s">
        <v>1440</v>
      </c>
    </row>
    <row r="13" spans="1:4" ht="12.7">
      <c r="A13" s="1">
        <v>1</v>
      </c>
      <c r="B13" s="10">
        <f>+'2017-2020 RATES'!B19</f>
        <v>6.19</v>
      </c>
      <c r="D13" s="22"/>
    </row>
    <row r="14" spans="1:2" ht="12.7">
      <c r="A14" s="7">
        <v>2</v>
      </c>
      <c r="B14" s="10">
        <f>+'2017-2020 RATES'!B21</f>
        <v>9.33</v>
      </c>
    </row>
    <row r="15" spans="1:2" ht="12.7">
      <c r="A15" s="7">
        <v>3</v>
      </c>
      <c r="B15" s="10">
        <f>+'2017-2020 RATES'!B22</f>
        <v>14.99</v>
      </c>
    </row>
    <row r="16" spans="1:2" ht="12.7">
      <c r="A16" s="7">
        <v>4</v>
      </c>
      <c r="B16" s="10">
        <f>+'2017-2020 RATES'!B23</f>
        <v>18.06</v>
      </c>
    </row>
    <row r="17" spans="1:2" ht="12.7">
      <c r="A17" s="7">
        <v>6</v>
      </c>
      <c r="B17" s="10">
        <f>+'2017-2020 RATES'!B24</f>
        <v>38.39</v>
      </c>
    </row>
    <row r="18" spans="1:2" ht="12.7">
      <c r="A18" s="7">
        <v>8</v>
      </c>
      <c r="B18" s="10">
        <f>+'2017-2020 RATES'!B25</f>
        <v>47.93</v>
      </c>
    </row>
    <row r="19" spans="1:3" ht="12.7">
      <c r="A19" s="7">
        <v>10</v>
      </c>
      <c r="B19" s="10">
        <f>B18</f>
        <v>47.93</v>
      </c>
      <c r="C19" t="s">
        <v>1168</v>
      </c>
    </row>
    <row r="21" spans="1:2" ht="38">
      <c r="A21" s="8" t="s">
        <v>926</v>
      </c>
      <c r="B21" s="8" t="s">
        <v>1169</v>
      </c>
    </row>
    <row r="22" spans="1:2" ht="12.7">
      <c r="A22" s="9"/>
      <c r="B22" s="24" t="s">
        <v>1441</v>
      </c>
    </row>
    <row r="23" spans="1:2" ht="12.7">
      <c r="A23" s="135" t="s">
        <v>1394</v>
      </c>
      <c r="B23" s="11">
        <v>0.80</v>
      </c>
    </row>
    <row r="24" spans="1:2" ht="12.7">
      <c r="A24" s="2">
        <v>1957</v>
      </c>
      <c r="B24" s="11">
        <v>0.80</v>
      </c>
    </row>
    <row r="25" spans="1:2" ht="12.7">
      <c r="A25" s="2">
        <v>1958</v>
      </c>
      <c r="B25" s="11">
        <v>0.80</v>
      </c>
    </row>
    <row r="26" spans="1:2" ht="12.7">
      <c r="A26" s="2">
        <v>1959</v>
      </c>
      <c r="B26" s="11">
        <v>0.80</v>
      </c>
    </row>
    <row r="27" spans="1:2" ht="12.7">
      <c r="A27" s="2">
        <v>1960</v>
      </c>
      <c r="B27" s="11">
        <v>0.80</v>
      </c>
    </row>
    <row r="28" spans="1:2" ht="12.7">
      <c r="A28" s="2">
        <v>1961</v>
      </c>
      <c r="B28" s="11">
        <v>0.80</v>
      </c>
    </row>
    <row r="29" spans="1:2" ht="12.7">
      <c r="A29" s="2">
        <v>1962</v>
      </c>
      <c r="B29" s="11">
        <v>0.80</v>
      </c>
    </row>
    <row r="30" spans="1:2" ht="12.7">
      <c r="A30" s="2">
        <v>1963</v>
      </c>
      <c r="B30" s="11">
        <v>0.80</v>
      </c>
    </row>
    <row r="31" spans="1:2" ht="12.7">
      <c r="A31" s="2">
        <v>1964</v>
      </c>
      <c r="B31" s="11">
        <v>0.80</v>
      </c>
    </row>
    <row r="32" spans="1:2" ht="12.7">
      <c r="A32" s="2">
        <v>1965</v>
      </c>
      <c r="B32" s="11">
        <v>0.80</v>
      </c>
    </row>
    <row r="33" spans="1:2" ht="12.7">
      <c r="A33" s="2">
        <v>1966</v>
      </c>
      <c r="B33" s="11">
        <v>0.80</v>
      </c>
    </row>
    <row r="34" spans="1:2" ht="12.7">
      <c r="A34" s="2">
        <v>1967</v>
      </c>
      <c r="B34" s="11">
        <v>0.80</v>
      </c>
    </row>
    <row r="35" spans="1:2" ht="12.7">
      <c r="A35" s="2">
        <v>1968</v>
      </c>
      <c r="B35" s="11">
        <v>0.80</v>
      </c>
    </row>
    <row r="36" spans="1:2" ht="12.7">
      <c r="A36" s="2">
        <v>1969</v>
      </c>
      <c r="B36" s="11">
        <v>0.80</v>
      </c>
    </row>
    <row r="37" spans="1:2" ht="12.7">
      <c r="A37" s="2">
        <v>1970</v>
      </c>
      <c r="B37" s="11">
        <v>0.80</v>
      </c>
    </row>
    <row r="38" spans="1:2" ht="12.7">
      <c r="A38" s="2">
        <v>1971</v>
      </c>
      <c r="B38" s="11">
        <v>0.80</v>
      </c>
    </row>
    <row r="39" spans="1:2" ht="12.7">
      <c r="A39" s="2">
        <v>1972</v>
      </c>
      <c r="B39" s="11">
        <v>0.80</v>
      </c>
    </row>
    <row r="40" spans="1:2" ht="12.7">
      <c r="A40" s="2">
        <v>1973</v>
      </c>
      <c r="B40" s="11">
        <v>0.80</v>
      </c>
    </row>
    <row r="41" spans="1:2" ht="12.7">
      <c r="A41" s="2">
        <v>1974</v>
      </c>
      <c r="B41" s="11">
        <v>0.80</v>
      </c>
    </row>
    <row r="42" spans="1:2" ht="12.7">
      <c r="A42" s="2">
        <v>1975</v>
      </c>
      <c r="B42" s="11">
        <v>0.80</v>
      </c>
    </row>
    <row r="43" spans="1:2" ht="12.7">
      <c r="A43" s="2">
        <v>1976</v>
      </c>
      <c r="B43" s="11">
        <v>0.80</v>
      </c>
    </row>
    <row r="44" spans="1:2" ht="12.7">
      <c r="A44" s="2">
        <v>1977</v>
      </c>
      <c r="B44" s="11">
        <v>0.80</v>
      </c>
    </row>
    <row r="45" spans="1:2" ht="12.7">
      <c r="A45" s="2">
        <v>1978</v>
      </c>
      <c r="B45" s="11">
        <v>0.80</v>
      </c>
    </row>
    <row r="46" spans="1:2" ht="12.7">
      <c r="A46" s="2">
        <v>1979</v>
      </c>
      <c r="B46" s="11">
        <v>0.80</v>
      </c>
    </row>
    <row r="47" spans="1:2" ht="12.7">
      <c r="A47" s="2">
        <v>1980</v>
      </c>
      <c r="B47" s="11">
        <v>0.80</v>
      </c>
    </row>
    <row r="48" spans="1:2" ht="12.7">
      <c r="A48" s="2">
        <v>1981</v>
      </c>
      <c r="B48" s="11">
        <v>0.80</v>
      </c>
    </row>
    <row r="49" spans="1:2" ht="12.7">
      <c r="A49" s="2">
        <v>1982</v>
      </c>
      <c r="B49" s="11">
        <v>0.80</v>
      </c>
    </row>
    <row r="50" spans="1:2" ht="12.7">
      <c r="A50" s="2">
        <v>1983</v>
      </c>
      <c r="B50" s="11">
        <v>0.80</v>
      </c>
    </row>
    <row r="51" spans="1:2" ht="12.7">
      <c r="A51" s="2">
        <v>1984</v>
      </c>
      <c r="B51" s="11">
        <v>0.80</v>
      </c>
    </row>
    <row r="52" spans="1:2" ht="12.7">
      <c r="A52" s="2">
        <v>1985</v>
      </c>
      <c r="B52" s="11">
        <v>0.80</v>
      </c>
    </row>
    <row r="53" spans="1:2" ht="12.7">
      <c r="A53" s="2">
        <v>1986</v>
      </c>
      <c r="B53" s="11">
        <v>0.79</v>
      </c>
    </row>
    <row r="54" spans="1:2" ht="12.7">
      <c r="A54" s="2">
        <v>1987</v>
      </c>
      <c r="B54" s="11">
        <v>0.78</v>
      </c>
    </row>
    <row r="55" spans="1:2" ht="12.7">
      <c r="A55" s="2">
        <v>1988</v>
      </c>
      <c r="B55" s="11">
        <v>0.76</v>
      </c>
    </row>
    <row r="56" spans="1:2" ht="12.7">
      <c r="A56" s="2">
        <v>1989</v>
      </c>
      <c r="B56" s="11">
        <v>0.75</v>
      </c>
    </row>
    <row r="57" spans="1:2" ht="12.7">
      <c r="A57" s="2">
        <v>1990</v>
      </c>
      <c r="B57" s="11">
        <v>0.73</v>
      </c>
    </row>
    <row r="58" spans="1:2" ht="12.7">
      <c r="A58" s="2">
        <v>1991</v>
      </c>
      <c r="B58" s="11">
        <v>0.72</v>
      </c>
    </row>
    <row r="59" spans="1:2" ht="12.7">
      <c r="A59" s="2">
        <v>1992</v>
      </c>
      <c r="B59" s="11">
        <v>0.71</v>
      </c>
    </row>
    <row r="60" spans="1:2" ht="12.7">
      <c r="A60" s="2">
        <v>1993</v>
      </c>
      <c r="B60" s="11">
        <v>0.70</v>
      </c>
    </row>
    <row r="61" spans="1:2" ht="12.7">
      <c r="A61" s="2">
        <v>1994</v>
      </c>
      <c r="B61" s="11">
        <v>0.68</v>
      </c>
    </row>
    <row r="62" spans="1:2" ht="12.7">
      <c r="A62" s="2">
        <v>1995</v>
      </c>
      <c r="B62" s="11">
        <v>0.67</v>
      </c>
    </row>
    <row r="63" spans="1:2" ht="12.7">
      <c r="A63" s="2">
        <v>1996</v>
      </c>
      <c r="B63" s="11">
        <v>0.66</v>
      </c>
    </row>
    <row r="64" spans="1:2" ht="12.7">
      <c r="A64" s="2">
        <v>1997</v>
      </c>
      <c r="B64" s="11">
        <v>0.65</v>
      </c>
    </row>
    <row r="65" spans="1:2" ht="12.7">
      <c r="A65" s="2">
        <v>1998</v>
      </c>
      <c r="B65" s="11">
        <v>0.63</v>
      </c>
    </row>
    <row r="66" spans="1:2" ht="12.7">
      <c r="A66" s="2">
        <v>1999</v>
      </c>
      <c r="B66" s="11">
        <v>0.62</v>
      </c>
    </row>
    <row r="67" spans="1:2" ht="12.7">
      <c r="A67" s="2">
        <v>2000</v>
      </c>
      <c r="B67" s="11">
        <v>0.61</v>
      </c>
    </row>
    <row r="68" spans="1:2" ht="12.7">
      <c r="A68" s="2">
        <v>2001</v>
      </c>
      <c r="B68" s="11">
        <v>0.59</v>
      </c>
    </row>
    <row r="69" spans="1:2" ht="12.7">
      <c r="A69" s="2">
        <v>2002</v>
      </c>
      <c r="B69" s="11">
        <v>0.56999999999999995</v>
      </c>
    </row>
    <row r="70" spans="1:4" ht="12.7">
      <c r="A70" s="2">
        <v>2003</v>
      </c>
      <c r="B70" s="11">
        <v>0.56999999999999995</v>
      </c>
      <c r="D70" t="s">
        <v>1237</v>
      </c>
    </row>
    <row r="71" spans="1:2" ht="12.7">
      <c r="A71" s="2">
        <v>2004</v>
      </c>
      <c r="B71" s="11">
        <v>0.56000000000000005</v>
      </c>
    </row>
    <row r="72" spans="1:2" ht="12.7">
      <c r="A72" s="2">
        <v>2005</v>
      </c>
      <c r="B72" s="11">
        <v>0.54</v>
      </c>
    </row>
    <row r="73" spans="1:2" ht="12.7">
      <c r="A73" s="2">
        <v>2006</v>
      </c>
      <c r="B73" s="11">
        <v>0.52</v>
      </c>
    </row>
    <row r="74" spans="1:2" ht="12.7">
      <c r="A74" s="2">
        <v>2007</v>
      </c>
      <c r="B74" s="11">
        <v>0.51</v>
      </c>
    </row>
    <row r="75" spans="1:2" ht="12.7">
      <c r="A75" s="2">
        <v>2008</v>
      </c>
      <c r="B75" s="11">
        <v>0.49</v>
      </c>
    </row>
    <row r="76" spans="1:2" ht="12.7">
      <c r="A76" s="2">
        <v>2009</v>
      </c>
      <c r="B76" s="12">
        <v>0.44</v>
      </c>
    </row>
    <row r="77" spans="1:2" ht="12.7">
      <c r="A77" s="2">
        <v>2010</v>
      </c>
      <c r="B77" s="12">
        <v>0.39</v>
      </c>
    </row>
    <row r="78" spans="1:2" ht="12.7">
      <c r="A78" s="2">
        <v>2011</v>
      </c>
      <c r="B78" s="12">
        <v>0.33</v>
      </c>
    </row>
    <row r="79" spans="1:2" ht="12.7">
      <c r="A79" s="2">
        <v>2012</v>
      </c>
      <c r="B79" s="12">
        <v>0.27</v>
      </c>
    </row>
    <row r="80" spans="1:2" ht="12.7">
      <c r="A80" s="2">
        <v>2013</v>
      </c>
      <c r="B80" s="12">
        <v>0.21</v>
      </c>
    </row>
    <row r="81" spans="1:2" ht="12.7">
      <c r="A81" s="189">
        <v>2014</v>
      </c>
      <c r="B81" s="12">
        <v>0.15</v>
      </c>
    </row>
    <row r="82" spans="1:2" ht="12.7">
      <c r="A82" s="189">
        <v>2015</v>
      </c>
      <c r="B82" s="12">
        <v>0.10</v>
      </c>
    </row>
    <row r="83" spans="1:2" ht="12.7">
      <c r="A83" s="190">
        <v>2016</v>
      </c>
      <c r="B83" s="12">
        <v>0.05</v>
      </c>
    </row>
    <row r="84" spans="1:2" ht="12.7">
      <c r="A84" s="189">
        <v>2017</v>
      </c>
      <c r="B84" s="11">
        <v>0</v>
      </c>
    </row>
    <row r="85" spans="1:2" ht="12.7">
      <c r="A85" s="73"/>
      <c r="B85" s="188"/>
    </row>
    <row r="86" spans="1:2" ht="12.7">
      <c r="A86" s="13"/>
      <c r="B86" s="13"/>
    </row>
    <row r="87" spans="1:2" ht="13" thickBot="1">
      <c r="A87" s="13"/>
      <c r="B87" s="13"/>
    </row>
    <row r="88" spans="1:3" ht="12.7">
      <c r="A88" s="14" t="s">
        <v>1396</v>
      </c>
      <c r="B88" s="15"/>
      <c r="C88" s="69" t="s">
        <v>1080</v>
      </c>
    </row>
    <row r="89" spans="1:3" ht="13" thickBot="1">
      <c r="A89" s="16" t="s">
        <v>1058</v>
      </c>
      <c r="B89" s="17" t="s">
        <v>1059</v>
      </c>
      <c r="C89" s="70" t="s">
        <v>1059</v>
      </c>
    </row>
    <row r="90" spans="1:4" ht="13" thickTop="1">
      <c r="A90" s="18" t="s">
        <v>1078</v>
      </c>
      <c r="B90" s="19">
        <f>0.0072669+0.0067257+0.0110991</f>
        <v>0.025091700000000002</v>
      </c>
      <c r="C90" s="141">
        <v>2013</v>
      </c>
      <c r="D90" s="136" t="s">
        <v>1400</v>
      </c>
    </row>
    <row r="91" spans="1:3" ht="12.7">
      <c r="A91" s="18" t="s">
        <v>1070</v>
      </c>
      <c r="B91" s="20">
        <f>0.00692701+0.0067257+0.01109911</f>
        <v>0.024751820000000001</v>
      </c>
      <c r="C91" s="141">
        <v>2013</v>
      </c>
    </row>
    <row r="92" spans="1:6" ht="12.7">
      <c r="A92" s="140" t="s">
        <v>1069</v>
      </c>
      <c r="B92" s="20">
        <f>0.0091071+0.0067257+0.0110991</f>
        <v>0.026931900000000002</v>
      </c>
      <c r="C92" s="106">
        <v>2013</v>
      </c>
      <c r="F92" t="s">
        <v>1237</v>
      </c>
    </row>
    <row r="93" spans="1:4" ht="12.7">
      <c r="A93" s="140" t="s">
        <v>1063</v>
      </c>
      <c r="B93" s="20">
        <f>+B101</f>
        <v>0.030608299999999998</v>
      </c>
      <c r="C93" s="106">
        <v>2013</v>
      </c>
      <c r="D93" s="136" t="s">
        <v>1401</v>
      </c>
    </row>
    <row r="94" spans="1:4" ht="12.7">
      <c r="A94" s="140" t="s">
        <v>1064</v>
      </c>
      <c r="B94" s="20">
        <f>+B97</f>
        <v>0.031739799999999999</v>
      </c>
      <c r="C94" s="106">
        <v>2013</v>
      </c>
      <c r="D94" s="136" t="s">
        <v>1402</v>
      </c>
    </row>
    <row r="95" spans="1:3" ht="12.7">
      <c r="A95" s="140" t="s">
        <v>1079</v>
      </c>
      <c r="B95" s="21">
        <f>0.00846598+0.0067257+0.01109911</f>
        <v>0.026290790000000001</v>
      </c>
      <c r="C95" s="106">
        <v>2013</v>
      </c>
    </row>
    <row r="96" spans="1:4" ht="12.7">
      <c r="A96" s="140" t="s">
        <v>1073</v>
      </c>
      <c r="B96" s="144">
        <f>0.00744719+0.00572383+0.0159</f>
        <v>0.029071020000000003</v>
      </c>
      <c r="C96" s="106">
        <v>2013</v>
      </c>
      <c r="D96" s="146" t="s">
        <v>1397</v>
      </c>
    </row>
    <row r="97" spans="1:3" ht="12.7">
      <c r="A97" s="140" t="s">
        <v>1076</v>
      </c>
      <c r="B97" s="21">
        <f>0.0158398+0.0159</f>
        <v>0.031739799999999999</v>
      </c>
      <c r="C97" s="106">
        <v>2013</v>
      </c>
    </row>
    <row r="98" spans="1:4" ht="12.7">
      <c r="A98" s="140" t="s">
        <v>1068</v>
      </c>
      <c r="B98" s="20">
        <f>0.01681352+0.00009794+0.0146997</f>
        <v>0.031611159999999999</v>
      </c>
      <c r="C98" s="106">
        <v>2013</v>
      </c>
      <c r="D98" s="136" t="s">
        <v>1398</v>
      </c>
    </row>
    <row r="99" spans="1:4" ht="12.7">
      <c r="A99" s="140" t="s">
        <v>1067</v>
      </c>
      <c r="B99" s="20">
        <f>0.0168239+0.00009794+0.0146997</f>
        <v>0.031621540000000004</v>
      </c>
      <c r="C99" s="106">
        <v>2013</v>
      </c>
      <c r="D99" s="136" t="s">
        <v>1398</v>
      </c>
    </row>
    <row r="100" spans="1:3" ht="12.7">
      <c r="A100" s="140" t="s">
        <v>1071</v>
      </c>
      <c r="B100" s="20">
        <f>0.0083283+0.0067257+0.0110991</f>
        <v>0.026153100000000002</v>
      </c>
      <c r="C100" s="106">
        <v>2013</v>
      </c>
    </row>
    <row r="101" spans="1:3" ht="12.7">
      <c r="A101" s="140" t="s">
        <v>1062</v>
      </c>
      <c r="B101" s="20">
        <f>0.0151043+0.015504</f>
        <v>0.030608299999999998</v>
      </c>
      <c r="C101" s="106">
        <v>2013</v>
      </c>
    </row>
    <row r="102" spans="1:4" ht="12.7">
      <c r="A102" s="140" t="s">
        <v>1075</v>
      </c>
      <c r="B102" s="20">
        <f>0.0168239+0.0146997+0.00009794</f>
        <v>0.031621539999999997</v>
      </c>
      <c r="C102" s="106">
        <v>2013</v>
      </c>
      <c r="D102" s="136" t="s">
        <v>1398</v>
      </c>
    </row>
    <row r="103" spans="1:3" ht="12.7">
      <c r="A103" s="140" t="s">
        <v>1060</v>
      </c>
      <c r="B103" s="20">
        <f>0.006272985+0.005097985+0.0008851+0.0063</f>
        <v>0.018556070000000001</v>
      </c>
      <c r="C103" s="106">
        <v>2013</v>
      </c>
    </row>
    <row r="104" spans="1:4" ht="12.7">
      <c r="A104" s="140" t="s">
        <v>1066</v>
      </c>
      <c r="B104" s="20">
        <f>0.01681352+0.00009794+0.0146997</f>
        <v>0.031611159999999999</v>
      </c>
      <c r="C104" s="106">
        <v>2013</v>
      </c>
      <c r="D104" s="136" t="s">
        <v>1398</v>
      </c>
    </row>
    <row r="105" spans="1:4" ht="12.7">
      <c r="A105" s="140" t="s">
        <v>1065</v>
      </c>
      <c r="B105" s="3">
        <f>0.01737922+0.00009794+0.0146997</f>
        <v>0.032176860000000002</v>
      </c>
      <c r="C105" s="106">
        <v>2013</v>
      </c>
      <c r="D105" s="136" t="s">
        <v>1398</v>
      </c>
    </row>
    <row r="106" spans="1:3" ht="12.7">
      <c r="A106" s="142" t="s">
        <v>1072</v>
      </c>
      <c r="B106" s="3">
        <f>0.00388349+0.0067257+0.01109911</f>
        <v>0.0217083</v>
      </c>
      <c r="C106" s="106">
        <v>2013</v>
      </c>
    </row>
    <row r="107" spans="1:4" ht="12.7">
      <c r="A107" s="142" t="s">
        <v>1399</v>
      </c>
      <c r="B107" s="3">
        <f>0.0168352+0.00009794+0.0146997</f>
        <v>0.031632840000000002</v>
      </c>
      <c r="C107" s="106">
        <v>2013</v>
      </c>
      <c r="D107" s="136" t="s">
        <v>1398</v>
      </c>
    </row>
    <row r="108" spans="1:3" ht="12.7">
      <c r="A108" s="142" t="s">
        <v>1061</v>
      </c>
      <c r="B108" s="3">
        <f>0.01004563+0.01019597+0.00126255+0.0126</f>
        <v>0.03410415</v>
      </c>
      <c r="C108" s="106">
        <v>2013</v>
      </c>
    </row>
    <row r="109" spans="1:3" ht="13" thickBot="1">
      <c r="A109" s="143" t="s">
        <v>1074</v>
      </c>
      <c r="B109" s="145">
        <f>0.0091071+0.0067257+0.0110991</f>
        <v>0.026931900000000002</v>
      </c>
      <c r="C109" s="107">
        <v>2013</v>
      </c>
    </row>
  </sheetData>
  <printOptions horizontalCentered="1" verticalCentered="1"/>
  <pageMargins left="0" right="0" top="0" bottom="0" header="0.5" footer="0.5"/>
  <pageSetup orientation="portrait" scale="1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1"/>
  <sheetViews>
    <sheetView workbookViewId="0" topLeftCell="A1">
      <selection pane="topLeft" activeCell="A1" sqref="A1"/>
    </sheetView>
  </sheetViews>
  <sheetFormatPr defaultColWidth="9.14285714285714" defaultRowHeight="12.75"/>
  <cols>
    <col min="1" max="1" width="35.2857142857143" style="133" customWidth="1"/>
    <col min="2" max="2" width="21.1428571428571" customWidth="1"/>
  </cols>
  <sheetData>
    <row r="1" spans="1:4" ht="16.35">
      <c r="A1" s="129" t="s">
        <v>1383</v>
      </c>
      <c r="D1" s="121" t="s">
        <v>1341</v>
      </c>
    </row>
    <row r="2" ht="16.35">
      <c r="A2" s="129" t="s">
        <v>1384</v>
      </c>
    </row>
    <row r="3" ht="16.35">
      <c r="A3" s="130" t="s">
        <v>1385</v>
      </c>
    </row>
    <row r="4" ht="16.35">
      <c r="A4" s="137" t="s">
        <v>1430</v>
      </c>
    </row>
    <row r="5" spans="1:2" ht="12.7">
      <c r="A5" s="131" t="s">
        <v>1342</v>
      </c>
      <c r="B5" s="127" t="s">
        <v>1343</v>
      </c>
    </row>
    <row r="6" spans="1:2" ht="12.7">
      <c r="A6" s="131">
        <v>1</v>
      </c>
      <c r="B6" s="128">
        <v>5.88</v>
      </c>
    </row>
    <row r="7" spans="1:2" ht="12.7">
      <c r="A7" s="131" t="s">
        <v>1344</v>
      </c>
      <c r="B7" s="128">
        <v>9.9700000000000006</v>
      </c>
    </row>
    <row r="8" spans="1:2" ht="12.7">
      <c r="A8" s="131" t="s">
        <v>1345</v>
      </c>
      <c r="B8" s="138">
        <v>16.239999999999998</v>
      </c>
    </row>
    <row r="9" spans="1:2" ht="12.7">
      <c r="A9" s="131">
        <v>3</v>
      </c>
      <c r="B9" s="128">
        <v>23.59</v>
      </c>
    </row>
    <row r="10" spans="1:2" ht="12.7">
      <c r="A10" s="131" t="s">
        <v>1346</v>
      </c>
      <c r="B10" s="128">
        <v>26.45</v>
      </c>
    </row>
    <row r="11" spans="1:2" ht="14">
      <c r="A11" s="131" t="s">
        <v>1347</v>
      </c>
      <c r="B11" s="128">
        <v>29.06</v>
      </c>
    </row>
    <row r="12" spans="1:2" ht="12.7">
      <c r="A12" s="131" t="s">
        <v>1348</v>
      </c>
      <c r="B12" s="128">
        <v>34.630000000000003</v>
      </c>
    </row>
    <row r="13" spans="1:2" ht="12.7">
      <c r="A13" s="131">
        <v>8</v>
      </c>
      <c r="B13" s="128">
        <v>49.30</v>
      </c>
    </row>
    <row r="14" ht="16.35">
      <c r="A14" s="130" t="s">
        <v>1432</v>
      </c>
    </row>
    <row r="15" ht="16.35">
      <c r="A15" s="130" t="s">
        <v>1386</v>
      </c>
    </row>
    <row r="16" ht="16.35">
      <c r="A16" s="130" t="s">
        <v>1431</v>
      </c>
    </row>
    <row r="17" spans="1:2" ht="12.7">
      <c r="A17" s="131" t="s">
        <v>1342</v>
      </c>
      <c r="B17" s="127" t="s">
        <v>1343</v>
      </c>
    </row>
    <row r="18" spans="1:2" ht="12.7">
      <c r="A18" s="131">
        <v>0.50</v>
      </c>
      <c r="B18" s="128">
        <v>5.16</v>
      </c>
    </row>
    <row r="19" spans="1:2" ht="12.7">
      <c r="A19" s="131">
        <v>1</v>
      </c>
      <c r="B19" s="128">
        <v>6.19</v>
      </c>
    </row>
    <row r="20" spans="1:2" ht="12.7">
      <c r="A20" s="131" t="s">
        <v>1344</v>
      </c>
      <c r="B20" s="128">
        <v>7.25</v>
      </c>
    </row>
    <row r="21" spans="1:2" ht="12.7">
      <c r="A21" s="131" t="s">
        <v>1345</v>
      </c>
      <c r="B21" s="128">
        <v>9.33</v>
      </c>
    </row>
    <row r="22" spans="1:2" ht="12.7">
      <c r="A22" s="131">
        <v>3</v>
      </c>
      <c r="B22" s="128">
        <v>14.99</v>
      </c>
    </row>
    <row r="23" spans="1:2" ht="12.7">
      <c r="A23" s="131" t="s">
        <v>1346</v>
      </c>
      <c r="B23" s="128">
        <v>18.06</v>
      </c>
    </row>
    <row r="24" spans="1:2" ht="12.7">
      <c r="A24" s="131" t="s">
        <v>1348</v>
      </c>
      <c r="B24" s="128">
        <v>38.39</v>
      </c>
    </row>
    <row r="25" spans="1:2" ht="12.7">
      <c r="A25" s="131">
        <v>8</v>
      </c>
      <c r="B25" s="128">
        <v>47.93</v>
      </c>
    </row>
    <row r="26" ht="16.35">
      <c r="A26" s="130" t="s">
        <v>1432</v>
      </c>
    </row>
    <row r="27" ht="16.35">
      <c r="A27" s="130" t="s">
        <v>1387</v>
      </c>
    </row>
    <row r="28" ht="16.35">
      <c r="A28" s="130" t="s">
        <v>1433</v>
      </c>
    </row>
    <row r="29" spans="1:2" ht="12.7">
      <c r="A29" s="131" t="s">
        <v>1342</v>
      </c>
      <c r="B29" s="127" t="s">
        <v>1343</v>
      </c>
    </row>
    <row r="30" spans="1:2" ht="12.7">
      <c r="A30" s="131" t="s">
        <v>1388</v>
      </c>
      <c r="B30" s="128">
        <v>15.31</v>
      </c>
    </row>
    <row r="31" spans="1:2" ht="12.7">
      <c r="A31" s="131" t="s">
        <v>1344</v>
      </c>
      <c r="B31" s="128">
        <v>18.15</v>
      </c>
    </row>
    <row r="32" spans="1:2" ht="12.7">
      <c r="A32" s="131" t="s">
        <v>1345</v>
      </c>
      <c r="B32" s="128">
        <v>21.40</v>
      </c>
    </row>
    <row r="33" spans="1:2" ht="12.7">
      <c r="A33" s="131">
        <v>3</v>
      </c>
      <c r="B33" s="128">
        <v>30.64</v>
      </c>
    </row>
    <row r="34" spans="1:2" ht="12.7">
      <c r="A34" s="131" t="s">
        <v>1346</v>
      </c>
      <c r="B34" s="128">
        <v>35.659999999999997</v>
      </c>
    </row>
    <row r="35" spans="1:2" ht="14">
      <c r="A35" s="131" t="s">
        <v>1347</v>
      </c>
      <c r="B35" s="128">
        <v>40.69</v>
      </c>
    </row>
    <row r="36" spans="1:2" ht="14">
      <c r="A36" s="131" t="s">
        <v>1393</v>
      </c>
      <c r="B36" s="128">
        <v>45.93</v>
      </c>
    </row>
    <row r="37" spans="1:2" ht="12.7">
      <c r="A37" s="131">
        <v>8</v>
      </c>
      <c r="B37" s="128">
        <v>59.25</v>
      </c>
    </row>
    <row r="38" spans="1:2" ht="12.7">
      <c r="A38" s="131">
        <v>10</v>
      </c>
      <c r="B38" s="128">
        <v>70.069999999999993</v>
      </c>
    </row>
    <row r="39" spans="1:2" ht="12.7">
      <c r="A39" s="131">
        <v>12</v>
      </c>
      <c r="B39" s="128">
        <v>89.89</v>
      </c>
    </row>
    <row r="40" spans="1:2" ht="12.7">
      <c r="A40" s="131">
        <v>14</v>
      </c>
      <c r="B40" s="128">
        <v>109.93</v>
      </c>
    </row>
    <row r="41" spans="1:2" ht="12.7">
      <c r="A41" s="131">
        <v>16</v>
      </c>
      <c r="B41" s="128">
        <v>144.21</v>
      </c>
    </row>
    <row r="42" spans="1:2" ht="12.7">
      <c r="A42" s="131">
        <v>18</v>
      </c>
      <c r="B42" s="128">
        <v>172.33</v>
      </c>
    </row>
    <row r="43" spans="1:2" ht="12.7">
      <c r="A43" s="131">
        <v>20</v>
      </c>
      <c r="B43" s="128">
        <v>191.11</v>
      </c>
    </row>
    <row r="44" spans="1:2" ht="12.7">
      <c r="A44" s="131">
        <v>22</v>
      </c>
      <c r="B44" s="128">
        <v>226.46</v>
      </c>
    </row>
    <row r="45" spans="1:2" ht="12.7">
      <c r="A45" s="131">
        <v>24</v>
      </c>
      <c r="B45" s="128">
        <v>267.66000000000003</v>
      </c>
    </row>
    <row r="46" spans="1:2" ht="12.7">
      <c r="A46" s="131">
        <v>26</v>
      </c>
      <c r="B46" s="128">
        <v>300.39</v>
      </c>
    </row>
    <row r="47" spans="1:2" ht="12.7">
      <c r="A47" s="131">
        <v>28</v>
      </c>
      <c r="B47" s="128">
        <v>352.53</v>
      </c>
    </row>
    <row r="48" spans="1:2" ht="12.7">
      <c r="A48" s="131">
        <v>30</v>
      </c>
      <c r="B48" s="128">
        <v>374.12</v>
      </c>
    </row>
    <row r="49" spans="1:2" ht="12.7">
      <c r="A49" s="131">
        <v>32</v>
      </c>
      <c r="B49" s="128">
        <v>435.60</v>
      </c>
    </row>
    <row r="50" spans="1:2" ht="12.7">
      <c r="A50" s="131">
        <v>34</v>
      </c>
      <c r="B50" s="128">
        <v>479.77</v>
      </c>
    </row>
    <row r="51" spans="1:2" ht="12.7">
      <c r="A51" s="131">
        <v>36</v>
      </c>
      <c r="B51" s="128">
        <v>518.88</v>
      </c>
    </row>
    <row r="52" spans="1:2" ht="12.7">
      <c r="A52" s="131">
        <v>38</v>
      </c>
      <c r="B52" s="128">
        <v>563.88</v>
      </c>
    </row>
    <row r="53" spans="1:2" ht="12.7">
      <c r="A53" s="131">
        <v>40</v>
      </c>
      <c r="B53" s="128">
        <v>605.53</v>
      </c>
    </row>
    <row r="54" spans="1:2" ht="12.7">
      <c r="A54" s="131">
        <v>42</v>
      </c>
      <c r="B54" s="128">
        <v>661.52</v>
      </c>
    </row>
    <row r="55" spans="1:2" ht="12.7">
      <c r="A55" s="131">
        <v>44</v>
      </c>
      <c r="B55" s="128">
        <v>727.19</v>
      </c>
    </row>
    <row r="56" spans="1:2" ht="12.7">
      <c r="A56" s="131">
        <v>46</v>
      </c>
      <c r="B56" s="128">
        <v>793.36</v>
      </c>
    </row>
    <row r="57" spans="1:2" ht="12.7">
      <c r="A57" s="131">
        <v>48</v>
      </c>
      <c r="B57" s="128">
        <v>830.21</v>
      </c>
    </row>
    <row r="58" ht="16.35">
      <c r="A58" s="130" t="s">
        <v>1432</v>
      </c>
    </row>
    <row r="59" ht="16.35">
      <c r="A59" s="130" t="s">
        <v>1389</v>
      </c>
    </row>
    <row r="60" ht="16.35">
      <c r="A60" s="130" t="s">
        <v>1434</v>
      </c>
    </row>
    <row r="61" spans="1:2" ht="12.7">
      <c r="A61" s="131" t="s">
        <v>1349</v>
      </c>
      <c r="B61" s="127" t="s">
        <v>1350</v>
      </c>
    </row>
    <row r="62" spans="1:2" ht="12.7">
      <c r="A62" s="131" t="s">
        <v>1435</v>
      </c>
      <c r="B62" s="128">
        <v>80</v>
      </c>
    </row>
    <row r="63" spans="1:2" ht="12.7">
      <c r="A63" s="131">
        <v>1986</v>
      </c>
      <c r="B63" s="128">
        <v>79</v>
      </c>
    </row>
    <row r="64" spans="1:2" ht="12.7">
      <c r="A64" s="131">
        <v>1987</v>
      </c>
      <c r="B64" s="128">
        <v>78</v>
      </c>
    </row>
    <row r="65" spans="1:2" ht="12.7">
      <c r="A65" s="131">
        <v>1988</v>
      </c>
      <c r="B65" s="128">
        <v>76</v>
      </c>
    </row>
    <row r="66" spans="1:2" ht="12.7">
      <c r="A66" s="131">
        <v>1989</v>
      </c>
      <c r="B66" s="128">
        <v>75</v>
      </c>
    </row>
    <row r="67" spans="1:2" ht="12.7">
      <c r="A67" s="131">
        <v>1990</v>
      </c>
      <c r="B67" s="128">
        <v>73</v>
      </c>
    </row>
    <row r="68" spans="1:2" ht="12.7">
      <c r="A68" s="131">
        <v>1991</v>
      </c>
      <c r="B68" s="128">
        <v>72</v>
      </c>
    </row>
    <row r="69" spans="1:2" ht="12.7">
      <c r="A69" s="131">
        <v>1992</v>
      </c>
      <c r="B69" s="128">
        <v>71</v>
      </c>
    </row>
    <row r="70" spans="1:2" ht="12.7">
      <c r="A70" s="131">
        <v>1993</v>
      </c>
      <c r="B70" s="128">
        <v>70</v>
      </c>
    </row>
    <row r="71" spans="1:2" ht="12.7">
      <c r="A71" s="131">
        <v>1994</v>
      </c>
      <c r="B71" s="128">
        <v>68</v>
      </c>
    </row>
    <row r="72" spans="1:2" ht="12.7">
      <c r="A72" s="131">
        <v>1995</v>
      </c>
      <c r="B72" s="128">
        <v>67</v>
      </c>
    </row>
    <row r="73" spans="1:2" ht="12.7">
      <c r="A73" s="131">
        <v>1996</v>
      </c>
      <c r="B73" s="128">
        <v>66</v>
      </c>
    </row>
    <row r="74" spans="1:2" ht="12.7">
      <c r="A74" s="131">
        <v>1997</v>
      </c>
      <c r="B74" s="128">
        <v>65</v>
      </c>
    </row>
    <row r="75" spans="1:2" ht="12.7">
      <c r="A75" s="131">
        <v>1998</v>
      </c>
      <c r="B75" s="128">
        <v>63</v>
      </c>
    </row>
    <row r="76" spans="1:2" ht="12.7">
      <c r="A76" s="131">
        <v>1999</v>
      </c>
      <c r="B76" s="128">
        <v>62</v>
      </c>
    </row>
    <row r="77" spans="1:2" ht="12.7">
      <c r="A77" s="131">
        <v>2000</v>
      </c>
      <c r="B77" s="128">
        <v>61</v>
      </c>
    </row>
    <row r="78" spans="1:2" ht="12.7">
      <c r="A78" s="131">
        <v>2001</v>
      </c>
      <c r="B78" s="128">
        <v>59</v>
      </c>
    </row>
    <row r="79" spans="1:2" ht="12.7">
      <c r="A79" s="131">
        <v>2002</v>
      </c>
      <c r="B79" s="128">
        <v>57</v>
      </c>
    </row>
    <row r="80" spans="1:2" ht="12.7">
      <c r="A80" s="131">
        <v>2003</v>
      </c>
      <c r="B80" s="128">
        <v>57</v>
      </c>
    </row>
    <row r="81" spans="1:2" ht="12.7">
      <c r="A81" s="131">
        <v>2004</v>
      </c>
      <c r="B81" s="128">
        <v>56</v>
      </c>
    </row>
    <row r="82" spans="1:2" ht="12.7">
      <c r="A82" s="131">
        <v>2005</v>
      </c>
      <c r="B82" s="128">
        <v>54</v>
      </c>
    </row>
    <row r="83" spans="1:2" ht="12.7">
      <c r="A83" s="131">
        <v>2006</v>
      </c>
      <c r="B83" s="128">
        <v>52</v>
      </c>
    </row>
    <row r="84" spans="1:2" ht="12.7">
      <c r="A84" s="131">
        <v>2007</v>
      </c>
      <c r="B84" s="128">
        <v>51</v>
      </c>
    </row>
    <row r="85" spans="1:2" ht="12.7">
      <c r="A85" s="131">
        <v>2008</v>
      </c>
      <c r="B85" s="128">
        <v>49</v>
      </c>
    </row>
    <row r="86" spans="1:2" ht="12.7">
      <c r="A86" s="131">
        <v>2009</v>
      </c>
      <c r="B86" s="128">
        <v>44</v>
      </c>
    </row>
    <row r="87" spans="1:2" ht="12.7">
      <c r="A87" s="131">
        <v>2010</v>
      </c>
      <c r="B87" s="128">
        <v>39</v>
      </c>
    </row>
    <row r="88" spans="1:2" ht="12.7">
      <c r="A88" s="131">
        <v>2011</v>
      </c>
      <c r="B88" s="128">
        <v>33</v>
      </c>
    </row>
    <row r="89" spans="1:2" ht="12.7">
      <c r="A89" s="131">
        <v>2012</v>
      </c>
      <c r="B89" s="128">
        <v>27</v>
      </c>
    </row>
    <row r="90" spans="1:2" ht="12.7">
      <c r="A90" s="131">
        <v>2013</v>
      </c>
      <c r="B90" s="128">
        <v>21</v>
      </c>
    </row>
    <row r="91" spans="1:2" ht="12.7">
      <c r="A91" s="131">
        <v>2014</v>
      </c>
      <c r="B91" s="128">
        <v>15</v>
      </c>
    </row>
    <row r="92" spans="1:2" ht="12.7">
      <c r="A92" s="131">
        <v>2015</v>
      </c>
      <c r="B92" s="128">
        <v>10</v>
      </c>
    </row>
    <row r="93" spans="1:2" ht="12.7">
      <c r="A93" s="131">
        <v>2016</v>
      </c>
      <c r="B93" s="128">
        <v>5</v>
      </c>
    </row>
    <row r="94" spans="1:2" ht="12.7">
      <c r="A94" s="131">
        <v>2017</v>
      </c>
      <c r="B94" s="128">
        <v>0</v>
      </c>
    </row>
    <row r="95" ht="16.35">
      <c r="A95" s="130" t="s">
        <v>1432</v>
      </c>
    </row>
    <row r="96" ht="16.35">
      <c r="A96" s="130" t="s">
        <v>1390</v>
      </c>
    </row>
    <row r="97" ht="16.35">
      <c r="A97" s="130" t="s">
        <v>1436</v>
      </c>
    </row>
    <row r="98" spans="1:2" ht="12.7">
      <c r="A98" s="131" t="s">
        <v>1349</v>
      </c>
      <c r="B98" s="127" t="s">
        <v>1350</v>
      </c>
    </row>
    <row r="99" spans="1:2" ht="12.7">
      <c r="A99" s="131" t="s">
        <v>1437</v>
      </c>
      <c r="B99" s="128">
        <v>80</v>
      </c>
    </row>
    <row r="100" spans="1:2" ht="12.7">
      <c r="A100" s="131">
        <v>1949</v>
      </c>
      <c r="B100" s="128">
        <v>79</v>
      </c>
    </row>
    <row r="101" spans="1:2" ht="12.7">
      <c r="A101" s="131">
        <v>1950</v>
      </c>
      <c r="B101" s="128">
        <v>78</v>
      </c>
    </row>
    <row r="102" spans="1:2" ht="12.7">
      <c r="A102" s="131">
        <v>1951</v>
      </c>
      <c r="B102" s="128">
        <v>78</v>
      </c>
    </row>
    <row r="103" spans="1:2" ht="12.7">
      <c r="A103" s="131">
        <v>1952</v>
      </c>
      <c r="B103" s="128">
        <v>78</v>
      </c>
    </row>
    <row r="104" spans="1:2" ht="12.7">
      <c r="A104" s="131">
        <v>1953</v>
      </c>
      <c r="B104" s="128">
        <v>76</v>
      </c>
    </row>
    <row r="105" spans="1:2" ht="12.7">
      <c r="A105" s="131">
        <v>1954</v>
      </c>
      <c r="B105" s="128">
        <v>76</v>
      </c>
    </row>
    <row r="106" spans="1:2" ht="12.7">
      <c r="A106" s="131">
        <v>1955</v>
      </c>
      <c r="B106" s="128">
        <v>75</v>
      </c>
    </row>
    <row r="107" spans="1:2" ht="12.7">
      <c r="A107" s="131">
        <v>1956</v>
      </c>
      <c r="B107" s="128">
        <v>75</v>
      </c>
    </row>
    <row r="108" spans="1:2" ht="12.7">
      <c r="A108" s="131">
        <v>1957</v>
      </c>
      <c r="B108" s="128">
        <v>74</v>
      </c>
    </row>
    <row r="109" spans="1:2" ht="12.7">
      <c r="A109" s="131">
        <v>1958</v>
      </c>
      <c r="B109" s="128">
        <v>73</v>
      </c>
    </row>
    <row r="110" spans="1:2" ht="12.7">
      <c r="A110" s="131">
        <v>1959</v>
      </c>
      <c r="B110" s="128">
        <v>73</v>
      </c>
    </row>
    <row r="111" spans="1:2" ht="12.7">
      <c r="A111" s="131">
        <v>1960</v>
      </c>
      <c r="B111" s="128">
        <v>73</v>
      </c>
    </row>
    <row r="112" spans="1:2" ht="12.7">
      <c r="A112" s="131">
        <v>1961</v>
      </c>
      <c r="B112" s="128">
        <v>71</v>
      </c>
    </row>
    <row r="113" spans="1:2" ht="12.7">
      <c r="A113" s="131">
        <v>1962</v>
      </c>
      <c r="B113" s="128">
        <v>71</v>
      </c>
    </row>
    <row r="114" spans="1:2" ht="12.7">
      <c r="A114" s="131">
        <v>1963</v>
      </c>
      <c r="B114" s="128">
        <v>70</v>
      </c>
    </row>
    <row r="115" spans="1:2" ht="12.7">
      <c r="A115" s="131">
        <v>1964</v>
      </c>
      <c r="B115" s="128">
        <v>69</v>
      </c>
    </row>
    <row r="116" spans="1:2" ht="12.7">
      <c r="A116" s="131">
        <v>1965</v>
      </c>
      <c r="B116" s="128">
        <v>69</v>
      </c>
    </row>
    <row r="117" spans="1:2" ht="12.7">
      <c r="A117" s="131">
        <v>1966</v>
      </c>
      <c r="B117" s="128">
        <v>68</v>
      </c>
    </row>
    <row r="118" spans="1:2" ht="12.7">
      <c r="A118" s="131">
        <v>1967</v>
      </c>
      <c r="B118" s="128">
        <v>68</v>
      </c>
    </row>
    <row r="119" spans="1:2" ht="12.7">
      <c r="A119" s="131">
        <v>1968</v>
      </c>
      <c r="B119" s="128">
        <v>67</v>
      </c>
    </row>
    <row r="120" spans="1:2" ht="12.7">
      <c r="A120" s="131">
        <v>1969</v>
      </c>
      <c r="B120" s="128">
        <v>66</v>
      </c>
    </row>
    <row r="121" spans="1:2" ht="12.7">
      <c r="A121" s="131">
        <v>1970</v>
      </c>
      <c r="B121" s="128">
        <v>65</v>
      </c>
    </row>
    <row r="122" spans="1:2" ht="12.7">
      <c r="A122" s="131">
        <v>1971</v>
      </c>
      <c r="B122" s="128">
        <v>65</v>
      </c>
    </row>
    <row r="123" spans="1:2" ht="12.7">
      <c r="A123" s="131">
        <v>1972</v>
      </c>
      <c r="B123" s="128">
        <v>64</v>
      </c>
    </row>
    <row r="124" spans="1:2" ht="12.7">
      <c r="A124" s="131">
        <v>1973</v>
      </c>
      <c r="B124" s="128">
        <v>64</v>
      </c>
    </row>
    <row r="125" spans="1:2" ht="12.7">
      <c r="A125" s="131">
        <v>1974</v>
      </c>
      <c r="B125" s="128">
        <v>63</v>
      </c>
    </row>
    <row r="126" spans="1:2" ht="12.7">
      <c r="A126" s="131">
        <v>1975</v>
      </c>
      <c r="B126" s="128">
        <v>62</v>
      </c>
    </row>
    <row r="127" spans="1:2" ht="12.7">
      <c r="A127" s="131">
        <v>1976</v>
      </c>
      <c r="B127" s="128">
        <v>61</v>
      </c>
    </row>
    <row r="128" spans="1:2" ht="12.7">
      <c r="A128" s="131">
        <v>1977</v>
      </c>
      <c r="B128" s="128">
        <v>61</v>
      </c>
    </row>
    <row r="129" spans="1:2" ht="12.7">
      <c r="A129" s="131">
        <v>1978</v>
      </c>
      <c r="B129" s="128">
        <v>60</v>
      </c>
    </row>
    <row r="130" spans="1:2" ht="12.7">
      <c r="A130" s="131">
        <v>1979</v>
      </c>
      <c r="B130" s="128">
        <v>60</v>
      </c>
    </row>
    <row r="131" spans="1:2" ht="12.7">
      <c r="A131" s="131">
        <v>1980</v>
      </c>
      <c r="B131" s="128">
        <v>59</v>
      </c>
    </row>
    <row r="132" spans="1:2" ht="12.7">
      <c r="A132" s="131">
        <v>1981</v>
      </c>
      <c r="B132" s="128">
        <v>58</v>
      </c>
    </row>
    <row r="133" spans="1:2" ht="12.7">
      <c r="A133" s="131">
        <v>1982</v>
      </c>
      <c r="B133" s="128">
        <v>57</v>
      </c>
    </row>
    <row r="134" spans="1:2" ht="12.7">
      <c r="A134" s="131">
        <v>1983</v>
      </c>
      <c r="B134" s="128">
        <v>57</v>
      </c>
    </row>
    <row r="135" spans="1:2" ht="12.7">
      <c r="A135" s="131">
        <v>1984</v>
      </c>
      <c r="B135" s="128">
        <v>56</v>
      </c>
    </row>
    <row r="136" spans="1:2" ht="12.7">
      <c r="A136" s="131">
        <v>1985</v>
      </c>
      <c r="B136" s="128">
        <v>56</v>
      </c>
    </row>
    <row r="137" spans="1:2" ht="12.7">
      <c r="A137" s="131">
        <v>1986</v>
      </c>
      <c r="B137" s="128">
        <v>55</v>
      </c>
    </row>
    <row r="138" spans="1:2" ht="12.7">
      <c r="A138" s="131">
        <v>1987</v>
      </c>
      <c r="B138" s="128">
        <v>55</v>
      </c>
    </row>
    <row r="139" spans="1:2" ht="12.7">
      <c r="A139" s="131">
        <v>1988</v>
      </c>
      <c r="B139" s="128">
        <v>54</v>
      </c>
    </row>
    <row r="140" spans="1:2" ht="12.7">
      <c r="A140" s="131">
        <v>1989</v>
      </c>
      <c r="B140" s="128">
        <v>53</v>
      </c>
    </row>
    <row r="141" spans="1:2" ht="12.7">
      <c r="A141" s="131">
        <v>1990</v>
      </c>
      <c r="B141" s="128">
        <v>52</v>
      </c>
    </row>
    <row r="142" spans="1:2" ht="12.7">
      <c r="A142" s="131">
        <v>1991</v>
      </c>
      <c r="B142" s="128">
        <v>52</v>
      </c>
    </row>
    <row r="143" spans="1:2" ht="12.7">
      <c r="A143" s="131">
        <v>1992</v>
      </c>
      <c r="B143" s="128">
        <v>51</v>
      </c>
    </row>
    <row r="144" spans="1:2" ht="12.7">
      <c r="A144" s="131">
        <v>1993</v>
      </c>
      <c r="B144" s="128">
        <v>50</v>
      </c>
    </row>
    <row r="145" spans="1:2" ht="12.7">
      <c r="A145" s="131">
        <v>1994</v>
      </c>
      <c r="B145" s="128">
        <v>49</v>
      </c>
    </row>
    <row r="146" spans="1:2" ht="12.7">
      <c r="A146" s="131">
        <v>1995</v>
      </c>
      <c r="B146" s="128">
        <v>47</v>
      </c>
    </row>
    <row r="147" spans="1:2" ht="12.7">
      <c r="A147" s="131">
        <v>1996</v>
      </c>
      <c r="B147" s="128">
        <v>44</v>
      </c>
    </row>
    <row r="148" spans="1:2" ht="12.7">
      <c r="A148" s="131">
        <v>1997</v>
      </c>
      <c r="B148" s="128">
        <v>42</v>
      </c>
    </row>
    <row r="149" spans="1:2" ht="12.7">
      <c r="A149" s="131">
        <v>1998</v>
      </c>
      <c r="B149" s="128">
        <v>40</v>
      </c>
    </row>
    <row r="150" spans="1:2" ht="12.7">
      <c r="A150" s="131">
        <v>1999</v>
      </c>
      <c r="B150" s="128">
        <v>37</v>
      </c>
    </row>
    <row r="151" spans="1:2" ht="12.7">
      <c r="A151" s="131">
        <v>2000</v>
      </c>
      <c r="B151" s="128">
        <v>35</v>
      </c>
    </row>
    <row r="152" spans="1:2" ht="12.7">
      <c r="A152" s="131">
        <v>2001</v>
      </c>
      <c r="B152" s="128">
        <v>32</v>
      </c>
    </row>
    <row r="153" spans="1:2" ht="12.7">
      <c r="A153" s="131">
        <v>2002</v>
      </c>
      <c r="B153" s="128">
        <v>30</v>
      </c>
    </row>
    <row r="154" spans="1:2" ht="12.7">
      <c r="A154" s="131">
        <v>2003</v>
      </c>
      <c r="B154" s="128">
        <v>27</v>
      </c>
    </row>
    <row r="155" spans="1:2" ht="12.7">
      <c r="A155" s="131">
        <v>2004</v>
      </c>
      <c r="B155" s="128">
        <v>24</v>
      </c>
    </row>
    <row r="156" spans="1:2" ht="12.7">
      <c r="A156" s="131">
        <v>2005</v>
      </c>
      <c r="B156" s="128">
        <v>22</v>
      </c>
    </row>
    <row r="157" spans="1:2" ht="12.7">
      <c r="A157" s="131">
        <v>2006</v>
      </c>
      <c r="B157" s="128">
        <v>20</v>
      </c>
    </row>
    <row r="158" spans="1:2" ht="12.7">
      <c r="A158" s="131">
        <v>2007</v>
      </c>
      <c r="B158" s="128">
        <v>18</v>
      </c>
    </row>
    <row r="159" spans="1:2" ht="12.7">
      <c r="A159" s="131">
        <v>2008</v>
      </c>
      <c r="B159" s="128">
        <v>16</v>
      </c>
    </row>
    <row r="160" spans="1:2" ht="12.7">
      <c r="A160" s="131">
        <v>2009</v>
      </c>
      <c r="B160" s="128">
        <v>14</v>
      </c>
    </row>
    <row r="161" spans="1:2" ht="12.7">
      <c r="A161" s="131">
        <v>2010</v>
      </c>
      <c r="B161" s="128">
        <v>12</v>
      </c>
    </row>
    <row r="162" spans="1:2" ht="12.7">
      <c r="A162" s="131">
        <v>2011</v>
      </c>
      <c r="B162" s="128">
        <v>10</v>
      </c>
    </row>
    <row r="163" spans="1:2" ht="12.7">
      <c r="A163" s="131">
        <v>2012</v>
      </c>
      <c r="B163" s="128">
        <v>8</v>
      </c>
    </row>
    <row r="164" spans="1:2" ht="12.7">
      <c r="A164" s="131">
        <v>2013</v>
      </c>
      <c r="B164" s="128">
        <v>8</v>
      </c>
    </row>
    <row r="165" spans="1:2" ht="12.7">
      <c r="A165" s="131">
        <v>2014</v>
      </c>
      <c r="B165" s="128">
        <v>7</v>
      </c>
    </row>
    <row r="166" spans="1:2" ht="12.7">
      <c r="A166" s="131">
        <v>2015</v>
      </c>
      <c r="B166" s="128">
        <v>4</v>
      </c>
    </row>
    <row r="167" spans="1:2" ht="12.7">
      <c r="A167" s="131">
        <v>2016</v>
      </c>
      <c r="B167" s="128">
        <v>2</v>
      </c>
    </row>
    <row r="168" spans="1:2" ht="12.7">
      <c r="A168" s="131">
        <v>2017</v>
      </c>
      <c r="B168" s="128">
        <v>0</v>
      </c>
    </row>
    <row r="169" spans="1:2" ht="12.7">
      <c r="A169" s="131" t="s">
        <v>1237</v>
      </c>
      <c r="B169" s="128"/>
    </row>
    <row r="170" ht="16.35">
      <c r="A170" s="130" t="s">
        <v>1432</v>
      </c>
    </row>
    <row r="171" ht="12.7">
      <c r="A171" s="132" t="s">
        <v>1392</v>
      </c>
    </row>
  </sheetData>
  <hyperlinks>
    <hyperlink ref="A171" r:id="rId1" display="http://www.e-laws.gov.on.ca/html/regs/english/elaws_regs_980282_e.htm - Top"/>
    <hyperlink ref="D1" r:id="rId2" display="http://www.e-laws.gov.on.ca/html/regs/english/elaws_regs_980282_e.htm#BK49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"/>
  <sheetViews>
    <sheetView workbookViewId="0" topLeftCell="A1">
      <selection pane="topLeft" activeCell="A1" sqref="A1"/>
    </sheetView>
  </sheetViews>
  <sheetFormatPr defaultColWidth="9.14285714285714" defaultRowHeight="12.75"/>
  <sheetData/>
  <pageMargins left="0.7" right="0.7" top="0.75" bottom="0.75" header="0.3" footer="0.3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23"/>
  <sheetViews>
    <sheetView workbookViewId="0" topLeftCell="A1">
      <selection pane="topLeft" activeCell="A1" sqref="A1"/>
    </sheetView>
  </sheetViews>
  <sheetFormatPr defaultColWidth="9.14285714285714" defaultRowHeight="12.75"/>
  <cols>
    <col min="1" max="1" width="13.1428571428571" style="171" customWidth="1"/>
    <col min="2" max="2" width="20.7142857142857" style="171" customWidth="1"/>
    <col min="3" max="3" width="11.7142857142857" style="163" customWidth="1"/>
    <col min="6" max="6" width="10.5714285714286" bestFit="1" customWidth="1"/>
    <col min="7" max="7" width="50.7142857142857" customWidth="1"/>
    <col min="8" max="8" width="8.28571428571429" bestFit="1" customWidth="1"/>
    <col min="9" max="9" width="2.71428571428571" customWidth="1"/>
  </cols>
  <sheetData>
    <row r="1" spans="1:4" ht="12.7">
      <c r="A1" s="161" t="s">
        <v>923</v>
      </c>
      <c r="B1" s="162" t="s">
        <v>1413</v>
      </c>
      <c r="D1" t="s">
        <v>1301</v>
      </c>
    </row>
    <row r="2" spans="1:4" ht="12.7">
      <c r="A2" s="164" t="s">
        <v>925</v>
      </c>
      <c r="B2" s="164" t="s">
        <v>1414</v>
      </c>
      <c r="D2" t="s">
        <v>1186</v>
      </c>
    </row>
    <row r="3" spans="1:4" ht="12.7">
      <c r="A3" s="135">
        <v>1</v>
      </c>
      <c r="B3" s="159">
        <v>12.40</v>
      </c>
      <c r="D3" s="136" t="s">
        <v>1395</v>
      </c>
    </row>
    <row r="4" spans="1:2" ht="12.7">
      <c r="A4" s="135">
        <v>2</v>
      </c>
      <c r="B4" s="159">
        <v>17.329999999999998</v>
      </c>
    </row>
    <row r="5" spans="1:4" ht="13.7">
      <c r="A5" s="135">
        <v>3</v>
      </c>
      <c r="B5" s="159">
        <v>24.82</v>
      </c>
      <c r="D5" s="134" t="s">
        <v>1415</v>
      </c>
    </row>
    <row r="6" spans="1:4" ht="12.7">
      <c r="A6" s="135">
        <v>4</v>
      </c>
      <c r="B6" s="159">
        <v>28.89</v>
      </c>
      <c r="D6" s="109"/>
    </row>
    <row r="7" spans="1:2" ht="12.7">
      <c r="A7" s="135">
        <v>6</v>
      </c>
      <c r="B7" s="159">
        <v>37.21</v>
      </c>
    </row>
    <row r="8" spans="1:2" ht="12.7">
      <c r="A8" s="135">
        <v>8</v>
      </c>
      <c r="B8" s="159">
        <v>48</v>
      </c>
    </row>
    <row r="10" spans="1:2" ht="12.7">
      <c r="A10" s="161" t="s">
        <v>923</v>
      </c>
      <c r="B10" s="162" t="s">
        <v>924</v>
      </c>
    </row>
    <row r="11" spans="1:2" ht="25.35">
      <c r="A11" s="164" t="s">
        <v>925</v>
      </c>
      <c r="B11" s="165" t="s">
        <v>1302</v>
      </c>
    </row>
    <row r="12" spans="1:2" ht="12.7">
      <c r="A12" s="135">
        <v>1</v>
      </c>
      <c r="B12" s="159">
        <v>5.0199999999999996</v>
      </c>
    </row>
    <row r="13" spans="1:2" ht="12.7">
      <c r="A13" s="135">
        <v>2</v>
      </c>
      <c r="B13" s="159">
        <v>7.56</v>
      </c>
    </row>
    <row r="14" spans="1:2" ht="12.7">
      <c r="A14" s="135">
        <v>3</v>
      </c>
      <c r="B14" s="159">
        <v>12.15</v>
      </c>
    </row>
    <row r="15" spans="1:2" ht="12.7">
      <c r="A15" s="135">
        <v>4</v>
      </c>
      <c r="B15" s="159">
        <v>14.63</v>
      </c>
    </row>
    <row r="16" spans="1:2" ht="12.7">
      <c r="A16" s="135">
        <v>6</v>
      </c>
      <c r="B16" s="159">
        <v>31.10</v>
      </c>
    </row>
    <row r="17" spans="1:2" ht="12.7">
      <c r="A17" s="135">
        <v>8</v>
      </c>
      <c r="B17" s="159">
        <v>38.83</v>
      </c>
    </row>
    <row r="19" spans="1:2" ht="38">
      <c r="A19" s="166" t="s">
        <v>926</v>
      </c>
      <c r="B19" s="166" t="s">
        <v>1169</v>
      </c>
    </row>
    <row r="20" spans="1:2" ht="12.7">
      <c r="A20" s="167"/>
      <c r="B20" s="168" t="s">
        <v>1416</v>
      </c>
    </row>
    <row r="21" spans="1:2" ht="12.7">
      <c r="A21" s="135" t="s">
        <v>1391</v>
      </c>
      <c r="B21" s="169">
        <v>0.80</v>
      </c>
    </row>
    <row r="22" spans="1:5" ht="12.7">
      <c r="A22" s="170">
        <v>1945</v>
      </c>
      <c r="B22" s="169">
        <v>0.79</v>
      </c>
      <c r="D22">
        <v>1945</v>
      </c>
      <c r="E22">
        <v>79</v>
      </c>
    </row>
    <row r="23" spans="1:5" ht="12.7">
      <c r="A23" s="170">
        <v>1946</v>
      </c>
      <c r="B23" s="169">
        <v>0.78</v>
      </c>
      <c r="D23">
        <v>1946</v>
      </c>
      <c r="E23">
        <v>78</v>
      </c>
    </row>
    <row r="24" spans="1:5" ht="12.7">
      <c r="A24" s="170">
        <v>1947</v>
      </c>
      <c r="B24" s="169">
        <v>0.78</v>
      </c>
      <c r="D24">
        <v>1947</v>
      </c>
      <c r="E24">
        <v>78</v>
      </c>
    </row>
    <row r="25" spans="1:5" ht="12.7">
      <c r="A25" s="170">
        <v>1948</v>
      </c>
      <c r="B25" s="169">
        <v>0.78</v>
      </c>
      <c r="D25">
        <v>1948</v>
      </c>
      <c r="E25">
        <v>78</v>
      </c>
    </row>
    <row r="26" spans="1:5" ht="12.7">
      <c r="A26" s="170">
        <v>1949</v>
      </c>
      <c r="B26" s="169">
        <v>0.76</v>
      </c>
      <c r="D26">
        <v>1949</v>
      </c>
      <c r="E26">
        <v>76</v>
      </c>
    </row>
    <row r="27" spans="1:5" ht="12.7">
      <c r="A27" s="170">
        <v>1950</v>
      </c>
      <c r="B27" s="169">
        <v>0.76</v>
      </c>
      <c r="D27">
        <v>1950</v>
      </c>
      <c r="E27">
        <v>76</v>
      </c>
    </row>
    <row r="28" spans="1:5" ht="12.7">
      <c r="A28" s="170">
        <v>1951</v>
      </c>
      <c r="B28" s="169">
        <v>0.75</v>
      </c>
      <c r="D28">
        <v>1951</v>
      </c>
      <c r="E28">
        <v>75</v>
      </c>
    </row>
    <row r="29" spans="1:5" ht="12.7">
      <c r="A29" s="170">
        <v>1952</v>
      </c>
      <c r="B29" s="169">
        <v>0.75</v>
      </c>
      <c r="D29">
        <v>1952</v>
      </c>
      <c r="E29">
        <v>75</v>
      </c>
    </row>
    <row r="30" spans="1:5" ht="12.7">
      <c r="A30" s="170">
        <v>1953</v>
      </c>
      <c r="B30" s="169">
        <v>0.74</v>
      </c>
      <c r="D30">
        <v>1953</v>
      </c>
      <c r="E30">
        <v>74</v>
      </c>
    </row>
    <row r="31" spans="1:5" ht="12.7">
      <c r="A31" s="170">
        <v>1954</v>
      </c>
      <c r="B31" s="169">
        <v>0.73</v>
      </c>
      <c r="D31">
        <v>1954</v>
      </c>
      <c r="E31">
        <v>73</v>
      </c>
    </row>
    <row r="32" spans="1:5" ht="12.7">
      <c r="A32" s="170">
        <v>1955</v>
      </c>
      <c r="B32" s="169">
        <v>0.73</v>
      </c>
      <c r="D32">
        <v>1955</v>
      </c>
      <c r="E32">
        <v>73</v>
      </c>
    </row>
    <row r="33" spans="1:5" ht="12.7">
      <c r="A33" s="170">
        <v>1956</v>
      </c>
      <c r="B33" s="169">
        <v>0.73</v>
      </c>
      <c r="D33">
        <v>1956</v>
      </c>
      <c r="E33">
        <v>73</v>
      </c>
    </row>
    <row r="34" spans="1:5" ht="12.7">
      <c r="A34" s="170">
        <v>1957</v>
      </c>
      <c r="B34" s="169">
        <v>0.71</v>
      </c>
      <c r="D34">
        <v>1957</v>
      </c>
      <c r="E34">
        <v>71</v>
      </c>
    </row>
    <row r="35" spans="1:5" ht="12.7">
      <c r="A35" s="170">
        <v>1958</v>
      </c>
      <c r="B35" s="169">
        <v>0.71</v>
      </c>
      <c r="D35">
        <v>1958</v>
      </c>
      <c r="E35">
        <v>71</v>
      </c>
    </row>
    <row r="36" spans="1:5" ht="12.7">
      <c r="A36" s="170">
        <v>1959</v>
      </c>
      <c r="B36" s="169">
        <v>0.70</v>
      </c>
      <c r="D36">
        <v>1959</v>
      </c>
      <c r="E36">
        <v>70</v>
      </c>
    </row>
    <row r="37" spans="1:5" ht="12.7">
      <c r="A37" s="170">
        <v>1960</v>
      </c>
      <c r="B37" s="169">
        <v>0.69</v>
      </c>
      <c r="D37">
        <v>1960</v>
      </c>
      <c r="E37">
        <v>69</v>
      </c>
    </row>
    <row r="38" spans="1:5" ht="12.7">
      <c r="A38" s="170">
        <v>1961</v>
      </c>
      <c r="B38" s="169">
        <v>0.69</v>
      </c>
      <c r="D38">
        <v>1961</v>
      </c>
      <c r="E38">
        <v>69</v>
      </c>
    </row>
    <row r="39" spans="1:5" ht="12.7">
      <c r="A39" s="170">
        <v>1962</v>
      </c>
      <c r="B39" s="169">
        <v>0.68</v>
      </c>
      <c r="D39">
        <v>1962</v>
      </c>
      <c r="E39">
        <v>68</v>
      </c>
    </row>
    <row r="40" spans="1:5" ht="12.7">
      <c r="A40" s="170">
        <v>1963</v>
      </c>
      <c r="B40" s="169">
        <v>0.68</v>
      </c>
      <c r="D40">
        <v>1963</v>
      </c>
      <c r="E40">
        <v>68</v>
      </c>
    </row>
    <row r="41" spans="1:5" ht="12.7">
      <c r="A41" s="170">
        <v>1964</v>
      </c>
      <c r="B41" s="169">
        <v>0.67</v>
      </c>
      <c r="D41">
        <v>1964</v>
      </c>
      <c r="E41">
        <v>67</v>
      </c>
    </row>
    <row r="42" spans="1:5" ht="12.7">
      <c r="A42" s="170">
        <v>1965</v>
      </c>
      <c r="B42" s="169">
        <v>0.66</v>
      </c>
      <c r="D42">
        <v>1965</v>
      </c>
      <c r="E42">
        <v>66</v>
      </c>
    </row>
    <row r="43" spans="1:5" ht="12.7">
      <c r="A43" s="170">
        <v>1966</v>
      </c>
      <c r="B43" s="169">
        <v>0.65</v>
      </c>
      <c r="D43">
        <v>1966</v>
      </c>
      <c r="E43">
        <v>65</v>
      </c>
    </row>
    <row r="44" spans="1:5" ht="12.7">
      <c r="A44" s="170">
        <v>1967</v>
      </c>
      <c r="B44" s="169">
        <v>0.65</v>
      </c>
      <c r="D44">
        <v>1967</v>
      </c>
      <c r="E44">
        <v>65</v>
      </c>
    </row>
    <row r="45" spans="1:5" ht="12.7">
      <c r="A45" s="170">
        <v>1968</v>
      </c>
      <c r="B45" s="169">
        <v>0.64</v>
      </c>
      <c r="D45">
        <v>1968</v>
      </c>
      <c r="E45">
        <v>64</v>
      </c>
    </row>
    <row r="46" spans="1:5" ht="12.7">
      <c r="A46" s="170">
        <v>1969</v>
      </c>
      <c r="B46" s="169">
        <v>0.64</v>
      </c>
      <c r="D46">
        <v>1969</v>
      </c>
      <c r="E46">
        <v>64</v>
      </c>
    </row>
    <row r="47" spans="1:5" ht="12.7">
      <c r="A47" s="170">
        <v>1970</v>
      </c>
      <c r="B47" s="169">
        <v>0.63</v>
      </c>
      <c r="D47">
        <v>1970</v>
      </c>
      <c r="E47">
        <v>63</v>
      </c>
    </row>
    <row r="48" spans="1:5" ht="12.7">
      <c r="A48" s="170">
        <v>1971</v>
      </c>
      <c r="B48" s="169">
        <v>0.62</v>
      </c>
      <c r="D48">
        <v>1971</v>
      </c>
      <c r="E48">
        <v>62</v>
      </c>
    </row>
    <row r="49" spans="1:5" ht="12.7">
      <c r="A49" s="170">
        <v>1972</v>
      </c>
      <c r="B49" s="169">
        <v>0.61</v>
      </c>
      <c r="D49">
        <v>1972</v>
      </c>
      <c r="E49">
        <v>61</v>
      </c>
    </row>
    <row r="50" spans="1:5" ht="12.7">
      <c r="A50" s="170">
        <v>1973</v>
      </c>
      <c r="B50" s="169">
        <v>0.61</v>
      </c>
      <c r="D50">
        <v>1973</v>
      </c>
      <c r="E50">
        <v>61</v>
      </c>
    </row>
    <row r="51" spans="1:5" ht="12.7">
      <c r="A51" s="170">
        <v>1974</v>
      </c>
      <c r="B51" s="169">
        <v>0.60</v>
      </c>
      <c r="D51">
        <v>1974</v>
      </c>
      <c r="E51">
        <v>60</v>
      </c>
    </row>
    <row r="52" spans="1:5" ht="12.7">
      <c r="A52" s="170">
        <v>1975</v>
      </c>
      <c r="B52" s="169">
        <v>0.60</v>
      </c>
      <c r="D52">
        <v>1975</v>
      </c>
      <c r="E52">
        <v>60</v>
      </c>
    </row>
    <row r="53" spans="1:5" ht="12.7">
      <c r="A53" s="170">
        <v>1976</v>
      </c>
      <c r="B53" s="169">
        <v>0.59</v>
      </c>
      <c r="D53">
        <v>1976</v>
      </c>
      <c r="E53">
        <v>59</v>
      </c>
    </row>
    <row r="54" spans="1:5" ht="12.7">
      <c r="A54" s="170">
        <v>1977</v>
      </c>
      <c r="B54" s="169">
        <v>0.57999999999999996</v>
      </c>
      <c r="D54">
        <v>1977</v>
      </c>
      <c r="E54">
        <v>58</v>
      </c>
    </row>
    <row r="55" spans="1:5" ht="12.7">
      <c r="A55" s="170">
        <v>1978</v>
      </c>
      <c r="B55" s="169">
        <v>0.56999999999999995</v>
      </c>
      <c r="D55">
        <v>1978</v>
      </c>
      <c r="E55">
        <v>57</v>
      </c>
    </row>
    <row r="56" spans="1:5" ht="12.7">
      <c r="A56" s="170">
        <v>1979</v>
      </c>
      <c r="B56" s="169">
        <v>0.56999999999999995</v>
      </c>
      <c r="D56">
        <v>1979</v>
      </c>
      <c r="E56">
        <v>57</v>
      </c>
    </row>
    <row r="57" spans="1:5" ht="12.7">
      <c r="A57" s="170">
        <v>1980</v>
      </c>
      <c r="B57" s="169">
        <v>0.56000000000000005</v>
      </c>
      <c r="D57">
        <v>1980</v>
      </c>
      <c r="E57">
        <v>56</v>
      </c>
    </row>
    <row r="58" spans="1:5" ht="12.7">
      <c r="A58" s="170">
        <v>1981</v>
      </c>
      <c r="B58" s="169">
        <v>0.56000000000000005</v>
      </c>
      <c r="D58">
        <v>1981</v>
      </c>
      <c r="E58">
        <v>56</v>
      </c>
    </row>
    <row r="59" spans="1:5" ht="12.7">
      <c r="A59" s="170">
        <v>1982</v>
      </c>
      <c r="B59" s="169">
        <v>0.55000000000000004</v>
      </c>
      <c r="D59">
        <v>1982</v>
      </c>
      <c r="E59">
        <v>55</v>
      </c>
    </row>
    <row r="60" spans="1:5" ht="12.7">
      <c r="A60" s="170">
        <v>1983</v>
      </c>
      <c r="B60" s="169">
        <v>0.55000000000000004</v>
      </c>
      <c r="D60">
        <v>1983</v>
      </c>
      <c r="E60">
        <v>55</v>
      </c>
    </row>
    <row r="61" spans="1:5" ht="12.7">
      <c r="A61" s="170">
        <v>1984</v>
      </c>
      <c r="B61" s="169">
        <v>0.54</v>
      </c>
      <c r="D61">
        <v>1984</v>
      </c>
      <c r="E61">
        <v>54</v>
      </c>
    </row>
    <row r="62" spans="1:5" ht="12.7">
      <c r="A62" s="170">
        <v>1985</v>
      </c>
      <c r="B62" s="169">
        <v>0.53</v>
      </c>
      <c r="D62">
        <v>1985</v>
      </c>
      <c r="E62">
        <v>53</v>
      </c>
    </row>
    <row r="63" spans="1:5" ht="12.7">
      <c r="A63" s="170">
        <v>1986</v>
      </c>
      <c r="B63" s="169">
        <v>0.52</v>
      </c>
      <c r="D63">
        <v>1986</v>
      </c>
      <c r="E63">
        <v>52</v>
      </c>
    </row>
    <row r="64" spans="1:5" ht="12.7">
      <c r="A64" s="170">
        <v>1987</v>
      </c>
      <c r="B64" s="169">
        <v>0.52</v>
      </c>
      <c r="D64">
        <v>1987</v>
      </c>
      <c r="E64">
        <v>52</v>
      </c>
    </row>
    <row r="65" spans="1:5" ht="12.7">
      <c r="A65" s="170">
        <v>1988</v>
      </c>
      <c r="B65" s="169">
        <v>0.51</v>
      </c>
      <c r="D65">
        <v>1988</v>
      </c>
      <c r="E65">
        <v>51</v>
      </c>
    </row>
    <row r="66" spans="1:5" ht="12.7">
      <c r="A66" s="170">
        <v>1989</v>
      </c>
      <c r="B66" s="169">
        <v>0.50</v>
      </c>
      <c r="D66">
        <v>1989</v>
      </c>
      <c r="E66">
        <v>50</v>
      </c>
    </row>
    <row r="67" spans="1:5" ht="12.7">
      <c r="A67" s="170">
        <v>1990</v>
      </c>
      <c r="B67" s="169">
        <v>0.49</v>
      </c>
      <c r="D67">
        <v>1990</v>
      </c>
      <c r="E67">
        <v>49</v>
      </c>
    </row>
    <row r="68" spans="1:5" ht="12.7">
      <c r="A68" s="170">
        <v>1991</v>
      </c>
      <c r="B68" s="169">
        <v>0.47</v>
      </c>
      <c r="D68">
        <v>1991</v>
      </c>
      <c r="E68">
        <v>47</v>
      </c>
    </row>
    <row r="69" spans="1:5" ht="12.7">
      <c r="A69" s="170">
        <v>1992</v>
      </c>
      <c r="B69" s="169">
        <v>0.44</v>
      </c>
      <c r="D69">
        <v>1992</v>
      </c>
      <c r="E69">
        <v>44</v>
      </c>
    </row>
    <row r="70" spans="1:5" ht="12.7">
      <c r="A70" s="170">
        <v>1993</v>
      </c>
      <c r="B70" s="169">
        <v>0.42</v>
      </c>
      <c r="D70">
        <v>1993</v>
      </c>
      <c r="E70">
        <v>42</v>
      </c>
    </row>
    <row r="71" spans="1:5" ht="12.7">
      <c r="A71" s="170">
        <v>1994</v>
      </c>
      <c r="B71" s="169">
        <v>0.40</v>
      </c>
      <c r="D71">
        <v>1994</v>
      </c>
      <c r="E71">
        <v>40</v>
      </c>
    </row>
    <row r="72" spans="1:5" ht="12.7">
      <c r="A72" s="170">
        <v>1995</v>
      </c>
      <c r="B72" s="169">
        <v>0.37</v>
      </c>
      <c r="D72">
        <v>1995</v>
      </c>
      <c r="E72">
        <v>37</v>
      </c>
    </row>
    <row r="73" spans="1:5" ht="12.7">
      <c r="A73" s="170">
        <v>1996</v>
      </c>
      <c r="B73" s="169">
        <v>0.35</v>
      </c>
      <c r="D73">
        <v>1996</v>
      </c>
      <c r="E73">
        <v>35</v>
      </c>
    </row>
    <row r="74" spans="1:5" ht="12.7">
      <c r="A74" s="135">
        <v>1997</v>
      </c>
      <c r="B74" s="169">
        <v>0.32</v>
      </c>
      <c r="D74">
        <v>1997</v>
      </c>
      <c r="E74">
        <v>32</v>
      </c>
    </row>
    <row r="75" spans="1:5" ht="12.7">
      <c r="A75" s="135">
        <v>1998</v>
      </c>
      <c r="B75" s="169">
        <v>0.30</v>
      </c>
      <c r="D75">
        <v>1998</v>
      </c>
      <c r="E75">
        <v>30</v>
      </c>
    </row>
    <row r="76" spans="1:5" ht="12.7">
      <c r="A76" s="135">
        <v>1999</v>
      </c>
      <c r="B76" s="169">
        <v>0.27</v>
      </c>
      <c r="D76">
        <v>1999</v>
      </c>
      <c r="E76">
        <v>27</v>
      </c>
    </row>
    <row r="77" spans="1:5" ht="12.7">
      <c r="A77" s="135">
        <v>2000</v>
      </c>
      <c r="B77" s="169">
        <v>0.24</v>
      </c>
      <c r="D77">
        <v>2000</v>
      </c>
      <c r="E77">
        <v>24</v>
      </c>
    </row>
    <row r="78" spans="1:5" ht="12.7">
      <c r="A78" s="135">
        <v>2001</v>
      </c>
      <c r="B78" s="169">
        <v>0.22</v>
      </c>
      <c r="D78">
        <v>2001</v>
      </c>
      <c r="E78">
        <v>22</v>
      </c>
    </row>
    <row r="79" spans="1:5" ht="12.7">
      <c r="A79" s="135">
        <v>2002</v>
      </c>
      <c r="B79" s="169">
        <v>0.20</v>
      </c>
      <c r="D79">
        <v>2002</v>
      </c>
      <c r="E79">
        <v>20</v>
      </c>
    </row>
    <row r="80" spans="1:5" ht="12.7">
      <c r="A80" s="135">
        <v>2003</v>
      </c>
      <c r="B80" s="169">
        <v>0.18</v>
      </c>
      <c r="D80">
        <v>2003</v>
      </c>
      <c r="E80">
        <v>18</v>
      </c>
    </row>
    <row r="81" spans="1:5" ht="12.7">
      <c r="A81" s="135">
        <v>2004</v>
      </c>
      <c r="B81" s="169">
        <v>0.16</v>
      </c>
      <c r="D81">
        <v>2004</v>
      </c>
      <c r="E81">
        <v>16</v>
      </c>
    </row>
    <row r="82" spans="1:5" ht="12.7">
      <c r="A82" s="135">
        <v>2005</v>
      </c>
      <c r="B82" s="169">
        <v>0.14000000000000001</v>
      </c>
      <c r="D82">
        <v>2005</v>
      </c>
      <c r="E82">
        <v>14</v>
      </c>
    </row>
    <row r="83" spans="1:5" ht="12.7">
      <c r="A83" s="135">
        <v>2006</v>
      </c>
      <c r="B83" s="169">
        <v>0.12</v>
      </c>
      <c r="D83">
        <v>2006</v>
      </c>
      <c r="E83">
        <v>12</v>
      </c>
    </row>
    <row r="84" spans="1:5" ht="12.7">
      <c r="A84" s="135">
        <v>2007</v>
      </c>
      <c r="B84" s="169">
        <v>0.10</v>
      </c>
      <c r="D84">
        <v>2007</v>
      </c>
      <c r="E84">
        <v>10</v>
      </c>
    </row>
    <row r="85" spans="1:5" ht="12.7">
      <c r="A85" s="135">
        <v>2008</v>
      </c>
      <c r="B85" s="169">
        <v>0.08</v>
      </c>
      <c r="D85">
        <v>2008</v>
      </c>
      <c r="E85">
        <v>8</v>
      </c>
    </row>
    <row r="86" spans="1:5" ht="12.7">
      <c r="A86" s="135">
        <v>2009</v>
      </c>
      <c r="B86" s="169">
        <v>0.08</v>
      </c>
      <c r="D86">
        <v>2009</v>
      </c>
      <c r="E86">
        <v>8</v>
      </c>
    </row>
    <row r="87" spans="1:5" ht="12.7">
      <c r="A87" s="135">
        <v>2010</v>
      </c>
      <c r="B87" s="169">
        <v>0.070000000000000007</v>
      </c>
      <c r="D87">
        <v>2010</v>
      </c>
      <c r="E87">
        <v>7</v>
      </c>
    </row>
    <row r="88" spans="1:5" ht="12.7">
      <c r="A88" s="135">
        <v>2011</v>
      </c>
      <c r="B88" s="169">
        <v>0.04</v>
      </c>
      <c r="D88">
        <v>2011</v>
      </c>
      <c r="E88">
        <v>4</v>
      </c>
    </row>
    <row r="89" spans="1:5" ht="12.7">
      <c r="A89" s="135">
        <v>2012</v>
      </c>
      <c r="B89" s="169">
        <v>0.02</v>
      </c>
      <c r="D89">
        <v>2012</v>
      </c>
      <c r="E89">
        <v>2</v>
      </c>
    </row>
    <row r="90" spans="1:5" ht="12.7">
      <c r="A90" s="135">
        <v>2013</v>
      </c>
      <c r="B90" s="169">
        <v>0</v>
      </c>
      <c r="D90">
        <v>2013</v>
      </c>
      <c r="E90">
        <v>0</v>
      </c>
    </row>
    <row r="91" spans="1:2" ht="12.7">
      <c r="A91" s="135"/>
      <c r="B91" s="169"/>
    </row>
    <row r="92" spans="1:2" ht="12.7">
      <c r="A92" s="135"/>
      <c r="B92" s="169"/>
    </row>
    <row r="93" spans="1:2" ht="12.7">
      <c r="A93" s="135"/>
      <c r="B93" s="169"/>
    </row>
    <row r="94" spans="1:2" ht="12.7">
      <c r="A94" s="135"/>
      <c r="B94" s="169"/>
    </row>
    <row r="97" ht="13" thickBot="1"/>
    <row r="98" spans="1:3" ht="12.7">
      <c r="A98" s="172" t="s">
        <v>1417</v>
      </c>
      <c r="B98" s="173"/>
      <c r="C98" s="69" t="s">
        <v>1080</v>
      </c>
    </row>
    <row r="99" spans="1:3" ht="13" thickBot="1">
      <c r="A99" s="174" t="s">
        <v>1058</v>
      </c>
      <c r="B99" s="175" t="s">
        <v>1059</v>
      </c>
      <c r="C99" s="176" t="s">
        <v>1059</v>
      </c>
    </row>
    <row r="100" spans="1:3" ht="13" thickTop="1">
      <c r="A100" s="140" t="s">
        <v>1078</v>
      </c>
      <c r="B100" s="144">
        <v>0.0250014</v>
      </c>
      <c r="C100" s="177">
        <v>2006</v>
      </c>
    </row>
    <row r="101" spans="1:3" ht="12.7">
      <c r="A101" s="140" t="s">
        <v>1070</v>
      </c>
      <c r="B101" s="20">
        <v>0.025402810000000001</v>
      </c>
      <c r="C101" s="177">
        <v>2006</v>
      </c>
    </row>
    <row r="102" spans="1:3" ht="12.7">
      <c r="A102" s="140" t="s">
        <v>1069</v>
      </c>
      <c r="B102" s="20">
        <v>0.0280141</v>
      </c>
      <c r="C102" s="106">
        <v>2005</v>
      </c>
    </row>
    <row r="103" spans="1:3" ht="12.7">
      <c r="A103" s="140" t="s">
        <v>1063</v>
      </c>
      <c r="B103" s="20">
        <v>0.034169999999999999</v>
      </c>
      <c r="C103" s="177">
        <v>2006</v>
      </c>
    </row>
    <row r="104" spans="1:3" ht="12.7">
      <c r="A104" s="140" t="s">
        <v>1064</v>
      </c>
      <c r="B104" s="20">
        <v>0.0357554</v>
      </c>
      <c r="C104" s="177">
        <v>2006</v>
      </c>
    </row>
    <row r="105" spans="1:3" ht="12.7">
      <c r="A105" s="140" t="s">
        <v>1079</v>
      </c>
      <c r="B105" s="21">
        <v>0.025354939999999999</v>
      </c>
      <c r="C105" s="177">
        <v>2006</v>
      </c>
    </row>
    <row r="106" spans="1:3" ht="12.7">
      <c r="A106" s="140" t="s">
        <v>1073</v>
      </c>
      <c r="B106" s="178">
        <v>0.034988709999999999</v>
      </c>
      <c r="C106" s="106">
        <v>2000</v>
      </c>
    </row>
    <row r="107" spans="1:3" ht="12.7">
      <c r="A107" s="140" t="s">
        <v>1076</v>
      </c>
      <c r="B107" s="21">
        <v>0.035744400000000003</v>
      </c>
      <c r="C107" s="177">
        <v>2006</v>
      </c>
    </row>
    <row r="108" spans="1:3" ht="12.7">
      <c r="A108" s="140" t="s">
        <v>1068</v>
      </c>
      <c r="B108" s="20">
        <v>0.03297783</v>
      </c>
      <c r="C108" s="177">
        <v>2006</v>
      </c>
    </row>
    <row r="109" spans="1:3" ht="12.7">
      <c r="A109" s="140" t="s">
        <v>1067</v>
      </c>
      <c r="B109" s="20">
        <v>0.032990329999999998</v>
      </c>
      <c r="C109" s="177">
        <v>2006</v>
      </c>
    </row>
    <row r="110" spans="1:3" ht="12.7">
      <c r="A110" s="140" t="s">
        <v>1418</v>
      </c>
      <c r="B110" s="20">
        <v>0.03413331</v>
      </c>
      <c r="C110" s="177">
        <v>2006</v>
      </c>
    </row>
    <row r="111" spans="1:3" ht="12.7">
      <c r="A111" s="140" t="s">
        <v>1071</v>
      </c>
      <c r="B111" s="20">
        <v>0.025009610000000002</v>
      </c>
      <c r="C111" s="177">
        <v>2006</v>
      </c>
    </row>
    <row r="112" spans="1:3" ht="12.7">
      <c r="A112" s="140" t="s">
        <v>1419</v>
      </c>
      <c r="B112" s="20">
        <v>0.03413331</v>
      </c>
      <c r="C112" s="177">
        <v>2006</v>
      </c>
    </row>
    <row r="113" spans="1:3" ht="12.7">
      <c r="A113" s="140" t="s">
        <v>1420</v>
      </c>
      <c r="B113" s="144">
        <v>0.034169999999999999</v>
      </c>
      <c r="C113" s="177">
        <v>2006</v>
      </c>
    </row>
    <row r="114" spans="1:3" ht="12.7">
      <c r="A114" s="140" t="s">
        <v>1062</v>
      </c>
      <c r="B114" s="20">
        <v>0.034169999999999999</v>
      </c>
      <c r="C114" s="177">
        <v>2006</v>
      </c>
    </row>
    <row r="115" spans="1:3" ht="12.7">
      <c r="A115" s="140" t="s">
        <v>1075</v>
      </c>
      <c r="B115" s="20">
        <v>0.032990329999999998</v>
      </c>
      <c r="C115" s="177">
        <v>2006</v>
      </c>
    </row>
    <row r="116" spans="1:3" ht="12.7">
      <c r="A116" s="140" t="s">
        <v>1060</v>
      </c>
      <c r="B116" s="20">
        <v>0.039744549999999997</v>
      </c>
      <c r="C116" s="177">
        <v>2006</v>
      </c>
    </row>
    <row r="117" spans="1:3" ht="12.7">
      <c r="A117" s="140" t="s">
        <v>1066</v>
      </c>
      <c r="B117" s="20">
        <v>0.03297783</v>
      </c>
      <c r="C117" s="177">
        <v>2006</v>
      </c>
    </row>
    <row r="118" spans="1:3" ht="12.7">
      <c r="A118" s="140" t="s">
        <v>1421</v>
      </c>
      <c r="B118" s="144">
        <v>0.032098000000000002</v>
      </c>
      <c r="C118" s="177">
        <v>2006</v>
      </c>
    </row>
    <row r="119" spans="1:3" ht="12.7">
      <c r="A119" s="140" t="s">
        <v>1065</v>
      </c>
      <c r="B119" s="20">
        <v>0.033639229999999999</v>
      </c>
      <c r="C119" s="177">
        <v>2006</v>
      </c>
    </row>
    <row r="120" spans="1:3" ht="12.7">
      <c r="A120" s="140" t="s">
        <v>1072</v>
      </c>
      <c r="B120" s="3">
        <v>0.021981529999999999</v>
      </c>
      <c r="C120" s="106">
        <v>2005</v>
      </c>
    </row>
    <row r="121" spans="1:3" ht="12.7">
      <c r="A121" s="140" t="s">
        <v>1422</v>
      </c>
      <c r="B121" s="3">
        <v>0.03297783</v>
      </c>
      <c r="C121" s="177">
        <v>2006</v>
      </c>
    </row>
    <row r="122" spans="1:3" ht="12.7">
      <c r="A122" s="140" t="s">
        <v>1061</v>
      </c>
      <c r="B122" s="3">
        <v>0.03687265</v>
      </c>
      <c r="C122" s="177">
        <v>2006</v>
      </c>
    </row>
    <row r="123" spans="1:3" ht="13" thickBot="1">
      <c r="A123" s="179" t="s">
        <v>1074</v>
      </c>
      <c r="B123" s="180">
        <v>0.0280141</v>
      </c>
      <c r="C123" s="107">
        <v>2005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