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bookViews>
    <workbookView xWindow="-93" yWindow="-93" windowWidth="21786" windowHeight="13986" tabRatio="601" activeTab="0"/>
  </bookViews>
  <sheets>
    <sheet name="DEC 31 2018" sheetId="4" r:id="rId1"/>
    <sheet name="Lookup Tables" sheetId="1" r:id="rId2"/>
  </sheets>
  <definedNames>
    <definedName name="_xlnm._FilterDatabase" localSheetId="0" hidden="1">'DEC 31 2018'!$A$4:$AF$452</definedName>
    <definedName name="depreciation">'Lookup Tables'!$A$21:$B$94</definedName>
    <definedName name="millrates">'Lookup Tables'!$A$100:$B$123</definedName>
    <definedName name="plasticrates">'Lookup Tables'!$A$12:$B$17</definedName>
    <definedName name="_xlnm.Print_Area" localSheetId="0">'DEC 31 2018'!$D$20:$Y$459</definedName>
    <definedName name="_xlnm.Print_Titles" localSheetId="0">'DEC 31 2018'!$4:$4</definedName>
    <definedName name="steelrates">'Lookup Tables'!$A$3:$B$8</definedName>
  </definedNames>
  <calcPr fullCalcOnLoad="1"/>
  <extLst/>
</workbook>
</file>

<file path=xl/sharedStrings.xml><?xml version="1.0" encoding="utf-8"?>
<sst xmlns="http://schemas.openxmlformats.org/spreadsheetml/2006/main" count="4472" uniqueCount="676">
  <si>
    <t xml:space="preserve"> SIZE</t>
  </si>
  <si>
    <t>LENGTH(FT)</t>
  </si>
  <si>
    <t>AGE OF PIPE</t>
  </si>
  <si>
    <t>LOOP</t>
  </si>
  <si>
    <t>SUBSTANCE</t>
  </si>
  <si>
    <t>FIELD</t>
  </si>
  <si>
    <t>TWNSHP</t>
  </si>
  <si>
    <t>PIPE MATERIAL</t>
  </si>
  <si>
    <t>N42°</t>
  </si>
  <si>
    <t>26'</t>
  </si>
  <si>
    <t>ROMNEY</t>
  </si>
  <si>
    <t>Onshore</t>
  </si>
  <si>
    <t>8-24-VI</t>
  </si>
  <si>
    <t>8-24-VIJ1</t>
  </si>
  <si>
    <t>OIL(COMMINGLING)</t>
  </si>
  <si>
    <t>FIBREGLASS</t>
  </si>
  <si>
    <t>3-11-I</t>
  </si>
  <si>
    <t>3-11-IJ1</t>
  </si>
  <si>
    <t>MERSEA</t>
  </si>
  <si>
    <t>3-11-IJ2</t>
  </si>
  <si>
    <t>1-11-I</t>
  </si>
  <si>
    <t>1-11-IJ1</t>
  </si>
  <si>
    <t>3-11-IJ6</t>
  </si>
  <si>
    <t>7-12-I</t>
  </si>
  <si>
    <t>7-12-IJ1</t>
  </si>
  <si>
    <t>6-12-IJ1</t>
  </si>
  <si>
    <t>3-13-A</t>
  </si>
  <si>
    <t>3-13-AJ3</t>
  </si>
  <si>
    <t>5-15-VIII</t>
  </si>
  <si>
    <t>6-16-VIII</t>
  </si>
  <si>
    <t>GAS</t>
  </si>
  <si>
    <t>STEEL</t>
  </si>
  <si>
    <t>8-16-VIII</t>
  </si>
  <si>
    <t>7-17-VIII</t>
  </si>
  <si>
    <t>5-3-VI</t>
  </si>
  <si>
    <t>5-3-VIJ2</t>
  </si>
  <si>
    <t>5-3-V</t>
  </si>
  <si>
    <t>5-3-VJ1</t>
  </si>
  <si>
    <t>4-3-VJ2</t>
  </si>
  <si>
    <t>3-6-VJ1</t>
  </si>
  <si>
    <t>3-6-VJ2</t>
  </si>
  <si>
    <t>6-6-V</t>
  </si>
  <si>
    <t>6-6-VJ3</t>
  </si>
  <si>
    <t>8-5-VJ1</t>
  </si>
  <si>
    <t>8-5-VJ2</t>
  </si>
  <si>
    <t>1-5-IV</t>
  </si>
  <si>
    <t>1-5-IVJ1</t>
  </si>
  <si>
    <t>2-6-IVJ1</t>
  </si>
  <si>
    <t>8-5-IVJ2</t>
  </si>
  <si>
    <t>8-5-IVJ3</t>
  </si>
  <si>
    <t>8-5-IV</t>
  </si>
  <si>
    <t>3-4-IV</t>
  </si>
  <si>
    <t>4-4-IVJ1</t>
  </si>
  <si>
    <t>SOLUTION GAS</t>
  </si>
  <si>
    <t>6-243-NTR</t>
  </si>
  <si>
    <t>5-243-NTRJ1</t>
  </si>
  <si>
    <t>5-243-NTRJ2</t>
  </si>
  <si>
    <t>5-243-NTRJ3</t>
  </si>
  <si>
    <t>5-243-NTRJ4</t>
  </si>
  <si>
    <t>6-13-IJ3</t>
  </si>
  <si>
    <t>BRINE</t>
  </si>
  <si>
    <t>5-12-I(HILLMAN BATTERY)</t>
  </si>
  <si>
    <t>1-12-A</t>
  </si>
  <si>
    <t>1-12-AJ1</t>
  </si>
  <si>
    <t>7-13-I</t>
  </si>
  <si>
    <t>1A-15-B</t>
  </si>
  <si>
    <t>1-15-B</t>
  </si>
  <si>
    <t>2-15-B</t>
  </si>
  <si>
    <t>7-15-AJ1</t>
  </si>
  <si>
    <t>7-14-A</t>
  </si>
  <si>
    <t>5-13-A</t>
  </si>
  <si>
    <t>ABANDONED</t>
  </si>
  <si>
    <t>3A-13-A</t>
  </si>
  <si>
    <t>1-14-VIII</t>
  </si>
  <si>
    <t>4-15-VIII(HZ)</t>
  </si>
  <si>
    <t>8-17-VIII</t>
  </si>
  <si>
    <t>8-17-VIIIJ4</t>
  </si>
  <si>
    <t>7A-18-VIII</t>
  </si>
  <si>
    <t xml:space="preserve">7-18-VIII </t>
  </si>
  <si>
    <t>1-18-VII</t>
  </si>
  <si>
    <t>1-18-VIIJ1</t>
  </si>
  <si>
    <t>7A-19-VIII</t>
  </si>
  <si>
    <t>OIL(?)</t>
  </si>
  <si>
    <t>2-19-VII</t>
  </si>
  <si>
    <t>2-19-VIIJ1</t>
  </si>
  <si>
    <t>2-21-VII</t>
  </si>
  <si>
    <t>2-21-VIIJ1</t>
  </si>
  <si>
    <t>4-21-VII</t>
  </si>
  <si>
    <t>4-21-VIIJ1</t>
  </si>
  <si>
    <t>3-22-VII</t>
  </si>
  <si>
    <t>3-22-VIIJ1</t>
  </si>
  <si>
    <t>6-23-VIIJ2</t>
  </si>
  <si>
    <t>6-23-VII(GOLDSMITH BATTERY)</t>
  </si>
  <si>
    <t>6-23-VIIJ3</t>
  </si>
  <si>
    <t>1-219-NTR(HZ)</t>
  </si>
  <si>
    <t>1-219-NTR</t>
  </si>
  <si>
    <t>1-219-NTRJ1</t>
  </si>
  <si>
    <t>6-24-VIIJ1</t>
  </si>
  <si>
    <t>6-23-VIIJ1</t>
  </si>
  <si>
    <t>1-24-IX</t>
  </si>
  <si>
    <t>1-24-IXJ1</t>
  </si>
  <si>
    <t>1-24-IXJ2</t>
  </si>
  <si>
    <t>8-14-A</t>
  </si>
  <si>
    <t>8-14-AJ1</t>
  </si>
  <si>
    <t>7-14-AJ1</t>
  </si>
  <si>
    <t>8-14-AJ2</t>
  </si>
  <si>
    <t>05'</t>
  </si>
  <si>
    <t>58.981"</t>
  </si>
  <si>
    <t>W82°</t>
  </si>
  <si>
    <t>38'</t>
  </si>
  <si>
    <t>27.012"</t>
  </si>
  <si>
    <t>7-1-VI</t>
  </si>
  <si>
    <t>7-1-VIJ1</t>
  </si>
  <si>
    <t>2-1-V</t>
  </si>
  <si>
    <t>7-1-VIJ2</t>
  </si>
  <si>
    <t>7-5-VIJ1</t>
  </si>
  <si>
    <t>2-5-VJ1</t>
  </si>
  <si>
    <t>7-5-VI</t>
  </si>
  <si>
    <t>7-5-VIJ2</t>
  </si>
  <si>
    <t>3-3-VI</t>
  </si>
  <si>
    <t>3-3-VIJ1</t>
  </si>
  <si>
    <t>5-3-VIJ1</t>
  </si>
  <si>
    <t>3-4-V1(HZ)</t>
  </si>
  <si>
    <t>6-4-VIJ1</t>
  </si>
  <si>
    <t>4-2-V(HZ)</t>
  </si>
  <si>
    <t>3-3-VJ1</t>
  </si>
  <si>
    <t>3-3-V</t>
  </si>
  <si>
    <t>4-3-VJ1</t>
  </si>
  <si>
    <t>2-6-VJ1</t>
  </si>
  <si>
    <t>7-6-IVJ1</t>
  </si>
  <si>
    <t>6-6-VJ1</t>
  </si>
  <si>
    <t>6-6-VJ2</t>
  </si>
  <si>
    <t>3-6-IV</t>
  </si>
  <si>
    <t>3-6-IVJ1</t>
  </si>
  <si>
    <t>8-5-IVJ1</t>
  </si>
  <si>
    <t>2-4-IV</t>
  </si>
  <si>
    <t>3-4-IVJ1</t>
  </si>
  <si>
    <t>8-5-IV(PIG LAUNCHING STATION)</t>
  </si>
  <si>
    <t>4-7-IV</t>
  </si>
  <si>
    <t>8-7-IVJ1</t>
  </si>
  <si>
    <t>4-240-STRJ1</t>
  </si>
  <si>
    <t>4-240-STRJ2</t>
  </si>
  <si>
    <t>3-239-STRJ2</t>
  </si>
  <si>
    <t>6-239-STR</t>
  </si>
  <si>
    <t>6-239-STRJ1</t>
  </si>
  <si>
    <t>3-239-STRJ1</t>
  </si>
  <si>
    <t>5-239-STRJ1</t>
  </si>
  <si>
    <t>1-10-I</t>
  </si>
  <si>
    <t>3-11-IJ3</t>
  </si>
  <si>
    <t>3-11-IJ4</t>
  </si>
  <si>
    <t>3-11-IJ5</t>
  </si>
  <si>
    <t>5-11-I</t>
  </si>
  <si>
    <t>6-12-IJ2</t>
  </si>
  <si>
    <t>5-12-IJ1</t>
  </si>
  <si>
    <t>3-12-I</t>
  </si>
  <si>
    <t>5-12-IJ2</t>
  </si>
  <si>
    <t>5-12-IJ3</t>
  </si>
  <si>
    <t>5-12-IJ4</t>
  </si>
  <si>
    <t>5-13-AJ1</t>
  </si>
  <si>
    <t>3-13-AJ1</t>
  </si>
  <si>
    <t>3-13-AJ2</t>
  </si>
  <si>
    <t>6-13-IJ7</t>
  </si>
  <si>
    <t>8-17-VIIIJ1</t>
  </si>
  <si>
    <t>8-17-VIIIJ3</t>
  </si>
  <si>
    <t>7-18-VIIIJ1</t>
  </si>
  <si>
    <t>2-18-VIIJ1</t>
  </si>
  <si>
    <t>1-20-VIIJ1</t>
  </si>
  <si>
    <t>2-20-VII</t>
  </si>
  <si>
    <t>4-21-VIIJ2</t>
  </si>
  <si>
    <t>3-22-VIIJ2</t>
  </si>
  <si>
    <t>5-22-VIIJ1</t>
  </si>
  <si>
    <t>8-6-IVJ1</t>
  </si>
  <si>
    <t>OIL(COMMINGLING)(ATLAS)</t>
  </si>
  <si>
    <t>1-6-IIIJ1</t>
  </si>
  <si>
    <t>1-244-NTRJ1</t>
  </si>
  <si>
    <t>1-244-NTRJ2</t>
  </si>
  <si>
    <t>7-7-IVJ1</t>
  </si>
  <si>
    <t>2-11-IVJ1</t>
  </si>
  <si>
    <t>2-237-NTRJ1</t>
  </si>
  <si>
    <t>7-237-STRJ1</t>
  </si>
  <si>
    <t>7-236-STRJ1</t>
  </si>
  <si>
    <t>2-12-IJ1</t>
  </si>
  <si>
    <t>2-13-IJ1</t>
  </si>
  <si>
    <t>6-13-IJ1</t>
  </si>
  <si>
    <t>SHORELINE</t>
  </si>
  <si>
    <t>ABANDONED (ATLAS)</t>
  </si>
  <si>
    <t>3-11-IVJ2</t>
  </si>
  <si>
    <t>3-11-IVJ1</t>
  </si>
  <si>
    <t>2-11-IVJ2</t>
  </si>
  <si>
    <t>3A-12-IV(WATER INJ)</t>
  </si>
  <si>
    <t>3-12-IV</t>
  </si>
  <si>
    <t>7-12-IV</t>
  </si>
  <si>
    <t>7-12-IVJ1</t>
  </si>
  <si>
    <t>8-11-IVJ1</t>
  </si>
  <si>
    <t>7-13-IVJ2</t>
  </si>
  <si>
    <t>4-13-IIIJ2</t>
  </si>
  <si>
    <t>5-13-IIIJ2</t>
  </si>
  <si>
    <t>6-13-III(RENWICK CENTRAL FACILITIES)</t>
  </si>
  <si>
    <t>3-14-IIJ1</t>
  </si>
  <si>
    <t>2-14-IIJ1</t>
  </si>
  <si>
    <t>1-13-IIJ1</t>
  </si>
  <si>
    <t>8-13-IIIJ2</t>
  </si>
  <si>
    <t>6-13-IIIJ2</t>
  </si>
  <si>
    <t>5-13-IIIJ4</t>
  </si>
  <si>
    <t>2-14-IIJ2</t>
  </si>
  <si>
    <t>2-14-IIJ3</t>
  </si>
  <si>
    <t>1-13-IIJ2</t>
  </si>
  <si>
    <t>8-13-IIIJ3</t>
  </si>
  <si>
    <t>6-13-IIIJ3</t>
  </si>
  <si>
    <t>5-13-IIIJ5</t>
  </si>
  <si>
    <t>8-13-IIIJ1</t>
  </si>
  <si>
    <t>6-13-IIIJ1</t>
  </si>
  <si>
    <t>5-13-IIIJ3</t>
  </si>
  <si>
    <t>6-16-III</t>
  </si>
  <si>
    <t>6-16-IIIJ1</t>
  </si>
  <si>
    <t>5-15-IIIJ1</t>
  </si>
  <si>
    <t>4-15-III</t>
  </si>
  <si>
    <t>4-15-IIIJ1</t>
  </si>
  <si>
    <t>1-15-IIIJ1</t>
  </si>
  <si>
    <t>8-15-IVJ1</t>
  </si>
  <si>
    <t>8-14-IVJ1</t>
  </si>
  <si>
    <t>7-13-IVJ1</t>
  </si>
  <si>
    <t>2-13-IIIJ1</t>
  </si>
  <si>
    <t>3-13-IIIJ1</t>
  </si>
  <si>
    <t>3-13-III</t>
  </si>
  <si>
    <t>4-13-IIIJ1</t>
  </si>
  <si>
    <t>5-13-IIIJ1</t>
  </si>
  <si>
    <t>2-14-IIIJ1</t>
  </si>
  <si>
    <t>7-15-IVJ1</t>
  </si>
  <si>
    <t>2-8-IIJ1</t>
  </si>
  <si>
    <t>2-8-II(NORTH WHEATLEY EAST BATTERY)</t>
  </si>
  <si>
    <t>7-7-IIIJ1</t>
  </si>
  <si>
    <t>7-7-IIIJ2</t>
  </si>
  <si>
    <t>2-8-IIJ2</t>
  </si>
  <si>
    <t>8-8-II</t>
  </si>
  <si>
    <t>3-8-II</t>
  </si>
  <si>
    <t>2-9-I</t>
  </si>
  <si>
    <t>2-9-IJ1</t>
  </si>
  <si>
    <t>2-9-IJ2</t>
  </si>
  <si>
    <t>6-8-IIJ1</t>
  </si>
  <si>
    <t>6-13-IVJ1</t>
  </si>
  <si>
    <t>5-7-IIIJ1</t>
  </si>
  <si>
    <t>6-8-IIIJ1</t>
  </si>
  <si>
    <t>7-12-IIIJ1</t>
  </si>
  <si>
    <t>6-13-IIIJ6</t>
  </si>
  <si>
    <t>5-7-IIIJ2</t>
  </si>
  <si>
    <t>6-8-IIIJ2</t>
  </si>
  <si>
    <t>7-12-IIIJ2</t>
  </si>
  <si>
    <t>6-13-IIIJ7</t>
  </si>
  <si>
    <t>2-15-IIIJ1</t>
  </si>
  <si>
    <t>2-15-IIIJ2</t>
  </si>
  <si>
    <t>3-15-IIIJ1</t>
  </si>
  <si>
    <t>4-13-IIIJ3</t>
  </si>
  <si>
    <t>SOLUTION  GAS</t>
  </si>
  <si>
    <t>8-12-IIJ1</t>
  </si>
  <si>
    <t>5-12-IIIJ1</t>
  </si>
  <si>
    <t>7-12-IVJ2</t>
  </si>
  <si>
    <t>8-12-IVJ1</t>
  </si>
  <si>
    <t>6-13-IIIJ5</t>
  </si>
  <si>
    <t>1-14-IIIJ1</t>
  </si>
  <si>
    <t>6-13-IIIJ4</t>
  </si>
  <si>
    <t>1-8-IJ1</t>
  </si>
  <si>
    <t>7-10-IIJ1</t>
  </si>
  <si>
    <t>8-9-IIJ1</t>
  </si>
  <si>
    <t>1-9-IJ1</t>
  </si>
  <si>
    <t>1-8-IJ2</t>
  </si>
  <si>
    <t>8-8-IIJ1</t>
  </si>
  <si>
    <t>ASSESSMENT OFFICE</t>
  </si>
  <si>
    <t>COUNTY</t>
  </si>
  <si>
    <t>STATUS</t>
  </si>
  <si>
    <t>Value</t>
  </si>
  <si>
    <t>Depreciation</t>
  </si>
  <si>
    <t>Market Value</t>
  </si>
  <si>
    <t>Diameter</t>
  </si>
  <si>
    <t>Rate per Foot for</t>
  </si>
  <si>
    <t>(in inches)</t>
  </si>
  <si>
    <t>Year of Installion of Pipe Line</t>
  </si>
  <si>
    <t>Depreciation Percentage Reduction</t>
  </si>
  <si>
    <t>FROM LOCATION</t>
  </si>
  <si>
    <t>TO LOCATION</t>
  </si>
  <si>
    <t>GOSFIELD NORTH</t>
  </si>
  <si>
    <t>ABAND</t>
  </si>
  <si>
    <t>7-10-11</t>
  </si>
  <si>
    <t>7-10-11J1</t>
  </si>
  <si>
    <t>1-9-1J1</t>
  </si>
  <si>
    <t>8-8-11</t>
  </si>
  <si>
    <t>8-8-11J1</t>
  </si>
  <si>
    <t>3-8-IIJ1</t>
  </si>
  <si>
    <t>W82</t>
  </si>
  <si>
    <t>TWP</t>
  </si>
  <si>
    <t>5-12-I</t>
  </si>
  <si>
    <t>R-1-13-1</t>
  </si>
  <si>
    <t>7-13-2</t>
  </si>
  <si>
    <t>35.221"</t>
  </si>
  <si>
    <t>27'</t>
  </si>
  <si>
    <t>15.187"</t>
  </si>
  <si>
    <t>TWPLINE</t>
  </si>
  <si>
    <t>5-11-IJ1</t>
  </si>
  <si>
    <t>3-12-IJ1</t>
  </si>
  <si>
    <t>1-218-NTR</t>
  </si>
  <si>
    <t>R5-8-1HZ-1</t>
  </si>
  <si>
    <t>7-237-STR</t>
  </si>
  <si>
    <t>7-14-AHZ1</t>
  </si>
  <si>
    <t>2-7-IV</t>
  </si>
  <si>
    <t>5-6-V</t>
  </si>
  <si>
    <t>5-11-IV</t>
  </si>
  <si>
    <t>North Wheatly East Battery</t>
  </si>
  <si>
    <t>1-8-I</t>
  </si>
  <si>
    <t>3-11-IV</t>
  </si>
  <si>
    <t>5-23-X</t>
  </si>
  <si>
    <t>4-15-B</t>
  </si>
  <si>
    <t>2-15-BJ1</t>
  </si>
  <si>
    <t>6-4-V</t>
  </si>
  <si>
    <t>2-8-IV</t>
  </si>
  <si>
    <t>R-1-12-III</t>
  </si>
  <si>
    <t>R3-14-II</t>
  </si>
  <si>
    <t>R1-13-II</t>
  </si>
  <si>
    <t>R8-13-II</t>
  </si>
  <si>
    <t>R8-16-III</t>
  </si>
  <si>
    <t>R7-7-III</t>
  </si>
  <si>
    <t>R4-9-I</t>
  </si>
  <si>
    <t>R6-8-II</t>
  </si>
  <si>
    <t>R2-9-I</t>
  </si>
  <si>
    <t>R2-15-III</t>
  </si>
  <si>
    <t>08'</t>
  </si>
  <si>
    <t>06'</t>
  </si>
  <si>
    <t>AREA</t>
  </si>
  <si>
    <t>Mill Rates by Township</t>
  </si>
  <si>
    <t>Township</t>
  </si>
  <si>
    <t>Rate</t>
  </si>
  <si>
    <t>Port Colborne</t>
  </si>
  <si>
    <t>Wainfleet</t>
  </si>
  <si>
    <t>Norfolk</t>
  </si>
  <si>
    <t>Nanticoke</t>
  </si>
  <si>
    <t>Delhi</t>
  </si>
  <si>
    <t>Dunnville</t>
  </si>
  <si>
    <t>Tilbury</t>
  </si>
  <si>
    <t>Romney</t>
  </si>
  <si>
    <t>Raleigh</t>
  </si>
  <si>
    <t>Howard</t>
  </si>
  <si>
    <t>Harwich</t>
  </si>
  <si>
    <t>Central Elgin</t>
  </si>
  <si>
    <t>Bayham</t>
  </si>
  <si>
    <t>Malahide</t>
  </si>
  <si>
    <t>Southwold</t>
  </si>
  <si>
    <t>Gosfield North</t>
  </si>
  <si>
    <t>Mersea</t>
  </si>
  <si>
    <t>Leamington</t>
  </si>
  <si>
    <t>Yarmouth</t>
  </si>
  <si>
    <t>Orford</t>
  </si>
  <si>
    <t>Haldimand</t>
  </si>
  <si>
    <t>Aldborough</t>
  </si>
  <si>
    <t>Dunwich</t>
  </si>
  <si>
    <t>Year of the</t>
  </si>
  <si>
    <t>25.618"</t>
  </si>
  <si>
    <t>57.184"</t>
  </si>
  <si>
    <t>7-13-IV1</t>
  </si>
  <si>
    <t>3-13-IV</t>
  </si>
  <si>
    <t>2-13-II</t>
  </si>
  <si>
    <t>2-13-IIJ1</t>
  </si>
  <si>
    <t>6-15-II</t>
  </si>
  <si>
    <t>3-14-II</t>
  </si>
  <si>
    <t>6-11-I</t>
  </si>
  <si>
    <t>6-11-IJ1</t>
  </si>
  <si>
    <t>6-11-IJ2</t>
  </si>
  <si>
    <t>1-13-II</t>
  </si>
  <si>
    <t>6-15-IIJ1</t>
  </si>
  <si>
    <t>6-15-II J1</t>
  </si>
  <si>
    <t>6-15-IIJ2</t>
  </si>
  <si>
    <t>6-11-IJ3</t>
  </si>
  <si>
    <t>3-23-X</t>
  </si>
  <si>
    <t>3-23-XJ1</t>
  </si>
  <si>
    <t>3-23-XJ2</t>
  </si>
  <si>
    <t>3-23-XJ4</t>
  </si>
  <si>
    <t>3-23-XJ3</t>
  </si>
  <si>
    <t>1-241-NTR</t>
  </si>
  <si>
    <t>6" Atlas</t>
  </si>
  <si>
    <t>LOOP -25% of Market Value</t>
  </si>
  <si>
    <t>SUSP -20% of Market Value</t>
  </si>
  <si>
    <t>TOWNSHIP</t>
  </si>
  <si>
    <t>1-2-VI</t>
  </si>
  <si>
    <t>1-2-VIJ</t>
  </si>
  <si>
    <t>1-2-VIJ2</t>
  </si>
  <si>
    <t>1-2-VIJ3</t>
  </si>
  <si>
    <t>6-24-VI</t>
  </si>
  <si>
    <t>6-24-VIJ1</t>
  </si>
  <si>
    <t>6-24-VIJ2</t>
  </si>
  <si>
    <t>6-24-VIJ3</t>
  </si>
  <si>
    <t>6-19-VI</t>
  </si>
  <si>
    <t>6-19-VIJ2</t>
  </si>
  <si>
    <t>6-19-VIJ1</t>
  </si>
  <si>
    <t>6-19-VIJ3</t>
  </si>
  <si>
    <t>6-19-VIJ4</t>
  </si>
  <si>
    <t>6-15-1</t>
  </si>
  <si>
    <t>6-15-1J1</t>
  </si>
  <si>
    <t>6-15-1J2</t>
  </si>
  <si>
    <t>6-15-1J3</t>
  </si>
  <si>
    <t>7-16-11</t>
  </si>
  <si>
    <t>7-16-11J1</t>
  </si>
  <si>
    <t>7-16-11J2</t>
  </si>
  <si>
    <t>7-16-11J3</t>
  </si>
  <si>
    <t>7-16-11J4</t>
  </si>
  <si>
    <t>7-16-11J5</t>
  </si>
  <si>
    <t>7-06-11J6</t>
  </si>
  <si>
    <t>Hillman  Battery</t>
  </si>
  <si>
    <t>HBJ1</t>
  </si>
  <si>
    <t>HBJ2</t>
  </si>
  <si>
    <t>HBJ3</t>
  </si>
  <si>
    <t>HBJ4</t>
  </si>
  <si>
    <t>HBJ5</t>
  </si>
  <si>
    <t>HBJ6</t>
  </si>
  <si>
    <t>HBJ7</t>
  </si>
  <si>
    <t>HBJ8</t>
  </si>
  <si>
    <t>6-13-IV</t>
  </si>
  <si>
    <t>1-3-V</t>
  </si>
  <si>
    <t>5-203-I</t>
  </si>
  <si>
    <t>4" on part lot 15, con 1</t>
  </si>
  <si>
    <t>7-18-VIII on part lot 18, con 8</t>
  </si>
  <si>
    <t>7-6-IV</t>
  </si>
  <si>
    <t>4" on part lot 6, con 4</t>
  </si>
  <si>
    <t>Rates / Foot for</t>
  </si>
  <si>
    <t>ESSEX</t>
  </si>
  <si>
    <t>ROCHESTER</t>
  </si>
  <si>
    <t>RC 7-16-II EBR ( WP # 1 )</t>
  </si>
  <si>
    <t>RC 7-16-II EBR ( WP # 2 )</t>
  </si>
  <si>
    <t>RC 7-16-II EBR ( WP # 3 )</t>
  </si>
  <si>
    <t>RC 7-16-II  - to - R 2-12-I  ( WP # 4 )</t>
  </si>
  <si>
    <t>RC 5-15-III E.B.R.  ( WP # 1 )</t>
  </si>
  <si>
    <t>RC 5-15-III E.B.R.  ( WP # 2 )</t>
  </si>
  <si>
    <t>RC 5-15-III E.B.R.  ( WP # 3 )</t>
  </si>
  <si>
    <t>RC 5-15-III E.B.R.  ( WP # 4 )</t>
  </si>
  <si>
    <t>RC 5-15-III E.B.R.  ( WP # 5 )</t>
  </si>
  <si>
    <t>5-20-A Hz #2  ( WP # 1 )</t>
  </si>
  <si>
    <t>5-20-A Hz #2  ( WP # 2 )</t>
  </si>
  <si>
    <t>5-20-A Hz #2  ( WP # 3 )</t>
  </si>
  <si>
    <t>RC 9-7-I EBR ( WP # 1 )</t>
  </si>
  <si>
    <t>RC 9-7-I EBR ( WP # 2 )</t>
  </si>
  <si>
    <t>RC 9-7-I EBR ( WP # 3 )</t>
  </si>
  <si>
    <t>RC 9-7-I EBR ( WP # 4 )</t>
  </si>
  <si>
    <t>RC 9-7-I EBR ( WP # 5 )</t>
  </si>
  <si>
    <t>M 5-238-N.T.R.  ( WP # 1 )</t>
  </si>
  <si>
    <t>M 5-238-N.T.R.  ( WP # 2 )</t>
  </si>
  <si>
    <t>M 5-238-N.T.R.  ( WP # 3 )</t>
  </si>
  <si>
    <t>M 5-238-N.T.R.  ( WP # 4 )</t>
  </si>
  <si>
    <t>M 7-5-V ( WP # 1 )</t>
  </si>
  <si>
    <t>M 7-5-V ( WP # 2 )</t>
  </si>
  <si>
    <t>M 7-5-V ( WP # 3 )</t>
  </si>
  <si>
    <t>M 7-5-V ( WP # 4 )</t>
  </si>
  <si>
    <t>KENT</t>
  </si>
  <si>
    <t>R 1-14-II ( WP # 1 )</t>
  </si>
  <si>
    <t>R 1-14-II ( WP # 2 )</t>
  </si>
  <si>
    <t>R 1-14-II ( WP # 3 )</t>
  </si>
  <si>
    <t>R 1-14-II ( WP # 4 )</t>
  </si>
  <si>
    <t>RC 8-15-III ( WP # 1 )</t>
  </si>
  <si>
    <t>RC 8-15-III ( WP # 2 )</t>
  </si>
  <si>
    <t>RC 8-15-III ( WP # 3 )</t>
  </si>
  <si>
    <t>RC 8-15-III ---  BATTERY SITE WAY POINT</t>
  </si>
  <si>
    <t>RC 2-15-II EBR ( WP # 1 )</t>
  </si>
  <si>
    <t>RC 2-15-II EBR ( WP # 2 )</t>
  </si>
  <si>
    <t>RC 2-15-II EBR ( WP # 3 )</t>
  </si>
  <si>
    <t>RC 2-15-II EBR --- BATT SITE WAY POINT</t>
  </si>
  <si>
    <t>RC 2-16-II EBR</t>
  </si>
  <si>
    <t>RC 2-16-II EBR --- HOT TAP</t>
  </si>
  <si>
    <t>RC 4-8-I EBR ( WP # 1 )</t>
  </si>
  <si>
    <t>RC 4-8-I EBR ( WP # 2 )</t>
  </si>
  <si>
    <t>RC 4-8-I EBR ( WP # 3 )</t>
  </si>
  <si>
    <t>RC 4-8-I EBR ( WP # 4 )</t>
  </si>
  <si>
    <t>RC 4-8-I EBR ( WP # 5 )</t>
  </si>
  <si>
    <t>RC 4-8-I EBR ( WP # 6 )</t>
  </si>
  <si>
    <t>RC 4-8-I EBR ( WP # 7 )</t>
  </si>
  <si>
    <t>RC 4-8-I EBR ( WP # 8 )</t>
  </si>
  <si>
    <t>RC 4-8-I EBR ( WP # 9 )</t>
  </si>
  <si>
    <t>RC 4-8-I EBR ( WP # 10 )</t>
  </si>
  <si>
    <t>RC 4-8-I EBR  BATT SITE WAY POINT</t>
  </si>
  <si>
    <t>RC 5-10-I EBR ( WP # 1 )</t>
  </si>
  <si>
    <t>RC 5-10-I EBR ( WP # 2 )</t>
  </si>
  <si>
    <t>RC 5-10-I EBR ( WP # 3 )</t>
  </si>
  <si>
    <t>RC 5-10-I EBR  --to-- WELL RC 4-10-I EBR</t>
  </si>
  <si>
    <t>RC 4-10-I EBR ( WP # 1 )</t>
  </si>
  <si>
    <t>RC 4-10-I EBR ( WP # 2 )</t>
  </si>
  <si>
    <t>RC 4-10-I EBR ( WP # 3 )</t>
  </si>
  <si>
    <t>RC 4-10-I EBR ( WP # 4 )</t>
  </si>
  <si>
    <t>RC 4-10-I EBR ( WP # 5 )</t>
  </si>
  <si>
    <t>RC 4-10-I EBR ( WP # 6 )</t>
  </si>
  <si>
    <t>RC 4-10-I EBR ( WP # 7 )</t>
  </si>
  <si>
    <t>RC 4-10-I EBR ( WP # 8 )</t>
  </si>
  <si>
    <t>RC 4-10-I EBR --- BATT SITE WAY POINT</t>
  </si>
  <si>
    <t>METER SITE ( WP # 9 )</t>
  </si>
  <si>
    <t>METER SITE -  BATTERY SITE WAY POINT</t>
  </si>
  <si>
    <t>SALES GAS LINE ( WP # 1 )</t>
  </si>
  <si>
    <t>SALES GAS LINE ( WP # 2 )</t>
  </si>
  <si>
    <t>SALES GAS LINE ( WP # 3 )</t>
  </si>
  <si>
    <t>SALES GAS LINE ( WP # 4 )</t>
  </si>
  <si>
    <t>SALES GAS LINE ( WP # 5 )</t>
  </si>
  <si>
    <t>SALES GAS LINE ( WP # 6 )</t>
  </si>
  <si>
    <t>SALES GAS LINE ( WP # 7 )</t>
  </si>
  <si>
    <t>SALES GAS LINE ( WP # 8 )</t>
  </si>
  <si>
    <t>UNION GAS METER SITE</t>
  </si>
  <si>
    <t>RC 8-8-I EBR ( WP # 1 )</t>
  </si>
  <si>
    <t>RC 8-8-I EBR ( WP # 2 )</t>
  </si>
  <si>
    <t>RC 8-8-I EBR METER SITE</t>
  </si>
  <si>
    <t>RC 8-14-II EBR</t>
  </si>
  <si>
    <t>RC 8-14-II EBR --- BATT SITE WAY POINT</t>
  </si>
  <si>
    <t>RC 7-16-II EBR</t>
  </si>
  <si>
    <t>RC 7-16-II EBR --- BATT SITE WAY POINT</t>
  </si>
  <si>
    <t>RC 1-12-I EBR ( WP # 1 )</t>
  </si>
  <si>
    <t>RC 1-12-I EBR ( WP # 2 )</t>
  </si>
  <si>
    <t>RC 1-12-I EBR ( WP # 3 )</t>
  </si>
  <si>
    <t>RC 1-12-I EBR ( WP # 4 )</t>
  </si>
  <si>
    <t>RC 1-12-I EBR  --- BATT SITE WAY POINT</t>
  </si>
  <si>
    <t>RC 6-17-II EBR ( WP # 1 )</t>
  </si>
  <si>
    <t>RC 6-17-II EBR ( WP # 2 )</t>
  </si>
  <si>
    <t>RC 6-17-II EBR ( WP # 3 )</t>
  </si>
  <si>
    <t>RC 6-17-II EBR --- BATT SITE WAY POINT</t>
  </si>
  <si>
    <t>RC 3-17-II EBR ( WP # 1 )</t>
  </si>
  <si>
    <t>RC 3-17-II EBR ( WP # 2 )</t>
  </si>
  <si>
    <t>RC 3-17-II EBR ( WP # 3 )</t>
  </si>
  <si>
    <t>RC 3-17-II EBR --- BATT SITE WAY POINT</t>
  </si>
  <si>
    <t>RC 8-17-III EBR ( WP # 1 )</t>
  </si>
  <si>
    <t>RC 8-17-III EBR ( WP # 2 )</t>
  </si>
  <si>
    <t>RC 8-17-III EBR ( WP # 3 )</t>
  </si>
  <si>
    <t>RC 8-17-III EBR ( WP # 4 )</t>
  </si>
  <si>
    <t>RC 8-17-III EBR ( WP # 5 )</t>
  </si>
  <si>
    <t>RC 8-17-III EBR ( WP # 6 )</t>
  </si>
  <si>
    <t>RC 8-17-III EBR ( WP # 7 )</t>
  </si>
  <si>
    <t>RC 8-17-III EBR --- BATT SITE WAY POINT</t>
  </si>
  <si>
    <t>RC 1-17-II EBR ( WP # 1 )</t>
  </si>
  <si>
    <t>RC 1-17-II EBR ( WP # 2 )</t>
  </si>
  <si>
    <t>RC 1-17-II EBR ( WP # 3 )</t>
  </si>
  <si>
    <t>RC 1-17-II EBR ( WP # 4 )</t>
  </si>
  <si>
    <t>RC 1-17-II EBR --- BATT SITE WAY POINT</t>
  </si>
  <si>
    <t>RC 7-17-IV EBR ( WP # 1 )</t>
  </si>
  <si>
    <t>RC 7-17-IV EBR ( WP # 2 )</t>
  </si>
  <si>
    <t>RC 7-17-IV EBR ( WP # 3 )</t>
  </si>
  <si>
    <t>RC 7-17-IV EBR ( WP # 4 )</t>
  </si>
  <si>
    <t>RC 7-17-IV EBR ( WP # 5 )</t>
  </si>
  <si>
    <t>RC 7-17-IV EBR --- BATT SITE WAY POINT</t>
  </si>
  <si>
    <t>RATES &amp; DEPRECIATION FROM INTERNET</t>
  </si>
  <si>
    <t>TABLES ARE FOR ONSHORE PIPELINE ONLY</t>
  </si>
  <si>
    <t>Rochester</t>
  </si>
  <si>
    <t>WINDSOR</t>
  </si>
  <si>
    <t>CHATHAM-KENT</t>
  </si>
  <si>
    <t>07'</t>
  </si>
  <si>
    <t>41.000"</t>
  </si>
  <si>
    <t>23'</t>
  </si>
  <si>
    <t>58.000"</t>
  </si>
  <si>
    <t>54.000"</t>
  </si>
  <si>
    <t>0'</t>
  </si>
  <si>
    <t>HILLMAN</t>
  </si>
  <si>
    <t>8-239-NTR ( WP # 1 )</t>
  </si>
  <si>
    <t>8-239-NTR ( WP # 2 )</t>
  </si>
  <si>
    <t>8-239-NTR ( WP # 3 )</t>
  </si>
  <si>
    <t>8-239-NTR ( WP # 4 )</t>
  </si>
  <si>
    <t>LOT 239 STR Mersea /</t>
  </si>
  <si>
    <t>RENWICK</t>
  </si>
  <si>
    <t>8-194-TRS ( WP # 1 )</t>
  </si>
  <si>
    <t>8-194-TRS ( WP # 2 )</t>
  </si>
  <si>
    <t>8-194-TRS ( WP # 3 )</t>
  </si>
  <si>
    <t>8-194-TRS ( WP # 4 )</t>
  </si>
  <si>
    <t>8-194-TRS ( WP # 5 )</t>
  </si>
  <si>
    <t>8-194-TRS ( WP # 6 )</t>
  </si>
  <si>
    <t>8-194-TRS ( WP # 7 )</t>
  </si>
  <si>
    <t>8-194-TRS ( WP # 8 )</t>
  </si>
  <si>
    <t>8-194-TRS ( WP # 9 )</t>
  </si>
  <si>
    <t>8-194-TRS ( WP # 10 )</t>
  </si>
  <si>
    <t>LOT 203 TRS ROMNEY</t>
  </si>
  <si>
    <t>1-7-IV ( WP # 1 )</t>
  </si>
  <si>
    <t>1-7-IV ( WP # 2 )</t>
  </si>
  <si>
    <t>1-7-IV ( WP # 3 )</t>
  </si>
  <si>
    <t>1-7-IV ( WP # 4 )</t>
  </si>
  <si>
    <t>RC 8-13-IV HOT TAP</t>
  </si>
  <si>
    <t>4-22-VIJ2</t>
  </si>
  <si>
    <t>4-22-VIJ1</t>
  </si>
  <si>
    <t>4-22-VI</t>
  </si>
  <si>
    <t>WL134614</t>
  </si>
  <si>
    <t>WL107925</t>
  </si>
  <si>
    <t>WL126485</t>
  </si>
  <si>
    <t>WL122186</t>
  </si>
  <si>
    <t>RC 8-13-IV H1 EBR</t>
  </si>
  <si>
    <t>WL107976</t>
  </si>
  <si>
    <t>WL127943</t>
  </si>
  <si>
    <t>WL129645</t>
  </si>
  <si>
    <t>WL127939</t>
  </si>
  <si>
    <t>WL108471</t>
  </si>
  <si>
    <t>WL128457</t>
  </si>
  <si>
    <t>WL127935</t>
  </si>
  <si>
    <t>WL127931</t>
  </si>
  <si>
    <t>WL108472</t>
  </si>
  <si>
    <t>WL127933</t>
  </si>
  <si>
    <t>WL127938</t>
  </si>
  <si>
    <t>WL107980</t>
  </si>
  <si>
    <t>WL107977</t>
  </si>
  <si>
    <t>WL107978</t>
  </si>
  <si>
    <t>WL134615</t>
  </si>
  <si>
    <t>WL107979</t>
  </si>
  <si>
    <t>WL108470</t>
  </si>
  <si>
    <t>WL127936</t>
  </si>
  <si>
    <t>(Table #15)</t>
  </si>
  <si>
    <t>STEEL  (Table #13)</t>
  </si>
  <si>
    <t>PLASTIC/FIBREG (Table #12)</t>
  </si>
  <si>
    <t>RC2-18-II EBR</t>
  </si>
  <si>
    <t>RC3-16-II EBR</t>
  </si>
  <si>
    <t>RC2-16-II EBR</t>
  </si>
  <si>
    <t>RC1-17-II EBR</t>
  </si>
  <si>
    <t>2-2-V</t>
  </si>
  <si>
    <t>4-2-V</t>
  </si>
  <si>
    <t>Dundee Energy LP</t>
  </si>
  <si>
    <t>On-shore Pipelines</t>
  </si>
  <si>
    <t xml:space="preserve">Steel </t>
  </si>
  <si>
    <t>ZERO</t>
  </si>
  <si>
    <t>OIL.bbls</t>
  </si>
  <si>
    <t>BRINE.bbls</t>
  </si>
  <si>
    <t>GAS. Mcf</t>
  </si>
  <si>
    <t>zero</t>
  </si>
  <si>
    <t>2-12-1J1</t>
  </si>
  <si>
    <t>2-12-1J2</t>
  </si>
  <si>
    <t>2-12-1J3</t>
  </si>
  <si>
    <t>ON SHORE GATHERING LINE SPECIFICICATIONS</t>
  </si>
  <si>
    <t>CORROSION PROTECTION:    All buried steel gathering lines have a external yellow jacket coating and are cathodicly protected by anoides and or a rectifier.</t>
  </si>
  <si>
    <t>SCADA: There is no onshore gathering lines monitored by SCADA</t>
  </si>
  <si>
    <t xml:space="preserve">ESD PROTECTION: </t>
  </si>
  <si>
    <t>Atlas 6" steel gathering line has 1 ESD at the transission from fiberglass to steel and one at the end of the Altals gathering line located at the Hillman CPF.</t>
  </si>
  <si>
    <t>PIGGING Capabilities</t>
  </si>
  <si>
    <t>Atlas 6" steel emulsion line and Goldsmith to Renwick  Gas  line are pigged monthly.</t>
  </si>
  <si>
    <t>Gathering Line</t>
  </si>
  <si>
    <t xml:space="preserve">GATHERING LINE CONTENTS : All onshore gathering lines contain sweet solution gas and an emulsion of sweet petroleum crude oil, sweet produced water ( brine ). </t>
  </si>
  <si>
    <t>All other gathering lines ending at a CPF have ESDs located at the ends of the lines which are located at the CPFs inlets.</t>
  </si>
  <si>
    <t>Roll Number</t>
  </si>
  <si>
    <t xml:space="preserve"> — 2017 TO 2020 TAXATION YEARS</t>
  </si>
  <si>
    <t>E-LAWS.GOV.ON.CA - May  2018</t>
  </si>
  <si>
    <t>BRANTFORD</t>
  </si>
  <si>
    <t>HALDIMAND/NORFOLK</t>
  </si>
  <si>
    <t>DUNNVILLE</t>
  </si>
  <si>
    <t>PORT MAITLAND VAULT</t>
  </si>
  <si>
    <t>PORT MAITLAND STATION</t>
  </si>
  <si>
    <t>PORT  MAITLAND STATION</t>
  </si>
  <si>
    <t>NANTICOKE</t>
  </si>
  <si>
    <t>NANTICOKE VAULT</t>
  </si>
  <si>
    <t>NANTICOKE STATION</t>
  </si>
  <si>
    <t>HWY #6 and EAST Q/l</t>
  </si>
  <si>
    <t>HWY #6 and EAST Q/L</t>
  </si>
  <si>
    <t>HWY #6 and CON #6</t>
  </si>
  <si>
    <t xml:space="preserve"> </t>
  </si>
  <si>
    <t xml:space="preserve">HWY #6 and CON #6 </t>
  </si>
  <si>
    <t>CON #6 and CON #55</t>
  </si>
  <si>
    <t xml:space="preserve">CON #6 and CON #55 </t>
  </si>
  <si>
    <t>EAST WEST FENCE LINE</t>
  </si>
  <si>
    <t xml:space="preserve">EAST WEST FENCE LINE </t>
  </si>
  <si>
    <t>UNION STATION</t>
  </si>
  <si>
    <t>HOWARD</t>
  </si>
  <si>
    <t>MORPETH VAULT</t>
  </si>
  <si>
    <t>MORPETH STATION</t>
  </si>
  <si>
    <t>MORPETH</t>
  </si>
  <si>
    <t>Existing 4"</t>
  </si>
  <si>
    <t>Existing 4"J1</t>
  </si>
  <si>
    <t>Existing 4"J2</t>
  </si>
  <si>
    <t>LONDON</t>
  </si>
  <si>
    <t>ELGIN</t>
  </si>
  <si>
    <t>SOUTHWOLD</t>
  </si>
  <si>
    <t>PORT STANLEY VAULT</t>
  </si>
  <si>
    <t>PORT STANLEY STATION</t>
  </si>
  <si>
    <t>LATITUDE NAD 83</t>
  </si>
  <si>
    <t>LONGITUDE NAD 83</t>
  </si>
  <si>
    <t>2810 332 001 50300</t>
  </si>
  <si>
    <t>2810 021 003 24200</t>
  </si>
  <si>
    <t>3650 210 004 40299</t>
  </si>
  <si>
    <t>3650 010 001 90202</t>
  </si>
  <si>
    <t>PT MAITLAND</t>
  </si>
  <si>
    <t>3424 000 010 00701</t>
  </si>
  <si>
    <t>3711 670 000 05100</t>
  </si>
  <si>
    <t>3706 920 000 05100</t>
  </si>
  <si>
    <t>3751 630 000 08600</t>
  </si>
  <si>
    <t>FINAL MARKET VALUE</t>
  </si>
  <si>
    <t>2018 Tax Year</t>
  </si>
  <si>
    <t>missed by MPAC/Dundee</t>
  </si>
  <si>
    <t>CVA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</si>
</sst>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$&quot;#,##0.00_);\(&quot;$&quot;#,##0.0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\N00\°"/>
    <numFmt numFmtId="168" formatCode="00\'"/>
    <numFmt numFmtId="169" formatCode="00.000\&quot;"/>
    <numFmt numFmtId="170" formatCode="\W00\°"/>
    <numFmt numFmtId="171" formatCode="0.000\&quot;"/>
    <numFmt numFmtId="172" formatCode="&quot;$&quot;#,##0.00"/>
    <numFmt numFmtId="173" formatCode="0.00000000"/>
    <numFmt numFmtId="174" formatCode="&quot;$&quot;#,##0_);[Red]\(&quot;$&quot;#,##0\)"/>
  </numFmts>
  <fonts count="14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1"/>
      <color indexed="12"/>
      <name val="Arial"/>
      <family val="2"/>
    </font>
    <font>
      <b/>
      <sz val="8"/>
      <name val="Arial"/>
      <family val="2"/>
    </font>
    <font>
      <sz val="11"/>
      <color rgb="FFFF0000"/>
      <name val="Cambria"/>
      <family val="1"/>
    </font>
    <font>
      <b/>
      <sz val="14"/>
      <name val="Arial"/>
      <family val="2"/>
    </font>
    <font>
      <sz val="9"/>
      <name val="Tahoma"/>
      <family val="2"/>
    </font>
    <font>
      <b/>
      <sz val="9"/>
      <name val="Tahoma"/>
      <family val="2"/>
    </font>
  </fonts>
  <fills count="9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0010261536"/>
        <bgColor indexed="64"/>
      </patternFill>
    </fill>
  </fills>
  <borders count="9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double">
        <color auto="1"/>
      </bottom>
    </border>
    <border>
      <left/>
      <right style="medium">
        <color auto="1"/>
      </right>
      <top/>
      <bottom style="double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</border>
    <border>
      <left style="thin">
        <color auto="1"/>
      </left>
      <right style="hair">
        <color indexed="22"/>
      </right>
      <top style="hair">
        <color indexed="22"/>
      </top>
      <bottom style="hair">
        <color indexed="22"/>
      </bottom>
    </border>
    <border>
      <left style="thin">
        <color auto="1"/>
      </left>
      <right style="hair">
        <color indexed="22"/>
      </right>
      <top style="hair">
        <color indexed="22"/>
      </top>
      <bottom style="thin">
        <color auto="1"/>
      </bottom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hair">
        <color indexed="22"/>
      </left>
      <right style="hair">
        <color indexed="22"/>
      </right>
      <top/>
      <bottom style="hair">
        <color indexed="22"/>
      </bottom>
    </border>
    <border>
      <left style="hair">
        <color indexed="22"/>
      </left>
      <right/>
      <top style="hair">
        <color indexed="22"/>
      </top>
      <bottom style="hair">
        <color indexed="22"/>
      </bottom>
    </border>
    <border>
      <left style="hair">
        <color indexed="22"/>
      </left>
      <right style="hair">
        <color indexed="22"/>
      </right>
      <top style="hair">
        <color indexed="22"/>
      </top>
      <bottom/>
    </border>
    <border>
      <left style="thin">
        <color auto="1"/>
      </left>
      <right style="hair">
        <color indexed="22"/>
      </right>
      <top style="thin">
        <color auto="1"/>
      </top>
      <bottom style="hair">
        <color indexed="22"/>
      </bottom>
    </border>
    <border>
      <left style="hair">
        <color indexed="22"/>
      </left>
      <right style="hair">
        <color indexed="22"/>
      </right>
      <top style="thin">
        <color auto="1"/>
      </top>
      <bottom style="hair">
        <color indexed="22"/>
      </bottom>
    </border>
    <border>
      <left style="hair">
        <color indexed="22"/>
      </left>
      <right/>
      <top/>
      <bottom style="hair">
        <color indexed="22"/>
      </bottom>
    </border>
    <border>
      <left style="hair">
        <color indexed="22"/>
      </left>
      <right/>
      <top style="hair">
        <color indexed="22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hair">
        <color indexed="22"/>
      </left>
      <right/>
      <top style="thin">
        <color auto="1"/>
      </top>
      <bottom style="hair">
        <color indexed="22"/>
      </bottom>
    </border>
    <border>
      <left style="hair">
        <color indexed="22"/>
      </left>
      <right/>
      <top style="hair">
        <color indexed="22"/>
      </top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 style="hair">
        <color indexed="22"/>
      </right>
      <top style="thin">
        <color auto="1"/>
      </top>
      <bottom style="thin">
        <color auto="1"/>
      </bottom>
    </border>
    <border>
      <left style="hair">
        <color indexed="22"/>
      </left>
      <right style="hair">
        <color indexed="22"/>
      </right>
      <top style="thin">
        <color auto="1"/>
      </top>
      <bottom style="thin">
        <color auto="1"/>
      </bottom>
    </border>
    <border>
      <left style="hair">
        <color indexed="22"/>
      </left>
      <right/>
      <top style="thin">
        <color auto="1"/>
      </top>
      <bottom style="thin">
        <color auto="1"/>
      </bottom>
    </border>
    <border>
      <left style="hair">
        <color indexed="22"/>
      </left>
      <right style="hair">
        <color indexed="22"/>
      </right>
      <top/>
      <bottom/>
    </border>
    <border>
      <left style="hair">
        <color indexed="22"/>
      </left>
      <right/>
      <top/>
      <bottom/>
    </border>
    <border>
      <left style="hair">
        <color indexed="22"/>
      </left>
      <right style="hair">
        <color indexed="22"/>
      </right>
      <top style="thin">
        <color auto="1"/>
      </top>
      <bottom/>
    </border>
    <border>
      <left style="hair">
        <color indexed="22"/>
      </left>
      <right/>
      <top style="thin">
        <color auto="1"/>
      </top>
      <bottom/>
    </border>
    <border>
      <left/>
      <right/>
      <top style="thin">
        <color auto="1"/>
      </top>
      <bottom style="thin">
        <color auto="1"/>
      </bottom>
    </border>
    <border>
      <left style="hair">
        <color indexed="22"/>
      </left>
      <right style="hair">
        <color indexed="22"/>
      </right>
      <top/>
      <bottom style="thin">
        <color auto="1"/>
      </bottom>
    </border>
    <border>
      <left style="hair">
        <color indexed="22"/>
      </left>
      <right/>
      <top/>
      <bottom style="thin">
        <color auto="1"/>
      </bottom>
    </border>
    <border>
      <left style="thin">
        <color auto="1"/>
      </left>
      <right style="hair">
        <color indexed="22"/>
      </right>
      <top style="hair">
        <color indexed="22"/>
      </top>
      <bottom/>
    </border>
    <border>
      <left style="thin">
        <color auto="1"/>
      </left>
      <right style="hair">
        <color indexed="22"/>
      </right>
      <top/>
      <bottom style="hair">
        <color indexed="22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hair">
        <color indexed="22"/>
      </left>
      <right style="thin">
        <color auto="1"/>
      </right>
      <top style="thin">
        <color auto="1"/>
      </top>
      <bottom/>
    </border>
    <border>
      <left style="hair">
        <color indexed="22"/>
      </left>
      <right style="thin">
        <color auto="1"/>
      </right>
      <top/>
      <bottom style="thin">
        <color auto="1"/>
      </bottom>
    </border>
    <border>
      <left style="hair">
        <color indexed="22"/>
      </left>
      <right style="thin">
        <color auto="1"/>
      </right>
      <top/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thin">
        <color auto="1"/>
      </bottom>
    </border>
    <border>
      <left style="hair">
        <color indexed="22"/>
      </left>
      <right style="thin">
        <color auto="1"/>
      </right>
      <top style="thin">
        <color auto="1"/>
      </top>
      <bottom style="hair">
        <color indexed="22"/>
      </bottom>
    </border>
    <border>
      <left style="hair">
        <color indexed="22"/>
      </left>
      <right style="thin">
        <color auto="1"/>
      </right>
      <top style="hair">
        <color indexed="22"/>
      </top>
      <bottom style="hair">
        <color indexed="22"/>
      </bottom>
    </border>
    <border>
      <left style="hair">
        <color indexed="22"/>
      </left>
      <right style="thin">
        <color auto="1"/>
      </right>
      <top style="hair">
        <color indexed="22"/>
      </top>
      <bottom style="thin">
        <color auto="1"/>
      </bottom>
    </border>
    <border>
      <left/>
      <right style="hair">
        <color indexed="22"/>
      </right>
      <top/>
      <bottom/>
    </border>
    <border>
      <left/>
      <right style="hair">
        <color indexed="22"/>
      </right>
      <top style="thin">
        <color auto="1"/>
      </top>
      <bottom style="hair">
        <color indexed="22"/>
      </bottom>
    </border>
    <border>
      <left/>
      <right style="hair">
        <color indexed="22"/>
      </right>
      <top style="hair">
        <color indexed="22"/>
      </top>
      <bottom style="hair">
        <color indexed="22"/>
      </bottom>
    </border>
    <border>
      <left/>
      <right style="hair">
        <color indexed="22"/>
      </right>
      <top style="hair">
        <color indexed="22"/>
      </top>
      <bottom/>
    </border>
    <border>
      <left/>
      <right style="hair">
        <color indexed="22"/>
      </right>
      <top style="hair">
        <color indexed="22"/>
      </top>
      <bottom style="thin">
        <color auto="1"/>
      </bottom>
    </border>
    <border>
      <left/>
      <right style="hair">
        <color indexed="22"/>
      </right>
      <top/>
      <bottom style="hair">
        <color indexed="22"/>
      </bottom>
    </border>
    <border>
      <left/>
      <right style="hair">
        <color indexed="22"/>
      </right>
      <top style="thin">
        <color auto="1"/>
      </top>
      <bottom style="thin">
        <color auto="1"/>
      </bottom>
    </border>
    <border>
      <left/>
      <right style="hair">
        <color indexed="22"/>
      </right>
      <top style="thin">
        <color auto="1"/>
      </top>
      <bottom/>
    </border>
    <border>
      <left/>
      <right style="hair">
        <color indexed="22"/>
      </right>
      <top/>
      <bottom style="thin">
        <color auto="1"/>
      </bottom>
    </border>
    <border>
      <left style="thin">
        <color auto="1"/>
      </left>
      <right style="hair">
        <color indexed="22"/>
      </right>
      <top style="thin">
        <color auto="1"/>
      </top>
      <bottom style="hair">
        <color theme="0" tint="-0.349979996681213"/>
      </bottom>
    </border>
    <border>
      <left style="hair">
        <color indexed="22"/>
      </left>
      <right style="hair">
        <color indexed="22"/>
      </right>
      <top style="thin">
        <color auto="1"/>
      </top>
      <bottom style="hair">
        <color theme="0" tint="-0.349979996681213"/>
      </bottom>
    </border>
    <border>
      <left style="hair">
        <color indexed="22"/>
      </left>
      <right/>
      <top style="thin">
        <color auto="1"/>
      </top>
      <bottom style="hair">
        <color theme="0" tint="-0.349979996681213"/>
      </bottom>
    </border>
    <border>
      <left/>
      <right style="hair">
        <color indexed="22"/>
      </right>
      <top style="thin">
        <color auto="1"/>
      </top>
      <bottom style="hair">
        <color theme="0" tint="-0.349979996681213"/>
      </bottom>
    </border>
    <border>
      <left/>
      <right/>
      <top style="thin">
        <color auto="1"/>
      </top>
      <bottom style="hair">
        <color theme="0" tint="-0.349979996681213"/>
      </bottom>
    </border>
    <border>
      <left/>
      <right style="thin">
        <color auto="1"/>
      </right>
      <top style="thin">
        <color auto="1"/>
      </top>
      <bottom style="hair">
        <color theme="0" tint="-0.349979996681213"/>
      </bottom>
    </border>
    <border>
      <left style="thin">
        <color auto="1"/>
      </left>
      <right style="hair">
        <color indexed="22"/>
      </right>
      <top style="hair">
        <color theme="0" tint="-0.349979996681213"/>
      </top>
      <bottom style="hair">
        <color theme="0" tint="-0.349979996681213"/>
      </bottom>
    </border>
    <border>
      <left style="hair">
        <color indexed="22"/>
      </left>
      <right style="hair">
        <color indexed="22"/>
      </right>
      <top style="hair">
        <color theme="0" tint="-0.349979996681213"/>
      </top>
      <bottom style="hair">
        <color theme="0" tint="-0.349979996681213"/>
      </bottom>
    </border>
    <border>
      <left style="hair">
        <color indexed="22"/>
      </left>
      <right/>
      <top style="hair">
        <color theme="0" tint="-0.349979996681213"/>
      </top>
      <bottom style="hair">
        <color theme="0" tint="-0.349979996681213"/>
      </bottom>
    </border>
    <border>
      <left/>
      <right style="hair">
        <color indexed="22"/>
      </right>
      <top style="hair">
        <color theme="0" tint="-0.349979996681213"/>
      </top>
      <bottom style="hair">
        <color theme="0" tint="-0.349979996681213"/>
      </bottom>
    </border>
    <border>
      <left/>
      <right/>
      <top style="hair">
        <color theme="0" tint="-0.349979996681213"/>
      </top>
      <bottom style="hair">
        <color theme="0" tint="-0.349979996681213"/>
      </bottom>
    </border>
    <border>
      <left/>
      <right style="thin">
        <color auto="1"/>
      </right>
      <top style="hair">
        <color theme="0" tint="-0.349979996681213"/>
      </top>
      <bottom style="hair">
        <color theme="0" tint="-0.349979996681213"/>
      </bottom>
    </border>
    <border>
      <left style="thin">
        <color auto="1"/>
      </left>
      <right style="hair">
        <color indexed="22"/>
      </right>
      <top style="hair">
        <color theme="0" tint="-0.349979996681213"/>
      </top>
      <bottom/>
    </border>
    <border>
      <left style="hair">
        <color indexed="22"/>
      </left>
      <right style="hair">
        <color indexed="22"/>
      </right>
      <top style="hair">
        <color theme="0" tint="-0.349979996681213"/>
      </top>
      <bottom/>
    </border>
    <border>
      <left style="hair">
        <color indexed="22"/>
      </left>
      <right/>
      <top style="hair">
        <color theme="0" tint="-0.349979996681213"/>
      </top>
      <bottom/>
    </border>
    <border>
      <left/>
      <right style="hair">
        <color indexed="22"/>
      </right>
      <top style="hair">
        <color theme="0" tint="-0.349979996681213"/>
      </top>
      <bottom style="thin">
        <color auto="1"/>
      </bottom>
    </border>
    <border>
      <left style="hair">
        <color indexed="22"/>
      </left>
      <right style="hair">
        <color indexed="22"/>
      </right>
      <top style="hair">
        <color theme="0" tint="-0.349979996681213"/>
      </top>
      <bottom style="thin">
        <color auto="1"/>
      </bottom>
    </border>
    <border>
      <left style="hair">
        <color indexed="22"/>
      </left>
      <right/>
      <top style="hair">
        <color theme="0" tint="-0.349979996681213"/>
      </top>
      <bottom style="thin">
        <color auto="1"/>
      </bottom>
    </border>
    <border>
      <left/>
      <right/>
      <top style="hair">
        <color theme="0" tint="-0.349979996681213"/>
      </top>
      <bottom style="thin">
        <color auto="1"/>
      </bottom>
    </border>
    <border>
      <left/>
      <right style="thin">
        <color auto="1"/>
      </right>
      <top style="hair">
        <color theme="0" tint="-0.349979996681213"/>
      </top>
      <bottom style="thin">
        <color auto="1"/>
      </bottom>
    </border>
    <border>
      <left style="thin">
        <color auto="1"/>
      </left>
      <right style="hair">
        <color indexed="22"/>
      </right>
      <top style="hair">
        <color theme="0" tint="-0.349979996681213"/>
      </top>
      <bottom style="thin">
        <color auto="1"/>
      </bottom>
    </border>
    <border>
      <left style="hair">
        <color indexed="22"/>
      </left>
      <right/>
      <top/>
      <bottom style="hair">
        <color theme="0" tint="-0.349979996681213"/>
      </bottom>
    </border>
    <border>
      <left style="thin">
        <color auto="1"/>
      </left>
      <right style="hair">
        <color indexed="22"/>
      </right>
      <top/>
      <bottom style="thin">
        <color auto="1"/>
      </bottom>
    </border>
    <border>
      <left style="thin">
        <color auto="1"/>
      </left>
      <right style="hair">
        <color indexed="22"/>
      </right>
      <top/>
      <bottom style="hair">
        <color theme="0" tint="-0.349979996681213"/>
      </bottom>
    </border>
    <border>
      <left style="hair">
        <color indexed="22"/>
      </left>
      <right style="hair">
        <color indexed="22"/>
      </right>
      <top/>
      <bottom style="hair">
        <color theme="0" tint="-0.349979996681213"/>
      </bottom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/>
      <top/>
      <bottom/>
    </border>
    <border>
      <left style="thin">
        <color auto="1"/>
      </left>
      <right/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166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086">
    <xf numFmtId="0" fontId="0" fillId="0" borderId="0" xfId="0"/>
    <xf numFmtId="0" fontId="0" fillId="0" borderId="1" xfId="0" applyFont="1" applyFill="1" applyBorder="1" applyAlignment="1">
      <alignment horizontal="center"/>
    </xf>
    <xf numFmtId="173" fontId="5" fillId="0" borderId="2" xfId="0" applyNumberFormat="1" applyFont="1" applyFill="1" applyBorder="1"/>
    <xf numFmtId="172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1" fontId="0" fillId="0" borderId="1" xfId="0" applyNumberFormat="1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right"/>
    </xf>
    <xf numFmtId="0" fontId="0" fillId="0" borderId="7" xfId="0" applyFont="1" applyFill="1" applyBorder="1"/>
    <xf numFmtId="173" fontId="0" fillId="0" borderId="2" xfId="0" applyNumberFormat="1" applyFont="1" applyFill="1" applyBorder="1"/>
    <xf numFmtId="0" fontId="0" fillId="0" borderId="8" xfId="0" applyFont="1" applyFill="1" applyBorder="1"/>
    <xf numFmtId="164" fontId="3" fillId="2" borderId="9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9" fontId="0" fillId="0" borderId="1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 quotePrefix="1">
      <alignment horizontal="center" vertical="top" wrapText="1"/>
    </xf>
    <xf numFmtId="170" fontId="0" fillId="0" borderId="13" xfId="0" applyNumberFormat="1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170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7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/>
    </xf>
    <xf numFmtId="167" fontId="0" fillId="0" borderId="13" xfId="0" applyNumberFormat="1" applyFont="1" applyFill="1" applyBorder="1" applyAlignment="1">
      <alignment horizontal="center"/>
    </xf>
    <xf numFmtId="168" fontId="0" fillId="0" borderId="13" xfId="0" applyNumberFormat="1" applyFont="1" applyFill="1" applyBorder="1" applyAlignment="1">
      <alignment horizontal="center"/>
    </xf>
    <xf numFmtId="169" fontId="0" fillId="0" borderId="13" xfId="0" applyNumberFormat="1" applyFont="1" applyFill="1" applyBorder="1" applyAlignment="1">
      <alignment horizontal="center"/>
    </xf>
    <xf numFmtId="171" fontId="0" fillId="0" borderId="13" xfId="0" applyNumberFormat="1" applyFont="1" applyFill="1" applyBorder="1" applyAlignment="1">
      <alignment horizontal="center"/>
    </xf>
    <xf numFmtId="0" fontId="0" fillId="0" borderId="13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72" fontId="1" fillId="0" borderId="13" xfId="0" applyNumberFormat="1" applyFont="1" applyFill="1" applyBorder="1" applyAlignment="1">
      <alignment horizontal="center"/>
    </xf>
    <xf numFmtId="9" fontId="0" fillId="0" borderId="13" xfId="15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167" fontId="1" fillId="0" borderId="13" xfId="0" applyNumberFormat="1" applyFont="1" applyFill="1" applyBorder="1" applyAlignment="1">
      <alignment horizontal="center"/>
    </xf>
    <xf numFmtId="168" fontId="1" fillId="0" borderId="13" xfId="0" applyNumberFormat="1" applyFont="1" applyFill="1" applyBorder="1" applyAlignment="1">
      <alignment horizontal="center"/>
    </xf>
    <xf numFmtId="169" fontId="1" fillId="0" borderId="13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172" fontId="0" fillId="0" borderId="13" xfId="0" applyNumberFormat="1" applyFont="1" applyFill="1" applyBorder="1" applyAlignment="1">
      <alignment horizontal="center"/>
    </xf>
    <xf numFmtId="165" fontId="0" fillId="0" borderId="13" xfId="0" applyNumberFormat="1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7" fontId="0" fillId="0" borderId="16" xfId="0" applyNumberFormat="1" applyFont="1" applyFill="1" applyBorder="1" applyAlignment="1">
      <alignment horizontal="center"/>
    </xf>
    <xf numFmtId="168" fontId="0" fillId="0" borderId="16" xfId="0" applyNumberFormat="1" applyFont="1" applyFill="1" applyBorder="1" applyAlignment="1">
      <alignment horizontal="center"/>
    </xf>
    <xf numFmtId="169" fontId="0" fillId="0" borderId="16" xfId="0" applyNumberFormat="1" applyFont="1" applyFill="1" applyBorder="1" applyAlignment="1">
      <alignment horizontal="center"/>
    </xf>
    <xf numFmtId="170" fontId="0" fillId="0" borderId="16" xfId="0" applyNumberFormat="1" applyFont="1" applyFill="1" applyBorder="1" applyAlignment="1">
      <alignment horizontal="center"/>
    </xf>
    <xf numFmtId="171" fontId="0" fillId="0" borderId="16" xfId="0" applyNumberFormat="1" applyFont="1" applyFill="1" applyBorder="1" applyAlignment="1">
      <alignment horizontal="center"/>
    </xf>
    <xf numFmtId="0" fontId="0" fillId="0" borderId="16" xfId="0" applyNumberFormat="1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172" fontId="0" fillId="0" borderId="16" xfId="0" applyNumberFormat="1" applyFont="1" applyFill="1" applyBorder="1" applyAlignment="1">
      <alignment horizontal="center"/>
    </xf>
    <xf numFmtId="9" fontId="0" fillId="0" borderId="16" xfId="15" applyFont="1" applyFill="1" applyBorder="1" applyAlignment="1">
      <alignment horizontal="center"/>
    </xf>
    <xf numFmtId="165" fontId="0" fillId="0" borderId="16" xfId="0" applyNumberFormat="1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vertical="center"/>
    </xf>
    <xf numFmtId="167" fontId="0" fillId="0" borderId="13" xfId="0" applyNumberFormat="1" applyFont="1" applyFill="1" applyBorder="1" applyAlignment="1">
      <alignment horizontal="center" vertical="center"/>
    </xf>
    <xf numFmtId="168" fontId="0" fillId="0" borderId="13" xfId="0" applyNumberFormat="1" applyFont="1" applyFill="1" applyBorder="1" applyAlignment="1">
      <alignment horizontal="center" vertical="center"/>
    </xf>
    <xf numFmtId="169" fontId="0" fillId="0" borderId="13" xfId="0" applyNumberFormat="1" applyFont="1" applyFill="1" applyBorder="1" applyAlignment="1">
      <alignment horizontal="center" vertical="center"/>
    </xf>
    <xf numFmtId="170" fontId="0" fillId="0" borderId="13" xfId="0" applyNumberFormat="1" applyFont="1" applyFill="1" applyBorder="1" applyAlignment="1">
      <alignment horizontal="center" vertical="center"/>
    </xf>
    <xf numFmtId="171" fontId="0" fillId="0" borderId="13" xfId="0" applyNumberFormat="1" applyFont="1" applyFill="1" applyBorder="1" applyAlignment="1">
      <alignment horizontal="center" vertical="center"/>
    </xf>
    <xf numFmtId="172" fontId="0" fillId="0" borderId="13" xfId="0" applyNumberFormat="1" applyFont="1" applyFill="1" applyBorder="1" applyAlignment="1">
      <alignment horizontal="center" vertical="center"/>
    </xf>
    <xf numFmtId="165" fontId="0" fillId="0" borderId="13" xfId="0" applyNumberFormat="1" applyFont="1" applyFill="1" applyBorder="1" applyAlignment="1">
      <alignment horizontal="center" vertical="center"/>
    </xf>
    <xf numFmtId="173" fontId="0" fillId="0" borderId="2" xfId="0" applyNumberFormat="1" applyFill="1" applyBorder="1"/>
    <xf numFmtId="0" fontId="0" fillId="0" borderId="17" xfId="0" applyBorder="1" applyAlignment="1">
      <alignment horizontal="center"/>
    </xf>
    <xf numFmtId="173" fontId="1" fillId="0" borderId="2" xfId="0" applyNumberFormat="1" applyFont="1" applyFill="1" applyBorder="1"/>
    <xf numFmtId="0" fontId="5" fillId="0" borderId="17" xfId="0" applyFont="1" applyBorder="1" applyAlignment="1">
      <alignment horizontal="center"/>
    </xf>
    <xf numFmtId="173" fontId="0" fillId="0" borderId="2" xfId="0" applyNumberFormat="1" applyBorder="1"/>
    <xf numFmtId="173" fontId="0" fillId="0" borderId="18" xfId="0" applyNumberFormat="1" applyBorder="1"/>
    <xf numFmtId="0" fontId="0" fillId="0" borderId="0" xfId="0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165" fontId="0" fillId="0" borderId="13" xfId="0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172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left"/>
    </xf>
    <xf numFmtId="170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167" fontId="0" fillId="0" borderId="0" xfId="0" applyNumberFormat="1" applyFont="1" applyFill="1" applyAlignment="1">
      <alignment horizontal="center"/>
    </xf>
    <xf numFmtId="4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0" fontId="8" fillId="0" borderId="1" xfId="0" applyNumberFormat="1" applyFont="1" applyFill="1" applyBorder="1" applyAlignment="1">
      <alignment horizontal="center"/>
    </xf>
    <xf numFmtId="165" fontId="8" fillId="0" borderId="1" xfId="16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quotePrefix="1"/>
    <xf numFmtId="0" fontId="0" fillId="3" borderId="14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 applyAlignment="1">
      <alignment horizontal="center"/>
    </xf>
    <xf numFmtId="0" fontId="0" fillId="0" borderId="14" xfId="0" applyFont="1" applyFill="1" applyBorder="1" applyAlignment="1">
      <alignment horizontal="center"/>
    </xf>
    <xf numFmtId="165" fontId="0" fillId="0" borderId="0" xfId="0" applyNumberFormat="1" applyFont="1" applyFill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49" fontId="1" fillId="4" borderId="13" xfId="0" applyNumberFormat="1" applyFont="1" applyFill="1" applyBorder="1" applyAlignment="1">
      <alignment horizontal="center"/>
    </xf>
    <xf numFmtId="167" fontId="0" fillId="4" borderId="13" xfId="0" applyNumberFormat="1" applyFont="1" applyFill="1" applyBorder="1" applyAlignment="1">
      <alignment horizontal="center"/>
    </xf>
    <xf numFmtId="168" fontId="0" fillId="4" borderId="13" xfId="0" applyNumberFormat="1" applyFont="1" applyFill="1" applyBorder="1" applyAlignment="1">
      <alignment horizontal="center"/>
    </xf>
    <xf numFmtId="169" fontId="0" fillId="4" borderId="13" xfId="0" applyNumberFormat="1" applyFont="1" applyFill="1" applyBorder="1" applyAlignment="1">
      <alignment horizontal="center"/>
    </xf>
    <xf numFmtId="170" fontId="0" fillId="4" borderId="13" xfId="0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3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172" fontId="1" fillId="4" borderId="13" xfId="0" applyNumberFormat="1" applyFont="1" applyFill="1" applyBorder="1" applyAlignment="1">
      <alignment horizontal="center"/>
    </xf>
    <xf numFmtId="9" fontId="0" fillId="4" borderId="13" xfId="15" applyFont="1" applyFill="1" applyBorder="1" applyAlignment="1">
      <alignment horizontal="center"/>
    </xf>
    <xf numFmtId="165" fontId="0" fillId="4" borderId="13" xfId="0" applyNumberFormat="1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/>
    </xf>
    <xf numFmtId="167" fontId="0" fillId="0" borderId="0" xfId="0" applyNumberFormat="1" applyFont="1" applyFill="1" applyBorder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9" fontId="0" fillId="0" borderId="0" xfId="0" applyNumberFormat="1" applyFont="1" applyFill="1" applyBorder="1" applyAlignment="1">
      <alignment horizontal="center"/>
    </xf>
    <xf numFmtId="170" fontId="0" fillId="0" borderId="0" xfId="0" applyNumberFormat="1" applyFont="1" applyFill="1" applyBorder="1" applyAlignment="1">
      <alignment horizontal="center"/>
    </xf>
    <xf numFmtId="171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72" fontId="0" fillId="0" borderId="0" xfId="0" applyNumberFormat="1" applyFont="1" applyFill="1" applyBorder="1" applyAlignment="1">
      <alignment horizontal="center"/>
    </xf>
    <xf numFmtId="9" fontId="0" fillId="0" borderId="0" xfId="15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167" fontId="0" fillId="0" borderId="22" xfId="0" applyNumberFormat="1" applyFont="1" applyFill="1" applyBorder="1" applyAlignment="1">
      <alignment horizontal="center"/>
    </xf>
    <xf numFmtId="168" fontId="0" fillId="0" borderId="22" xfId="0" applyNumberFormat="1" applyFont="1" applyFill="1" applyBorder="1" applyAlignment="1">
      <alignment horizontal="center"/>
    </xf>
    <xf numFmtId="169" fontId="0" fillId="0" borderId="22" xfId="0" applyNumberFormat="1" applyFont="1" applyFill="1" applyBorder="1" applyAlignment="1">
      <alignment horizontal="center"/>
    </xf>
    <xf numFmtId="170" fontId="0" fillId="0" borderId="22" xfId="0" applyNumberFormat="1" applyFont="1" applyFill="1" applyBorder="1" applyAlignment="1">
      <alignment horizontal="center"/>
    </xf>
    <xf numFmtId="0" fontId="1" fillId="0" borderId="22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172" fontId="1" fillId="0" borderId="22" xfId="0" applyNumberFormat="1" applyFont="1" applyFill="1" applyBorder="1" applyAlignment="1">
      <alignment horizontal="center"/>
    </xf>
    <xf numFmtId="9" fontId="0" fillId="0" borderId="22" xfId="15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0" xfId="0" applyNumberFormat="1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172" fontId="1" fillId="0" borderId="20" xfId="0" applyNumberFormat="1" applyFont="1" applyFill="1" applyBorder="1" applyAlignment="1">
      <alignment horizontal="center"/>
    </xf>
    <xf numFmtId="9" fontId="0" fillId="0" borderId="20" xfId="15" applyFont="1" applyFill="1" applyBorder="1" applyAlignment="1">
      <alignment horizontal="center"/>
    </xf>
    <xf numFmtId="165" fontId="0" fillId="0" borderId="20" xfId="0" applyNumberFormat="1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4" xfId="0" applyNumberFormat="1" applyFont="1" applyFill="1" applyBorder="1" applyAlignment="1">
      <alignment horizontal="center"/>
    </xf>
    <xf numFmtId="167" fontId="0" fillId="0" borderId="24" xfId="0" applyNumberFormat="1" applyFont="1" applyFill="1" applyBorder="1" applyAlignment="1">
      <alignment horizontal="center"/>
    </xf>
    <xf numFmtId="168" fontId="0" fillId="0" borderId="24" xfId="0" applyNumberFormat="1" applyFont="1" applyFill="1" applyBorder="1" applyAlignment="1">
      <alignment horizontal="center"/>
    </xf>
    <xf numFmtId="169" fontId="0" fillId="0" borderId="24" xfId="0" applyNumberFormat="1" applyFont="1" applyFill="1" applyBorder="1" applyAlignment="1">
      <alignment horizontal="center"/>
    </xf>
    <xf numFmtId="170" fontId="0" fillId="0" borderId="24" xfId="0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172" fontId="1" fillId="0" borderId="24" xfId="0" applyNumberFormat="1" applyFont="1" applyFill="1" applyBorder="1" applyAlignment="1">
      <alignment horizontal="center"/>
    </xf>
    <xf numFmtId="9" fontId="0" fillId="0" borderId="24" xfId="15" applyFont="1" applyFill="1" applyBorder="1" applyAlignment="1">
      <alignment horizontal="center"/>
    </xf>
    <xf numFmtId="165" fontId="0" fillId="0" borderId="24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172" fontId="1" fillId="0" borderId="16" xfId="0" applyNumberFormat="1" applyFont="1" applyFill="1" applyBorder="1" applyAlignment="1">
      <alignment horizontal="center"/>
    </xf>
    <xf numFmtId="165" fontId="0" fillId="0" borderId="16" xfId="0" applyNumberFormat="1" applyFont="1" applyFill="1" applyBorder="1" applyAlignment="1">
      <alignment horizontal="center"/>
    </xf>
    <xf numFmtId="165" fontId="0" fillId="0" borderId="22" xfId="0" applyNumberFormat="1" applyFont="1" applyFill="1" applyBorder="1" applyAlignment="1">
      <alignment horizontal="center"/>
    </xf>
    <xf numFmtId="167" fontId="1" fillId="0" borderId="24" xfId="0" applyNumberFormat="1" applyFont="1" applyFill="1" applyBorder="1" applyAlignment="1">
      <alignment horizontal="center"/>
    </xf>
    <xf numFmtId="168" fontId="1" fillId="0" borderId="24" xfId="0" applyNumberFormat="1" applyFont="1" applyFill="1" applyBorder="1" applyAlignment="1">
      <alignment horizontal="center"/>
    </xf>
    <xf numFmtId="169" fontId="1" fillId="0" borderId="24" xfId="0" applyNumberFormat="1" applyFont="1" applyFill="1" applyBorder="1" applyAlignment="1">
      <alignment horizontal="center"/>
    </xf>
    <xf numFmtId="170" fontId="1" fillId="0" borderId="24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165" fontId="0" fillId="0" borderId="13" xfId="0" applyNumberFormat="1" applyFont="1" applyFill="1" applyBorder="1" applyAlignment="1">
      <alignment/>
    </xf>
    <xf numFmtId="165" fontId="0" fillId="0" borderId="21" xfId="0" applyNumberFormat="1" applyFont="1" applyFill="1" applyBorder="1" applyAlignment="1">
      <alignment horizontal="center"/>
    </xf>
    <xf numFmtId="165" fontId="0" fillId="0" borderId="25" xfId="0" applyNumberFormat="1" applyFont="1" applyFill="1" applyBorder="1" applyAlignment="1">
      <alignment horizontal="center"/>
    </xf>
    <xf numFmtId="165" fontId="0" fillId="0" borderId="26" xfId="0" applyNumberFormat="1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 vertical="center" wrapText="1"/>
    </xf>
    <xf numFmtId="165" fontId="0" fillId="0" borderId="21" xfId="0" applyNumberFormat="1" applyFont="1" applyFill="1" applyBorder="1" applyAlignment="1">
      <alignment horizontal="center"/>
    </xf>
    <xf numFmtId="165" fontId="0" fillId="0" borderId="28" xfId="0" applyNumberFormat="1" applyFont="1" applyFill="1" applyBorder="1" applyAlignment="1">
      <alignment horizontal="center"/>
    </xf>
    <xf numFmtId="165" fontId="0" fillId="0" borderId="29" xfId="0" applyNumberFormat="1" applyFont="1" applyFill="1" applyBorder="1" applyAlignment="1">
      <alignment horizontal="center"/>
    </xf>
    <xf numFmtId="165" fontId="0" fillId="4" borderId="21" xfId="0" applyNumberFormat="1" applyFont="1" applyFill="1" applyBorder="1" applyAlignment="1">
      <alignment horizontal="center"/>
    </xf>
    <xf numFmtId="165" fontId="0" fillId="0" borderId="21" xfId="0" applyNumberFormat="1" applyFont="1" applyFill="1" applyBorder="1" applyAlignment="1">
      <alignment horizontal="center" vertical="center"/>
    </xf>
    <xf numFmtId="165" fontId="0" fillId="0" borderId="29" xfId="0" applyNumberFormat="1" applyFont="1" applyFill="1" applyBorder="1" applyAlignment="1">
      <alignment horizontal="center"/>
    </xf>
    <xf numFmtId="165" fontId="8" fillId="0" borderId="27" xfId="16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/>
    </xf>
    <xf numFmtId="49" fontId="1" fillId="0" borderId="32" xfId="0" applyNumberFormat="1" applyFont="1" applyFill="1" applyBorder="1" applyAlignment="1">
      <alignment horizontal="center"/>
    </xf>
    <xf numFmtId="167" fontId="0" fillId="0" borderId="32" xfId="0" applyNumberFormat="1" applyFont="1" applyFill="1" applyBorder="1" applyAlignment="1">
      <alignment horizontal="center"/>
    </xf>
    <xf numFmtId="168" fontId="0" fillId="0" borderId="32" xfId="0" applyNumberFormat="1" applyFont="1" applyFill="1" applyBorder="1" applyAlignment="1">
      <alignment horizontal="center"/>
    </xf>
    <xf numFmtId="169" fontId="0" fillId="0" borderId="32" xfId="0" applyNumberFormat="1" applyFont="1" applyFill="1" applyBorder="1" applyAlignment="1">
      <alignment horizontal="center"/>
    </xf>
    <xf numFmtId="170" fontId="0" fillId="0" borderId="32" xfId="0" applyNumberFormat="1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172" fontId="1" fillId="0" borderId="32" xfId="0" applyNumberFormat="1" applyFont="1" applyFill="1" applyBorder="1" applyAlignment="1">
      <alignment horizontal="center"/>
    </xf>
    <xf numFmtId="9" fontId="0" fillId="0" borderId="32" xfId="15" applyFont="1" applyFill="1" applyBorder="1" applyAlignment="1">
      <alignment horizontal="center"/>
    </xf>
    <xf numFmtId="165" fontId="0" fillId="0" borderId="32" xfId="0" applyNumberFormat="1" applyFont="1" applyFill="1" applyBorder="1" applyAlignment="1">
      <alignment horizontal="center"/>
    </xf>
    <xf numFmtId="165" fontId="0" fillId="0" borderId="33" xfId="0" applyNumberFormat="1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/>
    </xf>
    <xf numFmtId="167" fontId="0" fillId="0" borderId="34" xfId="0" applyNumberFormat="1" applyFont="1" applyFill="1" applyBorder="1" applyAlignment="1">
      <alignment horizontal="center"/>
    </xf>
    <xf numFmtId="168" fontId="0" fillId="0" borderId="34" xfId="0" applyNumberFormat="1" applyFont="1" applyFill="1" applyBorder="1" applyAlignment="1">
      <alignment horizontal="center"/>
    </xf>
    <xf numFmtId="169" fontId="0" fillId="0" borderId="34" xfId="0" applyNumberFormat="1" applyFont="1" applyFill="1" applyBorder="1" applyAlignment="1">
      <alignment horizontal="center"/>
    </xf>
    <xf numFmtId="170" fontId="0" fillId="0" borderId="34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4" xfId="0" applyNumberFormat="1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172" fontId="1" fillId="0" borderId="34" xfId="0" applyNumberFormat="1" applyFont="1" applyFill="1" applyBorder="1" applyAlignment="1">
      <alignment horizontal="center"/>
    </xf>
    <xf numFmtId="9" fontId="0" fillId="0" borderId="34" xfId="15" applyFont="1" applyFill="1" applyBorder="1" applyAlignment="1">
      <alignment horizontal="center"/>
    </xf>
    <xf numFmtId="165" fontId="0" fillId="0" borderId="34" xfId="0" applyNumberFormat="1" applyFont="1" applyFill="1" applyBorder="1" applyAlignment="1">
      <alignment horizontal="center"/>
    </xf>
    <xf numFmtId="165" fontId="0" fillId="0" borderId="35" xfId="0" applyNumberFormat="1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/>
    </xf>
    <xf numFmtId="49" fontId="1" fillId="4" borderId="20" xfId="0" applyNumberFormat="1" applyFont="1" applyFill="1" applyBorder="1" applyAlignment="1">
      <alignment horizontal="center"/>
    </xf>
    <xf numFmtId="167" fontId="0" fillId="4" borderId="20" xfId="0" applyNumberFormat="1" applyFont="1" applyFill="1" applyBorder="1" applyAlignment="1">
      <alignment horizontal="center"/>
    </xf>
    <xf numFmtId="168" fontId="0" fillId="4" borderId="20" xfId="0" applyNumberFormat="1" applyFont="1" applyFill="1" applyBorder="1" applyAlignment="1">
      <alignment horizontal="center"/>
    </xf>
    <xf numFmtId="169" fontId="0" fillId="4" borderId="20" xfId="0" applyNumberFormat="1" applyFont="1" applyFill="1" applyBorder="1" applyAlignment="1">
      <alignment horizontal="center"/>
    </xf>
    <xf numFmtId="170" fontId="0" fillId="4" borderId="20" xfId="0" applyNumberFormat="1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NumberFormat="1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172" fontId="1" fillId="4" borderId="20" xfId="0" applyNumberFormat="1" applyFont="1" applyFill="1" applyBorder="1" applyAlignment="1">
      <alignment horizontal="center"/>
    </xf>
    <xf numFmtId="9" fontId="0" fillId="4" borderId="20" xfId="15" applyFont="1" applyFill="1" applyBorder="1" applyAlignment="1">
      <alignment horizontal="center"/>
    </xf>
    <xf numFmtId="165" fontId="0" fillId="4" borderId="20" xfId="0" applyNumberFormat="1" applyFont="1" applyFill="1" applyBorder="1" applyAlignment="1">
      <alignment horizontal="center"/>
    </xf>
    <xf numFmtId="165" fontId="0" fillId="4" borderId="25" xfId="0" applyNumberFormat="1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NumberFormat="1" applyFont="1" applyFill="1" applyBorder="1" applyAlignment="1">
      <alignment horizontal="center"/>
    </xf>
    <xf numFmtId="0" fontId="0" fillId="0" borderId="32" xfId="0" applyNumberFormat="1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167" fontId="0" fillId="0" borderId="36" xfId="0" applyNumberFormat="1" applyFont="1" applyFill="1" applyBorder="1" applyAlignment="1">
      <alignment horizontal="center"/>
    </xf>
    <xf numFmtId="168" fontId="0" fillId="0" borderId="36" xfId="0" applyNumberFormat="1" applyFont="1" applyFill="1" applyBorder="1" applyAlignment="1">
      <alignment horizontal="center"/>
    </xf>
    <xf numFmtId="169" fontId="0" fillId="0" borderId="36" xfId="0" applyNumberFormat="1" applyFont="1" applyFill="1" applyBorder="1" applyAlignment="1">
      <alignment horizontal="center"/>
    </xf>
    <xf numFmtId="170" fontId="0" fillId="0" borderId="36" xfId="0" applyNumberFormat="1" applyFont="1" applyFill="1" applyBorder="1" applyAlignment="1">
      <alignment horizontal="center"/>
    </xf>
    <xf numFmtId="0" fontId="1" fillId="0" borderId="36" xfId="0" applyNumberFormat="1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172" fontId="1" fillId="0" borderId="36" xfId="0" applyNumberFormat="1" applyFont="1" applyFill="1" applyBorder="1" applyAlignment="1">
      <alignment horizontal="center"/>
    </xf>
    <xf numFmtId="9" fontId="0" fillId="0" borderId="36" xfId="15" applyFont="1" applyFill="1" applyBorder="1" applyAlignment="1">
      <alignment horizontal="center"/>
    </xf>
    <xf numFmtId="165" fontId="0" fillId="0" borderId="36" xfId="0" applyNumberFormat="1" applyFont="1" applyFill="1" applyBorder="1" applyAlignment="1">
      <alignment horizontal="center"/>
    </xf>
    <xf numFmtId="165" fontId="0" fillId="0" borderId="37" xfId="0" applyNumberFormat="1" applyFont="1" applyFill="1" applyBorder="1" applyAlignment="1">
      <alignment horizontal="center"/>
    </xf>
    <xf numFmtId="165" fontId="0" fillId="0" borderId="38" xfId="0" applyNumberFormat="1" applyFont="1" applyFill="1" applyBorder="1" applyAlignment="1">
      <alignment horizontal="center"/>
    </xf>
    <xf numFmtId="170" fontId="1" fillId="0" borderId="22" xfId="0" applyNumberFormat="1" applyFont="1" applyFill="1" applyBorder="1" applyAlignment="1">
      <alignment horizontal="center"/>
    </xf>
    <xf numFmtId="167" fontId="1" fillId="0" borderId="22" xfId="0" applyNumberFormat="1" applyFont="1" applyFill="1" applyBorder="1" applyAlignment="1">
      <alignment horizontal="center"/>
    </xf>
    <xf numFmtId="167" fontId="0" fillId="0" borderId="20" xfId="0" applyNumberFormat="1" applyFont="1" applyFill="1" applyBorder="1" applyAlignment="1">
      <alignment horizontal="center" vertical="center"/>
    </xf>
    <xf numFmtId="168" fontId="0" fillId="0" borderId="20" xfId="0" applyNumberFormat="1" applyFont="1" applyFill="1" applyBorder="1" applyAlignment="1">
      <alignment horizontal="center" vertical="center"/>
    </xf>
    <xf numFmtId="169" fontId="0" fillId="0" borderId="20" xfId="0" applyNumberFormat="1" applyFont="1" applyFill="1" applyBorder="1" applyAlignment="1">
      <alignment horizontal="center" vertical="center"/>
    </xf>
    <xf numFmtId="170" fontId="0" fillId="0" borderId="20" xfId="0" applyNumberFormat="1" applyFont="1" applyFill="1" applyBorder="1" applyAlignment="1">
      <alignment horizontal="center" vertical="center"/>
    </xf>
    <xf numFmtId="171" fontId="0" fillId="0" borderId="20" xfId="0" applyNumberFormat="1" applyFont="1" applyFill="1" applyBorder="1" applyAlignment="1">
      <alignment horizontal="center" vertical="center"/>
    </xf>
    <xf numFmtId="172" fontId="0" fillId="0" borderId="20" xfId="0" applyNumberFormat="1" applyFont="1" applyFill="1" applyBorder="1" applyAlignment="1">
      <alignment horizontal="center" vertical="center"/>
    </xf>
    <xf numFmtId="165" fontId="0" fillId="0" borderId="20" xfId="0" applyNumberFormat="1" applyFont="1" applyFill="1" applyBorder="1" applyAlignment="1">
      <alignment horizontal="center" vertical="center"/>
    </xf>
    <xf numFmtId="165" fontId="0" fillId="0" borderId="25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/>
    </xf>
    <xf numFmtId="171" fontId="0" fillId="0" borderId="24" xfId="0" applyNumberFormat="1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172" fontId="0" fillId="0" borderId="24" xfId="0" applyNumberFormat="1" applyFont="1" applyFill="1" applyBorder="1" applyAlignment="1">
      <alignment horizontal="center"/>
    </xf>
    <xf numFmtId="165" fontId="0" fillId="0" borderId="24" xfId="0" applyNumberFormat="1" applyFont="1" applyFill="1" applyBorder="1" applyAlignment="1">
      <alignment horizontal="center"/>
    </xf>
    <xf numFmtId="165" fontId="0" fillId="0" borderId="28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/>
    </xf>
    <xf numFmtId="0" fontId="0" fillId="0" borderId="32" xfId="0" applyNumberFormat="1" applyFont="1" applyFill="1" applyBorder="1" applyAlignment="1">
      <alignment horizontal="left"/>
    </xf>
    <xf numFmtId="171" fontId="0" fillId="0" borderId="32" xfId="0" applyNumberFormat="1" applyFont="1" applyFill="1" applyBorder="1" applyAlignment="1">
      <alignment horizontal="center"/>
    </xf>
    <xf numFmtId="49" fontId="0" fillId="0" borderId="32" xfId="0" applyNumberFormat="1" applyFont="1" applyFill="1" applyBorder="1" applyAlignment="1">
      <alignment horizontal="left"/>
    </xf>
    <xf numFmtId="0" fontId="7" fillId="0" borderId="32" xfId="0" applyFont="1" applyFill="1" applyBorder="1" applyAlignment="1">
      <alignment horizontal="center"/>
    </xf>
    <xf numFmtId="172" fontId="0" fillId="0" borderId="32" xfId="0" applyNumberFormat="1" applyFont="1" applyFill="1" applyBorder="1" applyAlignment="1">
      <alignment horizontal="center"/>
    </xf>
    <xf numFmtId="165" fontId="0" fillId="0" borderId="32" xfId="0" applyNumberFormat="1" applyFont="1" applyFill="1" applyBorder="1" applyAlignment="1">
      <alignment horizontal="center"/>
    </xf>
    <xf numFmtId="165" fontId="0" fillId="0" borderId="33" xfId="0" applyNumberFormat="1" applyFont="1" applyFill="1" applyBorder="1" applyAlignment="1">
      <alignment horizontal="center"/>
    </xf>
    <xf numFmtId="0" fontId="0" fillId="0" borderId="32" xfId="0" applyNumberFormat="1" applyFont="1" applyFill="1" applyBorder="1" applyAlignment="1">
      <alignment horizontal="left"/>
    </xf>
    <xf numFmtId="49" fontId="0" fillId="0" borderId="32" xfId="0" applyNumberFormat="1" applyFont="1" applyFill="1" applyBorder="1" applyAlignment="1">
      <alignment horizontal="left"/>
    </xf>
    <xf numFmtId="172" fontId="0" fillId="0" borderId="32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36" xfId="0" applyNumberFormat="1" applyFont="1" applyFill="1" applyBorder="1" applyAlignment="1">
      <alignment horizontal="center"/>
    </xf>
    <xf numFmtId="0" fontId="0" fillId="0" borderId="34" xfId="0" applyNumberFormat="1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0" fillId="0" borderId="39" xfId="0" applyNumberFormat="1" applyFont="1" applyFill="1" applyBorder="1" applyAlignment="1">
      <alignment horizontal="center"/>
    </xf>
    <xf numFmtId="167" fontId="0" fillId="0" borderId="39" xfId="0" applyNumberFormat="1" applyFont="1" applyFill="1" applyBorder="1" applyAlignment="1">
      <alignment horizontal="center"/>
    </xf>
    <xf numFmtId="168" fontId="0" fillId="0" borderId="39" xfId="0" applyNumberFormat="1" applyFont="1" applyFill="1" applyBorder="1" applyAlignment="1">
      <alignment horizontal="center"/>
    </xf>
    <xf numFmtId="169" fontId="0" fillId="0" borderId="39" xfId="0" applyNumberFormat="1" applyFont="1" applyFill="1" applyBorder="1" applyAlignment="1">
      <alignment horizontal="center"/>
    </xf>
    <xf numFmtId="170" fontId="0" fillId="0" borderId="39" xfId="0" applyNumberFormat="1" applyFont="1" applyFill="1" applyBorder="1" applyAlignment="1">
      <alignment horizontal="center"/>
    </xf>
    <xf numFmtId="14" fontId="0" fillId="0" borderId="39" xfId="0" applyNumberFormat="1" applyFont="1" applyFill="1" applyBorder="1" applyAlignment="1">
      <alignment horizontal="center"/>
    </xf>
    <xf numFmtId="0" fontId="1" fillId="0" borderId="39" xfId="0" applyNumberFormat="1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172" fontId="1" fillId="0" borderId="39" xfId="0" applyNumberFormat="1" applyFont="1" applyFill="1" applyBorder="1" applyAlignment="1">
      <alignment horizontal="center"/>
    </xf>
    <xf numFmtId="9" fontId="0" fillId="0" borderId="39" xfId="15" applyFont="1" applyFill="1" applyBorder="1" applyAlignment="1">
      <alignment horizontal="center"/>
    </xf>
    <xf numFmtId="165" fontId="0" fillId="0" borderId="39" xfId="0" applyNumberFormat="1" applyFont="1" applyFill="1" applyBorder="1" applyAlignment="1">
      <alignment horizontal="center"/>
    </xf>
    <xf numFmtId="165" fontId="0" fillId="0" borderId="40" xfId="0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0" fontId="0" fillId="4" borderId="21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14" fontId="0" fillId="0" borderId="32" xfId="0" applyNumberFormat="1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/>
    </xf>
    <xf numFmtId="14" fontId="0" fillId="0" borderId="34" xfId="0" applyNumberFormat="1" applyFont="1" applyFill="1" applyBorder="1" applyAlignment="1">
      <alignment horizontal="center"/>
    </xf>
    <xf numFmtId="0" fontId="0" fillId="5" borderId="38" xfId="0" applyFont="1" applyFill="1" applyBorder="1" applyAlignment="1">
      <alignment horizontal="center" vertical="center"/>
    </xf>
    <xf numFmtId="0" fontId="0" fillId="5" borderId="43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/>
    </xf>
    <xf numFmtId="0" fontId="0" fillId="4" borderId="3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0" fillId="4" borderId="32" xfId="0" applyNumberFormat="1" applyFont="1" applyFill="1" applyBorder="1" applyAlignment="1">
      <alignment horizontal="center"/>
    </xf>
    <xf numFmtId="167" fontId="0" fillId="4" borderId="32" xfId="0" applyNumberFormat="1" applyFont="1" applyFill="1" applyBorder="1" applyAlignment="1">
      <alignment horizontal="center"/>
    </xf>
    <xf numFmtId="168" fontId="0" fillId="4" borderId="32" xfId="0" applyNumberFormat="1" applyFont="1" applyFill="1" applyBorder="1" applyAlignment="1">
      <alignment horizontal="center"/>
    </xf>
    <xf numFmtId="169" fontId="0" fillId="4" borderId="32" xfId="0" applyNumberFormat="1" applyFont="1" applyFill="1" applyBorder="1" applyAlignment="1">
      <alignment horizontal="center"/>
    </xf>
    <xf numFmtId="170" fontId="0" fillId="4" borderId="32" xfId="0" applyNumberFormat="1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4" borderId="32" xfId="0" applyNumberFormat="1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172" fontId="1" fillId="4" borderId="32" xfId="0" applyNumberFormat="1" applyFont="1" applyFill="1" applyBorder="1" applyAlignment="1">
      <alignment horizontal="center"/>
    </xf>
    <xf numFmtId="9" fontId="0" fillId="4" borderId="32" xfId="15" applyFont="1" applyFill="1" applyBorder="1" applyAlignment="1">
      <alignment horizontal="center"/>
    </xf>
    <xf numFmtId="165" fontId="0" fillId="4" borderId="32" xfId="0" applyNumberFormat="1" applyFont="1" applyFill="1" applyBorder="1" applyAlignment="1">
      <alignment horizontal="center"/>
    </xf>
    <xf numFmtId="165" fontId="0" fillId="4" borderId="33" xfId="0" applyNumberFormat="1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0" fillId="0" borderId="36" xfId="0" applyNumberFormat="1" applyFont="1" applyFill="1" applyBorder="1" applyAlignment="1">
      <alignment horizontal="left"/>
    </xf>
    <xf numFmtId="171" fontId="0" fillId="0" borderId="36" xfId="0" applyNumberFormat="1" applyFont="1" applyFill="1" applyBorder="1" applyAlignment="1">
      <alignment horizontal="center"/>
    </xf>
    <xf numFmtId="49" fontId="0" fillId="0" borderId="36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/>
    </xf>
    <xf numFmtId="172" fontId="0" fillId="0" borderId="36" xfId="0" applyNumberFormat="1" applyFont="1" applyFill="1" applyBorder="1" applyAlignment="1">
      <alignment horizontal="center"/>
    </xf>
    <xf numFmtId="165" fontId="0" fillId="0" borderId="36" xfId="0" applyNumberFormat="1" applyFont="1" applyFill="1" applyBorder="1" applyAlignment="1">
      <alignment horizontal="center"/>
    </xf>
    <xf numFmtId="165" fontId="0" fillId="0" borderId="44" xfId="0" applyNumberFormat="1" applyFont="1" applyFill="1" applyBorder="1" applyAlignment="1">
      <alignment horizontal="center"/>
    </xf>
    <xf numFmtId="0" fontId="0" fillId="0" borderId="39" xfId="0" applyNumberFormat="1" applyFont="1" applyFill="1" applyBorder="1" applyAlignment="1">
      <alignment horizontal="left"/>
    </xf>
    <xf numFmtId="171" fontId="0" fillId="0" borderId="39" xfId="0" applyNumberFormat="1" applyFont="1" applyFill="1" applyBorder="1" applyAlignment="1">
      <alignment horizontal="center"/>
    </xf>
    <xf numFmtId="49" fontId="0" fillId="0" borderId="39" xfId="0" applyNumberFormat="1" applyFont="1" applyFill="1" applyBorder="1" applyAlignment="1">
      <alignment horizontal="left"/>
    </xf>
    <xf numFmtId="0" fontId="7" fillId="0" borderId="39" xfId="0" applyFont="1" applyFill="1" applyBorder="1" applyAlignment="1">
      <alignment horizontal="center"/>
    </xf>
    <xf numFmtId="172" fontId="0" fillId="0" borderId="39" xfId="0" applyNumberFormat="1" applyFont="1" applyFill="1" applyBorder="1" applyAlignment="1">
      <alignment horizontal="center"/>
    </xf>
    <xf numFmtId="165" fontId="0" fillId="0" borderId="39" xfId="0" applyNumberFormat="1" applyFont="1" applyFill="1" applyBorder="1" applyAlignment="1">
      <alignment horizontal="center"/>
    </xf>
    <xf numFmtId="165" fontId="0" fillId="0" borderId="45" xfId="0" applyNumberFormat="1" applyFont="1" applyFill="1" applyBorder="1" applyAlignment="1">
      <alignment horizontal="center"/>
    </xf>
    <xf numFmtId="0" fontId="0" fillId="0" borderId="34" xfId="0" applyNumberFormat="1" applyFont="1" applyFill="1" applyBorder="1" applyAlignment="1">
      <alignment horizontal="left"/>
    </xf>
    <xf numFmtId="171" fontId="0" fillId="0" borderId="34" xfId="0" applyNumberFormat="1" applyFont="1" applyFill="1" applyBorder="1" applyAlignment="1">
      <alignment horizontal="center"/>
    </xf>
    <xf numFmtId="49" fontId="0" fillId="0" borderId="34" xfId="0" applyNumberFormat="1" applyFont="1" applyFill="1" applyBorder="1" applyAlignment="1">
      <alignment horizontal="left"/>
    </xf>
    <xf numFmtId="0" fontId="7" fillId="0" borderId="34" xfId="0" applyFont="1" applyFill="1" applyBorder="1" applyAlignment="1">
      <alignment horizontal="center"/>
    </xf>
    <xf numFmtId="172" fontId="0" fillId="0" borderId="34" xfId="0" applyNumberFormat="1" applyFont="1" applyFill="1" applyBorder="1" applyAlignment="1">
      <alignment horizontal="center"/>
    </xf>
    <xf numFmtId="165" fontId="0" fillId="0" borderId="34" xfId="0" applyNumberFormat="1" applyFont="1" applyFill="1" applyBorder="1" applyAlignment="1">
      <alignment horizontal="center"/>
    </xf>
    <xf numFmtId="165" fontId="0" fillId="0" borderId="46" xfId="0" applyNumberFormat="1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0" fillId="0" borderId="36" xfId="0" applyNumberFormat="1" applyFont="1" applyFill="1" applyBorder="1" applyAlignment="1">
      <alignment horizontal="center" vertical="center"/>
    </xf>
    <xf numFmtId="167" fontId="0" fillId="0" borderId="36" xfId="0" applyNumberFormat="1" applyFont="1" applyFill="1" applyBorder="1" applyAlignment="1">
      <alignment horizontal="center" vertical="center"/>
    </xf>
    <xf numFmtId="168" fontId="0" fillId="0" borderId="36" xfId="0" applyNumberFormat="1" applyFont="1" applyFill="1" applyBorder="1" applyAlignment="1">
      <alignment horizontal="center" vertical="center"/>
    </xf>
    <xf numFmtId="169" fontId="0" fillId="0" borderId="36" xfId="0" applyNumberFormat="1" applyFont="1" applyFill="1" applyBorder="1" applyAlignment="1">
      <alignment horizontal="center" vertical="center"/>
    </xf>
    <xf numFmtId="170" fontId="0" fillId="0" borderId="36" xfId="0" applyNumberFormat="1" applyFont="1" applyFill="1" applyBorder="1" applyAlignment="1">
      <alignment horizontal="center" vertical="center"/>
    </xf>
    <xf numFmtId="171" fontId="0" fillId="0" borderId="36" xfId="0" applyNumberFormat="1" applyFont="1" applyFill="1" applyBorder="1" applyAlignment="1">
      <alignment horizontal="center" vertical="center"/>
    </xf>
    <xf numFmtId="172" fontId="0" fillId="0" borderId="36" xfId="0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44" xfId="0" applyNumberFormat="1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0" fillId="0" borderId="34" xfId="0" applyNumberFormat="1" applyFont="1" applyFill="1" applyBorder="1" applyAlignment="1">
      <alignment horizontal="center" vertical="center"/>
    </xf>
    <xf numFmtId="167" fontId="0" fillId="0" borderId="34" xfId="0" applyNumberFormat="1" applyFont="1" applyFill="1" applyBorder="1" applyAlignment="1">
      <alignment horizontal="center" vertical="center"/>
    </xf>
    <xf numFmtId="168" fontId="0" fillId="0" borderId="34" xfId="0" applyNumberFormat="1" applyFont="1" applyFill="1" applyBorder="1" applyAlignment="1">
      <alignment horizontal="center" vertical="center"/>
    </xf>
    <xf numFmtId="169" fontId="0" fillId="0" borderId="34" xfId="0" applyNumberFormat="1" applyFont="1" applyFill="1" applyBorder="1" applyAlignment="1">
      <alignment horizontal="center" vertical="center"/>
    </xf>
    <xf numFmtId="170" fontId="0" fillId="0" borderId="34" xfId="0" applyNumberFormat="1" applyFont="1" applyFill="1" applyBorder="1" applyAlignment="1">
      <alignment horizontal="center" vertical="center"/>
    </xf>
    <xf numFmtId="171" fontId="0" fillId="0" borderId="34" xfId="0" applyNumberFormat="1" applyFont="1" applyFill="1" applyBorder="1" applyAlignment="1">
      <alignment horizontal="center" vertical="center"/>
    </xf>
    <xf numFmtId="172" fontId="0" fillId="0" borderId="34" xfId="0" applyNumberFormat="1" applyFont="1" applyFill="1" applyBorder="1" applyAlignment="1">
      <alignment horizontal="center" vertical="center"/>
    </xf>
    <xf numFmtId="165" fontId="0" fillId="0" borderId="34" xfId="0" applyNumberFormat="1" applyFont="1" applyFill="1" applyBorder="1" applyAlignment="1">
      <alignment horizontal="center" vertical="center"/>
    </xf>
    <xf numFmtId="165" fontId="0" fillId="0" borderId="46" xfId="0" applyNumberFormat="1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0" fillId="0" borderId="39" xfId="0" applyNumberFormat="1" applyFont="1" applyFill="1" applyBorder="1" applyAlignment="1">
      <alignment horizontal="center" vertical="center"/>
    </xf>
    <xf numFmtId="167" fontId="0" fillId="0" borderId="39" xfId="0" applyNumberFormat="1" applyFont="1" applyFill="1" applyBorder="1" applyAlignment="1">
      <alignment horizontal="center" vertical="center"/>
    </xf>
    <xf numFmtId="168" fontId="0" fillId="0" borderId="39" xfId="0" applyNumberFormat="1" applyFont="1" applyFill="1" applyBorder="1" applyAlignment="1">
      <alignment horizontal="center" vertical="center"/>
    </xf>
    <xf numFmtId="169" fontId="0" fillId="0" borderId="39" xfId="0" applyNumberFormat="1" applyFont="1" applyFill="1" applyBorder="1" applyAlignment="1">
      <alignment horizontal="center" vertical="center"/>
    </xf>
    <xf numFmtId="170" fontId="0" fillId="0" borderId="39" xfId="0" applyNumberFormat="1" applyFont="1" applyFill="1" applyBorder="1" applyAlignment="1">
      <alignment horizontal="center" vertical="center"/>
    </xf>
    <xf numFmtId="171" fontId="0" fillId="0" borderId="39" xfId="0" applyNumberFormat="1" applyFont="1" applyFill="1" applyBorder="1" applyAlignment="1">
      <alignment horizontal="center" vertical="center"/>
    </xf>
    <xf numFmtId="172" fontId="0" fillId="0" borderId="39" xfId="0" applyNumberFormat="1" applyFont="1" applyFill="1" applyBorder="1" applyAlignment="1">
      <alignment horizontal="center" vertical="center"/>
    </xf>
    <xf numFmtId="165" fontId="0" fillId="0" borderId="39" xfId="0" applyNumberFormat="1" applyFont="1" applyFill="1" applyBorder="1" applyAlignment="1">
      <alignment horizontal="center" vertical="center"/>
    </xf>
    <xf numFmtId="165" fontId="0" fillId="0" borderId="45" xfId="0" applyNumberFormat="1" applyFont="1" applyFill="1" applyBorder="1" applyAlignment="1">
      <alignment horizontal="center" vertical="center"/>
    </xf>
    <xf numFmtId="165" fontId="0" fillId="0" borderId="44" xfId="0" applyNumberFormat="1" applyFont="1" applyFill="1" applyBorder="1" applyAlignment="1">
      <alignment horizontal="center"/>
    </xf>
    <xf numFmtId="165" fontId="0" fillId="0" borderId="45" xfId="0" applyNumberFormat="1" applyFont="1" applyFill="1" applyBorder="1" applyAlignment="1">
      <alignment horizontal="center"/>
    </xf>
    <xf numFmtId="14" fontId="0" fillId="0" borderId="36" xfId="0" applyNumberFormat="1" applyFont="1" applyFill="1" applyBorder="1" applyAlignment="1">
      <alignment horizontal="center"/>
    </xf>
    <xf numFmtId="165" fontId="0" fillId="0" borderId="46" xfId="0" applyNumberFormat="1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0" fillId="0" borderId="47" xfId="0" applyNumberFormat="1" applyFont="1" applyFill="1" applyBorder="1" applyAlignment="1">
      <alignment horizontal="center"/>
    </xf>
    <xf numFmtId="167" fontId="0" fillId="0" borderId="47" xfId="0" applyNumberFormat="1" applyFont="1" applyFill="1" applyBorder="1" applyAlignment="1">
      <alignment horizontal="center"/>
    </xf>
    <xf numFmtId="168" fontId="0" fillId="0" borderId="47" xfId="0" applyNumberFormat="1" applyFont="1" applyFill="1" applyBorder="1" applyAlignment="1">
      <alignment horizontal="center"/>
    </xf>
    <xf numFmtId="169" fontId="0" fillId="0" borderId="47" xfId="0" applyNumberFormat="1" applyFont="1" applyFill="1" applyBorder="1" applyAlignment="1">
      <alignment horizontal="center"/>
    </xf>
    <xf numFmtId="170" fontId="0" fillId="0" borderId="47" xfId="0" applyNumberFormat="1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1" fillId="0" borderId="47" xfId="0" applyNumberFormat="1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172" fontId="1" fillId="0" borderId="47" xfId="0" applyNumberFormat="1" applyFont="1" applyFill="1" applyBorder="1" applyAlignment="1">
      <alignment horizontal="center"/>
    </xf>
    <xf numFmtId="9" fontId="0" fillId="0" borderId="47" xfId="15" applyFont="1" applyFill="1" applyBorder="1" applyAlignment="1">
      <alignment horizontal="center"/>
    </xf>
    <xf numFmtId="165" fontId="0" fillId="0" borderId="47" xfId="0" applyNumberFormat="1" applyFont="1" applyFill="1" applyBorder="1" applyAlignment="1">
      <alignment horizontal="center"/>
    </xf>
    <xf numFmtId="165" fontId="0" fillId="0" borderId="48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72" fontId="1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65" fontId="0" fillId="0" borderId="49" xfId="0" applyNumberFormat="1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0" fillId="0" borderId="30" xfId="0" applyNumberFormat="1" applyFont="1" applyFill="1" applyBorder="1" applyAlignment="1">
      <alignment horizontal="center"/>
    </xf>
    <xf numFmtId="167" fontId="0" fillId="0" borderId="30" xfId="0" applyNumberFormat="1" applyFont="1" applyFill="1" applyBorder="1" applyAlignment="1">
      <alignment horizontal="center"/>
    </xf>
    <xf numFmtId="168" fontId="0" fillId="0" borderId="30" xfId="0" applyNumberFormat="1" applyFont="1" applyFill="1" applyBorder="1" applyAlignment="1">
      <alignment horizontal="center"/>
    </xf>
    <xf numFmtId="169" fontId="0" fillId="0" borderId="30" xfId="0" applyNumberFormat="1" applyFont="1" applyFill="1" applyBorder="1" applyAlignment="1">
      <alignment horizontal="center"/>
    </xf>
    <xf numFmtId="170" fontId="0" fillId="0" borderId="30" xfId="0" applyNumberFormat="1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172" fontId="1" fillId="0" borderId="30" xfId="0" applyNumberFormat="1" applyFont="1" applyFill="1" applyBorder="1" applyAlignment="1">
      <alignment horizontal="center"/>
    </xf>
    <xf numFmtId="9" fontId="0" fillId="0" borderId="30" xfId="15" applyFont="1" applyFill="1" applyBorder="1" applyAlignment="1">
      <alignment horizontal="center"/>
    </xf>
    <xf numFmtId="165" fontId="0" fillId="0" borderId="30" xfId="0" applyNumberFormat="1" applyFont="1" applyFill="1" applyBorder="1" applyAlignment="1">
      <alignment horizontal="center"/>
    </xf>
    <xf numFmtId="165" fontId="0" fillId="0" borderId="50" xfId="0" applyNumberFormat="1" applyFont="1" applyFill="1" applyBorder="1" applyAlignment="1">
      <alignment horizontal="center"/>
    </xf>
    <xf numFmtId="168" fontId="1" fillId="0" borderId="22" xfId="0" applyNumberFormat="1" applyFont="1" applyFill="1" applyBorder="1" applyAlignment="1">
      <alignment horizontal="center"/>
    </xf>
    <xf numFmtId="169" fontId="1" fillId="0" borderId="22" xfId="0" applyNumberFormat="1" applyFont="1" applyFill="1" applyBorder="1" applyAlignment="1">
      <alignment horizontal="center"/>
    </xf>
    <xf numFmtId="165" fontId="0" fillId="0" borderId="51" xfId="0" applyNumberFormat="1" applyFont="1" applyFill="1" applyBorder="1" applyAlignment="1">
      <alignment horizontal="center"/>
    </xf>
    <xf numFmtId="165" fontId="0" fillId="0" borderId="52" xfId="0" applyNumberFormat="1" applyFont="1" applyFill="1" applyBorder="1" applyAlignment="1">
      <alignment horizontal="center"/>
    </xf>
    <xf numFmtId="165" fontId="0" fillId="0" borderId="53" xfId="0" applyNumberFormat="1" applyFont="1" applyFill="1" applyBorder="1" applyAlignment="1">
      <alignment horizontal="center"/>
    </xf>
    <xf numFmtId="14" fontId="1" fillId="0" borderId="24" xfId="0" applyNumberFormat="1" applyFont="1" applyFill="1" applyBorder="1" applyAlignment="1">
      <alignment horizontal="center"/>
    </xf>
    <xf numFmtId="167" fontId="1" fillId="0" borderId="16" xfId="0" applyNumberFormat="1" applyFont="1" applyFill="1" applyBorder="1" applyAlignment="1">
      <alignment horizontal="center"/>
    </xf>
    <xf numFmtId="168" fontId="1" fillId="0" borderId="16" xfId="0" applyNumberFormat="1" applyFont="1" applyFill="1" applyBorder="1" applyAlignment="1">
      <alignment horizontal="center"/>
    </xf>
    <xf numFmtId="169" fontId="1" fillId="0" borderId="16" xfId="0" applyNumberFormat="1" applyFont="1" applyFill="1" applyBorder="1" applyAlignment="1">
      <alignment horizontal="center"/>
    </xf>
    <xf numFmtId="170" fontId="1" fillId="0" borderId="16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NumberFormat="1" applyFont="1" applyFill="1" applyAlignment="1">
      <alignment horizontal="left"/>
    </xf>
    <xf numFmtId="170" fontId="0" fillId="0" borderId="0" xfId="0" applyNumberFormat="1" applyFont="1" applyFill="1" applyAlignment="1">
      <alignment horizontal="center"/>
    </xf>
    <xf numFmtId="167" fontId="0" fillId="0" borderId="0" xfId="0" applyNumberFormat="1" applyFont="1" applyFill="1" applyAlignment="1">
      <alignment horizontal="center"/>
    </xf>
    <xf numFmtId="4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/>
    </xf>
    <xf numFmtId="0" fontId="3" fillId="0" borderId="0" xfId="0" applyNumberFormat="1" applyFont="1" applyFill="1" applyAlignment="1">
      <alignment horizontal="left"/>
    </xf>
    <xf numFmtId="170" fontId="3" fillId="0" borderId="0" xfId="0" applyNumberFormat="1" applyFont="1" applyFill="1" applyAlignment="1">
      <alignment horizontal="center"/>
    </xf>
    <xf numFmtId="167" fontId="3" fillId="0" borderId="0" xfId="0" applyNumberFormat="1" applyFont="1" applyFill="1" applyAlignment="1">
      <alignment horizontal="center"/>
    </xf>
    <xf numFmtId="4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Font="1"/>
    <xf numFmtId="0" fontId="11" fillId="0" borderId="0" xfId="0" applyFont="1" applyFill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" fontId="0" fillId="0" borderId="21" xfId="0" applyNumberFormat="1" applyFont="1" applyFill="1" applyBorder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9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/>
    </xf>
    <xf numFmtId="49" fontId="1" fillId="6" borderId="13" xfId="0" applyNumberFormat="1" applyFont="1" applyFill="1" applyBorder="1" applyAlignment="1">
      <alignment horizontal="center"/>
    </xf>
    <xf numFmtId="49" fontId="1" fillId="6" borderId="22" xfId="0" applyNumberFormat="1" applyFont="1" applyFill="1" applyBorder="1" applyAlignment="1">
      <alignment horizontal="center"/>
    </xf>
    <xf numFmtId="49" fontId="1" fillId="6" borderId="32" xfId="0" applyNumberFormat="1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167" fontId="0" fillId="0" borderId="13" xfId="0" applyNumberFormat="1" applyFont="1" applyFill="1" applyBorder="1" applyAlignment="1">
      <alignment horizontal="center"/>
    </xf>
    <xf numFmtId="168" fontId="0" fillId="0" borderId="13" xfId="0" applyNumberFormat="1" applyFont="1" applyFill="1" applyBorder="1" applyAlignment="1">
      <alignment horizontal="center"/>
    </xf>
    <xf numFmtId="169" fontId="0" fillId="0" borderId="13" xfId="0" applyNumberFormat="1" applyFont="1" applyFill="1" applyBorder="1" applyAlignment="1">
      <alignment horizontal="center"/>
    </xf>
    <xf numFmtId="170" fontId="0" fillId="0" borderId="13" xfId="0" applyNumberFormat="1" applyFont="1" applyFill="1" applyBorder="1" applyAlignment="1">
      <alignment horizontal="center"/>
    </xf>
    <xf numFmtId="171" fontId="0" fillId="0" borderId="13" xfId="0" applyNumberFormat="1" applyFont="1" applyFill="1" applyBorder="1" applyAlignment="1">
      <alignment horizontal="center"/>
    </xf>
    <xf numFmtId="0" fontId="0" fillId="0" borderId="13" xfId="0" applyNumberFormat="1" applyFont="1" applyFill="1" applyBorder="1" applyAlignment="1">
      <alignment horizontal="center"/>
    </xf>
    <xf numFmtId="9" fontId="0" fillId="0" borderId="13" xfId="15" applyFont="1" applyFill="1" applyBorder="1" applyAlignment="1">
      <alignment horizontal="center"/>
    </xf>
    <xf numFmtId="171" fontId="1" fillId="0" borderId="13" xfId="0" applyNumberFormat="1" applyFont="1" applyFill="1" applyBorder="1" applyAlignment="1">
      <alignment horizontal="center"/>
    </xf>
    <xf numFmtId="1" fontId="0" fillId="0" borderId="2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1" fontId="0" fillId="0" borderId="13" xfId="0" applyNumberFormat="1" applyFont="1" applyFill="1" applyBorder="1" applyAlignment="1" quotePrefix="1">
      <alignment horizontal="center"/>
    </xf>
    <xf numFmtId="166" fontId="0" fillId="0" borderId="0" xfId="16" applyFont="1" applyFill="1" applyAlignment="1">
      <alignment horizontal="center"/>
    </xf>
    <xf numFmtId="165" fontId="0" fillId="4" borderId="0" xfId="0" applyNumberFormat="1" applyFont="1" applyFill="1" applyBorder="1" applyAlignment="1">
      <alignment horizontal="center"/>
    </xf>
    <xf numFmtId="165" fontId="0" fillId="0" borderId="47" xfId="0" applyNumberFormat="1" applyFont="1" applyFill="1" applyBorder="1" applyAlignment="1">
      <alignment horizontal="center"/>
    </xf>
    <xf numFmtId="165" fontId="0" fillId="0" borderId="30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 vertical="center"/>
    </xf>
    <xf numFmtId="165" fontId="0" fillId="4" borderId="38" xfId="0" applyNumberFormat="1" applyFont="1" applyFill="1" applyBorder="1" applyAlignment="1">
      <alignment horizontal="center"/>
    </xf>
    <xf numFmtId="165" fontId="0" fillId="0" borderId="48" xfId="0" applyNumberFormat="1" applyFont="1" applyFill="1" applyBorder="1" applyAlignment="1">
      <alignment horizontal="center" vertical="center"/>
    </xf>
    <xf numFmtId="165" fontId="0" fillId="0" borderId="49" xfId="0" applyNumberFormat="1" applyFont="1" applyFill="1" applyBorder="1" applyAlignment="1">
      <alignment horizontal="center" vertical="center"/>
    </xf>
    <xf numFmtId="165" fontId="0" fillId="0" borderId="50" xfId="0" applyNumberFormat="1" applyFont="1" applyFill="1" applyBorder="1" applyAlignment="1">
      <alignment horizontal="center" vertical="center"/>
    </xf>
    <xf numFmtId="165" fontId="0" fillId="0" borderId="48" xfId="0" applyNumberFormat="1" applyFont="1" applyFill="1" applyBorder="1" applyAlignment="1">
      <alignment horizontal="center"/>
    </xf>
    <xf numFmtId="165" fontId="0" fillId="0" borderId="49" xfId="0" applyNumberFormat="1" applyFont="1" applyFill="1" applyBorder="1" applyAlignment="1">
      <alignment horizontal="center"/>
    </xf>
    <xf numFmtId="165" fontId="0" fillId="0" borderId="50" xfId="0" applyNumberFormat="1" applyFont="1" applyFill="1" applyBorder="1" applyAlignment="1">
      <alignment horizontal="center"/>
    </xf>
    <xf numFmtId="165" fontId="0" fillId="0" borderId="38" xfId="0" applyNumberFormat="1" applyFont="1" applyFill="1" applyBorder="1" applyAlignment="1">
      <alignment horizontal="center"/>
    </xf>
    <xf numFmtId="166" fontId="0" fillId="0" borderId="0" xfId="0" applyNumberFormat="1" applyFont="1" applyFill="1" applyAlignment="1">
      <alignment horizontal="center"/>
    </xf>
    <xf numFmtId="40" fontId="0" fillId="7" borderId="32" xfId="0" applyNumberFormat="1" applyFont="1" applyFill="1" applyBorder="1" applyAlignment="1">
      <alignment horizontal="center"/>
    </xf>
    <xf numFmtId="40" fontId="0" fillId="7" borderId="38" xfId="0" applyNumberFormat="1" applyFont="1" applyFill="1" applyBorder="1" applyAlignment="1">
      <alignment horizontal="center"/>
    </xf>
    <xf numFmtId="40" fontId="0" fillId="7" borderId="20" xfId="0" applyNumberFormat="1" applyFont="1" applyFill="1" applyBorder="1" applyAlignment="1">
      <alignment horizontal="center"/>
    </xf>
    <xf numFmtId="40" fontId="0" fillId="7" borderId="13" xfId="0" applyNumberFormat="1" applyFont="1" applyFill="1" applyBorder="1" applyAlignment="1">
      <alignment horizontal="center"/>
    </xf>
    <xf numFmtId="40" fontId="0" fillId="7" borderId="22" xfId="0" applyNumberFormat="1" applyFont="1" applyFill="1" applyBorder="1" applyAlignment="1">
      <alignment horizontal="center"/>
    </xf>
    <xf numFmtId="174" fontId="0" fillId="0" borderId="48" xfId="0" applyNumberFormat="1" applyFont="1" applyFill="1" applyBorder="1" applyAlignment="1">
      <alignment horizontal="center" vertical="center"/>
    </xf>
    <xf numFmtId="174" fontId="0" fillId="0" borderId="49" xfId="0" applyNumberFormat="1" applyFont="1" applyFill="1" applyBorder="1" applyAlignment="1">
      <alignment horizontal="center" vertical="center"/>
    </xf>
    <xf numFmtId="174" fontId="0" fillId="0" borderId="50" xfId="0" applyNumberFormat="1" applyFont="1" applyFill="1" applyBorder="1" applyAlignment="1">
      <alignment horizontal="center" vertical="center"/>
    </xf>
    <xf numFmtId="174" fontId="0" fillId="0" borderId="47" xfId="0" applyNumberFormat="1" applyFont="1" applyFill="1" applyBorder="1" applyAlignment="1">
      <alignment horizontal="center"/>
    </xf>
    <xf numFmtId="174" fontId="0" fillId="0" borderId="0" xfId="0" applyNumberFormat="1" applyFont="1" applyFill="1" applyBorder="1" applyAlignment="1">
      <alignment horizontal="center"/>
    </xf>
    <xf numFmtId="174" fontId="0" fillId="0" borderId="30" xfId="0" applyNumberFormat="1" applyFont="1" applyFill="1" applyBorder="1" applyAlignment="1">
      <alignment horizontal="center"/>
    </xf>
    <xf numFmtId="174" fontId="0" fillId="0" borderId="48" xfId="0" applyNumberFormat="1" applyFont="1" applyFill="1" applyBorder="1" applyAlignment="1">
      <alignment horizontal="center"/>
    </xf>
    <xf numFmtId="174" fontId="0" fillId="0" borderId="49" xfId="0" applyNumberFormat="1" applyFont="1" applyFill="1" applyBorder="1" applyAlignment="1">
      <alignment horizontal="center"/>
    </xf>
    <xf numFmtId="174" fontId="0" fillId="0" borderId="50" xfId="0" applyNumberFormat="1" applyFont="1" applyFill="1" applyBorder="1" applyAlignment="1">
      <alignment horizontal="center"/>
    </xf>
    <xf numFmtId="174" fontId="0" fillId="0" borderId="38" xfId="0" applyNumberFormat="1" applyFont="1" applyFill="1" applyBorder="1" applyAlignment="1">
      <alignment horizontal="center"/>
    </xf>
    <xf numFmtId="174" fontId="0" fillId="0" borderId="0" xfId="0" applyNumberFormat="1" applyFont="1" applyFill="1" applyBorder="1" applyAlignment="1">
      <alignment horizontal="center"/>
    </xf>
    <xf numFmtId="174" fontId="0" fillId="0" borderId="47" xfId="0" applyNumberFormat="1" applyFont="1" applyFill="1" applyBorder="1" applyAlignment="1">
      <alignment horizontal="center"/>
    </xf>
    <xf numFmtId="174" fontId="0" fillId="0" borderId="30" xfId="0" applyNumberFormat="1" applyFont="1" applyFill="1" applyBorder="1" applyAlignment="1">
      <alignment horizontal="center"/>
    </xf>
    <xf numFmtId="174" fontId="0" fillId="0" borderId="48" xfId="0" applyNumberFormat="1" applyFont="1" applyFill="1" applyBorder="1" applyAlignment="1">
      <alignment horizontal="center"/>
    </xf>
    <xf numFmtId="174" fontId="0" fillId="0" borderId="49" xfId="0" applyNumberFormat="1" applyFont="1" applyFill="1" applyBorder="1" applyAlignment="1">
      <alignment horizontal="center"/>
    </xf>
    <xf numFmtId="174" fontId="0" fillId="0" borderId="50" xfId="0" applyNumberFormat="1" applyFont="1" applyFill="1" applyBorder="1" applyAlignment="1">
      <alignment horizontal="center"/>
    </xf>
    <xf numFmtId="174" fontId="0" fillId="0" borderId="38" xfId="0" applyNumberFormat="1" applyFont="1" applyFill="1" applyBorder="1" applyAlignment="1">
      <alignment horizontal="center"/>
    </xf>
    <xf numFmtId="174" fontId="0" fillId="4" borderId="0" xfId="0" applyNumberFormat="1" applyFont="1" applyFill="1" applyBorder="1" applyAlignment="1">
      <alignment horizontal="center"/>
    </xf>
    <xf numFmtId="174" fontId="0" fillId="0" borderId="0" xfId="0" applyNumberFormat="1" applyFont="1" applyFill="1" applyBorder="1" applyAlignment="1">
      <alignment horizontal="center" vertical="center"/>
    </xf>
    <xf numFmtId="174" fontId="0" fillId="4" borderId="38" xfId="0" applyNumberFormat="1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9" fontId="0" fillId="0" borderId="36" xfId="15" applyFont="1" applyFill="1" applyBorder="1" applyAlignment="1">
      <alignment horizontal="center" vertical="center"/>
    </xf>
    <xf numFmtId="9" fontId="0" fillId="0" borderId="34" xfId="15" applyFont="1" applyFill="1" applyBorder="1" applyAlignment="1">
      <alignment horizontal="center" vertical="center"/>
    </xf>
    <xf numFmtId="9" fontId="0" fillId="0" borderId="39" xfId="15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9" fontId="0" fillId="0" borderId="20" xfId="15" applyFont="1" applyFill="1" applyBorder="1" applyAlignment="1">
      <alignment horizontal="center" vertical="center"/>
    </xf>
    <xf numFmtId="9" fontId="0" fillId="0" borderId="13" xfId="15" applyFont="1" applyFill="1" applyBorder="1" applyAlignment="1">
      <alignment horizontal="center" vertical="center"/>
    </xf>
    <xf numFmtId="174" fontId="0" fillId="0" borderId="43" xfId="0" applyNumberFormat="1" applyFont="1" applyFill="1" applyBorder="1" applyAlignment="1">
      <alignment horizontal="center"/>
    </xf>
    <xf numFmtId="40" fontId="0" fillId="0" borderId="13" xfId="0" applyNumberFormat="1" applyFont="1" applyFill="1" applyBorder="1" applyAlignment="1" applyProtection="1">
      <alignment horizontal="center"/>
      <protection locked="0"/>
    </xf>
    <xf numFmtId="40" fontId="0" fillId="0" borderId="13" xfId="0" applyNumberFormat="1" applyFont="1" applyFill="1" applyBorder="1" applyAlignment="1">
      <alignment horizontal="center"/>
    </xf>
    <xf numFmtId="40" fontId="0" fillId="0" borderId="13" xfId="0" applyNumberFormat="1" applyFont="1" applyFill="1" applyBorder="1" applyAlignment="1">
      <alignment horizontal="center"/>
    </xf>
    <xf numFmtId="40" fontId="0" fillId="0" borderId="22" xfId="0" applyNumberFormat="1" applyFont="1" applyFill="1" applyBorder="1" applyAlignment="1">
      <alignment horizontal="center"/>
    </xf>
    <xf numFmtId="40" fontId="0" fillId="0" borderId="24" xfId="0" applyNumberFormat="1" applyFont="1" applyFill="1" applyBorder="1" applyAlignment="1">
      <alignment horizontal="center"/>
    </xf>
    <xf numFmtId="40" fontId="0" fillId="0" borderId="16" xfId="0" applyNumberFormat="1" applyFont="1" applyFill="1" applyBorder="1" applyAlignment="1">
      <alignment horizontal="center"/>
    </xf>
    <xf numFmtId="40" fontId="0" fillId="0" borderId="20" xfId="0" applyNumberFormat="1" applyFont="1" applyFill="1" applyBorder="1" applyAlignment="1">
      <alignment horizontal="center"/>
    </xf>
    <xf numFmtId="40" fontId="0" fillId="0" borderId="32" xfId="0" applyNumberFormat="1" applyFont="1" applyFill="1" applyBorder="1" applyAlignment="1">
      <alignment horizontal="center"/>
    </xf>
    <xf numFmtId="40" fontId="0" fillId="0" borderId="34" xfId="0" applyNumberFormat="1" applyFont="1" applyFill="1" applyBorder="1" applyAlignment="1">
      <alignment horizontal="center"/>
    </xf>
    <xf numFmtId="40" fontId="0" fillId="0" borderId="20" xfId="0" applyNumberFormat="1" applyFont="1" applyFill="1" applyBorder="1" applyAlignment="1">
      <alignment horizontal="center" vertical="center"/>
    </xf>
    <xf numFmtId="40" fontId="0" fillId="0" borderId="13" xfId="0" applyNumberFormat="1" applyFont="1" applyFill="1" applyBorder="1" applyAlignment="1">
      <alignment horizontal="center" vertical="center"/>
    </xf>
    <xf numFmtId="40" fontId="1" fillId="0" borderId="32" xfId="0" applyNumberFormat="1" applyFont="1" applyFill="1" applyBorder="1" applyAlignment="1">
      <alignment horizontal="center"/>
    </xf>
    <xf numFmtId="40" fontId="0" fillId="0" borderId="47" xfId="0" applyNumberFormat="1" applyFont="1" applyFill="1" applyBorder="1" applyAlignment="1">
      <alignment horizontal="center"/>
    </xf>
    <xf numFmtId="40" fontId="0" fillId="0" borderId="30" xfId="0" applyNumberFormat="1" applyFont="1" applyFill="1" applyBorder="1" applyAlignment="1">
      <alignment horizontal="center"/>
    </xf>
    <xf numFmtId="40" fontId="0" fillId="0" borderId="36" xfId="0" applyNumberFormat="1" applyFont="1" applyFill="1" applyBorder="1" applyAlignment="1">
      <alignment horizontal="center"/>
    </xf>
    <xf numFmtId="40" fontId="0" fillId="0" borderId="39" xfId="0" applyNumberFormat="1" applyFont="1" applyFill="1" applyBorder="1" applyAlignment="1">
      <alignment horizontal="center"/>
    </xf>
    <xf numFmtId="165" fontId="0" fillId="0" borderId="22" xfId="0" applyNumberFormat="1" applyFont="1" applyFill="1" applyBorder="1" applyAlignment="1">
      <alignment horizontal="center"/>
    </xf>
    <xf numFmtId="165" fontId="0" fillId="0" borderId="26" xfId="0" applyNumberFormat="1" applyFont="1" applyFill="1" applyBorder="1" applyAlignment="1">
      <alignment horizontal="center"/>
    </xf>
    <xf numFmtId="49" fontId="1" fillId="0" borderId="34" xfId="0" applyNumberFormat="1" applyFont="1" applyFill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167" fontId="0" fillId="0" borderId="20" xfId="0" applyNumberFormat="1" applyFont="1" applyFill="1" applyBorder="1" applyAlignment="1">
      <alignment horizontal="center"/>
    </xf>
    <xf numFmtId="168" fontId="0" fillId="0" borderId="20" xfId="0" applyNumberFormat="1" applyFont="1" applyFill="1" applyBorder="1" applyAlignment="1">
      <alignment horizontal="center"/>
    </xf>
    <xf numFmtId="169" fontId="0" fillId="0" borderId="20" xfId="0" applyNumberFormat="1" applyFont="1" applyFill="1" applyBorder="1" applyAlignment="1">
      <alignment horizontal="center"/>
    </xf>
    <xf numFmtId="170" fontId="0" fillId="0" borderId="20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0" fontId="0" fillId="0" borderId="22" xfId="0" applyNumberFormat="1" applyFont="1" applyFill="1" applyBorder="1" applyAlignment="1">
      <alignment horizontal="center"/>
    </xf>
    <xf numFmtId="171" fontId="0" fillId="0" borderId="22" xfId="0" applyNumberFormat="1" applyFont="1" applyFill="1" applyBorder="1" applyAlignment="1">
      <alignment horizontal="center"/>
    </xf>
    <xf numFmtId="49" fontId="0" fillId="0" borderId="22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172" fontId="0" fillId="0" borderId="22" xfId="0" applyNumberFormat="1" applyFont="1" applyFill="1" applyBorder="1" applyAlignment="1">
      <alignment horizontal="center"/>
    </xf>
    <xf numFmtId="0" fontId="0" fillId="8" borderId="14" xfId="0" applyFont="1" applyFill="1" applyBorder="1" applyAlignment="1">
      <alignment horizontal="center"/>
    </xf>
    <xf numFmtId="0" fontId="0" fillId="8" borderId="13" xfId="0" applyFont="1" applyFill="1" applyBorder="1" applyAlignment="1">
      <alignment horizontal="center"/>
    </xf>
    <xf numFmtId="0" fontId="0" fillId="8" borderId="13" xfId="0" applyFont="1" applyFill="1" applyBorder="1" applyAlignment="1">
      <alignment horizontal="center"/>
    </xf>
    <xf numFmtId="0" fontId="0" fillId="8" borderId="20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3" fillId="8" borderId="20" xfId="0" applyFont="1" applyFill="1" applyBorder="1" applyAlignment="1">
      <alignment horizontal="center"/>
    </xf>
    <xf numFmtId="167" fontId="0" fillId="8" borderId="20" xfId="0" applyNumberFormat="1" applyFont="1" applyFill="1" applyBorder="1" applyAlignment="1">
      <alignment horizontal="center"/>
    </xf>
    <xf numFmtId="168" fontId="0" fillId="8" borderId="20" xfId="0" applyNumberFormat="1" applyFont="1" applyFill="1" applyBorder="1" applyAlignment="1">
      <alignment horizontal="center"/>
    </xf>
    <xf numFmtId="169" fontId="0" fillId="8" borderId="20" xfId="0" applyNumberFormat="1" applyFont="1" applyFill="1" applyBorder="1" applyAlignment="1">
      <alignment horizontal="center"/>
    </xf>
    <xf numFmtId="170" fontId="0" fillId="8" borderId="20" xfId="0" applyNumberFormat="1" applyFont="1" applyFill="1" applyBorder="1" applyAlignment="1">
      <alignment horizontal="center"/>
    </xf>
    <xf numFmtId="167" fontId="1" fillId="8" borderId="20" xfId="0" applyNumberFormat="1" applyFont="1" applyFill="1" applyBorder="1" applyAlignment="1">
      <alignment horizontal="center"/>
    </xf>
    <xf numFmtId="168" fontId="1" fillId="8" borderId="20" xfId="0" applyNumberFormat="1" applyFont="1" applyFill="1" applyBorder="1" applyAlignment="1">
      <alignment horizontal="center"/>
    </xf>
    <xf numFmtId="169" fontId="1" fillId="8" borderId="20" xfId="0" applyNumberFormat="1" applyFont="1" applyFill="1" applyBorder="1" applyAlignment="1">
      <alignment horizontal="center"/>
    </xf>
    <xf numFmtId="170" fontId="1" fillId="8" borderId="20" xfId="0" applyNumberFormat="1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40" fontId="0" fillId="8" borderId="20" xfId="0" applyNumberFormat="1" applyFont="1" applyFill="1" applyBorder="1" applyAlignment="1">
      <alignment horizontal="center"/>
    </xf>
    <xf numFmtId="0" fontId="1" fillId="8" borderId="20" xfId="0" applyNumberFormat="1" applyFont="1" applyFill="1" applyBorder="1" applyAlignment="1">
      <alignment horizontal="center"/>
    </xf>
    <xf numFmtId="0" fontId="6" fillId="8" borderId="20" xfId="0" applyFont="1" applyFill="1" applyBorder="1" applyAlignment="1">
      <alignment horizontal="center"/>
    </xf>
    <xf numFmtId="172" fontId="1" fillId="8" borderId="20" xfId="0" applyNumberFormat="1" applyFont="1" applyFill="1" applyBorder="1" applyAlignment="1">
      <alignment horizontal="center"/>
    </xf>
    <xf numFmtId="9" fontId="0" fillId="8" borderId="20" xfId="15" applyFont="1" applyFill="1" applyBorder="1" applyAlignment="1">
      <alignment horizontal="center"/>
    </xf>
    <xf numFmtId="165" fontId="0" fillId="8" borderId="20" xfId="0" applyNumberFormat="1" applyFont="1" applyFill="1" applyBorder="1" applyAlignment="1">
      <alignment horizontal="center"/>
    </xf>
    <xf numFmtId="165" fontId="0" fillId="8" borderId="25" xfId="0" applyNumberFormat="1" applyFont="1" applyFill="1" applyBorder="1" applyAlignment="1">
      <alignment horizontal="center"/>
    </xf>
    <xf numFmtId="165" fontId="0" fillId="8" borderId="0" xfId="0" applyNumberFormat="1" applyFont="1" applyFill="1" applyBorder="1" applyAlignment="1">
      <alignment horizontal="center"/>
    </xf>
    <xf numFmtId="174" fontId="0" fillId="8" borderId="0" xfId="0" applyNumberFormat="1" applyFont="1" applyFill="1" applyBorder="1" applyAlignment="1">
      <alignment horizontal="center"/>
    </xf>
    <xf numFmtId="167" fontId="0" fillId="8" borderId="13" xfId="0" applyNumberFormat="1" applyFont="1" applyFill="1" applyBorder="1" applyAlignment="1">
      <alignment horizontal="center"/>
    </xf>
    <xf numFmtId="168" fontId="0" fillId="8" borderId="13" xfId="0" applyNumberFormat="1" applyFont="1" applyFill="1" applyBorder="1" applyAlignment="1">
      <alignment horizontal="center"/>
    </xf>
    <xf numFmtId="169" fontId="0" fillId="8" borderId="13" xfId="0" applyNumberFormat="1" applyFont="1" applyFill="1" applyBorder="1" applyAlignment="1">
      <alignment horizontal="center"/>
    </xf>
    <xf numFmtId="170" fontId="0" fillId="8" borderId="13" xfId="0" applyNumberFormat="1" applyFont="1" applyFill="1" applyBorder="1" applyAlignment="1">
      <alignment horizontal="center"/>
    </xf>
    <xf numFmtId="167" fontId="1" fillId="8" borderId="13" xfId="0" applyNumberFormat="1" applyFont="1" applyFill="1" applyBorder="1" applyAlignment="1">
      <alignment horizontal="center"/>
    </xf>
    <xf numFmtId="168" fontId="1" fillId="8" borderId="13" xfId="0" applyNumberFormat="1" applyFont="1" applyFill="1" applyBorder="1" applyAlignment="1">
      <alignment horizontal="center"/>
    </xf>
    <xf numFmtId="169" fontId="1" fillId="8" borderId="13" xfId="0" applyNumberFormat="1" applyFont="1" applyFill="1" applyBorder="1" applyAlignment="1">
      <alignment horizontal="center"/>
    </xf>
    <xf numFmtId="170" fontId="1" fillId="8" borderId="13" xfId="0" applyNumberFormat="1" applyFont="1" applyFill="1" applyBorder="1" applyAlignment="1">
      <alignment horizontal="center"/>
    </xf>
    <xf numFmtId="40" fontId="0" fillId="8" borderId="13" xfId="0" applyNumberFormat="1" applyFont="1" applyFill="1" applyBorder="1" applyAlignment="1">
      <alignment horizontal="center"/>
    </xf>
    <xf numFmtId="0" fontId="1" fillId="8" borderId="13" xfId="0" applyNumberFormat="1" applyFont="1" applyFill="1" applyBorder="1" applyAlignment="1">
      <alignment horizontal="center"/>
    </xf>
    <xf numFmtId="0" fontId="6" fillId="8" borderId="13" xfId="0" applyFont="1" applyFill="1" applyBorder="1" applyAlignment="1">
      <alignment horizontal="center"/>
    </xf>
    <xf numFmtId="172" fontId="1" fillId="8" borderId="13" xfId="0" applyNumberFormat="1" applyFont="1" applyFill="1" applyBorder="1" applyAlignment="1">
      <alignment horizontal="center"/>
    </xf>
    <xf numFmtId="9" fontId="0" fillId="8" borderId="13" xfId="15" applyFont="1" applyFill="1" applyBorder="1" applyAlignment="1">
      <alignment horizontal="center"/>
    </xf>
    <xf numFmtId="165" fontId="0" fillId="8" borderId="13" xfId="0" applyNumberFormat="1" applyFont="1" applyFill="1" applyBorder="1" applyAlignment="1">
      <alignment horizontal="center"/>
    </xf>
    <xf numFmtId="165" fontId="0" fillId="8" borderId="21" xfId="0" applyNumberFormat="1" applyFont="1" applyFill="1" applyBorder="1" applyAlignment="1">
      <alignment horizontal="center"/>
    </xf>
    <xf numFmtId="49" fontId="1" fillId="8" borderId="20" xfId="0" applyNumberFormat="1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49" fontId="1" fillId="8" borderId="13" xfId="0" applyNumberFormat="1" applyFont="1" applyFill="1" applyBorder="1" applyAlignment="1">
      <alignment horizontal="center"/>
    </xf>
    <xf numFmtId="0" fontId="3" fillId="8" borderId="22" xfId="0" applyFont="1" applyFill="1" applyBorder="1" applyAlignment="1">
      <alignment horizontal="center"/>
    </xf>
    <xf numFmtId="0" fontId="0" fillId="8" borderId="54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0" fillId="8" borderId="34" xfId="0" applyFont="1" applyFill="1" applyBorder="1" applyAlignment="1">
      <alignment horizontal="center" vertical="center"/>
    </xf>
    <xf numFmtId="167" fontId="0" fillId="8" borderId="34" xfId="0" applyNumberFormat="1" applyFont="1" applyFill="1" applyBorder="1" applyAlignment="1">
      <alignment horizontal="center" vertical="center"/>
    </xf>
    <xf numFmtId="168" fontId="0" fillId="8" borderId="34" xfId="0" applyNumberFormat="1" applyFont="1" applyFill="1" applyBorder="1" applyAlignment="1">
      <alignment horizontal="center" vertical="center"/>
    </xf>
    <xf numFmtId="169" fontId="0" fillId="8" borderId="34" xfId="0" applyNumberFormat="1" applyFont="1" applyFill="1" applyBorder="1" applyAlignment="1">
      <alignment horizontal="center" vertical="center"/>
    </xf>
    <xf numFmtId="170" fontId="0" fillId="8" borderId="34" xfId="0" applyNumberFormat="1" applyFont="1" applyFill="1" applyBorder="1" applyAlignment="1">
      <alignment horizontal="center" vertical="center"/>
    </xf>
    <xf numFmtId="171" fontId="0" fillId="8" borderId="34" xfId="0" applyNumberFormat="1" applyFont="1" applyFill="1" applyBorder="1" applyAlignment="1">
      <alignment horizontal="center" vertical="center"/>
    </xf>
    <xf numFmtId="40" fontId="0" fillId="8" borderId="34" xfId="0" applyNumberFormat="1" applyFont="1" applyFill="1" applyBorder="1" applyAlignment="1">
      <alignment horizontal="center" vertical="center"/>
    </xf>
    <xf numFmtId="172" fontId="0" fillId="8" borderId="34" xfId="0" applyNumberFormat="1" applyFont="1" applyFill="1" applyBorder="1" applyAlignment="1">
      <alignment horizontal="center" vertical="center"/>
    </xf>
    <xf numFmtId="9" fontId="0" fillId="8" borderId="34" xfId="15" applyFont="1" applyFill="1" applyBorder="1" applyAlignment="1">
      <alignment horizontal="center" vertical="center"/>
    </xf>
    <xf numFmtId="165" fontId="0" fillId="8" borderId="34" xfId="0" applyNumberFormat="1" applyFont="1" applyFill="1" applyBorder="1" applyAlignment="1">
      <alignment horizontal="center" vertical="center"/>
    </xf>
    <xf numFmtId="165" fontId="0" fillId="8" borderId="35" xfId="0" applyNumberFormat="1" applyFont="1" applyFill="1" applyBorder="1" applyAlignment="1">
      <alignment horizontal="center" vertical="center"/>
    </xf>
    <xf numFmtId="165" fontId="0" fillId="8" borderId="0" xfId="0" applyNumberFormat="1" applyFont="1" applyFill="1" applyBorder="1" applyAlignment="1">
      <alignment horizontal="center" vertical="center"/>
    </xf>
    <xf numFmtId="174" fontId="0" fillId="8" borderId="0" xfId="0" applyNumberFormat="1" applyFont="1" applyFill="1" applyBorder="1" applyAlignment="1">
      <alignment horizontal="center" vertical="center"/>
    </xf>
    <xf numFmtId="1" fontId="0" fillId="8" borderId="21" xfId="0" applyNumberFormat="1" applyFont="1" applyFill="1" applyBorder="1" applyAlignment="1">
      <alignment horizontal="center"/>
    </xf>
    <xf numFmtId="0" fontId="0" fillId="8" borderId="13" xfId="0" applyNumberFormat="1" applyFont="1" applyFill="1" applyBorder="1" applyAlignment="1">
      <alignment horizontal="center"/>
    </xf>
    <xf numFmtId="0" fontId="0" fillId="8" borderId="22" xfId="0" applyFont="1" applyFill="1" applyBorder="1" applyAlignment="1">
      <alignment horizontal="center"/>
    </xf>
    <xf numFmtId="0" fontId="0" fillId="8" borderId="22" xfId="0" applyNumberFormat="1" applyFont="1" applyFill="1" applyBorder="1" applyAlignment="1">
      <alignment horizontal="center"/>
    </xf>
    <xf numFmtId="167" fontId="0" fillId="8" borderId="22" xfId="0" applyNumberFormat="1" applyFont="1" applyFill="1" applyBorder="1" applyAlignment="1">
      <alignment horizontal="center"/>
    </xf>
    <xf numFmtId="168" fontId="0" fillId="8" borderId="22" xfId="0" applyNumberFormat="1" applyFont="1" applyFill="1" applyBorder="1" applyAlignment="1">
      <alignment horizontal="center"/>
    </xf>
    <xf numFmtId="169" fontId="0" fillId="8" borderId="22" xfId="0" applyNumberFormat="1" applyFont="1" applyFill="1" applyBorder="1" applyAlignment="1">
      <alignment horizontal="center"/>
    </xf>
    <xf numFmtId="170" fontId="0" fillId="8" borderId="22" xfId="0" applyNumberFormat="1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/>
    </xf>
    <xf numFmtId="40" fontId="0" fillId="8" borderId="22" xfId="0" applyNumberFormat="1" applyFont="1" applyFill="1" applyBorder="1" applyAlignment="1">
      <alignment horizontal="center"/>
    </xf>
    <xf numFmtId="0" fontId="1" fillId="8" borderId="22" xfId="0" applyNumberFormat="1" applyFont="1" applyFill="1" applyBorder="1" applyAlignment="1">
      <alignment horizontal="center"/>
    </xf>
    <xf numFmtId="0" fontId="6" fillId="8" borderId="22" xfId="0" applyFont="1" applyFill="1" applyBorder="1" applyAlignment="1">
      <alignment horizontal="center"/>
    </xf>
    <xf numFmtId="172" fontId="1" fillId="8" borderId="22" xfId="0" applyNumberFormat="1" applyFont="1" applyFill="1" applyBorder="1" applyAlignment="1">
      <alignment horizontal="center"/>
    </xf>
    <xf numFmtId="9" fontId="0" fillId="8" borderId="22" xfId="15" applyFont="1" applyFill="1" applyBorder="1" applyAlignment="1">
      <alignment horizontal="center"/>
    </xf>
    <xf numFmtId="165" fontId="0" fillId="8" borderId="22" xfId="0" applyNumberFormat="1" applyFont="1" applyFill="1" applyBorder="1" applyAlignment="1">
      <alignment horizontal="center"/>
    </xf>
    <xf numFmtId="165" fontId="0" fillId="8" borderId="26" xfId="0" applyNumberFormat="1" applyFont="1" applyFill="1" applyBorder="1" applyAlignment="1">
      <alignment horizontal="center"/>
    </xf>
    <xf numFmtId="0" fontId="0" fillId="7" borderId="13" xfId="0" applyFont="1" applyFill="1" applyBorder="1" applyAlignment="1">
      <alignment horizontal="center"/>
    </xf>
    <xf numFmtId="0" fontId="0" fillId="7" borderId="13" xfId="0" applyFont="1" applyFill="1" applyBorder="1" applyAlignment="1">
      <alignment horizontal="center"/>
    </xf>
    <xf numFmtId="0" fontId="0" fillId="7" borderId="20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49" fontId="1" fillId="7" borderId="20" xfId="0" applyNumberFormat="1" applyFont="1" applyFill="1" applyBorder="1" applyAlignment="1">
      <alignment horizontal="center"/>
    </xf>
    <xf numFmtId="167" fontId="0" fillId="7" borderId="20" xfId="0" applyNumberFormat="1" applyFont="1" applyFill="1" applyBorder="1" applyAlignment="1">
      <alignment horizontal="center"/>
    </xf>
    <xf numFmtId="168" fontId="0" fillId="7" borderId="20" xfId="0" applyNumberFormat="1" applyFont="1" applyFill="1" applyBorder="1" applyAlignment="1">
      <alignment horizontal="center"/>
    </xf>
    <xf numFmtId="169" fontId="0" fillId="7" borderId="20" xfId="0" applyNumberFormat="1" applyFont="1" applyFill="1" applyBorder="1" applyAlignment="1">
      <alignment horizontal="center"/>
    </xf>
    <xf numFmtId="170" fontId="0" fillId="7" borderId="20" xfId="0" applyNumberFormat="1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20" xfId="0" applyNumberFormat="1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172" fontId="1" fillId="7" borderId="20" xfId="0" applyNumberFormat="1" applyFont="1" applyFill="1" applyBorder="1" applyAlignment="1">
      <alignment horizontal="center"/>
    </xf>
    <xf numFmtId="9" fontId="0" fillId="7" borderId="20" xfId="15" applyFont="1" applyFill="1" applyBorder="1" applyAlignment="1">
      <alignment horizontal="center"/>
    </xf>
    <xf numFmtId="165" fontId="0" fillId="7" borderId="20" xfId="0" applyNumberFormat="1" applyFont="1" applyFill="1" applyBorder="1" applyAlignment="1">
      <alignment horizontal="center"/>
    </xf>
    <xf numFmtId="165" fontId="0" fillId="7" borderId="25" xfId="0" applyNumberFormat="1" applyFont="1" applyFill="1" applyBorder="1" applyAlignment="1">
      <alignment horizontal="center"/>
    </xf>
    <xf numFmtId="165" fontId="0" fillId="7" borderId="0" xfId="0" applyNumberFormat="1" applyFont="1" applyFill="1" applyBorder="1" applyAlignment="1">
      <alignment horizontal="center"/>
    </xf>
    <xf numFmtId="174" fontId="0" fillId="7" borderId="0" xfId="0" applyNumberFormat="1" applyFont="1" applyFill="1" applyBorder="1" applyAlignment="1">
      <alignment horizontal="center"/>
    </xf>
    <xf numFmtId="49" fontId="1" fillId="7" borderId="13" xfId="0" applyNumberFormat="1" applyFont="1" applyFill="1" applyBorder="1" applyAlignment="1">
      <alignment horizontal="center"/>
    </xf>
    <xf numFmtId="167" fontId="0" fillId="7" borderId="13" xfId="0" applyNumberFormat="1" applyFont="1" applyFill="1" applyBorder="1" applyAlignment="1">
      <alignment horizontal="center"/>
    </xf>
    <xf numFmtId="168" fontId="0" fillId="7" borderId="13" xfId="0" applyNumberFormat="1" applyFont="1" applyFill="1" applyBorder="1" applyAlignment="1">
      <alignment horizontal="center"/>
    </xf>
    <xf numFmtId="169" fontId="0" fillId="7" borderId="13" xfId="0" applyNumberFormat="1" applyFont="1" applyFill="1" applyBorder="1" applyAlignment="1">
      <alignment horizontal="center"/>
    </xf>
    <xf numFmtId="170" fontId="0" fillId="7" borderId="13" xfId="0" applyNumberFormat="1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13" xfId="0" applyNumberFormat="1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172" fontId="1" fillId="7" borderId="13" xfId="0" applyNumberFormat="1" applyFont="1" applyFill="1" applyBorder="1" applyAlignment="1">
      <alignment horizontal="center"/>
    </xf>
    <xf numFmtId="9" fontId="0" fillId="7" borderId="13" xfId="15" applyFont="1" applyFill="1" applyBorder="1" applyAlignment="1">
      <alignment horizontal="center"/>
    </xf>
    <xf numFmtId="165" fontId="0" fillId="7" borderId="13" xfId="0" applyNumberFormat="1" applyFont="1" applyFill="1" applyBorder="1" applyAlignment="1">
      <alignment horizontal="center"/>
    </xf>
    <xf numFmtId="165" fontId="0" fillId="7" borderId="21" xfId="0" applyNumberFormat="1" applyFont="1" applyFill="1" applyBorder="1" applyAlignment="1">
      <alignment horizontal="center"/>
    </xf>
    <xf numFmtId="0" fontId="0" fillId="7" borderId="22" xfId="0" applyFont="1" applyFill="1" applyBorder="1" applyAlignment="1">
      <alignment horizontal="center"/>
    </xf>
    <xf numFmtId="49" fontId="1" fillId="7" borderId="22" xfId="0" applyNumberFormat="1" applyFont="1" applyFill="1" applyBorder="1" applyAlignment="1">
      <alignment horizontal="center"/>
    </xf>
    <xf numFmtId="167" fontId="0" fillId="7" borderId="22" xfId="0" applyNumberFormat="1" applyFont="1" applyFill="1" applyBorder="1" applyAlignment="1">
      <alignment horizontal="center"/>
    </xf>
    <xf numFmtId="168" fontId="0" fillId="7" borderId="22" xfId="0" applyNumberFormat="1" applyFont="1" applyFill="1" applyBorder="1" applyAlignment="1">
      <alignment horizontal="center"/>
    </xf>
    <xf numFmtId="169" fontId="0" fillId="7" borderId="22" xfId="0" applyNumberFormat="1" applyFont="1" applyFill="1" applyBorder="1" applyAlignment="1">
      <alignment horizontal="center"/>
    </xf>
    <xf numFmtId="170" fontId="0" fillId="7" borderId="22" xfId="0" applyNumberFormat="1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7" borderId="22" xfId="0" applyNumberFormat="1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172" fontId="1" fillId="7" borderId="22" xfId="0" applyNumberFormat="1" applyFont="1" applyFill="1" applyBorder="1" applyAlignment="1">
      <alignment horizontal="center"/>
    </xf>
    <xf numFmtId="9" fontId="0" fillId="7" borderId="22" xfId="15" applyFont="1" applyFill="1" applyBorder="1" applyAlignment="1">
      <alignment horizontal="center"/>
    </xf>
    <xf numFmtId="165" fontId="0" fillId="7" borderId="22" xfId="0" applyNumberFormat="1" applyFont="1" applyFill="1" applyBorder="1" applyAlignment="1">
      <alignment horizontal="center"/>
    </xf>
    <xf numFmtId="165" fontId="0" fillId="7" borderId="26" xfId="0" applyNumberFormat="1" applyFont="1" applyFill="1" applyBorder="1" applyAlignment="1">
      <alignment horizontal="center"/>
    </xf>
    <xf numFmtId="1" fontId="0" fillId="7" borderId="21" xfId="0" applyNumberFormat="1" applyFont="1" applyFill="1" applyBorder="1" applyAlignment="1">
      <alignment horizontal="center"/>
    </xf>
    <xf numFmtId="0" fontId="0" fillId="7" borderId="20" xfId="0" applyNumberFormat="1" applyFont="1" applyFill="1" applyBorder="1" applyAlignment="1">
      <alignment horizontal="center"/>
    </xf>
    <xf numFmtId="0" fontId="0" fillId="7" borderId="13" xfId="0" applyNumberFormat="1" applyFont="1" applyFill="1" applyBorder="1" applyAlignment="1">
      <alignment horizontal="center"/>
    </xf>
    <xf numFmtId="0" fontId="0" fillId="7" borderId="22" xfId="0" applyNumberFormat="1" applyFont="1" applyFill="1" applyBorder="1" applyAlignment="1">
      <alignment horizontal="center"/>
    </xf>
    <xf numFmtId="0" fontId="0" fillId="7" borderId="21" xfId="0" applyFont="1" applyFill="1" applyBorder="1" applyAlignment="1">
      <alignment horizontal="center"/>
    </xf>
    <xf numFmtId="0" fontId="0" fillId="7" borderId="38" xfId="0" applyFont="1" applyFill="1" applyBorder="1" applyAlignment="1">
      <alignment horizontal="center"/>
    </xf>
    <xf numFmtId="0" fontId="3" fillId="7" borderId="38" xfId="0" applyFont="1" applyFill="1" applyBorder="1" applyAlignment="1">
      <alignment horizontal="center"/>
    </xf>
    <xf numFmtId="0" fontId="0" fillId="7" borderId="38" xfId="0" applyNumberFormat="1" applyFont="1" applyFill="1" applyBorder="1" applyAlignment="1">
      <alignment horizontal="center"/>
    </xf>
    <xf numFmtId="167" fontId="0" fillId="7" borderId="38" xfId="0" applyNumberFormat="1" applyFont="1" applyFill="1" applyBorder="1" applyAlignment="1">
      <alignment horizontal="center"/>
    </xf>
    <xf numFmtId="168" fontId="0" fillId="7" borderId="38" xfId="0" applyNumberFormat="1" applyFont="1" applyFill="1" applyBorder="1" applyAlignment="1">
      <alignment horizontal="center"/>
    </xf>
    <xf numFmtId="169" fontId="0" fillId="7" borderId="38" xfId="0" applyNumberFormat="1" applyFont="1" applyFill="1" applyBorder="1" applyAlignment="1">
      <alignment horizontal="center"/>
    </xf>
    <xf numFmtId="170" fontId="0" fillId="7" borderId="38" xfId="0" applyNumberFormat="1" applyFont="1" applyFill="1" applyBorder="1" applyAlignment="1">
      <alignment horizontal="center"/>
    </xf>
    <xf numFmtId="0" fontId="1" fillId="7" borderId="38" xfId="0" applyFont="1" applyFill="1" applyBorder="1" applyAlignment="1">
      <alignment horizontal="center"/>
    </xf>
    <xf numFmtId="0" fontId="1" fillId="7" borderId="38" xfId="0" applyNumberFormat="1" applyFont="1" applyFill="1" applyBorder="1" applyAlignment="1">
      <alignment horizontal="center"/>
    </xf>
    <xf numFmtId="0" fontId="6" fillId="7" borderId="38" xfId="0" applyFont="1" applyFill="1" applyBorder="1" applyAlignment="1">
      <alignment horizontal="center"/>
    </xf>
    <xf numFmtId="172" fontId="1" fillId="7" borderId="38" xfId="0" applyNumberFormat="1" applyFont="1" applyFill="1" applyBorder="1" applyAlignment="1">
      <alignment horizontal="center"/>
    </xf>
    <xf numFmtId="9" fontId="0" fillId="7" borderId="38" xfId="15" applyFont="1" applyFill="1" applyBorder="1" applyAlignment="1">
      <alignment horizontal="center"/>
    </xf>
    <xf numFmtId="165" fontId="0" fillId="7" borderId="38" xfId="0" applyNumberFormat="1" applyFont="1" applyFill="1" applyBorder="1" applyAlignment="1">
      <alignment horizontal="center"/>
    </xf>
    <xf numFmtId="174" fontId="0" fillId="7" borderId="38" xfId="0" applyNumberFormat="1" applyFont="1" applyFill="1" applyBorder="1" applyAlignment="1">
      <alignment horizontal="center"/>
    </xf>
    <xf numFmtId="0" fontId="0" fillId="7" borderId="31" xfId="0" applyFont="1" applyFill="1" applyBorder="1" applyAlignment="1">
      <alignment horizontal="center"/>
    </xf>
    <xf numFmtId="0" fontId="1" fillId="7" borderId="32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0" fillId="7" borderId="32" xfId="0" applyNumberFormat="1" applyFont="1" applyFill="1" applyBorder="1" applyAlignment="1">
      <alignment horizontal="center"/>
    </xf>
    <xf numFmtId="167" fontId="0" fillId="7" borderId="32" xfId="0" applyNumberFormat="1" applyFont="1" applyFill="1" applyBorder="1" applyAlignment="1">
      <alignment horizontal="center"/>
    </xf>
    <xf numFmtId="168" fontId="0" fillId="7" borderId="32" xfId="0" applyNumberFormat="1" applyFont="1" applyFill="1" applyBorder="1" applyAlignment="1">
      <alignment horizontal="center"/>
    </xf>
    <xf numFmtId="169" fontId="0" fillId="7" borderId="32" xfId="0" applyNumberFormat="1" applyFont="1" applyFill="1" applyBorder="1" applyAlignment="1">
      <alignment horizontal="center"/>
    </xf>
    <xf numFmtId="170" fontId="0" fillId="7" borderId="32" xfId="0" applyNumberFormat="1" applyFont="1" applyFill="1" applyBorder="1" applyAlignment="1">
      <alignment horizontal="center"/>
    </xf>
    <xf numFmtId="0" fontId="0" fillId="7" borderId="32" xfId="0" applyFont="1" applyFill="1" applyBorder="1" applyAlignment="1">
      <alignment horizontal="center"/>
    </xf>
    <xf numFmtId="0" fontId="1" fillId="7" borderId="32" xfId="0" applyNumberFormat="1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/>
    </xf>
    <xf numFmtId="172" fontId="1" fillId="7" borderId="32" xfId="0" applyNumberFormat="1" applyFont="1" applyFill="1" applyBorder="1" applyAlignment="1">
      <alignment horizontal="center"/>
    </xf>
    <xf numFmtId="9" fontId="0" fillId="7" borderId="32" xfId="15" applyFont="1" applyFill="1" applyBorder="1" applyAlignment="1">
      <alignment horizontal="center"/>
    </xf>
    <xf numFmtId="165" fontId="0" fillId="7" borderId="32" xfId="0" applyNumberFormat="1" applyFont="1" applyFill="1" applyBorder="1" applyAlignment="1">
      <alignment horizontal="center"/>
    </xf>
    <xf numFmtId="165" fontId="0" fillId="7" borderId="33" xfId="0" applyNumberFormat="1" applyFont="1" applyFill="1" applyBorder="1" applyAlignment="1">
      <alignment horizontal="center"/>
    </xf>
    <xf numFmtId="0" fontId="3" fillId="7" borderId="32" xfId="0" applyFont="1" applyFill="1" applyBorder="1" applyAlignment="1">
      <alignment horizontal="center"/>
    </xf>
    <xf numFmtId="168" fontId="0" fillId="7" borderId="32" xfId="0" applyNumberFormat="1" applyFont="1" applyFill="1" applyBorder="1" applyAlignment="1" quotePrefix="1">
      <alignment horizontal="center"/>
    </xf>
    <xf numFmtId="14" fontId="0" fillId="7" borderId="32" xfId="0" applyNumberFormat="1" applyFont="1" applyFill="1" applyBorder="1" applyAlignment="1">
      <alignment horizontal="center"/>
    </xf>
    <xf numFmtId="0" fontId="0" fillId="7" borderId="32" xfId="0" applyNumberFormat="1" applyFont="1" applyFill="1" applyBorder="1" applyAlignment="1">
      <alignment horizontal="left"/>
    </xf>
    <xf numFmtId="171" fontId="0" fillId="7" borderId="32" xfId="0" applyNumberFormat="1" applyFont="1" applyFill="1" applyBorder="1" applyAlignment="1">
      <alignment horizontal="center"/>
    </xf>
    <xf numFmtId="49" fontId="0" fillId="7" borderId="32" xfId="0" applyNumberFormat="1" applyFont="1" applyFill="1" applyBorder="1" applyAlignment="1">
      <alignment horizontal="left"/>
    </xf>
    <xf numFmtId="0" fontId="7" fillId="7" borderId="32" xfId="0" applyFont="1" applyFill="1" applyBorder="1" applyAlignment="1">
      <alignment horizontal="center"/>
    </xf>
    <xf numFmtId="172" fontId="0" fillId="7" borderId="32" xfId="0" applyNumberFormat="1" applyFont="1" applyFill="1" applyBorder="1" applyAlignment="1">
      <alignment horizontal="center"/>
    </xf>
    <xf numFmtId="165" fontId="0" fillId="7" borderId="32" xfId="0" applyNumberFormat="1" applyFont="1" applyFill="1" applyBorder="1" applyAlignment="1">
      <alignment horizontal="center"/>
    </xf>
    <xf numFmtId="165" fontId="0" fillId="7" borderId="33" xfId="0" applyNumberFormat="1" applyFont="1" applyFill="1" applyBorder="1" applyAlignment="1">
      <alignment horizontal="center"/>
    </xf>
    <xf numFmtId="165" fontId="0" fillId="7" borderId="38" xfId="0" applyNumberFormat="1" applyFont="1" applyFill="1" applyBorder="1" applyAlignment="1">
      <alignment horizontal="center"/>
    </xf>
    <xf numFmtId="174" fontId="0" fillId="7" borderId="38" xfId="0" applyNumberFormat="1" applyFont="1" applyFill="1" applyBorder="1" applyAlignment="1">
      <alignment horizontal="center"/>
    </xf>
    <xf numFmtId="0" fontId="0" fillId="8" borderId="21" xfId="0" applyFont="1" applyFill="1" applyBorder="1" applyAlignment="1">
      <alignment horizontal="center"/>
    </xf>
    <xf numFmtId="0" fontId="0" fillId="8" borderId="32" xfId="0" applyFont="1" applyFill="1" applyBorder="1" applyAlignment="1">
      <alignment horizontal="center"/>
    </xf>
    <xf numFmtId="0" fontId="0" fillId="8" borderId="32" xfId="0" applyNumberFormat="1" applyFont="1" applyFill="1" applyBorder="1" applyAlignment="1">
      <alignment horizontal="left"/>
    </xf>
    <xf numFmtId="167" fontId="0" fillId="8" borderId="32" xfId="0" applyNumberFormat="1" applyFont="1" applyFill="1" applyBorder="1" applyAlignment="1">
      <alignment horizontal="center"/>
    </xf>
    <xf numFmtId="168" fontId="0" fillId="8" borderId="32" xfId="0" applyNumberFormat="1" applyFont="1" applyFill="1" applyBorder="1" applyAlignment="1">
      <alignment horizontal="center"/>
    </xf>
    <xf numFmtId="169" fontId="0" fillId="8" borderId="32" xfId="0" applyNumberFormat="1" applyFont="1" applyFill="1" applyBorder="1" applyAlignment="1">
      <alignment horizontal="center"/>
    </xf>
    <xf numFmtId="170" fontId="0" fillId="8" borderId="32" xfId="0" applyNumberFormat="1" applyFont="1" applyFill="1" applyBorder="1" applyAlignment="1">
      <alignment horizontal="center"/>
    </xf>
    <xf numFmtId="171" fontId="0" fillId="8" borderId="32" xfId="0" applyNumberFormat="1" applyFont="1" applyFill="1" applyBorder="1" applyAlignment="1">
      <alignment horizontal="center"/>
    </xf>
    <xf numFmtId="49" fontId="0" fillId="8" borderId="32" xfId="0" applyNumberFormat="1" applyFont="1" applyFill="1" applyBorder="1" applyAlignment="1">
      <alignment horizontal="left"/>
    </xf>
    <xf numFmtId="40" fontId="0" fillId="8" borderId="32" xfId="0" applyNumberFormat="1" applyFont="1" applyFill="1" applyBorder="1" applyAlignment="1">
      <alignment horizontal="center"/>
    </xf>
    <xf numFmtId="0" fontId="0" fillId="8" borderId="32" xfId="0" applyNumberFormat="1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72" fontId="0" fillId="8" borderId="32" xfId="0" applyNumberFormat="1" applyFont="1" applyFill="1" applyBorder="1" applyAlignment="1">
      <alignment horizontal="center"/>
    </xf>
    <xf numFmtId="9" fontId="0" fillId="8" borderId="32" xfId="15" applyFont="1" applyFill="1" applyBorder="1" applyAlignment="1">
      <alignment horizontal="center"/>
    </xf>
    <xf numFmtId="165" fontId="0" fillId="8" borderId="32" xfId="0" applyNumberFormat="1" applyFont="1" applyFill="1" applyBorder="1" applyAlignment="1">
      <alignment horizontal="center"/>
    </xf>
    <xf numFmtId="165" fontId="0" fillId="8" borderId="33" xfId="0" applyNumberFormat="1" applyFont="1" applyFill="1" applyBorder="1" applyAlignment="1">
      <alignment horizontal="center"/>
    </xf>
    <xf numFmtId="165" fontId="0" fillId="8" borderId="38" xfId="0" applyNumberFormat="1" applyFont="1" applyFill="1" applyBorder="1" applyAlignment="1">
      <alignment horizontal="center"/>
    </xf>
    <xf numFmtId="174" fontId="0" fillId="8" borderId="38" xfId="0" applyNumberFormat="1" applyFont="1" applyFill="1" applyBorder="1" applyAlignment="1">
      <alignment horizontal="center"/>
    </xf>
    <xf numFmtId="0" fontId="0" fillId="8" borderId="32" xfId="0" applyFont="1" applyFill="1" applyBorder="1" applyAlignment="1">
      <alignment horizontal="center"/>
    </xf>
    <xf numFmtId="0" fontId="0" fillId="7" borderId="14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8" borderId="42" xfId="0" applyFont="1" applyFill="1" applyBorder="1" applyAlignment="1">
      <alignment horizontal="center"/>
    </xf>
    <xf numFmtId="0" fontId="0" fillId="8" borderId="20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8" borderId="25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0" fillId="0" borderId="55" xfId="0" applyFont="1" applyFill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0" fillId="0" borderId="57" xfId="0" applyFont="1" applyFill="1" applyBorder="1" applyAlignment="1">
      <alignment horizontal="center"/>
    </xf>
    <xf numFmtId="0" fontId="0" fillId="0" borderId="55" xfId="0" applyFont="1" applyFill="1" applyBorder="1" applyAlignment="1">
      <alignment horizontal="center"/>
    </xf>
    <xf numFmtId="0" fontId="0" fillId="0" borderId="58" xfId="0" applyFont="1" applyFill="1" applyBorder="1" applyAlignment="1">
      <alignment horizontal="center"/>
    </xf>
    <xf numFmtId="0" fontId="0" fillId="8" borderId="59" xfId="0" applyFont="1" applyFill="1" applyBorder="1" applyAlignment="1">
      <alignment horizontal="center"/>
    </xf>
    <xf numFmtId="0" fontId="0" fillId="8" borderId="56" xfId="0" applyFont="1" applyFill="1" applyBorder="1" applyAlignment="1">
      <alignment horizontal="center"/>
    </xf>
    <xf numFmtId="0" fontId="0" fillId="7" borderId="59" xfId="0" applyFont="1" applyFill="1" applyBorder="1" applyAlignment="1">
      <alignment horizontal="center"/>
    </xf>
    <xf numFmtId="0" fontId="0" fillId="7" borderId="56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0" fillId="0" borderId="60" xfId="0" applyFont="1" applyFill="1" applyBorder="1" applyAlignment="1">
      <alignment horizontal="center"/>
    </xf>
    <xf numFmtId="0" fontId="0" fillId="0" borderId="54" xfId="0" applyFont="1" applyFill="1" applyBorder="1" applyAlignment="1">
      <alignment horizontal="center"/>
    </xf>
    <xf numFmtId="0" fontId="0" fillId="4" borderId="59" xfId="0" applyFont="1" applyFill="1" applyBorder="1" applyAlignment="1">
      <alignment horizontal="center"/>
    </xf>
    <xf numFmtId="0" fontId="0" fillId="4" borderId="56" xfId="0" applyFont="1" applyFill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0" fontId="0" fillId="0" borderId="59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7" borderId="60" xfId="0" applyFont="1" applyFill="1" applyBorder="1" applyAlignment="1">
      <alignment horizontal="center"/>
    </xf>
    <xf numFmtId="0" fontId="0" fillId="4" borderId="60" xfId="0" applyFont="1" applyFill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0" fillId="0" borderId="62" xfId="0" applyFont="1" applyFill="1" applyBorder="1" applyAlignment="1">
      <alignment horizontal="center"/>
    </xf>
    <xf numFmtId="0" fontId="0" fillId="8" borderId="57" xfId="0" applyFont="1" applyFill="1" applyBorder="1" applyAlignment="1">
      <alignment horizontal="center"/>
    </xf>
    <xf numFmtId="0" fontId="0" fillId="0" borderId="61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8" borderId="6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7" borderId="42" xfId="0" applyFont="1" applyFill="1" applyBorder="1" applyAlignment="1">
      <alignment horizontal="center"/>
    </xf>
    <xf numFmtId="0" fontId="0" fillId="7" borderId="20" xfId="0" applyFont="1" applyFill="1" applyBorder="1" applyAlignment="1">
      <alignment horizontal="center"/>
    </xf>
    <xf numFmtId="0" fontId="0" fillId="7" borderId="25" xfId="0" applyFont="1" applyFill="1" applyBorder="1" applyAlignment="1">
      <alignment horizontal="center"/>
    </xf>
    <xf numFmtId="0" fontId="0" fillId="7" borderId="23" xfId="0" applyFont="1" applyFill="1" applyBorder="1" applyAlignment="1">
      <alignment horizontal="center"/>
    </xf>
    <xf numFmtId="0" fontId="0" fillId="7" borderId="24" xfId="0" applyFont="1" applyFill="1" applyBorder="1" applyAlignment="1">
      <alignment horizontal="center"/>
    </xf>
    <xf numFmtId="0" fontId="0" fillId="7" borderId="24" xfId="0" applyFont="1" applyFill="1" applyBorder="1" applyAlignment="1">
      <alignment horizontal="center"/>
    </xf>
    <xf numFmtId="0" fontId="0" fillId="7" borderId="28" xfId="0" applyFont="1" applyFill="1" applyBorder="1" applyAlignment="1">
      <alignment horizontal="center"/>
    </xf>
    <xf numFmtId="0" fontId="0" fillId="7" borderId="15" xfId="0" applyFont="1" applyFill="1" applyBorder="1" applyAlignment="1">
      <alignment horizontal="center"/>
    </xf>
    <xf numFmtId="0" fontId="0" fillId="7" borderId="16" xfId="0" applyFont="1" applyFill="1" applyBorder="1" applyAlignment="1">
      <alignment horizontal="center"/>
    </xf>
    <xf numFmtId="0" fontId="0" fillId="7" borderId="16" xfId="0" applyFont="1" applyFill="1" applyBorder="1" applyAlignment="1">
      <alignment horizontal="center"/>
    </xf>
    <xf numFmtId="0" fontId="0" fillId="7" borderId="29" xfId="0" applyFont="1" applyFill="1" applyBorder="1" applyAlignment="1">
      <alignment horizontal="center"/>
    </xf>
    <xf numFmtId="165" fontId="0" fillId="0" borderId="20" xfId="0" applyNumberFormat="1" applyFont="1" applyFill="1" applyBorder="1" applyAlignment="1">
      <alignment/>
    </xf>
    <xf numFmtId="49" fontId="1" fillId="6" borderId="20" xfId="0" applyNumberFormat="1" applyFont="1" applyFill="1" applyBorder="1" applyAlignment="1">
      <alignment horizontal="center"/>
    </xf>
    <xf numFmtId="165" fontId="0" fillId="0" borderId="16" xfId="0" applyNumberFormat="1" applyFont="1" applyFill="1" applyBorder="1" applyAlignment="1">
      <alignment/>
    </xf>
    <xf numFmtId="49" fontId="1" fillId="6" borderId="16" xfId="0" applyNumberFormat="1" applyFont="1" applyFill="1" applyBorder="1" applyAlignment="1">
      <alignment horizontal="center"/>
    </xf>
    <xf numFmtId="0" fontId="0" fillId="4" borderId="42" xfId="0" applyFont="1" applyFill="1" applyBorder="1" applyAlignment="1">
      <alignment horizontal="center"/>
    </xf>
    <xf numFmtId="0" fontId="0" fillId="4" borderId="25" xfId="0" applyFont="1" applyFill="1" applyBorder="1" applyAlignment="1">
      <alignment horizontal="center"/>
    </xf>
    <xf numFmtId="0" fontId="3" fillId="7" borderId="34" xfId="0" applyFont="1" applyFill="1" applyBorder="1" applyAlignment="1">
      <alignment horizontal="center"/>
    </xf>
    <xf numFmtId="174" fontId="0" fillId="4" borderId="49" xfId="0" applyNumberFormat="1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4" borderId="16" xfId="0" applyFont="1" applyFill="1" applyBorder="1" applyAlignment="1">
      <alignment horizontal="center"/>
    </xf>
    <xf numFmtId="0" fontId="0" fillId="4" borderId="29" xfId="0" applyFont="1" applyFill="1" applyBorder="1" applyAlignment="1">
      <alignment horizontal="center"/>
    </xf>
    <xf numFmtId="0" fontId="0" fillId="4" borderId="58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49" fontId="1" fillId="4" borderId="16" xfId="0" applyNumberFormat="1" applyFont="1" applyFill="1" applyBorder="1" applyAlignment="1">
      <alignment horizontal="center"/>
    </xf>
    <xf numFmtId="167" fontId="0" fillId="4" borderId="16" xfId="0" applyNumberFormat="1" applyFont="1" applyFill="1" applyBorder="1" applyAlignment="1">
      <alignment horizontal="center"/>
    </xf>
    <xf numFmtId="168" fontId="0" fillId="4" borderId="16" xfId="0" applyNumberFormat="1" applyFont="1" applyFill="1" applyBorder="1" applyAlignment="1">
      <alignment horizontal="center"/>
    </xf>
    <xf numFmtId="169" fontId="0" fillId="4" borderId="16" xfId="0" applyNumberFormat="1" applyFont="1" applyFill="1" applyBorder="1" applyAlignment="1">
      <alignment horizontal="center"/>
    </xf>
    <xf numFmtId="170" fontId="0" fillId="4" borderId="16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NumberFormat="1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172" fontId="1" fillId="4" borderId="16" xfId="0" applyNumberFormat="1" applyFont="1" applyFill="1" applyBorder="1" applyAlignment="1">
      <alignment horizontal="center"/>
    </xf>
    <xf numFmtId="9" fontId="0" fillId="4" borderId="16" xfId="15" applyFont="1" applyFill="1" applyBorder="1" applyAlignment="1">
      <alignment horizontal="center"/>
    </xf>
    <xf numFmtId="165" fontId="0" fillId="4" borderId="16" xfId="0" applyNumberFormat="1" applyFont="1" applyFill="1" applyBorder="1" applyAlignment="1">
      <alignment horizontal="center"/>
    </xf>
    <xf numFmtId="165" fontId="0" fillId="4" borderId="29" xfId="0" applyNumberFormat="1" applyFont="1" applyFill="1" applyBorder="1" applyAlignment="1">
      <alignment horizontal="center"/>
    </xf>
    <xf numFmtId="165" fontId="0" fillId="4" borderId="30" xfId="0" applyNumberFormat="1" applyFont="1" applyFill="1" applyBorder="1" applyAlignment="1">
      <alignment horizontal="center"/>
    </xf>
    <xf numFmtId="174" fontId="0" fillId="4" borderId="50" xfId="0" applyNumberFormat="1" applyFont="1" applyFill="1" applyBorder="1" applyAlignment="1">
      <alignment horizontal="center"/>
    </xf>
    <xf numFmtId="0" fontId="0" fillId="7" borderId="31" xfId="0" applyFont="1" applyFill="1" applyBorder="1" applyAlignment="1">
      <alignment horizontal="center"/>
    </xf>
    <xf numFmtId="0" fontId="0" fillId="7" borderId="32" xfId="0" applyFont="1" applyFill="1" applyBorder="1" applyAlignment="1">
      <alignment horizontal="center"/>
    </xf>
    <xf numFmtId="0" fontId="0" fillId="7" borderId="33" xfId="0" applyFont="1" applyFill="1" applyBorder="1" applyAlignment="1">
      <alignment horizontal="center"/>
    </xf>
    <xf numFmtId="0" fontId="0" fillId="7" borderId="60" xfId="0" applyFont="1" applyFill="1" applyBorder="1" applyAlignment="1">
      <alignment horizontal="center"/>
    </xf>
    <xf numFmtId="49" fontId="0" fillId="7" borderId="32" xfId="0" applyNumberFormat="1" applyFont="1" applyFill="1" applyBorder="1" applyAlignment="1">
      <alignment horizontal="center"/>
    </xf>
    <xf numFmtId="167" fontId="0" fillId="7" borderId="32" xfId="0" applyNumberFormat="1" applyFont="1" applyFill="1" applyBorder="1" applyAlignment="1">
      <alignment horizontal="center"/>
    </xf>
    <xf numFmtId="168" fontId="0" fillId="7" borderId="32" xfId="0" applyNumberFormat="1" applyFont="1" applyFill="1" applyBorder="1" applyAlignment="1">
      <alignment horizontal="center"/>
    </xf>
    <xf numFmtId="169" fontId="0" fillId="7" borderId="32" xfId="0" applyNumberFormat="1" applyFont="1" applyFill="1" applyBorder="1" applyAlignment="1">
      <alignment horizontal="center"/>
    </xf>
    <xf numFmtId="170" fontId="0" fillId="7" borderId="32" xfId="0" applyNumberFormat="1" applyFont="1" applyFill="1" applyBorder="1" applyAlignment="1">
      <alignment horizontal="center"/>
    </xf>
    <xf numFmtId="40" fontId="0" fillId="7" borderId="32" xfId="0" applyNumberFormat="1" applyFont="1" applyFill="1" applyBorder="1" applyAlignment="1">
      <alignment horizontal="center"/>
    </xf>
    <xf numFmtId="0" fontId="0" fillId="7" borderId="32" xfId="0" applyNumberFormat="1" applyFont="1" applyFill="1" applyBorder="1" applyAlignment="1">
      <alignment horizontal="center"/>
    </xf>
    <xf numFmtId="172" fontId="0" fillId="7" borderId="32" xfId="0" applyNumberFormat="1" applyFont="1" applyFill="1" applyBorder="1" applyAlignment="1">
      <alignment horizontal="center"/>
    </xf>
    <xf numFmtId="9" fontId="0" fillId="7" borderId="32" xfId="15" applyFont="1" applyFill="1" applyBorder="1" applyAlignment="1">
      <alignment horizontal="center"/>
    </xf>
    <xf numFmtId="0" fontId="0" fillId="7" borderId="33" xfId="0" applyFont="1" applyFill="1" applyBorder="1" applyAlignment="1">
      <alignment horizontal="center"/>
    </xf>
    <xf numFmtId="49" fontId="1" fillId="7" borderId="32" xfId="0" applyNumberFormat="1" applyFont="1" applyFill="1" applyBorder="1" applyAlignment="1">
      <alignment horizontal="center"/>
    </xf>
    <xf numFmtId="174" fontId="0" fillId="7" borderId="43" xfId="0" applyNumberFormat="1" applyFont="1" applyFill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170" fontId="1" fillId="0" borderId="34" xfId="0" applyNumberFormat="1" applyFont="1" applyFill="1" applyBorder="1" applyAlignment="1">
      <alignment horizontal="center"/>
    </xf>
    <xf numFmtId="167" fontId="1" fillId="0" borderId="34" xfId="0" applyNumberFormat="1" applyFont="1" applyFill="1" applyBorder="1" applyAlignment="1">
      <alignment horizontal="center"/>
    </xf>
    <xf numFmtId="40" fontId="1" fillId="0" borderId="34" xfId="0" applyNumberFormat="1" applyFont="1" applyFill="1" applyBorder="1" applyAlignment="1">
      <alignment horizontal="center"/>
    </xf>
    <xf numFmtId="0" fontId="1" fillId="0" borderId="60" xfId="0" applyFont="1" applyFill="1" applyBorder="1" applyAlignment="1">
      <alignment horizontal="center"/>
    </xf>
    <xf numFmtId="170" fontId="1" fillId="0" borderId="32" xfId="0" applyNumberFormat="1" applyFont="1" applyFill="1" applyBorder="1" applyAlignment="1">
      <alignment horizontal="center"/>
    </xf>
    <xf numFmtId="167" fontId="1" fillId="0" borderId="32" xfId="0" applyNumberFormat="1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67" fontId="0" fillId="0" borderId="16" xfId="0" applyNumberFormat="1" applyFont="1" applyFill="1" applyBorder="1" applyAlignment="1">
      <alignment horizontal="center" vertical="center"/>
    </xf>
    <xf numFmtId="168" fontId="0" fillId="0" borderId="16" xfId="0" applyNumberFormat="1" applyFont="1" applyFill="1" applyBorder="1" applyAlignment="1">
      <alignment horizontal="center" vertical="center"/>
    </xf>
    <xf numFmtId="169" fontId="0" fillId="0" borderId="16" xfId="0" applyNumberFormat="1" applyFont="1" applyFill="1" applyBorder="1" applyAlignment="1">
      <alignment horizontal="center" vertical="center"/>
    </xf>
    <xf numFmtId="170" fontId="0" fillId="0" borderId="16" xfId="0" applyNumberFormat="1" applyFont="1" applyFill="1" applyBorder="1" applyAlignment="1">
      <alignment horizontal="center" vertical="center"/>
    </xf>
    <xf numFmtId="171" fontId="0" fillId="0" borderId="16" xfId="0" applyNumberFormat="1" applyFont="1" applyFill="1" applyBorder="1" applyAlignment="1">
      <alignment horizontal="center" vertical="center"/>
    </xf>
    <xf numFmtId="40" fontId="0" fillId="0" borderId="16" xfId="0" applyNumberFormat="1" applyFont="1" applyFill="1" applyBorder="1" applyAlignment="1">
      <alignment horizontal="center" vertical="center"/>
    </xf>
    <xf numFmtId="172" fontId="0" fillId="0" borderId="16" xfId="0" applyNumberFormat="1" applyFont="1" applyFill="1" applyBorder="1" applyAlignment="1">
      <alignment horizontal="center" vertical="center"/>
    </xf>
    <xf numFmtId="9" fontId="0" fillId="0" borderId="16" xfId="15" applyFont="1" applyFill="1" applyBorder="1" applyAlignment="1">
      <alignment horizontal="center" vertical="center"/>
    </xf>
    <xf numFmtId="165" fontId="0" fillId="0" borderId="16" xfId="0" applyNumberFormat="1" applyFont="1" applyFill="1" applyBorder="1" applyAlignment="1">
      <alignment horizontal="center" vertical="center"/>
    </xf>
    <xf numFmtId="165" fontId="0" fillId="0" borderId="29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" fontId="0" fillId="0" borderId="25" xfId="0" applyNumberFormat="1" applyFont="1" applyFill="1" applyBorder="1" applyAlignment="1">
      <alignment horizontal="center"/>
    </xf>
    <xf numFmtId="0" fontId="0" fillId="8" borderId="23" xfId="0" applyFont="1" applyFill="1" applyBorder="1" applyAlignment="1">
      <alignment horizontal="center"/>
    </xf>
    <xf numFmtId="0" fontId="0" fillId="8" borderId="24" xfId="0" applyFont="1" applyFill="1" applyBorder="1" applyAlignment="1">
      <alignment horizontal="center" vertical="center"/>
    </xf>
    <xf numFmtId="1" fontId="0" fillId="8" borderId="28" xfId="0" applyNumberFormat="1" applyFont="1" applyFill="1" applyBorder="1" applyAlignment="1">
      <alignment horizontal="center"/>
    </xf>
    <xf numFmtId="0" fontId="0" fillId="8" borderId="28" xfId="0" applyFont="1" applyFill="1" applyBorder="1" applyAlignment="1">
      <alignment horizontal="center" vertical="center"/>
    </xf>
    <xf numFmtId="0" fontId="0" fillId="8" borderId="15" xfId="0" applyFont="1" applyFill="1" applyBorder="1" applyAlignment="1">
      <alignment horizontal="center"/>
    </xf>
    <xf numFmtId="0" fontId="0" fillId="8" borderId="16" xfId="0" applyFont="1" applyFill="1" applyBorder="1" applyAlignment="1">
      <alignment horizontal="center" vertical="center"/>
    </xf>
    <xf numFmtId="1" fontId="0" fillId="8" borderId="29" xfId="0" applyNumberFormat="1" applyFont="1" applyFill="1" applyBorder="1" applyAlignment="1">
      <alignment horizontal="center"/>
    </xf>
    <xf numFmtId="0" fontId="0" fillId="8" borderId="29" xfId="0" applyFont="1" applyFill="1" applyBorder="1" applyAlignment="1">
      <alignment horizontal="center" vertical="center"/>
    </xf>
    <xf numFmtId="1" fontId="0" fillId="0" borderId="29" xfId="0" applyNumberFormat="1" applyFont="1" applyFill="1" applyBorder="1" applyAlignment="1">
      <alignment horizontal="center"/>
    </xf>
    <xf numFmtId="1" fontId="0" fillId="0" borderId="33" xfId="0" applyNumberFormat="1" applyFont="1" applyFill="1" applyBorder="1" applyAlignment="1">
      <alignment horizontal="center"/>
    </xf>
    <xf numFmtId="1" fontId="0" fillId="0" borderId="25" xfId="0" applyNumberFormat="1" applyFont="1" applyFill="1" applyBorder="1" applyAlignment="1">
      <alignment horizontal="center"/>
    </xf>
    <xf numFmtId="0" fontId="0" fillId="0" borderId="63" xfId="0" applyFont="1" applyFill="1" applyBorder="1" applyAlignment="1">
      <alignment horizontal="center"/>
    </xf>
    <xf numFmtId="0" fontId="0" fillId="0" borderId="64" xfId="0" applyFont="1" applyFill="1" applyBorder="1" applyAlignment="1">
      <alignment horizontal="center"/>
    </xf>
    <xf numFmtId="1" fontId="0" fillId="0" borderId="65" xfId="0" applyNumberFormat="1" applyFont="1" applyFill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0" fillId="0" borderId="66" xfId="0" applyFont="1" applyFill="1" applyBorder="1" applyAlignment="1">
      <alignment horizontal="center"/>
    </xf>
    <xf numFmtId="0" fontId="1" fillId="0" borderId="64" xfId="0" applyFont="1" applyFill="1" applyBorder="1" applyAlignment="1">
      <alignment horizontal="center"/>
    </xf>
    <xf numFmtId="0" fontId="3" fillId="0" borderId="64" xfId="0" applyFont="1" applyFill="1" applyBorder="1" applyAlignment="1">
      <alignment horizontal="center"/>
    </xf>
    <xf numFmtId="0" fontId="0" fillId="0" borderId="64" xfId="0" applyFont="1" applyFill="1" applyBorder="1" applyAlignment="1">
      <alignment horizontal="center"/>
    </xf>
    <xf numFmtId="167" fontId="0" fillId="0" borderId="64" xfId="0" applyNumberFormat="1" applyFont="1" applyFill="1" applyBorder="1" applyAlignment="1">
      <alignment horizontal="center"/>
    </xf>
    <xf numFmtId="168" fontId="0" fillId="0" borderId="64" xfId="0" applyNumberFormat="1" applyFont="1" applyFill="1" applyBorder="1" applyAlignment="1">
      <alignment horizontal="center"/>
    </xf>
    <xf numFmtId="169" fontId="0" fillId="0" borderId="64" xfId="0" applyNumberFormat="1" applyFont="1" applyFill="1" applyBorder="1" applyAlignment="1">
      <alignment horizontal="center"/>
    </xf>
    <xf numFmtId="170" fontId="0" fillId="0" borderId="64" xfId="0" applyNumberFormat="1" applyFont="1" applyFill="1" applyBorder="1" applyAlignment="1">
      <alignment horizontal="center"/>
    </xf>
    <xf numFmtId="40" fontId="0" fillId="0" borderId="64" xfId="0" applyNumberFormat="1" applyFont="1" applyFill="1" applyBorder="1" applyAlignment="1">
      <alignment horizontal="center"/>
    </xf>
    <xf numFmtId="0" fontId="1" fillId="0" borderId="64" xfId="0" applyNumberFormat="1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172" fontId="1" fillId="0" borderId="64" xfId="0" applyNumberFormat="1" applyFont="1" applyFill="1" applyBorder="1" applyAlignment="1">
      <alignment horizontal="center"/>
    </xf>
    <xf numFmtId="9" fontId="0" fillId="0" borderId="64" xfId="15" applyFont="1" applyFill="1" applyBorder="1" applyAlignment="1">
      <alignment horizontal="center"/>
    </xf>
    <xf numFmtId="165" fontId="0" fillId="0" borderId="64" xfId="0" applyNumberFormat="1" applyFont="1" applyFill="1" applyBorder="1" applyAlignment="1">
      <alignment horizontal="center"/>
    </xf>
    <xf numFmtId="165" fontId="0" fillId="0" borderId="65" xfId="0" applyNumberFormat="1" applyFont="1" applyFill="1" applyBorder="1" applyAlignment="1">
      <alignment horizontal="center"/>
    </xf>
    <xf numFmtId="165" fontId="0" fillId="0" borderId="67" xfId="0" applyNumberFormat="1" applyFont="1" applyFill="1" applyBorder="1" applyAlignment="1">
      <alignment horizontal="center"/>
    </xf>
    <xf numFmtId="174" fontId="0" fillId="0" borderId="68" xfId="0" applyNumberFormat="1" applyFont="1" applyFill="1" applyBorder="1" applyAlignment="1">
      <alignment horizontal="center"/>
    </xf>
    <xf numFmtId="0" fontId="0" fillId="0" borderId="69" xfId="0" applyFont="1" applyFill="1" applyBorder="1" applyAlignment="1">
      <alignment horizontal="center"/>
    </xf>
    <xf numFmtId="0" fontId="0" fillId="0" borderId="70" xfId="0" applyFont="1" applyFill="1" applyBorder="1" applyAlignment="1">
      <alignment horizontal="center"/>
    </xf>
    <xf numFmtId="1" fontId="0" fillId="0" borderId="71" xfId="0" applyNumberFormat="1" applyFont="1" applyFill="1" applyBorder="1" applyAlignment="1">
      <alignment horizontal="center"/>
    </xf>
    <xf numFmtId="0" fontId="0" fillId="0" borderId="71" xfId="0" applyFont="1" applyFill="1" applyBorder="1" applyAlignment="1">
      <alignment horizontal="center"/>
    </xf>
    <xf numFmtId="0" fontId="0" fillId="0" borderId="72" xfId="0" applyFont="1" applyFill="1" applyBorder="1" applyAlignment="1">
      <alignment horizontal="center"/>
    </xf>
    <xf numFmtId="0" fontId="1" fillId="0" borderId="70" xfId="0" applyFont="1" applyFill="1" applyBorder="1" applyAlignment="1">
      <alignment horizontal="center"/>
    </xf>
    <xf numFmtId="0" fontId="3" fillId="0" borderId="70" xfId="0" applyFont="1" applyFill="1" applyBorder="1" applyAlignment="1">
      <alignment horizontal="center"/>
    </xf>
    <xf numFmtId="0" fontId="0" fillId="0" borderId="70" xfId="0" applyNumberFormat="1" applyFont="1" applyFill="1" applyBorder="1" applyAlignment="1">
      <alignment horizontal="center"/>
    </xf>
    <xf numFmtId="167" fontId="0" fillId="0" borderId="70" xfId="0" applyNumberFormat="1" applyFont="1" applyFill="1" applyBorder="1" applyAlignment="1">
      <alignment horizontal="center"/>
    </xf>
    <xf numFmtId="168" fontId="0" fillId="0" borderId="70" xfId="0" applyNumberFormat="1" applyFont="1" applyFill="1" applyBorder="1" applyAlignment="1">
      <alignment horizontal="center"/>
    </xf>
    <xf numFmtId="169" fontId="0" fillId="0" borderId="70" xfId="0" applyNumberFormat="1" applyFont="1" applyFill="1" applyBorder="1" applyAlignment="1">
      <alignment horizontal="center"/>
    </xf>
    <xf numFmtId="170" fontId="0" fillId="0" borderId="70" xfId="0" applyNumberFormat="1" applyFont="1" applyFill="1" applyBorder="1" applyAlignment="1">
      <alignment horizontal="center"/>
    </xf>
    <xf numFmtId="0" fontId="0" fillId="0" borderId="70" xfId="0" applyFont="1" applyFill="1" applyBorder="1" applyAlignment="1">
      <alignment horizontal="center"/>
    </xf>
    <xf numFmtId="40" fontId="0" fillId="0" borderId="70" xfId="0" applyNumberFormat="1" applyFont="1" applyFill="1" applyBorder="1" applyAlignment="1">
      <alignment horizontal="center"/>
    </xf>
    <xf numFmtId="0" fontId="1" fillId="0" borderId="70" xfId="0" applyNumberFormat="1" applyFont="1" applyFill="1" applyBorder="1" applyAlignment="1">
      <alignment horizontal="center"/>
    </xf>
    <xf numFmtId="0" fontId="6" fillId="0" borderId="70" xfId="0" applyFont="1" applyFill="1" applyBorder="1" applyAlignment="1">
      <alignment horizontal="center"/>
    </xf>
    <xf numFmtId="172" fontId="1" fillId="0" borderId="70" xfId="0" applyNumberFormat="1" applyFont="1" applyFill="1" applyBorder="1" applyAlignment="1">
      <alignment horizontal="center"/>
    </xf>
    <xf numFmtId="9" fontId="0" fillId="0" borderId="70" xfId="15" applyFont="1" applyFill="1" applyBorder="1" applyAlignment="1">
      <alignment horizontal="center"/>
    </xf>
    <xf numFmtId="165" fontId="0" fillId="0" borderId="70" xfId="0" applyNumberFormat="1" applyFont="1" applyFill="1" applyBorder="1" applyAlignment="1">
      <alignment horizontal="center"/>
    </xf>
    <xf numFmtId="165" fontId="0" fillId="0" borderId="71" xfId="0" applyNumberFormat="1" applyFont="1" applyFill="1" applyBorder="1" applyAlignment="1">
      <alignment horizontal="center"/>
    </xf>
    <xf numFmtId="165" fontId="0" fillId="0" borderId="73" xfId="0" applyNumberFormat="1" applyFont="1" applyFill="1" applyBorder="1" applyAlignment="1">
      <alignment horizontal="center"/>
    </xf>
    <xf numFmtId="174" fontId="0" fillId="0" borderId="74" xfId="0" applyNumberFormat="1" applyFont="1" applyFill="1" applyBorder="1" applyAlignment="1">
      <alignment horizontal="center"/>
    </xf>
    <xf numFmtId="0" fontId="0" fillId="0" borderId="75" xfId="0" applyFont="1" applyFill="1" applyBorder="1" applyAlignment="1">
      <alignment horizontal="center"/>
    </xf>
    <xf numFmtId="0" fontId="0" fillId="0" borderId="76" xfId="0" applyFont="1" applyFill="1" applyBorder="1" applyAlignment="1">
      <alignment horizontal="center"/>
    </xf>
    <xf numFmtId="0" fontId="0" fillId="0" borderId="77" xfId="0" applyFont="1" applyFill="1" applyBorder="1" applyAlignment="1">
      <alignment horizontal="center"/>
    </xf>
    <xf numFmtId="0" fontId="0" fillId="0" borderId="78" xfId="0" applyFont="1" applyFill="1" applyBorder="1" applyAlignment="1">
      <alignment horizontal="center"/>
    </xf>
    <xf numFmtId="0" fontId="1" fillId="0" borderId="79" xfId="0" applyFont="1" applyFill="1" applyBorder="1" applyAlignment="1">
      <alignment horizontal="center"/>
    </xf>
    <xf numFmtId="0" fontId="3" fillId="0" borderId="79" xfId="0" applyFont="1" applyFill="1" applyBorder="1" applyAlignment="1">
      <alignment horizontal="center"/>
    </xf>
    <xf numFmtId="0" fontId="0" fillId="0" borderId="79" xfId="0" applyNumberFormat="1" applyFont="1" applyFill="1" applyBorder="1" applyAlignment="1">
      <alignment horizontal="center"/>
    </xf>
    <xf numFmtId="167" fontId="0" fillId="0" borderId="79" xfId="0" applyNumberFormat="1" applyFont="1" applyFill="1" applyBorder="1" applyAlignment="1">
      <alignment horizontal="center"/>
    </xf>
    <xf numFmtId="168" fontId="0" fillId="0" borderId="79" xfId="0" applyNumberFormat="1" applyFont="1" applyFill="1" applyBorder="1" applyAlignment="1">
      <alignment horizontal="center"/>
    </xf>
    <xf numFmtId="169" fontId="0" fillId="0" borderId="79" xfId="0" applyNumberFormat="1" applyFont="1" applyFill="1" applyBorder="1" applyAlignment="1">
      <alignment horizontal="center"/>
    </xf>
    <xf numFmtId="170" fontId="0" fillId="0" borderId="79" xfId="0" applyNumberFormat="1" applyFont="1" applyFill="1" applyBorder="1" applyAlignment="1">
      <alignment horizontal="center"/>
    </xf>
    <xf numFmtId="0" fontId="0" fillId="0" borderId="79" xfId="0" applyFont="1" applyFill="1" applyBorder="1" applyAlignment="1">
      <alignment horizontal="center"/>
    </xf>
    <xf numFmtId="40" fontId="0" fillId="0" borderId="79" xfId="0" applyNumberFormat="1" applyFont="1" applyFill="1" applyBorder="1" applyAlignment="1">
      <alignment horizontal="center"/>
    </xf>
    <xf numFmtId="0" fontId="1" fillId="0" borderId="79" xfId="0" applyNumberFormat="1" applyFont="1" applyFill="1" applyBorder="1" applyAlignment="1">
      <alignment horizontal="center"/>
    </xf>
    <xf numFmtId="0" fontId="0" fillId="0" borderId="79" xfId="0" applyFont="1" applyFill="1" applyBorder="1" applyAlignment="1">
      <alignment horizontal="center"/>
    </xf>
    <xf numFmtId="0" fontId="6" fillId="0" borderId="79" xfId="0" applyFont="1" applyFill="1" applyBorder="1" applyAlignment="1">
      <alignment horizontal="center"/>
    </xf>
    <xf numFmtId="172" fontId="1" fillId="0" borderId="79" xfId="0" applyNumberFormat="1" applyFont="1" applyFill="1" applyBorder="1" applyAlignment="1">
      <alignment horizontal="center"/>
    </xf>
    <xf numFmtId="9" fontId="0" fillId="0" borderId="79" xfId="15" applyFont="1" applyFill="1" applyBorder="1" applyAlignment="1">
      <alignment horizontal="center"/>
    </xf>
    <xf numFmtId="165" fontId="0" fillId="0" borderId="79" xfId="0" applyNumberFormat="1" applyFont="1" applyFill="1" applyBorder="1" applyAlignment="1">
      <alignment horizontal="center"/>
    </xf>
    <xf numFmtId="165" fontId="0" fillId="0" borderId="80" xfId="0" applyNumberFormat="1" applyFont="1" applyFill="1" applyBorder="1" applyAlignment="1">
      <alignment horizontal="center"/>
    </xf>
    <xf numFmtId="165" fontId="0" fillId="0" borderId="81" xfId="0" applyNumberFormat="1" applyFont="1" applyFill="1" applyBorder="1" applyAlignment="1">
      <alignment horizontal="center"/>
    </xf>
    <xf numFmtId="174" fontId="0" fillId="0" borderId="82" xfId="0" applyNumberFormat="1" applyFont="1" applyFill="1" applyBorder="1" applyAlignment="1">
      <alignment horizontal="center"/>
    </xf>
    <xf numFmtId="0" fontId="0" fillId="0" borderId="64" xfId="0" applyNumberFormat="1" applyFont="1" applyFill="1" applyBorder="1" applyAlignment="1">
      <alignment horizontal="center"/>
    </xf>
    <xf numFmtId="0" fontId="0" fillId="0" borderId="70" xfId="0" applyNumberFormat="1" applyFont="1" applyFill="1" applyBorder="1" applyAlignment="1">
      <alignment horizontal="center"/>
    </xf>
    <xf numFmtId="0" fontId="0" fillId="0" borderId="83" xfId="0" applyFont="1" applyFill="1" applyBorder="1" applyAlignment="1">
      <alignment horizontal="center"/>
    </xf>
    <xf numFmtId="0" fontId="0" fillId="0" borderId="80" xfId="0" applyFont="1" applyFill="1" applyBorder="1" applyAlignment="1">
      <alignment horizontal="center"/>
    </xf>
    <xf numFmtId="0" fontId="0" fillId="0" borderId="79" xfId="0" applyNumberFormat="1" applyFont="1" applyFill="1" applyBorder="1" applyAlignment="1">
      <alignment horizontal="center"/>
    </xf>
    <xf numFmtId="1" fontId="0" fillId="0" borderId="80" xfId="0" applyNumberFormat="1" applyFont="1" applyFill="1" applyBorder="1" applyAlignment="1">
      <alignment horizontal="center"/>
    </xf>
    <xf numFmtId="1" fontId="0" fillId="0" borderId="84" xfId="0" applyNumberFormat="1" applyFont="1" applyFill="1" applyBorder="1" applyAlignment="1">
      <alignment horizontal="center"/>
    </xf>
    <xf numFmtId="1" fontId="0" fillId="0" borderId="79" xfId="0" applyNumberFormat="1" applyFont="1" applyFill="1" applyBorder="1" applyAlignment="1">
      <alignment horizontal="center"/>
    </xf>
    <xf numFmtId="1" fontId="0" fillId="7" borderId="25" xfId="0" applyNumberFormat="1" applyFont="1" applyFill="1" applyBorder="1" applyAlignment="1">
      <alignment horizontal="center"/>
    </xf>
    <xf numFmtId="1" fontId="0" fillId="0" borderId="33" xfId="0" applyNumberFormat="1" applyFont="1" applyFill="1" applyBorder="1" applyAlignment="1">
      <alignment horizontal="center"/>
    </xf>
    <xf numFmtId="1" fontId="0" fillId="7" borderId="29" xfId="0" applyNumberFormat="1" applyFont="1" applyFill="1" applyBorder="1" applyAlignment="1">
      <alignment horizontal="center"/>
    </xf>
    <xf numFmtId="14" fontId="0" fillId="0" borderId="64" xfId="0" applyNumberFormat="1" applyFont="1" applyFill="1" applyBorder="1" applyAlignment="1">
      <alignment horizontal="center"/>
    </xf>
    <xf numFmtId="14" fontId="0" fillId="0" borderId="79" xfId="0" applyNumberFormat="1" applyFont="1" applyFill="1" applyBorder="1" applyAlignment="1">
      <alignment horizontal="center"/>
    </xf>
    <xf numFmtId="14" fontId="0" fillId="0" borderId="30" xfId="0" applyNumberFormat="1" applyFont="1" applyFill="1" applyBorder="1" applyAlignment="1">
      <alignment horizontal="center"/>
    </xf>
    <xf numFmtId="1" fontId="0" fillId="7" borderId="33" xfId="0" applyNumberFormat="1" applyFont="1" applyFill="1" applyBorder="1" applyAlignment="1">
      <alignment horizontal="center"/>
    </xf>
    <xf numFmtId="0" fontId="0" fillId="7" borderId="85" xfId="0" applyFont="1" applyFill="1" applyBorder="1" applyAlignment="1">
      <alignment horizontal="center"/>
    </xf>
    <xf numFmtId="0" fontId="0" fillId="7" borderId="39" xfId="0" applyFont="1" applyFill="1" applyBorder="1" applyAlignment="1">
      <alignment horizontal="center"/>
    </xf>
    <xf numFmtId="1" fontId="0" fillId="7" borderId="40" xfId="0" applyNumberFormat="1" applyFont="1" applyFill="1" applyBorder="1" applyAlignment="1">
      <alignment horizontal="center"/>
    </xf>
    <xf numFmtId="0" fontId="0" fillId="7" borderId="40" xfId="0" applyFont="1" applyFill="1" applyBorder="1" applyAlignment="1">
      <alignment horizontal="center"/>
    </xf>
    <xf numFmtId="1" fontId="0" fillId="7" borderId="28" xfId="0" applyNumberFormat="1" applyFont="1" applyFill="1" applyBorder="1" applyAlignment="1">
      <alignment horizontal="center"/>
    </xf>
    <xf numFmtId="14" fontId="0" fillId="0" borderId="70" xfId="0" applyNumberFormat="1" applyFont="1" applyFill="1" applyBorder="1" applyAlignment="1">
      <alignment horizontal="center"/>
    </xf>
    <xf numFmtId="0" fontId="0" fillId="3" borderId="31" xfId="0" applyFont="1" applyFill="1" applyBorder="1" applyAlignment="1">
      <alignment horizontal="center"/>
    </xf>
    <xf numFmtId="0" fontId="0" fillId="3" borderId="32" xfId="0" applyFont="1" applyFill="1" applyBorder="1" applyAlignment="1">
      <alignment horizontal="center"/>
    </xf>
    <xf numFmtId="0" fontId="0" fillId="3" borderId="33" xfId="0" applyFont="1" applyFill="1" applyBorder="1" applyAlignment="1">
      <alignment horizontal="center"/>
    </xf>
    <xf numFmtId="40" fontId="1" fillId="0" borderId="64" xfId="0" applyNumberFormat="1" applyFont="1" applyFill="1" applyBorder="1" applyAlignment="1">
      <alignment horizontal="center"/>
    </xf>
    <xf numFmtId="0" fontId="0" fillId="0" borderId="86" xfId="0" applyFont="1" applyFill="1" applyBorder="1" applyAlignment="1">
      <alignment horizontal="center"/>
    </xf>
    <xf numFmtId="0" fontId="0" fillId="0" borderId="87" xfId="0" applyFont="1" applyFill="1" applyBorder="1" applyAlignment="1">
      <alignment horizontal="center"/>
    </xf>
    <xf numFmtId="0" fontId="0" fillId="0" borderId="84" xfId="0" applyFont="1" applyFill="1" applyBorder="1" applyAlignment="1">
      <alignment horizontal="center"/>
    </xf>
    <xf numFmtId="0" fontId="0" fillId="4" borderId="62" xfId="0" applyFont="1" applyFill="1" applyBorder="1" applyAlignment="1">
      <alignment horizontal="center"/>
    </xf>
    <xf numFmtId="0" fontId="0" fillId="4" borderId="39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0" fillId="4" borderId="39" xfId="0" applyNumberFormat="1" applyFont="1" applyFill="1" applyBorder="1" applyAlignment="1">
      <alignment horizontal="center"/>
    </xf>
    <xf numFmtId="167" fontId="0" fillId="4" borderId="39" xfId="0" applyNumberFormat="1" applyFont="1" applyFill="1" applyBorder="1" applyAlignment="1">
      <alignment horizontal="center"/>
    </xf>
    <xf numFmtId="168" fontId="0" fillId="4" borderId="39" xfId="0" applyNumberFormat="1" applyFont="1" applyFill="1" applyBorder="1" applyAlignment="1">
      <alignment horizontal="center"/>
    </xf>
    <xf numFmtId="169" fontId="0" fillId="4" borderId="39" xfId="0" applyNumberFormat="1" applyFont="1" applyFill="1" applyBorder="1" applyAlignment="1">
      <alignment horizontal="center"/>
    </xf>
    <xf numFmtId="170" fontId="0" fillId="4" borderId="39" xfId="0" applyNumberFormat="1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1" fillId="4" borderId="39" xfId="0" applyNumberFormat="1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172" fontId="1" fillId="4" borderId="39" xfId="0" applyNumberFormat="1" applyFont="1" applyFill="1" applyBorder="1" applyAlignment="1">
      <alignment horizontal="center"/>
    </xf>
    <xf numFmtId="9" fontId="0" fillId="4" borderId="39" xfId="15" applyFont="1" applyFill="1" applyBorder="1" applyAlignment="1">
      <alignment horizontal="center"/>
    </xf>
    <xf numFmtId="165" fontId="0" fillId="4" borderId="39" xfId="0" applyNumberFormat="1" applyFont="1" applyFill="1" applyBorder="1" applyAlignment="1">
      <alignment horizontal="center"/>
    </xf>
    <xf numFmtId="165" fontId="0" fillId="4" borderId="40" xfId="0" applyNumberFormat="1" applyFont="1" applyFill="1" applyBorder="1" applyAlignment="1">
      <alignment horizontal="center"/>
    </xf>
    <xf numFmtId="174" fontId="0" fillId="4" borderId="30" xfId="0" applyNumberFormat="1" applyFont="1" applyFill="1" applyBorder="1" applyAlignment="1">
      <alignment horizontal="center"/>
    </xf>
    <xf numFmtId="165" fontId="0" fillId="4" borderId="67" xfId="0" applyNumberFormat="1" applyFont="1" applyFill="1" applyBorder="1" applyAlignment="1">
      <alignment horizontal="center"/>
    </xf>
    <xf numFmtId="174" fontId="0" fillId="4" borderId="68" xfId="0" applyNumberFormat="1" applyFont="1" applyFill="1" applyBorder="1" applyAlignment="1">
      <alignment horizontal="center"/>
    </xf>
    <xf numFmtId="165" fontId="0" fillId="4" borderId="73" xfId="0" applyNumberFormat="1" applyFont="1" applyFill="1" applyBorder="1" applyAlignment="1">
      <alignment horizontal="center"/>
    </xf>
    <xf numFmtId="174" fontId="0" fillId="4" borderId="74" xfId="0" applyNumberFormat="1" applyFont="1" applyFill="1" applyBorder="1" applyAlignment="1">
      <alignment horizontal="center"/>
    </xf>
    <xf numFmtId="165" fontId="0" fillId="4" borderId="81" xfId="0" applyNumberFormat="1" applyFont="1" applyFill="1" applyBorder="1" applyAlignment="1">
      <alignment horizontal="center"/>
    </xf>
    <xf numFmtId="174" fontId="0" fillId="4" borderId="82" xfId="0" applyNumberFormat="1" applyFont="1" applyFill="1" applyBorder="1" applyAlignment="1">
      <alignment horizontal="center"/>
    </xf>
    <xf numFmtId="0" fontId="0" fillId="4" borderId="63" xfId="0" applyFont="1" applyFill="1" applyBorder="1" applyAlignment="1">
      <alignment horizontal="center"/>
    </xf>
    <xf numFmtId="0" fontId="0" fillId="4" borderId="64" xfId="0" applyFont="1" applyFill="1" applyBorder="1" applyAlignment="1">
      <alignment horizontal="center"/>
    </xf>
    <xf numFmtId="0" fontId="0" fillId="4" borderId="65" xfId="0" applyFont="1" applyFill="1" applyBorder="1" applyAlignment="1">
      <alignment horizontal="center"/>
    </xf>
    <xf numFmtId="0" fontId="0" fillId="4" borderId="66" xfId="0" applyFont="1" applyFill="1" applyBorder="1" applyAlignment="1">
      <alignment horizontal="center"/>
    </xf>
    <xf numFmtId="0" fontId="3" fillId="4" borderId="64" xfId="0" applyFont="1" applyFill="1" applyBorder="1" applyAlignment="1">
      <alignment horizontal="center"/>
    </xf>
    <xf numFmtId="0" fontId="0" fillId="4" borderId="64" xfId="0" applyNumberFormat="1" applyFont="1" applyFill="1" applyBorder="1" applyAlignment="1">
      <alignment horizontal="center"/>
    </xf>
    <xf numFmtId="167" fontId="0" fillId="4" borderId="64" xfId="0" applyNumberFormat="1" applyFont="1" applyFill="1" applyBorder="1" applyAlignment="1">
      <alignment horizontal="center"/>
    </xf>
    <xf numFmtId="168" fontId="0" fillId="4" borderId="64" xfId="0" applyNumberFormat="1" applyFont="1" applyFill="1" applyBorder="1" applyAlignment="1">
      <alignment horizontal="center"/>
    </xf>
    <xf numFmtId="169" fontId="0" fillId="4" borderId="64" xfId="0" applyNumberFormat="1" applyFont="1" applyFill="1" applyBorder="1" applyAlignment="1">
      <alignment horizontal="center"/>
    </xf>
    <xf numFmtId="170" fontId="0" fillId="4" borderId="64" xfId="0" applyNumberFormat="1" applyFont="1" applyFill="1" applyBorder="1" applyAlignment="1">
      <alignment horizontal="center"/>
    </xf>
    <xf numFmtId="0" fontId="1" fillId="4" borderId="64" xfId="0" applyFont="1" applyFill="1" applyBorder="1" applyAlignment="1">
      <alignment horizontal="center"/>
    </xf>
    <xf numFmtId="0" fontId="1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172" fontId="1" fillId="4" borderId="64" xfId="0" applyNumberFormat="1" applyFont="1" applyFill="1" applyBorder="1" applyAlignment="1">
      <alignment horizontal="center"/>
    </xf>
    <xf numFmtId="9" fontId="0" fillId="4" borderId="64" xfId="15" applyFont="1" applyFill="1" applyBorder="1" applyAlignment="1">
      <alignment horizontal="center"/>
    </xf>
    <xf numFmtId="165" fontId="0" fillId="4" borderId="64" xfId="0" applyNumberFormat="1" applyFont="1" applyFill="1" applyBorder="1" applyAlignment="1">
      <alignment horizontal="center"/>
    </xf>
    <xf numFmtId="165" fontId="0" fillId="4" borderId="65" xfId="0" applyNumberFormat="1" applyFont="1" applyFill="1" applyBorder="1" applyAlignment="1">
      <alignment horizontal="center"/>
    </xf>
    <xf numFmtId="0" fontId="0" fillId="4" borderId="69" xfId="0" applyFont="1" applyFill="1" applyBorder="1" applyAlignment="1">
      <alignment horizontal="center"/>
    </xf>
    <xf numFmtId="0" fontId="0" fillId="4" borderId="70" xfId="0" applyFont="1" applyFill="1" applyBorder="1" applyAlignment="1">
      <alignment horizontal="center"/>
    </xf>
    <xf numFmtId="0" fontId="0" fillId="4" borderId="71" xfId="0" applyFont="1" applyFill="1" applyBorder="1" applyAlignment="1">
      <alignment horizontal="center"/>
    </xf>
    <xf numFmtId="0" fontId="0" fillId="4" borderId="72" xfId="0" applyFont="1" applyFill="1" applyBorder="1" applyAlignment="1">
      <alignment horizontal="center"/>
    </xf>
    <xf numFmtId="0" fontId="3" fillId="4" borderId="70" xfId="0" applyFont="1" applyFill="1" applyBorder="1" applyAlignment="1">
      <alignment horizontal="center"/>
    </xf>
    <xf numFmtId="0" fontId="0" fillId="4" borderId="70" xfId="0" applyNumberFormat="1" applyFont="1" applyFill="1" applyBorder="1" applyAlignment="1">
      <alignment horizontal="center"/>
    </xf>
    <xf numFmtId="167" fontId="0" fillId="4" borderId="70" xfId="0" applyNumberFormat="1" applyFont="1" applyFill="1" applyBorder="1" applyAlignment="1">
      <alignment horizontal="center"/>
    </xf>
    <xf numFmtId="168" fontId="0" fillId="4" borderId="70" xfId="0" applyNumberFormat="1" applyFont="1" applyFill="1" applyBorder="1" applyAlignment="1">
      <alignment horizontal="center"/>
    </xf>
    <xf numFmtId="169" fontId="0" fillId="4" borderId="70" xfId="0" applyNumberFormat="1" applyFont="1" applyFill="1" applyBorder="1" applyAlignment="1">
      <alignment horizontal="center"/>
    </xf>
    <xf numFmtId="170" fontId="0" fillId="4" borderId="70" xfId="0" applyNumberFormat="1" applyFont="1" applyFill="1" applyBorder="1" applyAlignment="1">
      <alignment horizontal="center"/>
    </xf>
    <xf numFmtId="0" fontId="1" fillId="4" borderId="70" xfId="0" applyFont="1" applyFill="1" applyBorder="1" applyAlignment="1">
      <alignment horizontal="center"/>
    </xf>
    <xf numFmtId="0" fontId="1" fillId="4" borderId="70" xfId="0" applyNumberFormat="1" applyFont="1" applyFill="1" applyBorder="1" applyAlignment="1">
      <alignment horizontal="center"/>
    </xf>
    <xf numFmtId="0" fontId="6" fillId="4" borderId="70" xfId="0" applyFont="1" applyFill="1" applyBorder="1" applyAlignment="1">
      <alignment horizontal="center"/>
    </xf>
    <xf numFmtId="172" fontId="1" fillId="4" borderId="70" xfId="0" applyNumberFormat="1" applyFont="1" applyFill="1" applyBorder="1" applyAlignment="1">
      <alignment horizontal="center"/>
    </xf>
    <xf numFmtId="9" fontId="0" fillId="4" borderId="70" xfId="15" applyFont="1" applyFill="1" applyBorder="1" applyAlignment="1">
      <alignment horizontal="center"/>
    </xf>
    <xf numFmtId="165" fontId="0" fillId="4" borderId="70" xfId="0" applyNumberFormat="1" applyFont="1" applyFill="1" applyBorder="1" applyAlignment="1">
      <alignment horizontal="center"/>
    </xf>
    <xf numFmtId="165" fontId="0" fillId="4" borderId="71" xfId="0" applyNumberFormat="1" applyFont="1" applyFill="1" applyBorder="1" applyAlignment="1">
      <alignment horizontal="center"/>
    </xf>
    <xf numFmtId="0" fontId="0" fillId="4" borderId="83" xfId="0" applyFont="1" applyFill="1" applyBorder="1" applyAlignment="1">
      <alignment horizontal="center"/>
    </xf>
    <xf numFmtId="0" fontId="0" fillId="4" borderId="79" xfId="0" applyFont="1" applyFill="1" applyBorder="1" applyAlignment="1">
      <alignment horizontal="center"/>
    </xf>
    <xf numFmtId="0" fontId="0" fillId="4" borderId="80" xfId="0" applyFont="1" applyFill="1" applyBorder="1" applyAlignment="1">
      <alignment horizontal="center"/>
    </xf>
    <xf numFmtId="0" fontId="0" fillId="4" borderId="78" xfId="0" applyFont="1" applyFill="1" applyBorder="1" applyAlignment="1">
      <alignment horizontal="center"/>
    </xf>
    <xf numFmtId="0" fontId="3" fillId="4" borderId="79" xfId="0" applyFont="1" applyFill="1" applyBorder="1" applyAlignment="1">
      <alignment horizontal="center"/>
    </xf>
    <xf numFmtId="0" fontId="0" fillId="4" borderId="79" xfId="0" applyNumberFormat="1" applyFont="1" applyFill="1" applyBorder="1" applyAlignment="1">
      <alignment horizontal="center"/>
    </xf>
    <xf numFmtId="167" fontId="0" fillId="4" borderId="79" xfId="0" applyNumberFormat="1" applyFont="1" applyFill="1" applyBorder="1" applyAlignment="1">
      <alignment horizontal="center"/>
    </xf>
    <xf numFmtId="168" fontId="0" fillId="4" borderId="79" xfId="0" applyNumberFormat="1" applyFont="1" applyFill="1" applyBorder="1" applyAlignment="1">
      <alignment horizontal="center"/>
    </xf>
    <xf numFmtId="169" fontId="0" fillId="4" borderId="79" xfId="0" applyNumberFormat="1" applyFont="1" applyFill="1" applyBorder="1" applyAlignment="1">
      <alignment horizontal="center"/>
    </xf>
    <xf numFmtId="170" fontId="0" fillId="4" borderId="79" xfId="0" applyNumberFormat="1" applyFont="1" applyFill="1" applyBorder="1" applyAlignment="1">
      <alignment horizontal="center"/>
    </xf>
    <xf numFmtId="0" fontId="1" fillId="4" borderId="79" xfId="0" applyFont="1" applyFill="1" applyBorder="1" applyAlignment="1">
      <alignment horizontal="center"/>
    </xf>
    <xf numFmtId="0" fontId="1" fillId="4" borderId="79" xfId="0" applyNumberFormat="1" applyFont="1" applyFill="1" applyBorder="1" applyAlignment="1">
      <alignment horizontal="center"/>
    </xf>
    <xf numFmtId="0" fontId="6" fillId="4" borderId="79" xfId="0" applyFont="1" applyFill="1" applyBorder="1" applyAlignment="1">
      <alignment horizontal="center"/>
    </xf>
    <xf numFmtId="172" fontId="1" fillId="4" borderId="79" xfId="0" applyNumberFormat="1" applyFont="1" applyFill="1" applyBorder="1" applyAlignment="1">
      <alignment horizontal="center"/>
    </xf>
    <xf numFmtId="9" fontId="0" fillId="4" borderId="79" xfId="15" applyFont="1" applyFill="1" applyBorder="1" applyAlignment="1">
      <alignment horizontal="center"/>
    </xf>
    <xf numFmtId="165" fontId="0" fillId="4" borderId="79" xfId="0" applyNumberFormat="1" applyFont="1" applyFill="1" applyBorder="1" applyAlignment="1">
      <alignment horizontal="center"/>
    </xf>
    <xf numFmtId="165" fontId="0" fillId="4" borderId="80" xfId="0" applyNumberFormat="1" applyFont="1" applyFill="1" applyBorder="1" applyAlignment="1">
      <alignment horizont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49" fontId="2" fillId="0" borderId="4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88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8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9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/>
    </xf>
    <xf numFmtId="0" fontId="0" fillId="4" borderId="43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8" xfId="0" applyFont="1" applyFill="1" applyBorder="1" applyAlignment="1">
      <alignment horizontal="center" vertical="center"/>
    </xf>
    <xf numFmtId="0" fontId="0" fillId="4" borderId="88" xfId="0" applyFont="1" applyFill="1" applyBorder="1" applyAlignment="1">
      <alignment horizontal="center" vertical="center"/>
    </xf>
    <xf numFmtId="0" fontId="0" fillId="4" borderId="47" xfId="0" applyFont="1" applyFill="1" applyBorder="1" applyAlignment="1">
      <alignment horizontal="center" vertical="center"/>
    </xf>
    <xf numFmtId="0" fontId="0" fillId="4" borderId="48" xfId="0" applyFont="1" applyFill="1" applyBorder="1" applyAlignment="1">
      <alignment horizontal="center" vertical="center"/>
    </xf>
    <xf numFmtId="0" fontId="0" fillId="4" borderId="89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49" xfId="0" applyFont="1" applyFill="1" applyBorder="1" applyAlignment="1">
      <alignment horizontal="center" vertical="center"/>
    </xf>
    <xf numFmtId="0" fontId="0" fillId="4" borderId="90" xfId="0" applyFont="1" applyFill="1" applyBorder="1" applyAlignment="1">
      <alignment horizontal="center" vertical="center"/>
    </xf>
    <xf numFmtId="0" fontId="0" fillId="4" borderId="30" xfId="0" applyFont="1" applyFill="1" applyBorder="1" applyAlignment="1">
      <alignment horizontal="center" vertical="center"/>
    </xf>
    <xf numFmtId="0" fontId="0" fillId="4" borderId="50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8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9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theme" Target="theme/theme1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493"/>
  <sheetViews>
    <sheetView showGridLines="0" showZeros="0" tabSelected="1" zoomScale="80" zoomScaleNormal="80" workbookViewId="0" topLeftCell="A1">
      <pane ySplit="4" topLeftCell="A146" activePane="bottomLeft" state="frozen"/>
      <selection pane="topLeft" activeCell="W1" sqref="W1"/>
      <selection pane="bottomLeft" activeCell="C165" sqref="C165"/>
    </sheetView>
  </sheetViews>
  <sheetFormatPr defaultColWidth="19.41015625" defaultRowHeight="12.75"/>
  <cols>
    <col min="1" max="1" width="12.1428571428571" style="78" bestFit="1" customWidth="1"/>
    <col min="2" max="2" width="20.8571428571429" style="78" bestFit="1" customWidth="1"/>
    <col min="3" max="3" width="24.8571428571429" style="468" bestFit="1" customWidth="1"/>
    <col min="4" max="4" width="21.5714285714286" style="78" bestFit="1" customWidth="1"/>
    <col min="5" max="5" width="19.4285714285714" style="78"/>
    <col min="6" max="6" width="23.4285714285714" style="78" bestFit="1" customWidth="1"/>
    <col min="7" max="7" width="19.4285714285714" style="82"/>
    <col min="8" max="8" width="35" style="88" bestFit="1" customWidth="1"/>
    <col min="9" max="9" width="7.85714285714286" style="78" customWidth="1"/>
    <col min="10" max="11" width="8.85714285714286" style="78" bestFit="1" customWidth="1"/>
    <col min="12" max="12" width="8.85714285714286" style="87" bestFit="1" customWidth="1"/>
    <col min="13" max="14" width="8.85714285714286" style="78" bestFit="1" customWidth="1"/>
    <col min="15" max="15" width="39.4285714285714" style="88" bestFit="1" customWidth="1"/>
    <col min="16" max="16" width="10" style="89" customWidth="1"/>
    <col min="17" max="17" width="8.71428571428571" style="78" customWidth="1"/>
    <col min="18" max="18" width="11.7142857142857" style="78" customWidth="1"/>
    <col min="19" max="19" width="10.1428571428571" style="87" customWidth="1"/>
    <col min="20" max="20" width="8.85714285714286" style="78" customWidth="1"/>
    <col min="21" max="21" width="10.1428571428571" style="78" customWidth="1"/>
    <col min="22" max="22" width="11.5714285714286" style="78" bestFit="1" customWidth="1"/>
    <col min="23" max="23" width="18.1428571428571" style="90" bestFit="1" customWidth="1"/>
    <col min="24" max="24" width="13.5714285714286" style="91" customWidth="1"/>
    <col min="25" max="25" width="12.2857142857143" style="78" bestFit="1" customWidth="1"/>
    <col min="26" max="26" width="24.2857142857143" style="92" bestFit="1" customWidth="1"/>
    <col min="27" max="27" width="19.4285714285714" style="78"/>
    <col min="28" max="28" width="18.5714285714286" style="78" customWidth="1"/>
    <col min="29" max="29" width="15.1428571428571" style="78" customWidth="1"/>
    <col min="30" max="30" width="18.1428571428571" style="78" customWidth="1"/>
    <col min="31" max="31" width="18.5714285714286" style="78" customWidth="1"/>
    <col min="32" max="34" width="19.4285714285714" style="78"/>
    <col min="35" max="37" width="19.4285714285714" style="465"/>
    <col min="38" max="16384" width="19.4285714285714" style="78"/>
  </cols>
  <sheetData>
    <row r="1" spans="5:37" ht="23.25" customHeight="1">
      <c r="E1" s="463" t="s">
        <v>606</v>
      </c>
      <c r="AI1" s="200"/>
      <c r="AJ1" s="200"/>
      <c r="AK1" s="200"/>
    </row>
    <row r="2" spans="5:37" ht="12.7">
      <c r="E2" s="82" t="s">
        <v>607</v>
      </c>
      <c r="AI2" s="200"/>
      <c r="AJ2" s="200"/>
      <c r="AK2" s="200"/>
    </row>
    <row r="3" spans="5:37" ht="12.7">
      <c r="E3" s="82" t="s">
        <v>673</v>
      </c>
      <c r="AI3" s="201"/>
      <c r="AJ3" s="201"/>
      <c r="AK3" s="201"/>
    </row>
    <row r="4" spans="1:37" s="82" customFormat="1" ht="28.5" customHeight="1">
      <c r="A4" s="26" t="s">
        <v>326</v>
      </c>
      <c r="B4" s="485" t="s">
        <v>267</v>
      </c>
      <c r="C4" s="469" t="s">
        <v>627</v>
      </c>
      <c r="D4" s="27" t="s">
        <v>268</v>
      </c>
      <c r="E4" s="27" t="s">
        <v>379</v>
      </c>
      <c r="F4" s="28" t="s">
        <v>5</v>
      </c>
      <c r="G4" s="27" t="s">
        <v>269</v>
      </c>
      <c r="H4" s="101" t="s">
        <v>278</v>
      </c>
      <c r="I4" s="1041" t="s">
        <v>661</v>
      </c>
      <c r="J4" s="1042"/>
      <c r="K4" s="1043"/>
      <c r="L4" s="1041" t="s">
        <v>662</v>
      </c>
      <c r="M4" s="1042"/>
      <c r="N4" s="1043"/>
      <c r="O4" s="102" t="s">
        <v>279</v>
      </c>
      <c r="P4" s="1041" t="s">
        <v>661</v>
      </c>
      <c r="Q4" s="1042"/>
      <c r="R4" s="1043"/>
      <c r="S4" s="1041" t="s">
        <v>662</v>
      </c>
      <c r="T4" s="1042"/>
      <c r="U4" s="1043"/>
      <c r="V4" s="28" t="s">
        <v>0</v>
      </c>
      <c r="W4" s="29" t="s">
        <v>1</v>
      </c>
      <c r="X4" s="30" t="s">
        <v>2</v>
      </c>
      <c r="Y4" s="28" t="s">
        <v>3</v>
      </c>
      <c r="Z4" s="28" t="s">
        <v>4</v>
      </c>
      <c r="AA4" s="31" t="s">
        <v>7</v>
      </c>
      <c r="AB4" s="83" t="s">
        <v>270</v>
      </c>
      <c r="AC4" s="84" t="s">
        <v>271</v>
      </c>
      <c r="AD4" s="83" t="s">
        <v>272</v>
      </c>
      <c r="AE4" s="85" t="s">
        <v>377</v>
      </c>
      <c r="AF4" s="188" t="s">
        <v>378</v>
      </c>
      <c r="AG4" s="188" t="s">
        <v>672</v>
      </c>
      <c r="AH4" s="188" t="s">
        <v>675</v>
      </c>
      <c r="AI4" s="27" t="s">
        <v>610</v>
      </c>
      <c r="AJ4" s="27" t="s">
        <v>611</v>
      </c>
      <c r="AK4" s="27" t="s">
        <v>612</v>
      </c>
    </row>
    <row r="5" spans="1:34" s="105" customFormat="1" ht="12.7">
      <c r="A5" s="106" t="s">
        <v>11</v>
      </c>
      <c r="B5" s="474" t="s">
        <v>630</v>
      </c>
      <c r="C5" s="486" t="s">
        <v>664</v>
      </c>
      <c r="D5" s="754" t="s">
        <v>631</v>
      </c>
      <c r="E5" s="758" t="s">
        <v>632</v>
      </c>
      <c r="F5" s="474" t="s">
        <v>667</v>
      </c>
      <c r="G5" s="474"/>
      <c r="H5" s="475" t="s">
        <v>633</v>
      </c>
      <c r="I5" s="476">
        <v>42</v>
      </c>
      <c r="J5" s="477">
        <v>51</v>
      </c>
      <c r="K5" s="478">
        <v>34</v>
      </c>
      <c r="L5" s="479">
        <v>79</v>
      </c>
      <c r="M5" s="477">
        <v>28</v>
      </c>
      <c r="N5" s="480">
        <v>20</v>
      </c>
      <c r="O5" s="475" t="s">
        <v>634</v>
      </c>
      <c r="P5" s="476">
        <v>42</v>
      </c>
      <c r="Q5" s="477">
        <v>51</v>
      </c>
      <c r="R5" s="478">
        <v>59</v>
      </c>
      <c r="S5" s="479">
        <v>79</v>
      </c>
      <c r="T5" s="477">
        <v>29</v>
      </c>
      <c r="U5" s="480">
        <v>15</v>
      </c>
      <c r="V5" s="474">
        <v>6</v>
      </c>
      <c r="W5" s="536">
        <v>4816</v>
      </c>
      <c r="X5" s="481">
        <v>1977</v>
      </c>
      <c r="Y5" s="474"/>
      <c r="Z5" s="38"/>
      <c r="AA5" s="474" t="s">
        <v>31</v>
      </c>
      <c r="AB5" s="39">
        <f t="shared" si="0" ref="AB5:AB19">IF(G5="ABAND",0,(IF(AA5="steel",VLOOKUP(V5,steelrates,2,FALSE)*W5,VLOOKUP(V5,plasticrates,2,FALSE)*W5)))</f>
        <v>221198.88</v>
      </c>
      <c r="AC5" s="482">
        <f t="shared" si="1" ref="AC5:AC19">IF(X5=0,0,(VLOOKUP(X5,depreciation,2,)))</f>
        <v>0.61</v>
      </c>
      <c r="AD5" s="39">
        <f t="shared" si="2" ref="AD5:AD19">ROUND(+AB5-(+AB5*AC5),2)</f>
        <v>86267.56</v>
      </c>
      <c r="AE5" s="79">
        <f t="shared" si="3" ref="AE5:AE19">(IF(Y5="LOOP",AD5*0.25,0))</f>
        <v>0</v>
      </c>
      <c r="AF5" s="79">
        <f t="shared" si="4" ref="AF5:AF19">(IF(G5="SUSP",AD5*0.2,0))</f>
        <v>0</v>
      </c>
      <c r="AG5" s="418">
        <f>AD5-AE5-AF5</f>
        <v>86267.56</v>
      </c>
      <c r="AH5" s="516">
        <f t="shared" si="5" ref="AH5:AH67">ROUNDDOWN(AG5,0)</f>
        <v>86267</v>
      </c>
    </row>
    <row r="6" spans="1:34" s="105" customFormat="1" ht="12.7">
      <c r="A6" s="106" t="s">
        <v>11</v>
      </c>
      <c r="B6" s="474" t="s">
        <v>630</v>
      </c>
      <c r="C6" s="486" t="s">
        <v>664</v>
      </c>
      <c r="D6" s="754" t="s">
        <v>631</v>
      </c>
      <c r="E6" s="759" t="s">
        <v>632</v>
      </c>
      <c r="F6" s="474" t="s">
        <v>667</v>
      </c>
      <c r="G6" s="474"/>
      <c r="H6" s="475" t="s">
        <v>633</v>
      </c>
      <c r="I6" s="476">
        <v>42</v>
      </c>
      <c r="J6" s="477">
        <v>51</v>
      </c>
      <c r="K6" s="478">
        <v>34</v>
      </c>
      <c r="L6" s="479">
        <v>79</v>
      </c>
      <c r="M6" s="477">
        <v>28</v>
      </c>
      <c r="N6" s="480">
        <v>20</v>
      </c>
      <c r="O6" s="475" t="s">
        <v>634</v>
      </c>
      <c r="P6" s="476">
        <v>42</v>
      </c>
      <c r="Q6" s="477">
        <v>51</v>
      </c>
      <c r="R6" s="478">
        <v>59</v>
      </c>
      <c r="S6" s="479">
        <v>79</v>
      </c>
      <c r="T6" s="477">
        <v>29</v>
      </c>
      <c r="U6" s="480">
        <v>15</v>
      </c>
      <c r="V6" s="474">
        <v>6</v>
      </c>
      <c r="W6" s="536">
        <v>4816</v>
      </c>
      <c r="X6" s="481">
        <v>1977</v>
      </c>
      <c r="Y6" s="474"/>
      <c r="Z6" s="38"/>
      <c r="AA6" s="474" t="s">
        <v>31</v>
      </c>
      <c r="AB6" s="39">
        <f t="shared" si="0"/>
        <v>221198.88</v>
      </c>
      <c r="AC6" s="482">
        <f t="shared" si="1"/>
        <v>0.61</v>
      </c>
      <c r="AD6" s="39">
        <f t="shared" si="2"/>
        <v>86267.56</v>
      </c>
      <c r="AE6" s="79">
        <f t="shared" si="3"/>
        <v>0</v>
      </c>
      <c r="AF6" s="79">
        <f t="shared" si="4"/>
        <v>0</v>
      </c>
      <c r="AG6" s="424">
        <f t="shared" si="6" ref="AG6:AG68">AD6-AE6-AF6</f>
        <v>86267.56</v>
      </c>
      <c r="AH6" s="516">
        <f t="shared" si="5"/>
        <v>86267</v>
      </c>
    </row>
    <row r="7" spans="1:34" s="105" customFormat="1" ht="12.7">
      <c r="A7" s="106" t="s">
        <v>11</v>
      </c>
      <c r="B7" s="474" t="s">
        <v>630</v>
      </c>
      <c r="C7" s="486" t="s">
        <v>664</v>
      </c>
      <c r="D7" s="754" t="s">
        <v>631</v>
      </c>
      <c r="E7" s="759" t="s">
        <v>632</v>
      </c>
      <c r="F7" s="474" t="s">
        <v>667</v>
      </c>
      <c r="G7" s="474"/>
      <c r="H7" s="475" t="s">
        <v>633</v>
      </c>
      <c r="I7" s="476">
        <v>42</v>
      </c>
      <c r="J7" s="477">
        <v>51</v>
      </c>
      <c r="K7" s="478">
        <v>34</v>
      </c>
      <c r="L7" s="479">
        <v>79</v>
      </c>
      <c r="M7" s="477">
        <v>28</v>
      </c>
      <c r="N7" s="480">
        <v>20</v>
      </c>
      <c r="O7" s="474" t="s">
        <v>635</v>
      </c>
      <c r="P7" s="476">
        <v>42</v>
      </c>
      <c r="Q7" s="477">
        <v>51</v>
      </c>
      <c r="R7" s="478">
        <v>59</v>
      </c>
      <c r="S7" s="479">
        <v>79</v>
      </c>
      <c r="T7" s="477">
        <v>29</v>
      </c>
      <c r="U7" s="480">
        <v>15</v>
      </c>
      <c r="V7" s="474">
        <v>8</v>
      </c>
      <c r="W7" s="536">
        <v>4816</v>
      </c>
      <c r="X7" s="481">
        <v>1983</v>
      </c>
      <c r="Y7" s="474"/>
      <c r="Z7" s="38"/>
      <c r="AA7" s="474" t="s">
        <v>31</v>
      </c>
      <c r="AB7" s="39">
        <f t="shared" si="0"/>
        <v>285348</v>
      </c>
      <c r="AC7" s="482">
        <f t="shared" si="1"/>
        <v>0.56999999999999995</v>
      </c>
      <c r="AD7" s="39">
        <f t="shared" si="2"/>
        <v>122699.64</v>
      </c>
      <c r="AE7" s="79">
        <f t="shared" si="3"/>
        <v>0</v>
      </c>
      <c r="AF7" s="79">
        <f t="shared" si="4"/>
        <v>0</v>
      </c>
      <c r="AG7" s="424">
        <f t="shared" si="6"/>
        <v>122699.64</v>
      </c>
      <c r="AH7" s="516">
        <f t="shared" si="5"/>
        <v>122699</v>
      </c>
    </row>
    <row r="8" spans="1:34" s="105" customFormat="1" ht="12.7">
      <c r="A8" s="106" t="s">
        <v>11</v>
      </c>
      <c r="B8" s="474" t="s">
        <v>630</v>
      </c>
      <c r="C8" s="474" t="s">
        <v>663</v>
      </c>
      <c r="D8" s="754" t="s">
        <v>631</v>
      </c>
      <c r="E8" s="759" t="s">
        <v>636</v>
      </c>
      <c r="F8" s="474" t="s">
        <v>667</v>
      </c>
      <c r="G8" s="474"/>
      <c r="H8" s="475" t="s">
        <v>637</v>
      </c>
      <c r="I8" s="476">
        <v>42</v>
      </c>
      <c r="J8" s="477">
        <v>47</v>
      </c>
      <c r="K8" s="478">
        <v>13</v>
      </c>
      <c r="L8" s="479">
        <v>80</v>
      </c>
      <c r="M8" s="477">
        <v>8</v>
      </c>
      <c r="N8" s="480">
        <v>47</v>
      </c>
      <c r="O8" s="475" t="s">
        <v>638</v>
      </c>
      <c r="P8" s="476">
        <v>42</v>
      </c>
      <c r="Q8" s="477">
        <v>48</v>
      </c>
      <c r="R8" s="478">
        <v>30</v>
      </c>
      <c r="S8" s="479">
        <v>80</v>
      </c>
      <c r="T8" s="477">
        <v>9</v>
      </c>
      <c r="U8" s="480">
        <v>18</v>
      </c>
      <c r="V8" s="474">
        <v>6</v>
      </c>
      <c r="W8" s="537">
        <v>8047</v>
      </c>
      <c r="X8" s="481">
        <v>1982</v>
      </c>
      <c r="Y8" s="474"/>
      <c r="Z8" s="38"/>
      <c r="AA8" s="474" t="s">
        <v>31</v>
      </c>
      <c r="AB8" s="39">
        <f t="shared" si="0"/>
        <v>369598.71</v>
      </c>
      <c r="AC8" s="482">
        <f t="shared" si="1"/>
        <v>0.56999999999999995</v>
      </c>
      <c r="AD8" s="39">
        <f t="shared" si="2"/>
        <v>158927.45000000001</v>
      </c>
      <c r="AE8" s="79">
        <f t="shared" si="3"/>
        <v>0</v>
      </c>
      <c r="AF8" s="79">
        <f t="shared" si="4"/>
        <v>0</v>
      </c>
      <c r="AG8" s="424">
        <f t="shared" si="6"/>
        <v>158927.45000000001</v>
      </c>
      <c r="AH8" s="516">
        <f t="shared" si="5"/>
        <v>158927</v>
      </c>
    </row>
    <row r="9" spans="1:34" s="105" customFormat="1" ht="12.7">
      <c r="A9" s="106" t="s">
        <v>11</v>
      </c>
      <c r="B9" s="474" t="s">
        <v>630</v>
      </c>
      <c r="C9" s="474" t="s">
        <v>663</v>
      </c>
      <c r="D9" s="754" t="s">
        <v>631</v>
      </c>
      <c r="E9" s="759" t="s">
        <v>636</v>
      </c>
      <c r="F9" s="474" t="s">
        <v>667</v>
      </c>
      <c r="G9" s="474"/>
      <c r="H9" s="475" t="s">
        <v>638</v>
      </c>
      <c r="I9" s="476">
        <v>42</v>
      </c>
      <c r="J9" s="477">
        <v>48</v>
      </c>
      <c r="K9" s="478">
        <v>30</v>
      </c>
      <c r="L9" s="479">
        <v>80</v>
      </c>
      <c r="M9" s="477">
        <v>9</v>
      </c>
      <c r="N9" s="480">
        <v>18</v>
      </c>
      <c r="O9" s="475" t="s">
        <v>639</v>
      </c>
      <c r="P9" s="476">
        <v>42</v>
      </c>
      <c r="Q9" s="477">
        <v>48</v>
      </c>
      <c r="R9" s="478">
        <v>43</v>
      </c>
      <c r="S9" s="479">
        <v>80</v>
      </c>
      <c r="T9" s="477">
        <v>9</v>
      </c>
      <c r="U9" s="480">
        <v>22</v>
      </c>
      <c r="V9" s="474">
        <v>6</v>
      </c>
      <c r="W9" s="537">
        <v>1348</v>
      </c>
      <c r="X9" s="481">
        <v>1982</v>
      </c>
      <c r="Y9" s="474"/>
      <c r="Z9" s="38"/>
      <c r="AA9" s="474" t="s">
        <v>31</v>
      </c>
      <c r="AB9" s="39">
        <f t="shared" si="0"/>
        <v>61913.64</v>
      </c>
      <c r="AC9" s="482">
        <f t="shared" si="1"/>
        <v>0.56999999999999995</v>
      </c>
      <c r="AD9" s="39">
        <f t="shared" si="2"/>
        <v>26622.87</v>
      </c>
      <c r="AE9" s="79">
        <f t="shared" si="3"/>
        <v>0</v>
      </c>
      <c r="AF9" s="79">
        <f t="shared" si="4"/>
        <v>0</v>
      </c>
      <c r="AG9" s="424">
        <f t="shared" si="6"/>
        <v>26622.87</v>
      </c>
      <c r="AH9" s="516">
        <f t="shared" si="5"/>
        <v>26622</v>
      </c>
    </row>
    <row r="10" spans="1:35" s="105" customFormat="1" ht="12.7">
      <c r="A10" s="106" t="s">
        <v>11</v>
      </c>
      <c r="B10" s="474" t="s">
        <v>630</v>
      </c>
      <c r="C10" s="474" t="s">
        <v>663</v>
      </c>
      <c r="D10" s="754" t="s">
        <v>631</v>
      </c>
      <c r="E10" s="759" t="s">
        <v>636</v>
      </c>
      <c r="F10" s="474" t="s">
        <v>667</v>
      </c>
      <c r="G10" s="474"/>
      <c r="H10" s="475" t="s">
        <v>640</v>
      </c>
      <c r="I10" s="476">
        <v>42</v>
      </c>
      <c r="J10" s="477">
        <v>48</v>
      </c>
      <c r="K10" s="478">
        <v>43</v>
      </c>
      <c r="L10" s="479">
        <v>80</v>
      </c>
      <c r="M10" s="477">
        <v>9</v>
      </c>
      <c r="N10" s="480">
        <v>22</v>
      </c>
      <c r="O10" s="475" t="s">
        <v>641</v>
      </c>
      <c r="P10" s="476">
        <v>42</v>
      </c>
      <c r="Q10" s="477">
        <v>52</v>
      </c>
      <c r="R10" s="478">
        <v>15</v>
      </c>
      <c r="S10" s="479">
        <v>80</v>
      </c>
      <c r="T10" s="477">
        <v>7</v>
      </c>
      <c r="U10" s="480">
        <v>18</v>
      </c>
      <c r="V10" s="474">
        <v>6</v>
      </c>
      <c r="W10" s="537">
        <v>23345</v>
      </c>
      <c r="X10" s="481">
        <v>1982</v>
      </c>
      <c r="Y10" s="474"/>
      <c r="Z10" s="38"/>
      <c r="AA10" s="474" t="s">
        <v>31</v>
      </c>
      <c r="AB10" s="39">
        <f t="shared" si="0"/>
        <v>1072235.8500000001</v>
      </c>
      <c r="AC10" s="482">
        <f t="shared" si="1"/>
        <v>0.56999999999999995</v>
      </c>
      <c r="AD10" s="39">
        <f t="shared" si="2"/>
        <v>461061.42</v>
      </c>
      <c r="AE10" s="79">
        <f t="shared" si="3"/>
        <v>0</v>
      </c>
      <c r="AF10" s="79">
        <f t="shared" si="4"/>
        <v>0</v>
      </c>
      <c r="AG10" s="424">
        <f t="shared" si="6"/>
        <v>461061.42</v>
      </c>
      <c r="AH10" s="516">
        <f t="shared" si="5"/>
        <v>461061</v>
      </c>
      <c r="AI10" s="105" t="s">
        <v>642</v>
      </c>
    </row>
    <row r="11" spans="1:34" s="105" customFormat="1" ht="12.7">
      <c r="A11" s="106" t="s">
        <v>11</v>
      </c>
      <c r="B11" s="474" t="s">
        <v>630</v>
      </c>
      <c r="C11" s="474" t="s">
        <v>663</v>
      </c>
      <c r="D11" s="754" t="s">
        <v>631</v>
      </c>
      <c r="E11" s="759" t="s">
        <v>636</v>
      </c>
      <c r="F11" s="474" t="s">
        <v>667</v>
      </c>
      <c r="G11" s="474"/>
      <c r="H11" s="475" t="s">
        <v>643</v>
      </c>
      <c r="I11" s="476">
        <v>42</v>
      </c>
      <c r="J11" s="477">
        <v>52</v>
      </c>
      <c r="K11" s="478">
        <v>15</v>
      </c>
      <c r="L11" s="479">
        <v>80</v>
      </c>
      <c r="M11" s="477">
        <v>7</v>
      </c>
      <c r="N11" s="480">
        <v>18</v>
      </c>
      <c r="O11" s="475" t="s">
        <v>644</v>
      </c>
      <c r="P11" s="476">
        <v>42</v>
      </c>
      <c r="Q11" s="477">
        <v>52</v>
      </c>
      <c r="R11" s="478">
        <v>30</v>
      </c>
      <c r="S11" s="479">
        <v>80</v>
      </c>
      <c r="T11" s="477">
        <v>5</v>
      </c>
      <c r="U11" s="480">
        <v>19</v>
      </c>
      <c r="V11" s="474">
        <v>6</v>
      </c>
      <c r="W11" s="537">
        <v>8997</v>
      </c>
      <c r="X11" s="481">
        <v>1982</v>
      </c>
      <c r="Y11" s="474"/>
      <c r="Z11" s="38"/>
      <c r="AA11" s="474" t="s">
        <v>31</v>
      </c>
      <c r="AB11" s="39">
        <f t="shared" si="0"/>
        <v>413232.21</v>
      </c>
      <c r="AC11" s="482">
        <f t="shared" si="1"/>
        <v>0.56999999999999995</v>
      </c>
      <c r="AD11" s="39">
        <f t="shared" si="2"/>
        <v>177689.85</v>
      </c>
      <c r="AE11" s="79">
        <f t="shared" si="3"/>
        <v>0</v>
      </c>
      <c r="AF11" s="79">
        <f t="shared" si="4"/>
        <v>0</v>
      </c>
      <c r="AG11" s="424">
        <f t="shared" si="6"/>
        <v>177689.85</v>
      </c>
      <c r="AH11" s="516">
        <f t="shared" si="5"/>
        <v>177689</v>
      </c>
    </row>
    <row r="12" spans="1:34" s="105" customFormat="1" ht="12.7">
      <c r="A12" s="106" t="s">
        <v>11</v>
      </c>
      <c r="B12" s="474" t="s">
        <v>630</v>
      </c>
      <c r="C12" s="474" t="s">
        <v>663</v>
      </c>
      <c r="D12" s="754" t="s">
        <v>631</v>
      </c>
      <c r="E12" s="759" t="s">
        <v>636</v>
      </c>
      <c r="F12" s="474" t="s">
        <v>667</v>
      </c>
      <c r="G12" s="474"/>
      <c r="H12" s="475" t="s">
        <v>645</v>
      </c>
      <c r="I12" s="476">
        <v>42</v>
      </c>
      <c r="J12" s="477">
        <v>52</v>
      </c>
      <c r="K12" s="478">
        <v>30</v>
      </c>
      <c r="L12" s="479">
        <v>80</v>
      </c>
      <c r="M12" s="477">
        <v>5</v>
      </c>
      <c r="N12" s="480">
        <v>19</v>
      </c>
      <c r="O12" s="475" t="s">
        <v>646</v>
      </c>
      <c r="P12" s="476">
        <v>42</v>
      </c>
      <c r="Q12" s="477">
        <v>52</v>
      </c>
      <c r="R12" s="478">
        <v>51</v>
      </c>
      <c r="S12" s="479">
        <v>80</v>
      </c>
      <c r="T12" s="477">
        <v>5</v>
      </c>
      <c r="U12" s="480">
        <v>29</v>
      </c>
      <c r="V12" s="474">
        <v>6</v>
      </c>
      <c r="W12" s="537">
        <v>2250</v>
      </c>
      <c r="X12" s="481">
        <v>1982</v>
      </c>
      <c r="Y12" s="474"/>
      <c r="Z12" s="38"/>
      <c r="AA12" s="474" t="s">
        <v>31</v>
      </c>
      <c r="AB12" s="39">
        <f t="shared" si="0"/>
        <v>103342.50</v>
      </c>
      <c r="AC12" s="482">
        <f t="shared" si="1"/>
        <v>0.56999999999999995</v>
      </c>
      <c r="AD12" s="39">
        <f t="shared" si="2"/>
        <v>44437.28</v>
      </c>
      <c r="AE12" s="79">
        <f t="shared" si="3"/>
        <v>0</v>
      </c>
      <c r="AF12" s="79">
        <f t="shared" si="4"/>
        <v>0</v>
      </c>
      <c r="AG12" s="424">
        <f t="shared" si="6"/>
        <v>44437.28</v>
      </c>
      <c r="AH12" s="516">
        <f t="shared" si="5"/>
        <v>44437</v>
      </c>
    </row>
    <row r="13" spans="1:34" s="105" customFormat="1" ht="12.7">
      <c r="A13" s="106" t="s">
        <v>11</v>
      </c>
      <c r="B13" s="474" t="s">
        <v>630</v>
      </c>
      <c r="C13" s="474" t="s">
        <v>663</v>
      </c>
      <c r="D13" s="754" t="s">
        <v>631</v>
      </c>
      <c r="E13" s="759" t="s">
        <v>636</v>
      </c>
      <c r="F13" s="474" t="s">
        <v>667</v>
      </c>
      <c r="G13" s="474"/>
      <c r="H13" s="475" t="s">
        <v>647</v>
      </c>
      <c r="I13" s="476">
        <v>42</v>
      </c>
      <c r="J13" s="477">
        <v>52</v>
      </c>
      <c r="K13" s="478">
        <v>51</v>
      </c>
      <c r="L13" s="479">
        <v>80</v>
      </c>
      <c r="M13" s="477">
        <v>5</v>
      </c>
      <c r="N13" s="480">
        <v>29</v>
      </c>
      <c r="O13" s="475" t="s">
        <v>648</v>
      </c>
      <c r="P13" s="476">
        <v>42</v>
      </c>
      <c r="Q13" s="477">
        <v>52</v>
      </c>
      <c r="R13" s="478">
        <v>13</v>
      </c>
      <c r="S13" s="479">
        <v>80</v>
      </c>
      <c r="T13" s="477">
        <v>5</v>
      </c>
      <c r="U13" s="480">
        <v>46</v>
      </c>
      <c r="V13" s="474">
        <v>6</v>
      </c>
      <c r="W13" s="537">
        <v>4046</v>
      </c>
      <c r="X13" s="481">
        <v>1982</v>
      </c>
      <c r="Y13" s="474"/>
      <c r="Z13" s="38"/>
      <c r="AA13" s="474" t="s">
        <v>31</v>
      </c>
      <c r="AB13" s="39">
        <f t="shared" si="0"/>
        <v>185832.78</v>
      </c>
      <c r="AC13" s="482">
        <f t="shared" si="1"/>
        <v>0.56999999999999995</v>
      </c>
      <c r="AD13" s="39">
        <f t="shared" si="2"/>
        <v>79908.100000000006</v>
      </c>
      <c r="AE13" s="79">
        <f t="shared" si="3"/>
        <v>0</v>
      </c>
      <c r="AF13" s="79">
        <f t="shared" si="4"/>
        <v>0</v>
      </c>
      <c r="AG13" s="424">
        <f t="shared" si="6"/>
        <v>79908.100000000006</v>
      </c>
      <c r="AH13" s="516">
        <f t="shared" si="5"/>
        <v>79908</v>
      </c>
    </row>
    <row r="14" spans="1:34" s="105" customFormat="1" ht="12.7">
      <c r="A14" s="106" t="s">
        <v>11</v>
      </c>
      <c r="B14" s="474" t="s">
        <v>541</v>
      </c>
      <c r="C14" s="474" t="s">
        <v>665</v>
      </c>
      <c r="D14" s="754" t="s">
        <v>448</v>
      </c>
      <c r="E14" s="759" t="s">
        <v>649</v>
      </c>
      <c r="F14" s="25" t="s">
        <v>652</v>
      </c>
      <c r="G14" s="474"/>
      <c r="H14" s="41" t="s">
        <v>650</v>
      </c>
      <c r="I14" s="476">
        <v>42</v>
      </c>
      <c r="J14" s="477">
        <v>21</v>
      </c>
      <c r="K14" s="478">
        <v>28</v>
      </c>
      <c r="L14" s="479">
        <v>81</v>
      </c>
      <c r="M14" s="477">
        <v>49</v>
      </c>
      <c r="N14" s="480">
        <v>56</v>
      </c>
      <c r="O14" s="41" t="s">
        <v>651</v>
      </c>
      <c r="P14" s="42">
        <v>42</v>
      </c>
      <c r="Q14" s="43">
        <v>22</v>
      </c>
      <c r="R14" s="44">
        <v>9</v>
      </c>
      <c r="S14" s="24">
        <v>81</v>
      </c>
      <c r="T14" s="43">
        <v>49</v>
      </c>
      <c r="U14" s="483">
        <v>56</v>
      </c>
      <c r="V14" s="25">
        <v>4</v>
      </c>
      <c r="W14" s="537">
        <v>4123</v>
      </c>
      <c r="X14" s="45">
        <v>1994</v>
      </c>
      <c r="Y14" s="25"/>
      <c r="Z14" s="46"/>
      <c r="AA14" s="474" t="s">
        <v>31</v>
      </c>
      <c r="AB14" s="39">
        <f t="shared" si="0"/>
        <v>147026.18</v>
      </c>
      <c r="AC14" s="482">
        <f t="shared" si="1"/>
        <v>0.49</v>
      </c>
      <c r="AD14" s="39">
        <f t="shared" si="2"/>
        <v>74983.350000000006</v>
      </c>
      <c r="AE14" s="79">
        <f t="shared" si="3"/>
        <v>0</v>
      </c>
      <c r="AF14" s="79">
        <f t="shared" si="4"/>
        <v>0</v>
      </c>
      <c r="AG14" s="424">
        <f t="shared" si="6"/>
        <v>74983.350000000006</v>
      </c>
      <c r="AH14" s="516">
        <f t="shared" si="5"/>
        <v>74983</v>
      </c>
    </row>
    <row r="15" spans="1:34" s="105" customFormat="1" ht="12.7">
      <c r="A15" s="106" t="s">
        <v>11</v>
      </c>
      <c r="B15" s="474" t="s">
        <v>541</v>
      </c>
      <c r="C15" s="474" t="s">
        <v>665</v>
      </c>
      <c r="D15" s="754" t="s">
        <v>448</v>
      </c>
      <c r="E15" s="759" t="s">
        <v>649</v>
      </c>
      <c r="F15" s="25" t="s">
        <v>652</v>
      </c>
      <c r="G15" s="474"/>
      <c r="H15" s="41" t="s">
        <v>650</v>
      </c>
      <c r="I15" s="42">
        <v>42</v>
      </c>
      <c r="J15" s="43">
        <v>21</v>
      </c>
      <c r="K15" s="44">
        <v>28</v>
      </c>
      <c r="L15" s="24">
        <v>81</v>
      </c>
      <c r="M15" s="43">
        <v>49</v>
      </c>
      <c r="N15" s="483">
        <v>56</v>
      </c>
      <c r="O15" s="41" t="s">
        <v>651</v>
      </c>
      <c r="P15" s="476">
        <v>42</v>
      </c>
      <c r="Q15" s="477">
        <v>22</v>
      </c>
      <c r="R15" s="478">
        <v>9</v>
      </c>
      <c r="S15" s="479">
        <v>81</v>
      </c>
      <c r="T15" s="477">
        <v>49</v>
      </c>
      <c r="U15" s="480">
        <v>56</v>
      </c>
      <c r="V15" s="25">
        <v>6</v>
      </c>
      <c r="W15" s="537">
        <v>4123</v>
      </c>
      <c r="X15" s="45">
        <v>1999</v>
      </c>
      <c r="Y15" s="25"/>
      <c r="Z15" s="46"/>
      <c r="AA15" s="474" t="s">
        <v>31</v>
      </c>
      <c r="AB15" s="39">
        <f t="shared" si="0"/>
        <v>189369.38999999998</v>
      </c>
      <c r="AC15" s="482">
        <f t="shared" si="1"/>
        <v>0.37</v>
      </c>
      <c r="AD15" s="39">
        <f t="shared" si="2"/>
        <v>119302.72</v>
      </c>
      <c r="AE15" s="79">
        <f t="shared" si="3"/>
        <v>0</v>
      </c>
      <c r="AF15" s="79">
        <f t="shared" si="4"/>
        <v>0</v>
      </c>
      <c r="AG15" s="424">
        <f t="shared" si="6"/>
        <v>119302.72</v>
      </c>
      <c r="AH15" s="516">
        <f t="shared" si="5"/>
        <v>119302</v>
      </c>
    </row>
    <row r="16" spans="1:34" s="105" customFormat="1" ht="12.7">
      <c r="A16" s="106" t="s">
        <v>11</v>
      </c>
      <c r="B16" s="474" t="s">
        <v>541</v>
      </c>
      <c r="C16" s="474" t="s">
        <v>665</v>
      </c>
      <c r="D16" s="754" t="s">
        <v>448</v>
      </c>
      <c r="E16" s="759" t="s">
        <v>649</v>
      </c>
      <c r="F16" s="25" t="s">
        <v>652</v>
      </c>
      <c r="G16" s="474"/>
      <c r="H16" s="41" t="s">
        <v>650</v>
      </c>
      <c r="I16" s="42">
        <v>42</v>
      </c>
      <c r="J16" s="43">
        <v>21</v>
      </c>
      <c r="K16" s="44">
        <v>28</v>
      </c>
      <c r="L16" s="24">
        <v>81</v>
      </c>
      <c r="M16" s="43">
        <v>49</v>
      </c>
      <c r="N16" s="483">
        <v>56</v>
      </c>
      <c r="O16" s="41" t="s">
        <v>651</v>
      </c>
      <c r="P16" s="476">
        <v>42</v>
      </c>
      <c r="Q16" s="477">
        <v>22</v>
      </c>
      <c r="R16" s="478">
        <v>9</v>
      </c>
      <c r="S16" s="479">
        <v>81</v>
      </c>
      <c r="T16" s="477">
        <v>49</v>
      </c>
      <c r="U16" s="480">
        <v>56</v>
      </c>
      <c r="V16" s="25">
        <v>6</v>
      </c>
      <c r="W16" s="537">
        <v>4123</v>
      </c>
      <c r="X16" s="45">
        <v>1979</v>
      </c>
      <c r="Y16" s="25"/>
      <c r="Z16" s="46"/>
      <c r="AA16" s="474" t="s">
        <v>31</v>
      </c>
      <c r="AB16" s="39">
        <f t="shared" si="0"/>
        <v>189369.38999999998</v>
      </c>
      <c r="AC16" s="482">
        <f t="shared" si="1"/>
        <v>0.60</v>
      </c>
      <c r="AD16" s="39">
        <f t="shared" si="2"/>
        <v>75747.759999999995</v>
      </c>
      <c r="AE16" s="79">
        <f t="shared" si="3"/>
        <v>0</v>
      </c>
      <c r="AF16" s="79">
        <f t="shared" si="4"/>
        <v>0</v>
      </c>
      <c r="AG16" s="424">
        <f t="shared" si="6"/>
        <v>75747.759999999995</v>
      </c>
      <c r="AH16" s="516">
        <f t="shared" si="5"/>
        <v>75747</v>
      </c>
    </row>
    <row r="17" spans="1:34" s="105" customFormat="1" ht="12.7">
      <c r="A17" s="106" t="s">
        <v>11</v>
      </c>
      <c r="B17" s="474" t="s">
        <v>541</v>
      </c>
      <c r="C17" s="474" t="s">
        <v>665</v>
      </c>
      <c r="D17" s="754" t="s">
        <v>448</v>
      </c>
      <c r="E17" s="759" t="s">
        <v>649</v>
      </c>
      <c r="F17" s="25" t="s">
        <v>652</v>
      </c>
      <c r="G17" s="474"/>
      <c r="H17" s="41" t="s">
        <v>650</v>
      </c>
      <c r="I17" s="42">
        <v>42</v>
      </c>
      <c r="J17" s="43">
        <v>21</v>
      </c>
      <c r="K17" s="44">
        <v>28</v>
      </c>
      <c r="L17" s="24">
        <v>81</v>
      </c>
      <c r="M17" s="43">
        <v>49</v>
      </c>
      <c r="N17" s="483">
        <v>56</v>
      </c>
      <c r="O17" s="41" t="s">
        <v>651</v>
      </c>
      <c r="P17" s="476">
        <v>42</v>
      </c>
      <c r="Q17" s="477">
        <v>22</v>
      </c>
      <c r="R17" s="478">
        <v>9</v>
      </c>
      <c r="S17" s="479">
        <v>81</v>
      </c>
      <c r="T17" s="477">
        <v>49</v>
      </c>
      <c r="U17" s="480">
        <v>56</v>
      </c>
      <c r="V17" s="25">
        <v>6</v>
      </c>
      <c r="W17" s="537">
        <v>4123</v>
      </c>
      <c r="X17" s="45">
        <v>1995</v>
      </c>
      <c r="Y17" s="25"/>
      <c r="Z17" s="46"/>
      <c r="AA17" s="474" t="s">
        <v>31</v>
      </c>
      <c r="AB17" s="39">
        <f t="shared" si="0"/>
        <v>189369.38999999998</v>
      </c>
      <c r="AC17" s="482">
        <f t="shared" si="1"/>
        <v>0.47</v>
      </c>
      <c r="AD17" s="39">
        <f t="shared" si="2"/>
        <v>100365.78</v>
      </c>
      <c r="AE17" s="79">
        <f t="shared" si="3"/>
        <v>0</v>
      </c>
      <c r="AF17" s="79">
        <f t="shared" si="4"/>
        <v>0</v>
      </c>
      <c r="AG17" s="424">
        <f t="shared" si="6"/>
        <v>100365.78</v>
      </c>
      <c r="AH17" s="516">
        <f t="shared" si="5"/>
        <v>100365</v>
      </c>
    </row>
    <row r="18" spans="1:34" s="105" customFormat="1" ht="12.7">
      <c r="A18" s="106" t="s">
        <v>11</v>
      </c>
      <c r="B18" s="474" t="s">
        <v>541</v>
      </c>
      <c r="C18" s="474" t="s">
        <v>666</v>
      </c>
      <c r="D18" s="754" t="s">
        <v>448</v>
      </c>
      <c r="E18" s="759" t="s">
        <v>10</v>
      </c>
      <c r="F18" s="25" t="s">
        <v>554</v>
      </c>
      <c r="G18" s="474"/>
      <c r="H18" s="474" t="s">
        <v>653</v>
      </c>
      <c r="I18" s="476" t="s">
        <v>8</v>
      </c>
      <c r="J18" s="477">
        <v>8</v>
      </c>
      <c r="K18" s="478">
        <v>1.20</v>
      </c>
      <c r="L18" s="479" t="s">
        <v>288</v>
      </c>
      <c r="M18" s="477">
        <v>25</v>
      </c>
      <c r="N18" s="478">
        <v>42.60</v>
      </c>
      <c r="O18" s="474" t="s">
        <v>654</v>
      </c>
      <c r="P18" s="476" t="s">
        <v>8</v>
      </c>
      <c r="Q18" s="477">
        <v>8</v>
      </c>
      <c r="R18" s="478">
        <v>3</v>
      </c>
      <c r="S18" s="479">
        <v>82</v>
      </c>
      <c r="T18" s="477">
        <v>25</v>
      </c>
      <c r="U18" s="478">
        <v>60.75</v>
      </c>
      <c r="V18" s="25">
        <v>4</v>
      </c>
      <c r="W18" s="537">
        <v>250</v>
      </c>
      <c r="X18" s="45">
        <v>2001</v>
      </c>
      <c r="Y18" s="474"/>
      <c r="Z18" s="46"/>
      <c r="AA18" s="25" t="s">
        <v>15</v>
      </c>
      <c r="AB18" s="39">
        <f t="shared" si="0"/>
        <v>4515</v>
      </c>
      <c r="AC18" s="482">
        <f t="shared" si="1"/>
        <v>0.32</v>
      </c>
      <c r="AD18" s="39">
        <f t="shared" si="2"/>
        <v>3070.20</v>
      </c>
      <c r="AE18" s="79">
        <f t="shared" si="3"/>
        <v>0</v>
      </c>
      <c r="AF18" s="79">
        <f t="shared" si="4"/>
        <v>0</v>
      </c>
      <c r="AG18" s="424">
        <f t="shared" si="6"/>
        <v>3070.20</v>
      </c>
      <c r="AH18" s="516">
        <f t="shared" si="5"/>
        <v>3070</v>
      </c>
    </row>
    <row r="19" spans="1:34" s="105" customFormat="1" ht="12.7">
      <c r="A19" s="106" t="s">
        <v>11</v>
      </c>
      <c r="B19" s="474" t="s">
        <v>541</v>
      </c>
      <c r="C19" s="474" t="s">
        <v>666</v>
      </c>
      <c r="D19" s="754" t="s">
        <v>448</v>
      </c>
      <c r="E19" s="759" t="s">
        <v>10</v>
      </c>
      <c r="F19" s="25" t="s">
        <v>554</v>
      </c>
      <c r="G19" s="474"/>
      <c r="H19" s="474" t="s">
        <v>654</v>
      </c>
      <c r="I19" s="476" t="s">
        <v>8</v>
      </c>
      <c r="J19" s="477">
        <v>8</v>
      </c>
      <c r="K19" s="478">
        <v>3</v>
      </c>
      <c r="L19" s="479" t="s">
        <v>288</v>
      </c>
      <c r="M19" s="477">
        <v>25</v>
      </c>
      <c r="N19" s="478">
        <v>60.75</v>
      </c>
      <c r="O19" s="474" t="s">
        <v>655</v>
      </c>
      <c r="P19" s="476" t="s">
        <v>8</v>
      </c>
      <c r="Q19" s="477">
        <v>7</v>
      </c>
      <c r="R19" s="478">
        <v>54.60</v>
      </c>
      <c r="S19" s="479">
        <v>82</v>
      </c>
      <c r="T19" s="477">
        <v>25</v>
      </c>
      <c r="U19" s="478">
        <v>27.60</v>
      </c>
      <c r="V19" s="25">
        <v>4</v>
      </c>
      <c r="W19" s="537">
        <v>1361</v>
      </c>
      <c r="X19" s="45">
        <v>2001</v>
      </c>
      <c r="Y19" s="474"/>
      <c r="Z19" s="46"/>
      <c r="AA19" s="25" t="s">
        <v>15</v>
      </c>
      <c r="AB19" s="39">
        <f t="shared" si="0"/>
        <v>24579.66</v>
      </c>
      <c r="AC19" s="482">
        <f t="shared" si="1"/>
        <v>0.32</v>
      </c>
      <c r="AD19" s="39">
        <f t="shared" si="2"/>
        <v>16714.169999999998</v>
      </c>
      <c r="AE19" s="79">
        <f t="shared" si="3"/>
        <v>0</v>
      </c>
      <c r="AF19" s="79">
        <f t="shared" si="4"/>
        <v>0</v>
      </c>
      <c r="AG19" s="424">
        <f t="shared" si="6"/>
        <v>16714.169999999998</v>
      </c>
      <c r="AH19" s="516">
        <f t="shared" si="5"/>
        <v>16714</v>
      </c>
    </row>
    <row r="20" spans="1:37" ht="12.7">
      <c r="A20" s="47" t="s">
        <v>11</v>
      </c>
      <c r="B20" s="23" t="s">
        <v>541</v>
      </c>
      <c r="C20" s="474" t="s">
        <v>666</v>
      </c>
      <c r="D20" s="139" t="s">
        <v>448</v>
      </c>
      <c r="E20" s="760" t="s">
        <v>10</v>
      </c>
      <c r="F20" s="25"/>
      <c r="G20" s="138" t="s">
        <v>281</v>
      </c>
      <c r="H20" s="37" t="s">
        <v>393</v>
      </c>
      <c r="I20" s="33" t="s">
        <v>8</v>
      </c>
      <c r="J20" s="34">
        <v>7</v>
      </c>
      <c r="K20" s="35">
        <v>2.40</v>
      </c>
      <c r="L20" s="22" t="s">
        <v>288</v>
      </c>
      <c r="M20" s="34">
        <v>23</v>
      </c>
      <c r="N20" s="35">
        <v>46.20</v>
      </c>
      <c r="O20" s="23" t="s">
        <v>394</v>
      </c>
      <c r="P20" s="33" t="s">
        <v>8</v>
      </c>
      <c r="Q20" s="34">
        <v>7</v>
      </c>
      <c r="R20" s="35">
        <v>22.20</v>
      </c>
      <c r="S20" s="22" t="s">
        <v>288</v>
      </c>
      <c r="T20" s="34">
        <v>23</v>
      </c>
      <c r="U20" s="35">
        <v>47.40</v>
      </c>
      <c r="V20" s="25">
        <v>4</v>
      </c>
      <c r="W20" s="538">
        <v>94</v>
      </c>
      <c r="X20" s="45">
        <v>2001</v>
      </c>
      <c r="Y20" s="23"/>
      <c r="Z20" s="46"/>
      <c r="AA20" s="25" t="s">
        <v>15</v>
      </c>
      <c r="AB20" s="39">
        <f t="shared" si="7" ref="AB20:AB67">IF(G20="ABAND",0,(IF(AA20="steel",VLOOKUP(V20,steelrates,2,FALSE)*W20,VLOOKUP(V20,plasticrates,2,FALSE)*W20)))</f>
        <v>0</v>
      </c>
      <c r="AC20" s="40">
        <f t="shared" si="8" ref="AC20:AC36">IF(X20=0,0,(VLOOKUP(X20,depreciation,2,)))</f>
        <v>0.32</v>
      </c>
      <c r="AD20" s="39">
        <f t="shared" si="9" ref="AD20:AD67">ROUND(+AB20-(+AB20*AC20),2)</f>
        <v>0</v>
      </c>
      <c r="AE20" s="49">
        <f t="shared" si="10" ref="AE20:AE67">(IF(Y20="LOOP",AD20*0.25,0))</f>
        <v>0</v>
      </c>
      <c r="AF20" s="189">
        <f t="shared" si="11" ref="AF20:AF67">(IF(G20="SUSP",AD20*0.2,0))</f>
        <v>0</v>
      </c>
      <c r="AG20" s="497">
        <f t="shared" si="6"/>
        <v>0</v>
      </c>
      <c r="AH20" s="513">
        <f t="shared" si="5"/>
        <v>0</v>
      </c>
      <c r="AI20" s="328"/>
      <c r="AJ20" s="197"/>
      <c r="AK20" s="197"/>
    </row>
    <row r="21" spans="1:37" ht="12.7">
      <c r="A21" s="47" t="s">
        <v>11</v>
      </c>
      <c r="B21" s="23" t="s">
        <v>541</v>
      </c>
      <c r="C21" s="474" t="s">
        <v>666</v>
      </c>
      <c r="D21" s="139" t="s">
        <v>448</v>
      </c>
      <c r="E21" s="760" t="s">
        <v>10</v>
      </c>
      <c r="F21" s="25"/>
      <c r="G21" s="138" t="s">
        <v>281</v>
      </c>
      <c r="H21" s="23" t="s">
        <v>394</v>
      </c>
      <c r="I21" s="33" t="s">
        <v>8</v>
      </c>
      <c r="J21" s="34">
        <v>7</v>
      </c>
      <c r="K21" s="35">
        <v>22.20</v>
      </c>
      <c r="L21" s="22" t="s">
        <v>288</v>
      </c>
      <c r="M21" s="34">
        <v>23</v>
      </c>
      <c r="N21" s="35">
        <v>47.40</v>
      </c>
      <c r="O21" s="23" t="s">
        <v>395</v>
      </c>
      <c r="P21" s="33" t="s">
        <v>8</v>
      </c>
      <c r="Q21" s="34">
        <v>7</v>
      </c>
      <c r="R21" s="35">
        <v>4.80</v>
      </c>
      <c r="S21" s="22" t="s">
        <v>288</v>
      </c>
      <c r="T21" s="34">
        <v>24</v>
      </c>
      <c r="U21" s="35">
        <v>13.20</v>
      </c>
      <c r="V21" s="25">
        <v>4</v>
      </c>
      <c r="W21" s="538">
        <v>2618</v>
      </c>
      <c r="X21" s="45">
        <v>2001</v>
      </c>
      <c r="Y21" s="23"/>
      <c r="Z21" s="46"/>
      <c r="AA21" s="25" t="s">
        <v>15</v>
      </c>
      <c r="AB21" s="39">
        <f t="shared" si="7"/>
        <v>0</v>
      </c>
      <c r="AC21" s="40">
        <f t="shared" si="8"/>
        <v>0.32</v>
      </c>
      <c r="AD21" s="39">
        <f t="shared" si="9"/>
        <v>0</v>
      </c>
      <c r="AE21" s="49">
        <f t="shared" si="10"/>
        <v>0</v>
      </c>
      <c r="AF21" s="189">
        <f t="shared" si="11"/>
        <v>0</v>
      </c>
      <c r="AG21" s="497">
        <f t="shared" si="6"/>
        <v>0</v>
      </c>
      <c r="AH21" s="513">
        <f t="shared" si="5"/>
        <v>0</v>
      </c>
      <c r="AI21" s="328"/>
      <c r="AJ21" s="197"/>
      <c r="AK21" s="197"/>
    </row>
    <row r="22" spans="1:37" ht="12.7">
      <c r="A22" s="320" t="s">
        <v>11</v>
      </c>
      <c r="B22" s="140" t="s">
        <v>541</v>
      </c>
      <c r="C22" s="749" t="s">
        <v>666</v>
      </c>
      <c r="D22" s="324" t="s">
        <v>448</v>
      </c>
      <c r="E22" s="761" t="s">
        <v>10</v>
      </c>
      <c r="F22" s="141"/>
      <c r="G22" s="307" t="s">
        <v>281</v>
      </c>
      <c r="H22" s="140" t="s">
        <v>395</v>
      </c>
      <c r="I22" s="142" t="s">
        <v>8</v>
      </c>
      <c r="J22" s="143">
        <v>7</v>
      </c>
      <c r="K22" s="144">
        <v>4.80</v>
      </c>
      <c r="L22" s="145" t="s">
        <v>288</v>
      </c>
      <c r="M22" s="143">
        <v>24</v>
      </c>
      <c r="N22" s="144">
        <v>13.20</v>
      </c>
      <c r="O22" s="140" t="s">
        <v>396</v>
      </c>
      <c r="P22" s="142" t="s">
        <v>8</v>
      </c>
      <c r="Q22" s="143">
        <v>7</v>
      </c>
      <c r="R22" s="144">
        <v>4.80</v>
      </c>
      <c r="S22" s="145" t="s">
        <v>288</v>
      </c>
      <c r="T22" s="143">
        <v>24</v>
      </c>
      <c r="U22" s="144">
        <v>15.60</v>
      </c>
      <c r="V22" s="141">
        <v>4</v>
      </c>
      <c r="W22" s="539">
        <v>46</v>
      </c>
      <c r="X22" s="146">
        <v>2001</v>
      </c>
      <c r="Y22" s="140"/>
      <c r="Z22" s="147"/>
      <c r="AA22" s="141" t="s">
        <v>15</v>
      </c>
      <c r="AB22" s="148">
        <f t="shared" si="7"/>
        <v>0</v>
      </c>
      <c r="AC22" s="149">
        <f t="shared" si="8"/>
        <v>0.32</v>
      </c>
      <c r="AD22" s="148">
        <f t="shared" si="9"/>
        <v>0</v>
      </c>
      <c r="AE22" s="552">
        <f t="shared" si="10"/>
        <v>0</v>
      </c>
      <c r="AF22" s="553">
        <f t="shared" si="11"/>
        <v>0</v>
      </c>
      <c r="AG22" s="498">
        <f t="shared" si="6"/>
        <v>0</v>
      </c>
      <c r="AH22" s="514">
        <f t="shared" si="5"/>
        <v>0</v>
      </c>
      <c r="AI22" s="328"/>
      <c r="AJ22" s="197"/>
      <c r="AK22" s="197"/>
    </row>
    <row r="23" spans="1:37" ht="12.7">
      <c r="A23" s="157" t="s">
        <v>11</v>
      </c>
      <c r="B23" s="159" t="s">
        <v>541</v>
      </c>
      <c r="C23" s="752" t="s">
        <v>666</v>
      </c>
      <c r="D23" s="755" t="s">
        <v>448</v>
      </c>
      <c r="E23" s="762" t="s">
        <v>10</v>
      </c>
      <c r="F23" s="158"/>
      <c r="G23" s="308"/>
      <c r="H23" s="160" t="s">
        <v>397</v>
      </c>
      <c r="I23" s="161" t="s">
        <v>8</v>
      </c>
      <c r="J23" s="162">
        <v>7</v>
      </c>
      <c r="K23" s="163">
        <v>51</v>
      </c>
      <c r="L23" s="164" t="s">
        <v>288</v>
      </c>
      <c r="M23" s="162">
        <v>23</v>
      </c>
      <c r="N23" s="163">
        <v>59.40</v>
      </c>
      <c r="O23" s="159" t="s">
        <v>398</v>
      </c>
      <c r="P23" s="161" t="s">
        <v>8</v>
      </c>
      <c r="Q23" s="162">
        <v>7</v>
      </c>
      <c r="R23" s="163">
        <v>47.40</v>
      </c>
      <c r="S23" s="164" t="s">
        <v>288</v>
      </c>
      <c r="T23" s="162">
        <v>24</v>
      </c>
      <c r="U23" s="163">
        <v>0.60</v>
      </c>
      <c r="V23" s="158">
        <v>4</v>
      </c>
      <c r="W23" s="540">
        <v>370</v>
      </c>
      <c r="X23" s="165">
        <v>2001</v>
      </c>
      <c r="Y23" s="159"/>
      <c r="Z23" s="166"/>
      <c r="AA23" s="158" t="s">
        <v>15</v>
      </c>
      <c r="AB23" s="167">
        <f t="shared" si="7"/>
        <v>6682.20</v>
      </c>
      <c r="AC23" s="168">
        <f t="shared" si="8"/>
        <v>0.32</v>
      </c>
      <c r="AD23" s="167">
        <f t="shared" si="9"/>
        <v>4543.8999999999996</v>
      </c>
      <c r="AE23" s="169">
        <f t="shared" si="10"/>
        <v>0</v>
      </c>
      <c r="AF23" s="190">
        <f t="shared" si="11"/>
        <v>0</v>
      </c>
      <c r="AG23" s="417">
        <f t="shared" si="6"/>
        <v>4543.8999999999996</v>
      </c>
      <c r="AH23" s="517">
        <f t="shared" si="5"/>
        <v>4543</v>
      </c>
      <c r="AI23" s="1044">
        <v>2.4500000000000002</v>
      </c>
      <c r="AJ23" s="1044">
        <v>36.04</v>
      </c>
      <c r="AK23" s="1044">
        <v>1.06</v>
      </c>
    </row>
    <row r="24" spans="1:37" ht="12.7">
      <c r="A24" s="47" t="s">
        <v>11</v>
      </c>
      <c r="B24" s="23" t="s">
        <v>541</v>
      </c>
      <c r="C24" s="474" t="s">
        <v>666</v>
      </c>
      <c r="D24" s="139" t="s">
        <v>448</v>
      </c>
      <c r="E24" s="760" t="s">
        <v>10</v>
      </c>
      <c r="F24" s="25"/>
      <c r="G24" s="138"/>
      <c r="H24" s="23" t="s">
        <v>398</v>
      </c>
      <c r="I24" s="33" t="s">
        <v>8</v>
      </c>
      <c r="J24" s="34">
        <v>7</v>
      </c>
      <c r="K24" s="35">
        <v>47.40</v>
      </c>
      <c r="L24" s="22" t="s">
        <v>288</v>
      </c>
      <c r="M24" s="34">
        <v>24</v>
      </c>
      <c r="N24" s="35">
        <v>0.60</v>
      </c>
      <c r="O24" s="23" t="s">
        <v>399</v>
      </c>
      <c r="P24" s="33" t="s">
        <v>8</v>
      </c>
      <c r="Q24" s="34">
        <v>7</v>
      </c>
      <c r="R24" s="35">
        <v>43.20</v>
      </c>
      <c r="S24" s="22" t="s">
        <v>288</v>
      </c>
      <c r="T24" s="34">
        <v>24</v>
      </c>
      <c r="U24" s="35">
        <v>3.60</v>
      </c>
      <c r="V24" s="25">
        <v>4</v>
      </c>
      <c r="W24" s="538">
        <v>493</v>
      </c>
      <c r="X24" s="45">
        <v>2001</v>
      </c>
      <c r="Y24" s="23"/>
      <c r="Z24" s="46"/>
      <c r="AA24" s="25" t="s">
        <v>15</v>
      </c>
      <c r="AB24" s="39">
        <f t="shared" si="7"/>
        <v>8903.58</v>
      </c>
      <c r="AC24" s="40">
        <f t="shared" si="8"/>
        <v>0.32</v>
      </c>
      <c r="AD24" s="39">
        <f t="shared" si="9"/>
        <v>6054.43</v>
      </c>
      <c r="AE24" s="79">
        <f t="shared" si="10"/>
        <v>0</v>
      </c>
      <c r="AF24" s="185">
        <f t="shared" si="11"/>
        <v>0</v>
      </c>
      <c r="AG24" s="423">
        <f t="shared" si="6"/>
        <v>6054.43</v>
      </c>
      <c r="AH24" s="516">
        <f t="shared" si="5"/>
        <v>6054</v>
      </c>
      <c r="AI24" s="1044"/>
      <c r="AJ24" s="1044"/>
      <c r="AK24" s="1044"/>
    </row>
    <row r="25" spans="1:37" ht="12.7">
      <c r="A25" s="47" t="s">
        <v>11</v>
      </c>
      <c r="B25" s="23" t="s">
        <v>541</v>
      </c>
      <c r="C25" s="474" t="s">
        <v>666</v>
      </c>
      <c r="D25" s="139" t="s">
        <v>448</v>
      </c>
      <c r="E25" s="760" t="s">
        <v>10</v>
      </c>
      <c r="F25" s="25"/>
      <c r="G25" s="138"/>
      <c r="H25" s="23" t="s">
        <v>399</v>
      </c>
      <c r="I25" s="33" t="s">
        <v>8</v>
      </c>
      <c r="J25" s="34">
        <v>7</v>
      </c>
      <c r="K25" s="35">
        <v>43.20</v>
      </c>
      <c r="L25" s="22" t="s">
        <v>288</v>
      </c>
      <c r="M25" s="34">
        <v>24</v>
      </c>
      <c r="N25" s="35">
        <v>3.60</v>
      </c>
      <c r="O25" s="23" t="s">
        <v>400</v>
      </c>
      <c r="P25" s="33" t="s">
        <v>8</v>
      </c>
      <c r="Q25" s="34">
        <v>7</v>
      </c>
      <c r="R25" s="35">
        <v>38.40</v>
      </c>
      <c r="S25" s="22" t="s">
        <v>288</v>
      </c>
      <c r="T25" s="34">
        <v>24</v>
      </c>
      <c r="U25" s="35">
        <v>16.80</v>
      </c>
      <c r="V25" s="25">
        <v>4</v>
      </c>
      <c r="W25" s="538">
        <v>971</v>
      </c>
      <c r="X25" s="45">
        <v>2001</v>
      </c>
      <c r="Y25" s="23"/>
      <c r="Z25" s="46"/>
      <c r="AA25" s="25" t="s">
        <v>15</v>
      </c>
      <c r="AB25" s="39">
        <f t="shared" si="7"/>
        <v>17536.259999999998</v>
      </c>
      <c r="AC25" s="40">
        <f t="shared" si="8"/>
        <v>0.32</v>
      </c>
      <c r="AD25" s="39">
        <f t="shared" si="9"/>
        <v>11924.66</v>
      </c>
      <c r="AE25" s="79">
        <f t="shared" si="10"/>
        <v>0</v>
      </c>
      <c r="AF25" s="185">
        <f t="shared" si="11"/>
        <v>0</v>
      </c>
      <c r="AG25" s="423">
        <f t="shared" si="6"/>
        <v>11924.66</v>
      </c>
      <c r="AH25" s="516">
        <f t="shared" si="5"/>
        <v>11924</v>
      </c>
      <c r="AI25" s="1044"/>
      <c r="AJ25" s="1044"/>
      <c r="AK25" s="1044"/>
    </row>
    <row r="26" spans="1:37" ht="12.7">
      <c r="A26" s="47" t="s">
        <v>11</v>
      </c>
      <c r="B26" s="23" t="s">
        <v>541</v>
      </c>
      <c r="C26" s="474" t="s">
        <v>666</v>
      </c>
      <c r="D26" s="139" t="s">
        <v>448</v>
      </c>
      <c r="E26" s="760" t="s">
        <v>10</v>
      </c>
      <c r="F26" s="25"/>
      <c r="G26" s="138"/>
      <c r="H26" s="23" t="s">
        <v>400</v>
      </c>
      <c r="I26" s="33" t="s">
        <v>8</v>
      </c>
      <c r="J26" s="34">
        <v>7</v>
      </c>
      <c r="K26" s="35">
        <v>38.40</v>
      </c>
      <c r="L26" s="22" t="s">
        <v>288</v>
      </c>
      <c r="M26" s="34">
        <v>24</v>
      </c>
      <c r="N26" s="35">
        <v>16.80</v>
      </c>
      <c r="O26" s="23" t="s">
        <v>401</v>
      </c>
      <c r="P26" s="33" t="s">
        <v>8</v>
      </c>
      <c r="Q26" s="34">
        <v>7</v>
      </c>
      <c r="R26" s="35">
        <v>28.80</v>
      </c>
      <c r="S26" s="22" t="s">
        <v>288</v>
      </c>
      <c r="T26" s="34">
        <v>24</v>
      </c>
      <c r="U26" s="35">
        <v>27</v>
      </c>
      <c r="V26" s="25">
        <v>4</v>
      </c>
      <c r="W26" s="538">
        <v>1468</v>
      </c>
      <c r="X26" s="45">
        <v>2001</v>
      </c>
      <c r="Y26" s="23"/>
      <c r="Z26" s="46"/>
      <c r="AA26" s="25" t="s">
        <v>15</v>
      </c>
      <c r="AB26" s="39">
        <f t="shared" si="7"/>
        <v>26512.08</v>
      </c>
      <c r="AC26" s="40">
        <f t="shared" si="8"/>
        <v>0.32</v>
      </c>
      <c r="AD26" s="39">
        <f t="shared" si="9"/>
        <v>18028.21</v>
      </c>
      <c r="AE26" s="79">
        <f t="shared" si="10"/>
        <v>0</v>
      </c>
      <c r="AF26" s="185">
        <f t="shared" si="11"/>
        <v>0</v>
      </c>
      <c r="AG26" s="423">
        <f t="shared" si="6"/>
        <v>18028.21</v>
      </c>
      <c r="AH26" s="516">
        <f t="shared" si="5"/>
        <v>18028</v>
      </c>
      <c r="AI26" s="1044"/>
      <c r="AJ26" s="1044"/>
      <c r="AK26" s="1044"/>
    </row>
    <row r="27" spans="1:37" ht="12.7">
      <c r="A27" s="47" t="s">
        <v>11</v>
      </c>
      <c r="B27" s="23" t="s">
        <v>541</v>
      </c>
      <c r="C27" s="474" t="s">
        <v>666</v>
      </c>
      <c r="D27" s="139" t="s">
        <v>448</v>
      </c>
      <c r="E27" s="760" t="s">
        <v>10</v>
      </c>
      <c r="F27" s="25"/>
      <c r="G27" s="138"/>
      <c r="H27" s="23" t="s">
        <v>401</v>
      </c>
      <c r="I27" s="33" t="s">
        <v>8</v>
      </c>
      <c r="J27" s="34">
        <v>7</v>
      </c>
      <c r="K27" s="35">
        <v>28.80</v>
      </c>
      <c r="L27" s="22" t="s">
        <v>288</v>
      </c>
      <c r="M27" s="34">
        <v>24</v>
      </c>
      <c r="N27" s="35">
        <v>27</v>
      </c>
      <c r="O27" s="23" t="s">
        <v>402</v>
      </c>
      <c r="P27" s="33" t="s">
        <v>8</v>
      </c>
      <c r="Q27" s="34">
        <v>7</v>
      </c>
      <c r="R27" s="35">
        <v>27.60</v>
      </c>
      <c r="S27" s="22" t="s">
        <v>288</v>
      </c>
      <c r="T27" s="34">
        <v>24</v>
      </c>
      <c r="U27" s="35">
        <v>28.80</v>
      </c>
      <c r="V27" s="25">
        <v>4</v>
      </c>
      <c r="W27" s="538">
        <v>416</v>
      </c>
      <c r="X27" s="45">
        <v>2001</v>
      </c>
      <c r="Y27" s="23"/>
      <c r="Z27" s="46"/>
      <c r="AA27" s="25" t="s">
        <v>15</v>
      </c>
      <c r="AB27" s="39">
        <f t="shared" si="7"/>
        <v>7512.9599999999991</v>
      </c>
      <c r="AC27" s="40">
        <f t="shared" si="8"/>
        <v>0.32</v>
      </c>
      <c r="AD27" s="39">
        <f t="shared" si="9"/>
        <v>5108.8100000000004</v>
      </c>
      <c r="AE27" s="79">
        <f t="shared" si="10"/>
        <v>0</v>
      </c>
      <c r="AF27" s="185">
        <f t="shared" si="11"/>
        <v>0</v>
      </c>
      <c r="AG27" s="423">
        <f t="shared" si="6"/>
        <v>5108.8100000000004</v>
      </c>
      <c r="AH27" s="516">
        <f t="shared" si="5"/>
        <v>5108</v>
      </c>
      <c r="AI27" s="1044"/>
      <c r="AJ27" s="1044"/>
      <c r="AK27" s="1044"/>
    </row>
    <row r="28" spans="1:37" ht="12.7">
      <c r="A28" s="50" t="s">
        <v>11</v>
      </c>
      <c r="B28" s="51" t="s">
        <v>541</v>
      </c>
      <c r="C28" s="753" t="s">
        <v>666</v>
      </c>
      <c r="D28" s="279" t="s">
        <v>448</v>
      </c>
      <c r="E28" s="763" t="s">
        <v>10</v>
      </c>
      <c r="F28" s="170"/>
      <c r="G28" s="309"/>
      <c r="H28" s="51" t="s">
        <v>402</v>
      </c>
      <c r="I28" s="52" t="s">
        <v>8</v>
      </c>
      <c r="J28" s="53">
        <v>7</v>
      </c>
      <c r="K28" s="54">
        <v>27.60</v>
      </c>
      <c r="L28" s="55" t="s">
        <v>288</v>
      </c>
      <c r="M28" s="53">
        <v>24</v>
      </c>
      <c r="N28" s="54">
        <v>28.80</v>
      </c>
      <c r="O28" s="51" t="s">
        <v>403</v>
      </c>
      <c r="P28" s="52" t="s">
        <v>8</v>
      </c>
      <c r="Q28" s="53">
        <v>7</v>
      </c>
      <c r="R28" s="54">
        <v>22.20</v>
      </c>
      <c r="S28" s="55" t="s">
        <v>288</v>
      </c>
      <c r="T28" s="53">
        <v>24</v>
      </c>
      <c r="U28" s="54">
        <v>37.799999999999997</v>
      </c>
      <c r="V28" s="170">
        <v>4</v>
      </c>
      <c r="W28" s="541">
        <v>765</v>
      </c>
      <c r="X28" s="171">
        <v>2001</v>
      </c>
      <c r="Y28" s="51"/>
      <c r="Z28" s="172"/>
      <c r="AA28" s="170" t="s">
        <v>15</v>
      </c>
      <c r="AB28" s="173">
        <f t="shared" si="7"/>
        <v>13815.90</v>
      </c>
      <c r="AC28" s="60">
        <f t="shared" si="8"/>
        <v>0.32</v>
      </c>
      <c r="AD28" s="173">
        <f t="shared" si="9"/>
        <v>9394.81</v>
      </c>
      <c r="AE28" s="174">
        <f t="shared" si="10"/>
        <v>0</v>
      </c>
      <c r="AF28" s="191">
        <f t="shared" si="11"/>
        <v>0</v>
      </c>
      <c r="AG28" s="437">
        <f t="shared" si="6"/>
        <v>9394.81</v>
      </c>
      <c r="AH28" s="518">
        <f t="shared" si="5"/>
        <v>9394</v>
      </c>
      <c r="AI28" s="1044"/>
      <c r="AJ28" s="1044"/>
      <c r="AK28" s="1044"/>
    </row>
    <row r="29" spans="1:37" ht="12.7">
      <c r="A29" s="750" t="s">
        <v>11</v>
      </c>
      <c r="B29" s="569" t="s">
        <v>541</v>
      </c>
      <c r="C29" s="751" t="s">
        <v>666</v>
      </c>
      <c r="D29" s="756" t="s">
        <v>448</v>
      </c>
      <c r="E29" s="764" t="s">
        <v>10</v>
      </c>
      <c r="F29" s="570" t="s">
        <v>674</v>
      </c>
      <c r="G29" s="571" t="s">
        <v>281</v>
      </c>
      <c r="H29" s="569" t="s">
        <v>369</v>
      </c>
      <c r="I29" s="572">
        <v>42</v>
      </c>
      <c r="J29" s="573">
        <v>7</v>
      </c>
      <c r="K29" s="574">
        <v>27.60</v>
      </c>
      <c r="L29" s="575">
        <v>82</v>
      </c>
      <c r="M29" s="573">
        <v>24</v>
      </c>
      <c r="N29" s="574">
        <v>38.40</v>
      </c>
      <c r="O29" s="569" t="s">
        <v>365</v>
      </c>
      <c r="P29" s="576" t="s">
        <v>8</v>
      </c>
      <c r="Q29" s="577">
        <v>7</v>
      </c>
      <c r="R29" s="578">
        <v>48</v>
      </c>
      <c r="S29" s="579" t="s">
        <v>108</v>
      </c>
      <c r="T29" s="577">
        <v>25</v>
      </c>
      <c r="U29" s="578">
        <v>18</v>
      </c>
      <c r="V29" s="580">
        <v>4</v>
      </c>
      <c r="W29" s="581">
        <v>3812</v>
      </c>
      <c r="X29" s="582">
        <v>2000</v>
      </c>
      <c r="Y29" s="569"/>
      <c r="Z29" s="583"/>
      <c r="AA29" s="580" t="s">
        <v>15</v>
      </c>
      <c r="AB29" s="584">
        <f t="shared" si="7"/>
        <v>0</v>
      </c>
      <c r="AC29" s="585">
        <f t="shared" si="8"/>
        <v>0.35</v>
      </c>
      <c r="AD29" s="584">
        <f t="shared" si="9"/>
        <v>0</v>
      </c>
      <c r="AE29" s="586">
        <f t="shared" si="10"/>
        <v>0</v>
      </c>
      <c r="AF29" s="587">
        <f t="shared" si="11"/>
        <v>0</v>
      </c>
      <c r="AG29" s="588">
        <f t="shared" si="6"/>
        <v>0</v>
      </c>
      <c r="AH29" s="589">
        <f t="shared" si="5"/>
        <v>0</v>
      </c>
      <c r="AI29" s="197"/>
      <c r="AJ29" s="197"/>
      <c r="AK29" s="197"/>
    </row>
    <row r="30" spans="1:37" ht="12.7">
      <c r="A30" s="566" t="s">
        <v>11</v>
      </c>
      <c r="B30" s="567" t="s">
        <v>541</v>
      </c>
      <c r="C30" s="568" t="s">
        <v>666</v>
      </c>
      <c r="D30" s="729" t="s">
        <v>448</v>
      </c>
      <c r="E30" s="765" t="s">
        <v>10</v>
      </c>
      <c r="F30" s="570" t="s">
        <v>674</v>
      </c>
      <c r="G30" s="571" t="s">
        <v>281</v>
      </c>
      <c r="H30" s="567" t="s">
        <v>369</v>
      </c>
      <c r="I30" s="590">
        <v>42</v>
      </c>
      <c r="J30" s="591">
        <v>7</v>
      </c>
      <c r="K30" s="592">
        <v>27.60</v>
      </c>
      <c r="L30" s="593">
        <v>82</v>
      </c>
      <c r="M30" s="591">
        <v>24</v>
      </c>
      <c r="N30" s="592">
        <v>38.40</v>
      </c>
      <c r="O30" s="567" t="s">
        <v>365</v>
      </c>
      <c r="P30" s="594" t="s">
        <v>8</v>
      </c>
      <c r="Q30" s="595">
        <v>7</v>
      </c>
      <c r="R30" s="596">
        <v>48</v>
      </c>
      <c r="S30" s="597" t="s">
        <v>108</v>
      </c>
      <c r="T30" s="595">
        <v>25</v>
      </c>
      <c r="U30" s="596">
        <v>18</v>
      </c>
      <c r="V30" s="570">
        <v>4</v>
      </c>
      <c r="W30" s="598">
        <v>3812</v>
      </c>
      <c r="X30" s="599">
        <v>2000</v>
      </c>
      <c r="Y30" s="567"/>
      <c r="Z30" s="600"/>
      <c r="AA30" s="570" t="s">
        <v>15</v>
      </c>
      <c r="AB30" s="601">
        <f t="shared" si="7"/>
        <v>0</v>
      </c>
      <c r="AC30" s="602">
        <f t="shared" si="8"/>
        <v>0.35</v>
      </c>
      <c r="AD30" s="601">
        <f t="shared" si="9"/>
        <v>0</v>
      </c>
      <c r="AE30" s="603">
        <f t="shared" si="10"/>
        <v>0</v>
      </c>
      <c r="AF30" s="604">
        <f t="shared" si="11"/>
        <v>0</v>
      </c>
      <c r="AG30" s="588">
        <f t="shared" si="6"/>
        <v>0</v>
      </c>
      <c r="AH30" s="589">
        <f t="shared" si="5"/>
        <v>0</v>
      </c>
      <c r="AI30" s="197"/>
      <c r="AJ30" s="197"/>
      <c r="AK30" s="197"/>
    </row>
    <row r="31" spans="1:37" ht="12.7">
      <c r="A31" s="566" t="s">
        <v>11</v>
      </c>
      <c r="B31" s="567" t="s">
        <v>541</v>
      </c>
      <c r="C31" s="568" t="s">
        <v>666</v>
      </c>
      <c r="D31" s="729" t="s">
        <v>448</v>
      </c>
      <c r="E31" s="765" t="s">
        <v>10</v>
      </c>
      <c r="F31" s="570" t="s">
        <v>674</v>
      </c>
      <c r="G31" s="571" t="s">
        <v>281</v>
      </c>
      <c r="H31" s="567" t="s">
        <v>364</v>
      </c>
      <c r="I31" s="590">
        <v>42</v>
      </c>
      <c r="J31" s="591">
        <v>6</v>
      </c>
      <c r="K31" s="592">
        <v>28.80</v>
      </c>
      <c r="L31" s="593">
        <v>82</v>
      </c>
      <c r="M31" s="591">
        <v>25</v>
      </c>
      <c r="N31" s="592">
        <v>8</v>
      </c>
      <c r="O31" s="567" t="s">
        <v>369</v>
      </c>
      <c r="P31" s="590">
        <v>42</v>
      </c>
      <c r="Q31" s="591">
        <v>7</v>
      </c>
      <c r="R31" s="592">
        <v>27.60</v>
      </c>
      <c r="S31" s="593">
        <v>82</v>
      </c>
      <c r="T31" s="591">
        <v>24</v>
      </c>
      <c r="U31" s="592">
        <v>38.40</v>
      </c>
      <c r="V31" s="570">
        <v>4</v>
      </c>
      <c r="W31" s="598">
        <v>5134</v>
      </c>
      <c r="X31" s="599">
        <v>2000</v>
      </c>
      <c r="Y31" s="567"/>
      <c r="Z31" s="600"/>
      <c r="AA31" s="570" t="s">
        <v>15</v>
      </c>
      <c r="AB31" s="601">
        <f t="shared" si="7"/>
        <v>0</v>
      </c>
      <c r="AC31" s="602">
        <f t="shared" si="8"/>
        <v>0.35</v>
      </c>
      <c r="AD31" s="601">
        <f t="shared" si="9"/>
        <v>0</v>
      </c>
      <c r="AE31" s="603">
        <f t="shared" si="10"/>
        <v>0</v>
      </c>
      <c r="AF31" s="604">
        <f t="shared" si="11"/>
        <v>0</v>
      </c>
      <c r="AG31" s="588">
        <f t="shared" si="6"/>
        <v>0</v>
      </c>
      <c r="AH31" s="589">
        <f t="shared" si="5"/>
        <v>0</v>
      </c>
      <c r="AI31" s="197"/>
      <c r="AJ31" s="197"/>
      <c r="AK31" s="197"/>
    </row>
    <row r="32" spans="1:37" ht="12.7">
      <c r="A32" s="50" t="s">
        <v>11</v>
      </c>
      <c r="B32" s="51" t="s">
        <v>541</v>
      </c>
      <c r="C32" s="753" t="s">
        <v>666</v>
      </c>
      <c r="D32" s="279" t="s">
        <v>448</v>
      </c>
      <c r="E32" s="761" t="s">
        <v>10</v>
      </c>
      <c r="F32" s="141"/>
      <c r="G32" s="307"/>
      <c r="H32" s="140" t="s">
        <v>364</v>
      </c>
      <c r="I32" s="142">
        <v>42</v>
      </c>
      <c r="J32" s="143">
        <v>6</v>
      </c>
      <c r="K32" s="144">
        <v>28.80</v>
      </c>
      <c r="L32" s="145">
        <v>82</v>
      </c>
      <c r="M32" s="143">
        <v>25</v>
      </c>
      <c r="N32" s="144">
        <v>8</v>
      </c>
      <c r="O32" s="140" t="s">
        <v>369</v>
      </c>
      <c r="P32" s="142">
        <v>42</v>
      </c>
      <c r="Q32" s="143">
        <v>7</v>
      </c>
      <c r="R32" s="144">
        <v>27.60</v>
      </c>
      <c r="S32" s="145">
        <v>82</v>
      </c>
      <c r="T32" s="143">
        <v>24</v>
      </c>
      <c r="U32" s="144">
        <v>38.40</v>
      </c>
      <c r="V32" s="141">
        <v>4</v>
      </c>
      <c r="W32" s="539">
        <v>5134</v>
      </c>
      <c r="X32" s="146">
        <v>2000</v>
      </c>
      <c r="Y32" s="140"/>
      <c r="Z32" s="147"/>
      <c r="AA32" s="141" t="s">
        <v>15</v>
      </c>
      <c r="AB32" s="148">
        <f t="shared" si="7"/>
        <v>92720.04</v>
      </c>
      <c r="AC32" s="149">
        <f t="shared" si="8"/>
        <v>0.35</v>
      </c>
      <c r="AD32" s="148">
        <f t="shared" si="9"/>
        <v>60268.03</v>
      </c>
      <c r="AE32" s="175">
        <f t="shared" si="10"/>
        <v>0</v>
      </c>
      <c r="AF32" s="187">
        <f t="shared" si="11"/>
        <v>0</v>
      </c>
      <c r="AG32" s="423">
        <f t="shared" si="6"/>
        <v>60268.03</v>
      </c>
      <c r="AH32" s="516">
        <f t="shared" si="5"/>
        <v>60268</v>
      </c>
      <c r="AI32" s="197"/>
      <c r="AJ32" s="197"/>
      <c r="AK32" s="197"/>
    </row>
    <row r="33" spans="1:37" ht="12.7">
      <c r="A33" s="157" t="s">
        <v>11</v>
      </c>
      <c r="B33" s="159" t="s">
        <v>541</v>
      </c>
      <c r="C33" s="752" t="s">
        <v>666</v>
      </c>
      <c r="D33" s="755" t="s">
        <v>448</v>
      </c>
      <c r="E33" s="762" t="s">
        <v>10</v>
      </c>
      <c r="F33" s="158"/>
      <c r="G33" s="308"/>
      <c r="H33" s="158" t="s">
        <v>363</v>
      </c>
      <c r="I33" s="176">
        <v>42</v>
      </c>
      <c r="J33" s="177">
        <v>6</v>
      </c>
      <c r="K33" s="178">
        <v>30.60</v>
      </c>
      <c r="L33" s="179">
        <v>82</v>
      </c>
      <c r="M33" s="177">
        <v>25</v>
      </c>
      <c r="N33" s="178">
        <v>9</v>
      </c>
      <c r="O33" s="158" t="s">
        <v>364</v>
      </c>
      <c r="P33" s="176">
        <v>42</v>
      </c>
      <c r="Q33" s="177">
        <v>6</v>
      </c>
      <c r="R33" s="178">
        <v>28.80</v>
      </c>
      <c r="S33" s="179">
        <v>82</v>
      </c>
      <c r="T33" s="177">
        <v>25</v>
      </c>
      <c r="U33" s="178">
        <v>8</v>
      </c>
      <c r="V33" s="158">
        <v>4</v>
      </c>
      <c r="W33" s="540">
        <v>48</v>
      </c>
      <c r="X33" s="165">
        <v>2000</v>
      </c>
      <c r="Y33" s="159"/>
      <c r="Z33" s="166"/>
      <c r="AA33" s="158" t="s">
        <v>15</v>
      </c>
      <c r="AB33" s="167">
        <f t="shared" si="7"/>
        <v>866.87999999999988</v>
      </c>
      <c r="AC33" s="168">
        <f t="shared" si="8"/>
        <v>0.35</v>
      </c>
      <c r="AD33" s="167">
        <f t="shared" si="9"/>
        <v>563.47</v>
      </c>
      <c r="AE33" s="169">
        <f t="shared" si="10"/>
        <v>0</v>
      </c>
      <c r="AF33" s="190">
        <f t="shared" si="11"/>
        <v>0</v>
      </c>
      <c r="AG33" s="417">
        <f t="shared" si="6"/>
        <v>563.47</v>
      </c>
      <c r="AH33" s="517">
        <f t="shared" si="5"/>
        <v>563</v>
      </c>
      <c r="AI33" s="1044">
        <v>5.54</v>
      </c>
      <c r="AJ33" s="1044">
        <v>9.75</v>
      </c>
      <c r="AK33" s="1045" t="s">
        <v>609</v>
      </c>
    </row>
    <row r="34" spans="1:37" ht="12.7">
      <c r="A34" s="50" t="s">
        <v>11</v>
      </c>
      <c r="B34" s="51" t="s">
        <v>541</v>
      </c>
      <c r="C34" s="753" t="s">
        <v>666</v>
      </c>
      <c r="D34" s="279" t="s">
        <v>448</v>
      </c>
      <c r="E34" s="761" t="s">
        <v>10</v>
      </c>
      <c r="F34" s="141"/>
      <c r="G34" s="307"/>
      <c r="H34" s="141" t="s">
        <v>362</v>
      </c>
      <c r="I34" s="262">
        <v>42</v>
      </c>
      <c r="J34" s="439">
        <v>6</v>
      </c>
      <c r="K34" s="440">
        <v>49.20</v>
      </c>
      <c r="L34" s="261">
        <v>82</v>
      </c>
      <c r="M34" s="439">
        <v>25</v>
      </c>
      <c r="N34" s="440">
        <v>28.80</v>
      </c>
      <c r="O34" s="141" t="s">
        <v>363</v>
      </c>
      <c r="P34" s="262">
        <v>42</v>
      </c>
      <c r="Q34" s="439">
        <v>6</v>
      </c>
      <c r="R34" s="440">
        <v>30.60</v>
      </c>
      <c r="S34" s="261">
        <v>82</v>
      </c>
      <c r="T34" s="439">
        <v>25</v>
      </c>
      <c r="U34" s="440">
        <v>9</v>
      </c>
      <c r="V34" s="141">
        <v>4</v>
      </c>
      <c r="W34" s="539">
        <v>2780</v>
      </c>
      <c r="X34" s="146">
        <v>2000</v>
      </c>
      <c r="Y34" s="140"/>
      <c r="Z34" s="147"/>
      <c r="AA34" s="141" t="s">
        <v>15</v>
      </c>
      <c r="AB34" s="148">
        <f t="shared" si="7"/>
        <v>50206.799999999996</v>
      </c>
      <c r="AC34" s="149">
        <f t="shared" si="8"/>
        <v>0.35</v>
      </c>
      <c r="AD34" s="148">
        <f t="shared" si="9"/>
        <v>32634.42</v>
      </c>
      <c r="AE34" s="175">
        <f t="shared" si="10"/>
        <v>0</v>
      </c>
      <c r="AF34" s="187">
        <f t="shared" si="11"/>
        <v>0</v>
      </c>
      <c r="AG34" s="423">
        <f t="shared" si="6"/>
        <v>32634.42</v>
      </c>
      <c r="AH34" s="516">
        <f t="shared" si="5"/>
        <v>32634</v>
      </c>
      <c r="AI34" s="1044"/>
      <c r="AJ34" s="1044"/>
      <c r="AK34" s="1044"/>
    </row>
    <row r="35" spans="1:37" ht="12.7">
      <c r="A35" s="157" t="s">
        <v>11</v>
      </c>
      <c r="B35" s="159" t="s">
        <v>541</v>
      </c>
      <c r="C35" s="752" t="s">
        <v>666</v>
      </c>
      <c r="D35" s="755" t="s">
        <v>448</v>
      </c>
      <c r="E35" s="762" t="s">
        <v>10</v>
      </c>
      <c r="F35" s="158"/>
      <c r="G35" s="308"/>
      <c r="H35" s="158" t="s">
        <v>368</v>
      </c>
      <c r="I35" s="176">
        <v>42</v>
      </c>
      <c r="J35" s="177">
        <v>7</v>
      </c>
      <c r="K35" s="178">
        <v>43.80</v>
      </c>
      <c r="L35" s="179">
        <v>82</v>
      </c>
      <c r="M35" s="177">
        <v>24</v>
      </c>
      <c r="N35" s="178">
        <v>52.80</v>
      </c>
      <c r="O35" s="158" t="s">
        <v>361</v>
      </c>
      <c r="P35" s="176">
        <v>42</v>
      </c>
      <c r="Q35" s="177">
        <v>7</v>
      </c>
      <c r="R35" s="178">
        <v>45</v>
      </c>
      <c r="S35" s="179">
        <v>82</v>
      </c>
      <c r="T35" s="177">
        <v>24</v>
      </c>
      <c r="U35" s="178">
        <v>58.80</v>
      </c>
      <c r="V35" s="158">
        <v>3</v>
      </c>
      <c r="W35" s="540">
        <v>31</v>
      </c>
      <c r="X35" s="165">
        <v>2000</v>
      </c>
      <c r="Y35" s="159"/>
      <c r="Z35" s="166"/>
      <c r="AA35" s="158" t="s">
        <v>15</v>
      </c>
      <c r="AB35" s="167">
        <f t="shared" si="7"/>
        <v>464.69</v>
      </c>
      <c r="AC35" s="168">
        <f t="shared" si="8"/>
        <v>0.35</v>
      </c>
      <c r="AD35" s="167">
        <f t="shared" si="9"/>
        <v>302.05</v>
      </c>
      <c r="AE35" s="169">
        <f t="shared" si="10"/>
        <v>0</v>
      </c>
      <c r="AF35" s="441">
        <f t="shared" si="11"/>
        <v>0</v>
      </c>
      <c r="AG35" s="418">
        <f t="shared" si="6"/>
        <v>302.05</v>
      </c>
      <c r="AH35" s="519">
        <f t="shared" si="5"/>
        <v>302</v>
      </c>
      <c r="AI35" s="1044">
        <v>1.57</v>
      </c>
      <c r="AJ35" s="1044">
        <v>13.52</v>
      </c>
      <c r="AK35" s="1045" t="s">
        <v>609</v>
      </c>
    </row>
    <row r="36" spans="1:37" ht="12.7">
      <c r="A36" s="47" t="s">
        <v>11</v>
      </c>
      <c r="B36" s="23" t="s">
        <v>541</v>
      </c>
      <c r="C36" s="474" t="s">
        <v>666</v>
      </c>
      <c r="D36" s="139" t="s">
        <v>448</v>
      </c>
      <c r="E36" s="760" t="s">
        <v>10</v>
      </c>
      <c r="F36" s="25"/>
      <c r="G36" s="138"/>
      <c r="H36" s="25" t="s">
        <v>367</v>
      </c>
      <c r="I36" s="42" t="s">
        <v>8</v>
      </c>
      <c r="J36" s="43">
        <v>7</v>
      </c>
      <c r="K36" s="44">
        <v>55.20</v>
      </c>
      <c r="L36" s="24" t="s">
        <v>108</v>
      </c>
      <c r="M36" s="43">
        <v>24</v>
      </c>
      <c r="N36" s="44">
        <v>34.200000000000003</v>
      </c>
      <c r="O36" s="25" t="s">
        <v>368</v>
      </c>
      <c r="P36" s="42">
        <v>42</v>
      </c>
      <c r="Q36" s="43">
        <v>7</v>
      </c>
      <c r="R36" s="44">
        <v>43.80</v>
      </c>
      <c r="S36" s="24" t="s">
        <v>108</v>
      </c>
      <c r="T36" s="43">
        <v>24</v>
      </c>
      <c r="U36" s="44">
        <v>52.80</v>
      </c>
      <c r="V36" s="25">
        <v>3</v>
      </c>
      <c r="W36" s="538">
        <v>1737</v>
      </c>
      <c r="X36" s="45">
        <v>2000</v>
      </c>
      <c r="Y36" s="23"/>
      <c r="Z36" s="46"/>
      <c r="AA36" s="25" t="s">
        <v>15</v>
      </c>
      <c r="AB36" s="39">
        <f t="shared" si="7"/>
        <v>26037.63</v>
      </c>
      <c r="AC36" s="40">
        <f t="shared" si="8"/>
        <v>0.35</v>
      </c>
      <c r="AD36" s="39">
        <f t="shared" si="9"/>
        <v>16924.46</v>
      </c>
      <c r="AE36" s="79">
        <f t="shared" si="10"/>
        <v>0</v>
      </c>
      <c r="AF36" s="442">
        <f t="shared" si="11"/>
        <v>0</v>
      </c>
      <c r="AG36" s="424">
        <f t="shared" si="6"/>
        <v>16924.46</v>
      </c>
      <c r="AH36" s="520">
        <f t="shared" si="5"/>
        <v>16924</v>
      </c>
      <c r="AI36" s="1044"/>
      <c r="AJ36" s="1044"/>
      <c r="AK36" s="1044"/>
    </row>
    <row r="37" spans="1:37" ht="12.7">
      <c r="A37" s="50" t="s">
        <v>11</v>
      </c>
      <c r="B37" s="51" t="s">
        <v>541</v>
      </c>
      <c r="C37" s="753" t="s">
        <v>666</v>
      </c>
      <c r="D37" s="279" t="s">
        <v>448</v>
      </c>
      <c r="E37" s="763" t="s">
        <v>10</v>
      </c>
      <c r="F37" s="170"/>
      <c r="G37" s="309"/>
      <c r="H37" s="170" t="s">
        <v>360</v>
      </c>
      <c r="I37" s="445" t="s">
        <v>8</v>
      </c>
      <c r="J37" s="446">
        <v>7</v>
      </c>
      <c r="K37" s="447">
        <v>53.40</v>
      </c>
      <c r="L37" s="448" t="s">
        <v>108</v>
      </c>
      <c r="M37" s="446">
        <v>24</v>
      </c>
      <c r="N37" s="447">
        <v>39</v>
      </c>
      <c r="O37" s="170" t="s">
        <v>366</v>
      </c>
      <c r="P37" s="445">
        <v>42</v>
      </c>
      <c r="Q37" s="446">
        <v>7</v>
      </c>
      <c r="R37" s="447">
        <v>55.20</v>
      </c>
      <c r="S37" s="448" t="s">
        <v>108</v>
      </c>
      <c r="T37" s="446">
        <v>24</v>
      </c>
      <c r="U37" s="447">
        <v>34.200000000000003</v>
      </c>
      <c r="V37" s="170">
        <v>3</v>
      </c>
      <c r="W37" s="541">
        <v>126</v>
      </c>
      <c r="X37" s="171">
        <v>2000</v>
      </c>
      <c r="Y37" s="51"/>
      <c r="Z37" s="172"/>
      <c r="AA37" s="170" t="s">
        <v>15</v>
      </c>
      <c r="AB37" s="173">
        <f t="shared" si="7"/>
        <v>1888.74</v>
      </c>
      <c r="AC37" s="60">
        <f t="shared" si="12" ref="AC37:AC67">IF(X37=0,0,(VLOOKUP(X37,depreciation,2,)))</f>
        <v>0.35</v>
      </c>
      <c r="AD37" s="173">
        <f t="shared" si="9"/>
        <v>1227.68</v>
      </c>
      <c r="AE37" s="174">
        <f t="shared" si="10"/>
        <v>0</v>
      </c>
      <c r="AF37" s="443">
        <f t="shared" si="11"/>
        <v>0</v>
      </c>
      <c r="AG37" s="438">
        <f t="shared" si="6"/>
        <v>1227.68</v>
      </c>
      <c r="AH37" s="521">
        <f t="shared" si="5"/>
        <v>1227</v>
      </c>
      <c r="AI37" s="1044"/>
      <c r="AJ37" s="1044"/>
      <c r="AK37" s="1044"/>
    </row>
    <row r="38" spans="1:37" ht="12.7">
      <c r="A38" s="157" t="s">
        <v>11</v>
      </c>
      <c r="B38" s="159" t="s">
        <v>541</v>
      </c>
      <c r="C38" s="752" t="s">
        <v>666</v>
      </c>
      <c r="D38" s="755" t="s">
        <v>448</v>
      </c>
      <c r="E38" s="762" t="s">
        <v>10</v>
      </c>
      <c r="F38" s="158"/>
      <c r="G38" s="308"/>
      <c r="H38" s="444" t="s">
        <v>358</v>
      </c>
      <c r="I38" s="176" t="s">
        <v>8</v>
      </c>
      <c r="J38" s="177">
        <v>7</v>
      </c>
      <c r="K38" s="178">
        <v>38.40</v>
      </c>
      <c r="L38" s="179" t="s">
        <v>108</v>
      </c>
      <c r="M38" s="177">
        <v>25</v>
      </c>
      <c r="N38" s="178">
        <v>30</v>
      </c>
      <c r="O38" s="158" t="s">
        <v>359</v>
      </c>
      <c r="P38" s="176" t="s">
        <v>8</v>
      </c>
      <c r="Q38" s="177">
        <v>7</v>
      </c>
      <c r="R38" s="178">
        <v>49.80</v>
      </c>
      <c r="S38" s="179" t="s">
        <v>108</v>
      </c>
      <c r="T38" s="177">
        <v>25</v>
      </c>
      <c r="U38" s="178">
        <v>13.20</v>
      </c>
      <c r="V38" s="158">
        <v>3</v>
      </c>
      <c r="W38" s="540">
        <v>1782</v>
      </c>
      <c r="X38" s="165">
        <v>2000</v>
      </c>
      <c r="Y38" s="159"/>
      <c r="Z38" s="166"/>
      <c r="AA38" s="158" t="s">
        <v>15</v>
      </c>
      <c r="AB38" s="167">
        <f t="shared" si="7"/>
        <v>26712.18</v>
      </c>
      <c r="AC38" s="168">
        <f t="shared" si="12"/>
        <v>0.35</v>
      </c>
      <c r="AD38" s="167">
        <f t="shared" si="9"/>
        <v>17362.919999999998</v>
      </c>
      <c r="AE38" s="169">
        <f t="shared" si="10"/>
        <v>0</v>
      </c>
      <c r="AF38" s="441">
        <f t="shared" si="11"/>
        <v>0</v>
      </c>
      <c r="AG38" s="418">
        <f t="shared" si="6"/>
        <v>17362.919999999998</v>
      </c>
      <c r="AH38" s="519">
        <f t="shared" si="5"/>
        <v>17362</v>
      </c>
      <c r="AI38" s="1044">
        <v>8.0500000000000007</v>
      </c>
      <c r="AJ38" s="1044">
        <v>26.92</v>
      </c>
      <c r="AK38" s="1044">
        <v>2.4700000000000002</v>
      </c>
    </row>
    <row r="39" spans="1:37" ht="12.7">
      <c r="A39" s="50" t="s">
        <v>11</v>
      </c>
      <c r="B39" s="51" t="s">
        <v>541</v>
      </c>
      <c r="C39" s="753" t="s">
        <v>666</v>
      </c>
      <c r="D39" s="279" t="s">
        <v>448</v>
      </c>
      <c r="E39" s="763" t="s">
        <v>10</v>
      </c>
      <c r="F39" s="170"/>
      <c r="G39" s="309"/>
      <c r="H39" s="170" t="s">
        <v>359</v>
      </c>
      <c r="I39" s="445" t="s">
        <v>8</v>
      </c>
      <c r="J39" s="446">
        <v>7</v>
      </c>
      <c r="K39" s="447">
        <v>49.80</v>
      </c>
      <c r="L39" s="448" t="s">
        <v>108</v>
      </c>
      <c r="M39" s="446">
        <v>25</v>
      </c>
      <c r="N39" s="447">
        <v>13.20</v>
      </c>
      <c r="O39" s="170" t="s">
        <v>365</v>
      </c>
      <c r="P39" s="445" t="s">
        <v>8</v>
      </c>
      <c r="Q39" s="446">
        <v>7</v>
      </c>
      <c r="R39" s="447">
        <v>48</v>
      </c>
      <c r="S39" s="448" t="s">
        <v>108</v>
      </c>
      <c r="T39" s="446">
        <v>25</v>
      </c>
      <c r="U39" s="447">
        <v>18</v>
      </c>
      <c r="V39" s="170">
        <v>3</v>
      </c>
      <c r="W39" s="541">
        <v>30</v>
      </c>
      <c r="X39" s="171">
        <v>2000</v>
      </c>
      <c r="Y39" s="51"/>
      <c r="Z39" s="172"/>
      <c r="AA39" s="170" t="s">
        <v>15</v>
      </c>
      <c r="AB39" s="173">
        <f t="shared" si="7"/>
        <v>449.70</v>
      </c>
      <c r="AC39" s="60">
        <f t="shared" si="12"/>
        <v>0.35</v>
      </c>
      <c r="AD39" s="173">
        <f t="shared" si="9"/>
        <v>292.31</v>
      </c>
      <c r="AE39" s="174">
        <f t="shared" si="10"/>
        <v>0</v>
      </c>
      <c r="AF39" s="443">
        <f t="shared" si="11"/>
        <v>0</v>
      </c>
      <c r="AG39" s="438">
        <f t="shared" si="6"/>
        <v>292.31</v>
      </c>
      <c r="AH39" s="521">
        <f t="shared" si="5"/>
        <v>292</v>
      </c>
      <c r="AI39" s="1044"/>
      <c r="AJ39" s="1044"/>
      <c r="AK39" s="1044"/>
    </row>
    <row r="40" spans="1:37" ht="12.7">
      <c r="A40" s="157" t="s">
        <v>11</v>
      </c>
      <c r="B40" s="159" t="s">
        <v>541</v>
      </c>
      <c r="C40" s="752" t="s">
        <v>666</v>
      </c>
      <c r="D40" s="755" t="s">
        <v>448</v>
      </c>
      <c r="E40" s="762" t="s">
        <v>10</v>
      </c>
      <c r="F40" s="159"/>
      <c r="G40" s="308"/>
      <c r="H40" s="183" t="s">
        <v>308</v>
      </c>
      <c r="I40" s="161" t="s">
        <v>8</v>
      </c>
      <c r="J40" s="162">
        <v>8</v>
      </c>
      <c r="K40" s="163">
        <v>12.156000000000001</v>
      </c>
      <c r="L40" s="164">
        <v>82</v>
      </c>
      <c r="M40" s="162">
        <v>27</v>
      </c>
      <c r="N40" s="163">
        <v>20.192</v>
      </c>
      <c r="O40" s="159" t="s">
        <v>186</v>
      </c>
      <c r="P40" s="161" t="s">
        <v>8</v>
      </c>
      <c r="Q40" s="162">
        <v>8</v>
      </c>
      <c r="R40" s="163">
        <v>14.856999999999999</v>
      </c>
      <c r="S40" s="164">
        <v>82</v>
      </c>
      <c r="T40" s="162">
        <v>27</v>
      </c>
      <c r="U40" s="163">
        <v>23.832999999999998</v>
      </c>
      <c r="V40" s="158">
        <v>3</v>
      </c>
      <c r="W40" s="540">
        <v>387.37</v>
      </c>
      <c r="X40" s="165">
        <v>1993</v>
      </c>
      <c r="Y40" s="158"/>
      <c r="Z40" s="166" t="s">
        <v>14</v>
      </c>
      <c r="AA40" s="158" t="s">
        <v>15</v>
      </c>
      <c r="AB40" s="167">
        <f t="shared" si="7"/>
        <v>5806.6763000000001</v>
      </c>
      <c r="AC40" s="168">
        <f t="shared" si="12"/>
        <v>0.50</v>
      </c>
      <c r="AD40" s="167">
        <f t="shared" si="9"/>
        <v>2903.34</v>
      </c>
      <c r="AE40" s="169">
        <f t="shared" si="10"/>
        <v>0</v>
      </c>
      <c r="AF40" s="441">
        <f t="shared" si="11"/>
        <v>0</v>
      </c>
      <c r="AG40" s="418">
        <f t="shared" si="6"/>
        <v>2903.34</v>
      </c>
      <c r="AH40" s="519">
        <f t="shared" si="5"/>
        <v>2903</v>
      </c>
      <c r="AI40" s="1044">
        <v>2.64</v>
      </c>
      <c r="AJ40" s="1044">
        <v>5.85</v>
      </c>
      <c r="AK40" s="1044">
        <v>2.4700000000000002</v>
      </c>
    </row>
    <row r="41" spans="1:37" ht="12.7">
      <c r="A41" s="47" t="s">
        <v>11</v>
      </c>
      <c r="B41" s="23" t="s">
        <v>541</v>
      </c>
      <c r="C41" s="474" t="s">
        <v>666</v>
      </c>
      <c r="D41" s="139" t="s">
        <v>448</v>
      </c>
      <c r="E41" s="760" t="s">
        <v>10</v>
      </c>
      <c r="F41" s="23"/>
      <c r="G41" s="138"/>
      <c r="H41" s="41" t="s">
        <v>186</v>
      </c>
      <c r="I41" s="33">
        <v>42</v>
      </c>
      <c r="J41" s="34">
        <v>8</v>
      </c>
      <c r="K41" s="35">
        <v>14.856999999999999</v>
      </c>
      <c r="L41" s="22">
        <v>82</v>
      </c>
      <c r="M41" s="34">
        <v>27</v>
      </c>
      <c r="N41" s="35">
        <v>23.832999999999998</v>
      </c>
      <c r="O41" s="23" t="s">
        <v>187</v>
      </c>
      <c r="P41" s="33">
        <v>42</v>
      </c>
      <c r="Q41" s="34">
        <v>8</v>
      </c>
      <c r="R41" s="35">
        <v>16.792999999999999</v>
      </c>
      <c r="S41" s="22">
        <v>82</v>
      </c>
      <c r="T41" s="34">
        <v>27</v>
      </c>
      <c r="U41" s="35">
        <v>25.704000000000001</v>
      </c>
      <c r="V41" s="25">
        <v>3</v>
      </c>
      <c r="W41" s="538">
        <v>241.47</v>
      </c>
      <c r="X41" s="45">
        <v>1993</v>
      </c>
      <c r="Y41" s="25"/>
      <c r="Z41" s="46" t="s">
        <v>14</v>
      </c>
      <c r="AA41" s="25" t="s">
        <v>15</v>
      </c>
      <c r="AB41" s="39">
        <f t="shared" si="7"/>
        <v>3619.6352999999999</v>
      </c>
      <c r="AC41" s="40">
        <f t="shared" si="12"/>
        <v>0.50</v>
      </c>
      <c r="AD41" s="39">
        <f t="shared" si="9"/>
        <v>1809.82</v>
      </c>
      <c r="AE41" s="79">
        <f t="shared" si="10"/>
        <v>0</v>
      </c>
      <c r="AF41" s="442">
        <f t="shared" si="11"/>
        <v>0</v>
      </c>
      <c r="AG41" s="424">
        <f t="shared" si="6"/>
        <v>1809.82</v>
      </c>
      <c r="AH41" s="520">
        <f t="shared" si="5"/>
        <v>1809</v>
      </c>
      <c r="AI41" s="1044"/>
      <c r="AJ41" s="1044"/>
      <c r="AK41" s="1044"/>
    </row>
    <row r="42" spans="1:37" ht="12.7">
      <c r="A42" s="47" t="s">
        <v>11</v>
      </c>
      <c r="B42" s="23" t="s">
        <v>541</v>
      </c>
      <c r="C42" s="474" t="s">
        <v>666</v>
      </c>
      <c r="D42" s="139" t="s">
        <v>448</v>
      </c>
      <c r="E42" s="760" t="s">
        <v>10</v>
      </c>
      <c r="F42" s="23"/>
      <c r="G42" s="138"/>
      <c r="H42" s="41" t="s">
        <v>187</v>
      </c>
      <c r="I42" s="33">
        <v>42</v>
      </c>
      <c r="J42" s="34">
        <v>8</v>
      </c>
      <c r="K42" s="35">
        <v>16.792999999999999</v>
      </c>
      <c r="L42" s="22">
        <v>82</v>
      </c>
      <c r="M42" s="34">
        <v>27</v>
      </c>
      <c r="N42" s="35">
        <v>25.704000000000001</v>
      </c>
      <c r="O42" s="23" t="s">
        <v>177</v>
      </c>
      <c r="P42" s="33">
        <v>42</v>
      </c>
      <c r="Q42" s="34">
        <v>8</v>
      </c>
      <c r="R42" s="35">
        <v>20.047999999999998</v>
      </c>
      <c r="S42" s="22">
        <v>82</v>
      </c>
      <c r="T42" s="34">
        <v>27</v>
      </c>
      <c r="U42" s="35">
        <v>27.16</v>
      </c>
      <c r="V42" s="25">
        <v>3</v>
      </c>
      <c r="W42" s="538">
        <v>290.42</v>
      </c>
      <c r="X42" s="45">
        <v>1993</v>
      </c>
      <c r="Y42" s="25"/>
      <c r="Z42" s="46" t="s">
        <v>14</v>
      </c>
      <c r="AA42" s="25" t="s">
        <v>15</v>
      </c>
      <c r="AB42" s="39">
        <f t="shared" si="7"/>
        <v>4353.3958000000002</v>
      </c>
      <c r="AC42" s="40">
        <f t="shared" si="12"/>
        <v>0.50</v>
      </c>
      <c r="AD42" s="39">
        <f t="shared" si="9"/>
        <v>2176.6999999999998</v>
      </c>
      <c r="AE42" s="79">
        <f t="shared" si="10"/>
        <v>0</v>
      </c>
      <c r="AF42" s="442">
        <f t="shared" si="11"/>
        <v>0</v>
      </c>
      <c r="AG42" s="424">
        <f t="shared" si="6"/>
        <v>2176.6999999999998</v>
      </c>
      <c r="AH42" s="520">
        <f t="shared" si="5"/>
        <v>2176</v>
      </c>
      <c r="AI42" s="1044"/>
      <c r="AJ42" s="1044"/>
      <c r="AK42" s="1044"/>
    </row>
    <row r="43" spans="1:37" ht="12.7">
      <c r="A43" s="47" t="s">
        <v>11</v>
      </c>
      <c r="B43" s="23" t="s">
        <v>541</v>
      </c>
      <c r="C43" s="474" t="s">
        <v>666</v>
      </c>
      <c r="D43" s="139" t="s">
        <v>448</v>
      </c>
      <c r="E43" s="760" t="s">
        <v>10</v>
      </c>
      <c r="F43" s="23"/>
      <c r="G43" s="138"/>
      <c r="H43" s="41" t="s">
        <v>289</v>
      </c>
      <c r="I43" s="33">
        <v>42</v>
      </c>
      <c r="J43" s="34">
        <v>8</v>
      </c>
      <c r="K43" s="35">
        <v>20.338999999999999</v>
      </c>
      <c r="L43" s="22">
        <v>82</v>
      </c>
      <c r="M43" s="34">
        <v>27</v>
      </c>
      <c r="N43" s="35">
        <v>35.412999999999997</v>
      </c>
      <c r="O43" s="23" t="s">
        <v>177</v>
      </c>
      <c r="P43" s="33">
        <v>42</v>
      </c>
      <c r="Q43" s="34">
        <v>8</v>
      </c>
      <c r="R43" s="35">
        <v>20.047999999999998</v>
      </c>
      <c r="S43" s="22">
        <v>82</v>
      </c>
      <c r="T43" s="34">
        <v>27</v>
      </c>
      <c r="U43" s="35">
        <v>27.16</v>
      </c>
      <c r="V43" s="25">
        <v>3</v>
      </c>
      <c r="W43" s="538">
        <v>627.53</v>
      </c>
      <c r="X43" s="45">
        <v>1992</v>
      </c>
      <c r="Y43" s="25"/>
      <c r="Z43" s="46" t="s">
        <v>14</v>
      </c>
      <c r="AA43" s="25" t="s">
        <v>15</v>
      </c>
      <c r="AB43" s="39">
        <f t="shared" si="7"/>
        <v>9406.6746999999996</v>
      </c>
      <c r="AC43" s="40">
        <f t="shared" si="12"/>
        <v>0.51</v>
      </c>
      <c r="AD43" s="39">
        <f t="shared" si="9"/>
        <v>4609.2700000000004</v>
      </c>
      <c r="AE43" s="79">
        <f t="shared" si="10"/>
        <v>0</v>
      </c>
      <c r="AF43" s="442">
        <f t="shared" si="11"/>
        <v>0</v>
      </c>
      <c r="AG43" s="424">
        <f t="shared" si="6"/>
        <v>4609.2700000000004</v>
      </c>
      <c r="AH43" s="520">
        <f t="shared" si="5"/>
        <v>4609</v>
      </c>
      <c r="AI43" s="1044"/>
      <c r="AJ43" s="1044"/>
      <c r="AK43" s="1044"/>
    </row>
    <row r="44" spans="1:37" ht="12.7">
      <c r="A44" s="47" t="s">
        <v>11</v>
      </c>
      <c r="B44" s="23" t="s">
        <v>541</v>
      </c>
      <c r="C44" s="474" t="s">
        <v>666</v>
      </c>
      <c r="D44" s="139" t="s">
        <v>448</v>
      </c>
      <c r="E44" s="760" t="s">
        <v>10</v>
      </c>
      <c r="F44" s="23"/>
      <c r="G44" s="138"/>
      <c r="H44" s="41" t="s">
        <v>177</v>
      </c>
      <c r="I44" s="33">
        <v>42</v>
      </c>
      <c r="J44" s="34">
        <v>8</v>
      </c>
      <c r="K44" s="35">
        <v>20.047999999999998</v>
      </c>
      <c r="L44" s="22">
        <v>82</v>
      </c>
      <c r="M44" s="34">
        <v>27</v>
      </c>
      <c r="N44" s="35">
        <v>27.16</v>
      </c>
      <c r="O44" s="23" t="s">
        <v>188</v>
      </c>
      <c r="P44" s="33">
        <v>42</v>
      </c>
      <c r="Q44" s="34">
        <v>8</v>
      </c>
      <c r="R44" s="35">
        <v>20.475</v>
      </c>
      <c r="S44" s="22">
        <v>82</v>
      </c>
      <c r="T44" s="34">
        <v>27</v>
      </c>
      <c r="U44" s="35">
        <v>26.57</v>
      </c>
      <c r="V44" s="25">
        <v>3</v>
      </c>
      <c r="W44" s="538">
        <v>52</v>
      </c>
      <c r="X44" s="45">
        <v>1992</v>
      </c>
      <c r="Y44" s="25"/>
      <c r="Z44" s="46" t="s">
        <v>14</v>
      </c>
      <c r="AA44" s="25" t="s">
        <v>15</v>
      </c>
      <c r="AB44" s="39">
        <f t="shared" si="7"/>
        <v>779.48</v>
      </c>
      <c r="AC44" s="40">
        <f t="shared" si="12"/>
        <v>0.51</v>
      </c>
      <c r="AD44" s="39">
        <f t="shared" si="9"/>
        <v>381.95</v>
      </c>
      <c r="AE44" s="79">
        <f t="shared" si="10"/>
        <v>0</v>
      </c>
      <c r="AF44" s="442">
        <f t="shared" si="11"/>
        <v>0</v>
      </c>
      <c r="AG44" s="424">
        <f t="shared" si="6"/>
        <v>381.95</v>
      </c>
      <c r="AH44" s="520">
        <f t="shared" si="5"/>
        <v>381</v>
      </c>
      <c r="AI44" s="1044"/>
      <c r="AJ44" s="1044"/>
      <c r="AK44" s="1044"/>
    </row>
    <row r="45" spans="1:37" ht="12.7">
      <c r="A45" s="50" t="s">
        <v>11</v>
      </c>
      <c r="B45" s="51" t="s">
        <v>541</v>
      </c>
      <c r="C45" s="753" t="s">
        <v>666</v>
      </c>
      <c r="D45" s="279" t="s">
        <v>448</v>
      </c>
      <c r="E45" s="763" t="s">
        <v>10</v>
      </c>
      <c r="F45" s="51"/>
      <c r="G45" s="309"/>
      <c r="H45" s="180" t="s">
        <v>188</v>
      </c>
      <c r="I45" s="52">
        <v>42</v>
      </c>
      <c r="J45" s="53">
        <v>8</v>
      </c>
      <c r="K45" s="54">
        <v>20.475</v>
      </c>
      <c r="L45" s="55">
        <v>82</v>
      </c>
      <c r="M45" s="53">
        <v>27</v>
      </c>
      <c r="N45" s="54">
        <v>26.57</v>
      </c>
      <c r="O45" s="51" t="s">
        <v>189</v>
      </c>
      <c r="P45" s="52">
        <v>42</v>
      </c>
      <c r="Q45" s="53">
        <v>8</v>
      </c>
      <c r="R45" s="54">
        <v>25.891999999999999</v>
      </c>
      <c r="S45" s="55">
        <v>82</v>
      </c>
      <c r="T45" s="53">
        <v>27</v>
      </c>
      <c r="U45" s="54">
        <v>2.698</v>
      </c>
      <c r="V45" s="170">
        <v>3</v>
      </c>
      <c r="W45" s="541">
        <v>1803.88</v>
      </c>
      <c r="X45" s="171">
        <v>1992</v>
      </c>
      <c r="Y45" s="170"/>
      <c r="Z45" s="172" t="s">
        <v>14</v>
      </c>
      <c r="AA45" s="170" t="s">
        <v>15</v>
      </c>
      <c r="AB45" s="173">
        <f t="shared" si="7"/>
        <v>27040.161200000002</v>
      </c>
      <c r="AC45" s="60">
        <f t="shared" si="12"/>
        <v>0.51</v>
      </c>
      <c r="AD45" s="173">
        <f t="shared" si="9"/>
        <v>13249.68</v>
      </c>
      <c r="AE45" s="174">
        <f t="shared" si="10"/>
        <v>0</v>
      </c>
      <c r="AF45" s="443">
        <f t="shared" si="11"/>
        <v>0</v>
      </c>
      <c r="AG45" s="438">
        <f t="shared" si="6"/>
        <v>13249.68</v>
      </c>
      <c r="AH45" s="521">
        <f t="shared" si="5"/>
        <v>13249</v>
      </c>
      <c r="AI45" s="1044"/>
      <c r="AJ45" s="1044"/>
      <c r="AK45" s="1044"/>
    </row>
    <row r="46" spans="1:37" ht="12.7">
      <c r="A46" s="750" t="s">
        <v>11</v>
      </c>
      <c r="B46" s="569" t="s">
        <v>541</v>
      </c>
      <c r="C46" s="751" t="s">
        <v>666</v>
      </c>
      <c r="D46" s="756" t="s">
        <v>448</v>
      </c>
      <c r="E46" s="764" t="s">
        <v>10</v>
      </c>
      <c r="F46" s="570" t="s">
        <v>674</v>
      </c>
      <c r="G46" s="571" t="s">
        <v>281</v>
      </c>
      <c r="H46" s="605" t="s">
        <v>190</v>
      </c>
      <c r="I46" s="572" t="s">
        <v>8</v>
      </c>
      <c r="J46" s="573">
        <v>8</v>
      </c>
      <c r="K46" s="574">
        <v>35.054000000000002</v>
      </c>
      <c r="L46" s="575">
        <v>82</v>
      </c>
      <c r="M46" s="573">
        <v>26</v>
      </c>
      <c r="N46" s="574">
        <v>57.63</v>
      </c>
      <c r="O46" s="605" t="s">
        <v>191</v>
      </c>
      <c r="P46" s="572" t="s">
        <v>8</v>
      </c>
      <c r="Q46" s="573">
        <v>8</v>
      </c>
      <c r="R46" s="574">
        <v>12.199</v>
      </c>
      <c r="S46" s="575">
        <v>82</v>
      </c>
      <c r="T46" s="573">
        <v>26</v>
      </c>
      <c r="U46" s="574">
        <v>43.749000000000002</v>
      </c>
      <c r="V46" s="580">
        <v>3</v>
      </c>
      <c r="W46" s="581">
        <v>1600</v>
      </c>
      <c r="X46" s="582">
        <v>1990</v>
      </c>
      <c r="Y46" s="580"/>
      <c r="Z46" s="583" t="s">
        <v>14</v>
      </c>
      <c r="AA46" s="580" t="s">
        <v>15</v>
      </c>
      <c r="AB46" s="584">
        <f t="shared" si="7"/>
        <v>0</v>
      </c>
      <c r="AC46" s="585">
        <f t="shared" si="12"/>
        <v>0.52</v>
      </c>
      <c r="AD46" s="584">
        <f t="shared" si="9"/>
        <v>0</v>
      </c>
      <c r="AE46" s="586">
        <f t="shared" si="10"/>
        <v>0</v>
      </c>
      <c r="AF46" s="587">
        <f t="shared" si="11"/>
        <v>0</v>
      </c>
      <c r="AG46" s="588">
        <f t="shared" si="6"/>
        <v>0</v>
      </c>
      <c r="AH46" s="589">
        <f t="shared" si="5"/>
        <v>0</v>
      </c>
      <c r="AI46" s="197"/>
      <c r="AJ46" s="197"/>
      <c r="AK46" s="197"/>
    </row>
    <row r="47" spans="1:37" ht="12.7">
      <c r="A47" s="566" t="s">
        <v>11</v>
      </c>
      <c r="B47" s="567" t="s">
        <v>541</v>
      </c>
      <c r="C47" s="568" t="s">
        <v>666</v>
      </c>
      <c r="D47" s="729" t="s">
        <v>448</v>
      </c>
      <c r="E47" s="765" t="s">
        <v>10</v>
      </c>
      <c r="F47" s="570" t="s">
        <v>674</v>
      </c>
      <c r="G47" s="606" t="s">
        <v>281</v>
      </c>
      <c r="H47" s="607" t="s">
        <v>191</v>
      </c>
      <c r="I47" s="590" t="s">
        <v>8</v>
      </c>
      <c r="J47" s="591">
        <v>8</v>
      </c>
      <c r="K47" s="592">
        <v>12.199</v>
      </c>
      <c r="L47" s="593">
        <v>82</v>
      </c>
      <c r="M47" s="591">
        <v>26</v>
      </c>
      <c r="N47" s="592">
        <v>43.749000000000002</v>
      </c>
      <c r="O47" s="607" t="s">
        <v>192</v>
      </c>
      <c r="P47" s="590" t="s">
        <v>8</v>
      </c>
      <c r="Q47" s="591">
        <v>8</v>
      </c>
      <c r="R47" s="592">
        <v>6.5270000000000001</v>
      </c>
      <c r="S47" s="593">
        <v>82</v>
      </c>
      <c r="T47" s="591">
        <v>26</v>
      </c>
      <c r="U47" s="592">
        <v>35.396999999999998</v>
      </c>
      <c r="V47" s="570">
        <v>3</v>
      </c>
      <c r="W47" s="598">
        <v>848.05</v>
      </c>
      <c r="X47" s="599">
        <v>1990</v>
      </c>
      <c r="Y47" s="570"/>
      <c r="Z47" s="600" t="s">
        <v>14</v>
      </c>
      <c r="AA47" s="570" t="s">
        <v>15</v>
      </c>
      <c r="AB47" s="601">
        <f t="shared" si="7"/>
        <v>0</v>
      </c>
      <c r="AC47" s="602">
        <f t="shared" si="12"/>
        <v>0.52</v>
      </c>
      <c r="AD47" s="601">
        <f t="shared" si="9"/>
        <v>0</v>
      </c>
      <c r="AE47" s="603">
        <f t="shared" si="10"/>
        <v>0</v>
      </c>
      <c r="AF47" s="604">
        <f t="shared" si="11"/>
        <v>0</v>
      </c>
      <c r="AG47" s="588">
        <f t="shared" si="6"/>
        <v>0</v>
      </c>
      <c r="AH47" s="589">
        <f t="shared" si="5"/>
        <v>0</v>
      </c>
      <c r="AI47" s="197"/>
      <c r="AJ47" s="197"/>
      <c r="AK47" s="197"/>
    </row>
    <row r="48" spans="1:37" ht="12.7">
      <c r="A48" s="47" t="s">
        <v>11</v>
      </c>
      <c r="B48" s="23" t="s">
        <v>541</v>
      </c>
      <c r="C48" s="474" t="s">
        <v>666</v>
      </c>
      <c r="D48" s="139" t="s">
        <v>448</v>
      </c>
      <c r="E48" s="760" t="s">
        <v>10</v>
      </c>
      <c r="F48" s="23"/>
      <c r="G48" s="138" t="s">
        <v>281</v>
      </c>
      <c r="H48" s="41" t="s">
        <v>305</v>
      </c>
      <c r="I48" s="33" t="s">
        <v>8</v>
      </c>
      <c r="J48" s="34">
        <v>8</v>
      </c>
      <c r="K48" s="35">
        <v>9.5820000000000007</v>
      </c>
      <c r="L48" s="22">
        <v>82</v>
      </c>
      <c r="M48" s="34">
        <v>27</v>
      </c>
      <c r="N48" s="35">
        <v>0.58299999999999996</v>
      </c>
      <c r="O48" s="41" t="s">
        <v>193</v>
      </c>
      <c r="P48" s="33" t="s">
        <v>8</v>
      </c>
      <c r="Q48" s="34">
        <v>7</v>
      </c>
      <c r="R48" s="35">
        <v>58.685</v>
      </c>
      <c r="S48" s="22">
        <v>82</v>
      </c>
      <c r="T48" s="34">
        <v>26</v>
      </c>
      <c r="U48" s="35">
        <v>47.238</v>
      </c>
      <c r="V48" s="25">
        <v>3</v>
      </c>
      <c r="W48" s="538">
        <v>1492.78</v>
      </c>
      <c r="X48" s="45">
        <v>1995</v>
      </c>
      <c r="Y48" s="25"/>
      <c r="Z48" s="46" t="s">
        <v>14</v>
      </c>
      <c r="AA48" s="25" t="s">
        <v>15</v>
      </c>
      <c r="AB48" s="39">
        <f t="shared" si="7"/>
        <v>0</v>
      </c>
      <c r="AC48" s="40">
        <f t="shared" si="12"/>
        <v>0.47</v>
      </c>
      <c r="AD48" s="39">
        <f t="shared" si="9"/>
        <v>0</v>
      </c>
      <c r="AE48" s="79">
        <f t="shared" si="10"/>
        <v>0</v>
      </c>
      <c r="AF48" s="185">
        <f t="shared" si="11"/>
        <v>0</v>
      </c>
      <c r="AG48" s="423">
        <f t="shared" si="6"/>
        <v>0</v>
      </c>
      <c r="AH48" s="516">
        <f t="shared" si="5"/>
        <v>0</v>
      </c>
      <c r="AI48" s="197"/>
      <c r="AJ48" s="197"/>
      <c r="AK48" s="197"/>
    </row>
    <row r="49" spans="1:37" ht="12.7">
      <c r="A49" s="47" t="s">
        <v>11</v>
      </c>
      <c r="B49" s="23" t="s">
        <v>541</v>
      </c>
      <c r="C49" s="474" t="s">
        <v>666</v>
      </c>
      <c r="D49" s="139" t="s">
        <v>448</v>
      </c>
      <c r="E49" s="760" t="s">
        <v>10</v>
      </c>
      <c r="F49" s="23"/>
      <c r="G49" s="138" t="s">
        <v>281</v>
      </c>
      <c r="H49" s="41" t="s">
        <v>193</v>
      </c>
      <c r="I49" s="33" t="s">
        <v>8</v>
      </c>
      <c r="J49" s="34">
        <v>7</v>
      </c>
      <c r="K49" s="35">
        <v>58.685</v>
      </c>
      <c r="L49" s="22">
        <v>82</v>
      </c>
      <c r="M49" s="34">
        <v>26</v>
      </c>
      <c r="N49" s="35">
        <v>47.238</v>
      </c>
      <c r="O49" s="41" t="s">
        <v>256</v>
      </c>
      <c r="P49" s="33" t="s">
        <v>8</v>
      </c>
      <c r="Q49" s="34">
        <v>8</v>
      </c>
      <c r="R49" s="35">
        <v>7.5460000000000003</v>
      </c>
      <c r="S49" s="22">
        <v>82</v>
      </c>
      <c r="T49" s="34">
        <v>26</v>
      </c>
      <c r="U49" s="35">
        <v>35.104999999999997</v>
      </c>
      <c r="V49" s="25">
        <v>3</v>
      </c>
      <c r="W49" s="538">
        <v>1125.70</v>
      </c>
      <c r="X49" s="45">
        <v>1995</v>
      </c>
      <c r="Y49" s="25"/>
      <c r="Z49" s="46" t="s">
        <v>14</v>
      </c>
      <c r="AA49" s="25" t="s">
        <v>15</v>
      </c>
      <c r="AB49" s="39">
        <f t="shared" si="7"/>
        <v>0</v>
      </c>
      <c r="AC49" s="40">
        <f t="shared" si="12"/>
        <v>0.47</v>
      </c>
      <c r="AD49" s="39">
        <f t="shared" si="9"/>
        <v>0</v>
      </c>
      <c r="AE49" s="79">
        <f t="shared" si="10"/>
        <v>0</v>
      </c>
      <c r="AF49" s="185">
        <f t="shared" si="11"/>
        <v>0</v>
      </c>
      <c r="AG49" s="423">
        <f t="shared" si="6"/>
        <v>0</v>
      </c>
      <c r="AH49" s="516">
        <f t="shared" si="5"/>
        <v>0</v>
      </c>
      <c r="AI49" s="197"/>
      <c r="AJ49" s="197"/>
      <c r="AK49" s="197"/>
    </row>
    <row r="50" spans="1:37" ht="12.7">
      <c r="A50" s="566" t="s">
        <v>11</v>
      </c>
      <c r="B50" s="567" t="s">
        <v>541</v>
      </c>
      <c r="C50" s="568" t="s">
        <v>666</v>
      </c>
      <c r="D50" s="729" t="s">
        <v>448</v>
      </c>
      <c r="E50" s="765" t="s">
        <v>10</v>
      </c>
      <c r="F50" s="570" t="s">
        <v>674</v>
      </c>
      <c r="G50" s="606" t="s">
        <v>281</v>
      </c>
      <c r="H50" s="607" t="s">
        <v>256</v>
      </c>
      <c r="I50" s="590" t="s">
        <v>8</v>
      </c>
      <c r="J50" s="591">
        <v>8</v>
      </c>
      <c r="K50" s="592">
        <v>7.5460000000000003</v>
      </c>
      <c r="L50" s="593">
        <v>82</v>
      </c>
      <c r="M50" s="591">
        <v>26</v>
      </c>
      <c r="N50" s="592">
        <v>35.104999999999997</v>
      </c>
      <c r="O50" s="567" t="s">
        <v>194</v>
      </c>
      <c r="P50" s="590" t="s">
        <v>8</v>
      </c>
      <c r="Q50" s="591">
        <v>8</v>
      </c>
      <c r="R50" s="592">
        <v>16.420999999999999</v>
      </c>
      <c r="S50" s="593">
        <v>82</v>
      </c>
      <c r="T50" s="591">
        <v>26</v>
      </c>
      <c r="U50" s="592">
        <v>20.128</v>
      </c>
      <c r="V50" s="570">
        <v>3</v>
      </c>
      <c r="W50" s="570">
        <v>1594.15</v>
      </c>
      <c r="X50" s="599">
        <v>1995</v>
      </c>
      <c r="Y50" s="570"/>
      <c r="Z50" s="600" t="s">
        <v>14</v>
      </c>
      <c r="AA50" s="570" t="s">
        <v>15</v>
      </c>
      <c r="AB50" s="601">
        <f t="shared" si="7"/>
        <v>0</v>
      </c>
      <c r="AC50" s="602">
        <f t="shared" si="12"/>
        <v>0.47</v>
      </c>
      <c r="AD50" s="601">
        <f t="shared" si="9"/>
        <v>0</v>
      </c>
      <c r="AE50" s="603">
        <f t="shared" si="10"/>
        <v>0</v>
      </c>
      <c r="AF50" s="604">
        <f t="shared" si="11"/>
        <v>0</v>
      </c>
      <c r="AG50" s="588">
        <f t="shared" si="6"/>
        <v>0</v>
      </c>
      <c r="AH50" s="589">
        <f t="shared" si="5"/>
        <v>0</v>
      </c>
      <c r="AI50" s="197"/>
      <c r="AJ50" s="197"/>
      <c r="AK50" s="197"/>
    </row>
    <row r="51" spans="1:37" s="122" customFormat="1" ht="12.7">
      <c r="A51" s="566" t="s">
        <v>11</v>
      </c>
      <c r="B51" s="567" t="s">
        <v>541</v>
      </c>
      <c r="C51" s="568" t="s">
        <v>666</v>
      </c>
      <c r="D51" s="729" t="s">
        <v>448</v>
      </c>
      <c r="E51" s="765" t="s">
        <v>10</v>
      </c>
      <c r="F51" s="570" t="s">
        <v>674</v>
      </c>
      <c r="G51" s="608" t="s">
        <v>281</v>
      </c>
      <c r="H51" s="607" t="s">
        <v>314</v>
      </c>
      <c r="I51" s="590" t="s">
        <v>8</v>
      </c>
      <c r="J51" s="591">
        <v>8</v>
      </c>
      <c r="K51" s="592">
        <v>5.8410000000000002</v>
      </c>
      <c r="L51" s="593">
        <v>82</v>
      </c>
      <c r="M51" s="591">
        <v>26</v>
      </c>
      <c r="N51" s="592">
        <v>4.9809999999999999</v>
      </c>
      <c r="O51" s="567" t="s">
        <v>195</v>
      </c>
      <c r="P51" s="590" t="s">
        <v>8</v>
      </c>
      <c r="Q51" s="591">
        <v>8</v>
      </c>
      <c r="R51" s="592">
        <v>5.8360000000000003</v>
      </c>
      <c r="S51" s="593">
        <v>82</v>
      </c>
      <c r="T51" s="591">
        <v>25</v>
      </c>
      <c r="U51" s="592">
        <v>49.180999999999997</v>
      </c>
      <c r="V51" s="570">
        <v>3</v>
      </c>
      <c r="W51" s="598">
        <v>1190.6199999999999</v>
      </c>
      <c r="X51" s="599">
        <v>1990</v>
      </c>
      <c r="Y51" s="570"/>
      <c r="Z51" s="600" t="s">
        <v>14</v>
      </c>
      <c r="AA51" s="570" t="s">
        <v>15</v>
      </c>
      <c r="AB51" s="601">
        <f t="shared" si="7"/>
        <v>0</v>
      </c>
      <c r="AC51" s="602">
        <f t="shared" si="12"/>
        <v>0.52</v>
      </c>
      <c r="AD51" s="601"/>
      <c r="AE51" s="603">
        <f t="shared" si="10"/>
        <v>0</v>
      </c>
      <c r="AF51" s="604">
        <f t="shared" si="11"/>
        <v>0</v>
      </c>
      <c r="AG51" s="588">
        <f t="shared" si="6"/>
        <v>0</v>
      </c>
      <c r="AH51" s="589">
        <f t="shared" si="5"/>
        <v>0</v>
      </c>
      <c r="AI51" s="197"/>
      <c r="AJ51" s="197"/>
      <c r="AK51" s="197"/>
    </row>
    <row r="52" spans="1:37" ht="12.7">
      <c r="A52" s="47" t="s">
        <v>11</v>
      </c>
      <c r="B52" s="23" t="s">
        <v>541</v>
      </c>
      <c r="C52" s="474" t="s">
        <v>666</v>
      </c>
      <c r="D52" s="139" t="s">
        <v>448</v>
      </c>
      <c r="E52" s="760" t="s">
        <v>10</v>
      </c>
      <c r="F52" s="23"/>
      <c r="G52" s="138" t="s">
        <v>281</v>
      </c>
      <c r="H52" s="41" t="s">
        <v>195</v>
      </c>
      <c r="I52" s="33" t="s">
        <v>8</v>
      </c>
      <c r="J52" s="34">
        <v>8</v>
      </c>
      <c r="K52" s="35">
        <v>5.8360000000000003</v>
      </c>
      <c r="L52" s="22">
        <v>82</v>
      </c>
      <c r="M52" s="34">
        <v>25</v>
      </c>
      <c r="N52" s="35">
        <v>49.180999999999997</v>
      </c>
      <c r="O52" s="23" t="s">
        <v>196</v>
      </c>
      <c r="P52" s="33" t="s">
        <v>8</v>
      </c>
      <c r="Q52" s="34">
        <v>8</v>
      </c>
      <c r="R52" s="35">
        <v>1.9019999999999999</v>
      </c>
      <c r="S52" s="22">
        <v>82</v>
      </c>
      <c r="T52" s="34">
        <v>25</v>
      </c>
      <c r="U52" s="35">
        <v>44.33</v>
      </c>
      <c r="V52" s="25">
        <v>3</v>
      </c>
      <c r="W52" s="538">
        <v>540.62</v>
      </c>
      <c r="X52" s="45">
        <v>1990</v>
      </c>
      <c r="Y52" s="25"/>
      <c r="Z52" s="46" t="s">
        <v>14</v>
      </c>
      <c r="AA52" s="25" t="s">
        <v>15</v>
      </c>
      <c r="AB52" s="39">
        <f t="shared" si="7"/>
        <v>0</v>
      </c>
      <c r="AC52" s="40">
        <f t="shared" si="12"/>
        <v>0.52</v>
      </c>
      <c r="AD52" s="39">
        <f t="shared" si="9"/>
        <v>0</v>
      </c>
      <c r="AE52" s="79">
        <f t="shared" si="10"/>
        <v>0</v>
      </c>
      <c r="AF52" s="185">
        <f t="shared" si="11"/>
        <v>0</v>
      </c>
      <c r="AG52" s="423">
        <f t="shared" si="6"/>
        <v>0</v>
      </c>
      <c r="AH52" s="516">
        <f t="shared" si="5"/>
        <v>0</v>
      </c>
      <c r="AI52" s="197"/>
      <c r="AJ52" s="197"/>
      <c r="AK52" s="197"/>
    </row>
    <row r="53" spans="1:37" ht="12.7">
      <c r="A53" s="50" t="s">
        <v>11</v>
      </c>
      <c r="B53" s="51" t="s">
        <v>541</v>
      </c>
      <c r="C53" s="753" t="s">
        <v>666</v>
      </c>
      <c r="D53" s="279" t="s">
        <v>448</v>
      </c>
      <c r="E53" s="761" t="s">
        <v>10</v>
      </c>
      <c r="F53" s="140"/>
      <c r="G53" s="307" t="s">
        <v>281</v>
      </c>
      <c r="H53" s="181" t="s">
        <v>196</v>
      </c>
      <c r="I53" s="142" t="s">
        <v>8</v>
      </c>
      <c r="J53" s="143">
        <v>8</v>
      </c>
      <c r="K53" s="144">
        <v>1.9019999999999999</v>
      </c>
      <c r="L53" s="145">
        <v>82</v>
      </c>
      <c r="M53" s="143">
        <v>25</v>
      </c>
      <c r="N53" s="144">
        <v>44.33</v>
      </c>
      <c r="O53" s="140" t="s">
        <v>197</v>
      </c>
      <c r="P53" s="142">
        <v>42</v>
      </c>
      <c r="Q53" s="143">
        <v>8</v>
      </c>
      <c r="R53" s="144">
        <v>0.39100000000000001</v>
      </c>
      <c r="S53" s="145">
        <v>82</v>
      </c>
      <c r="T53" s="143">
        <v>25</v>
      </c>
      <c r="U53" s="144">
        <v>49.49</v>
      </c>
      <c r="V53" s="141">
        <v>3</v>
      </c>
      <c r="W53" s="539">
        <v>417.85</v>
      </c>
      <c r="X53" s="146">
        <v>1990</v>
      </c>
      <c r="Y53" s="141"/>
      <c r="Z53" s="147" t="s">
        <v>14</v>
      </c>
      <c r="AA53" s="141" t="s">
        <v>15</v>
      </c>
      <c r="AB53" s="148">
        <f t="shared" si="7"/>
        <v>0</v>
      </c>
      <c r="AC53" s="149">
        <f t="shared" si="12"/>
        <v>0.52</v>
      </c>
      <c r="AD53" s="148">
        <f t="shared" si="9"/>
        <v>0</v>
      </c>
      <c r="AE53" s="175">
        <f t="shared" si="10"/>
        <v>0</v>
      </c>
      <c r="AF53" s="187">
        <f t="shared" si="11"/>
        <v>0</v>
      </c>
      <c r="AG53" s="423">
        <f t="shared" si="6"/>
        <v>0</v>
      </c>
      <c r="AH53" s="516">
        <f t="shared" si="5"/>
        <v>0</v>
      </c>
      <c r="AI53" s="197"/>
      <c r="AJ53" s="197"/>
      <c r="AK53" s="197"/>
    </row>
    <row r="54" spans="1:37" ht="12.7">
      <c r="A54" s="321" t="s">
        <v>11</v>
      </c>
      <c r="B54" s="150" t="s">
        <v>541</v>
      </c>
      <c r="C54" s="785" t="s">
        <v>666</v>
      </c>
      <c r="D54" s="322" t="s">
        <v>448</v>
      </c>
      <c r="E54" s="762" t="s">
        <v>10</v>
      </c>
      <c r="F54" s="159"/>
      <c r="G54" s="308"/>
      <c r="H54" s="183" t="s">
        <v>315</v>
      </c>
      <c r="I54" s="161">
        <v>42</v>
      </c>
      <c r="J54" s="162">
        <v>7</v>
      </c>
      <c r="K54" s="163">
        <v>44.155</v>
      </c>
      <c r="L54" s="164">
        <v>82</v>
      </c>
      <c r="M54" s="162">
        <v>24</v>
      </c>
      <c r="N54" s="163">
        <v>54.326999999999998</v>
      </c>
      <c r="O54" s="159" t="s">
        <v>198</v>
      </c>
      <c r="P54" s="161" t="s">
        <v>8</v>
      </c>
      <c r="Q54" s="162">
        <v>7</v>
      </c>
      <c r="R54" s="163">
        <v>43.38</v>
      </c>
      <c r="S54" s="164">
        <v>82</v>
      </c>
      <c r="T54" s="162">
        <v>24</v>
      </c>
      <c r="U54" s="163">
        <v>55.493000000000002</v>
      </c>
      <c r="V54" s="158">
        <v>3</v>
      </c>
      <c r="W54" s="540">
        <v>117.78</v>
      </c>
      <c r="X54" s="165">
        <v>1988</v>
      </c>
      <c r="Y54" s="158"/>
      <c r="Z54" s="166" t="s">
        <v>14</v>
      </c>
      <c r="AA54" s="158" t="s">
        <v>15</v>
      </c>
      <c r="AB54" s="167">
        <f t="shared" si="7"/>
        <v>1765.5222000000001</v>
      </c>
      <c r="AC54" s="168">
        <f t="shared" si="12"/>
        <v>0.54</v>
      </c>
      <c r="AD54" s="167">
        <f t="shared" si="9"/>
        <v>812.14</v>
      </c>
      <c r="AE54" s="169">
        <f t="shared" si="10"/>
        <v>0</v>
      </c>
      <c r="AF54" s="190">
        <f t="shared" si="11"/>
        <v>0</v>
      </c>
      <c r="AG54" s="417">
        <f t="shared" si="6"/>
        <v>812.14</v>
      </c>
      <c r="AH54" s="517">
        <f t="shared" si="5"/>
        <v>812</v>
      </c>
      <c r="AI54" s="1044">
        <v>1.76</v>
      </c>
      <c r="AJ54" s="1044">
        <v>40.130000000000003</v>
      </c>
      <c r="AK54" s="1044">
        <v>2.4700000000000002</v>
      </c>
    </row>
    <row r="55" spans="1:37" ht="12.7">
      <c r="A55" s="47" t="s">
        <v>11</v>
      </c>
      <c r="B55" s="23" t="s">
        <v>541</v>
      </c>
      <c r="C55" s="474" t="s">
        <v>666</v>
      </c>
      <c r="D55" s="139" t="s">
        <v>448</v>
      </c>
      <c r="E55" s="760" t="s">
        <v>10</v>
      </c>
      <c r="F55" s="23"/>
      <c r="G55" s="138"/>
      <c r="H55" s="41" t="s">
        <v>198</v>
      </c>
      <c r="I55" s="33" t="s">
        <v>8</v>
      </c>
      <c r="J55" s="34">
        <v>7</v>
      </c>
      <c r="K55" s="35">
        <v>43.38</v>
      </c>
      <c r="L55" s="22">
        <v>82</v>
      </c>
      <c r="M55" s="34">
        <v>24</v>
      </c>
      <c r="N55" s="35">
        <v>55.493000000000002</v>
      </c>
      <c r="O55" s="23" t="s">
        <v>199</v>
      </c>
      <c r="P55" s="33" t="s">
        <v>8</v>
      </c>
      <c r="Q55" s="34">
        <v>7</v>
      </c>
      <c r="R55" s="35">
        <v>58.631</v>
      </c>
      <c r="S55" s="22">
        <v>82</v>
      </c>
      <c r="T55" s="34">
        <v>25</v>
      </c>
      <c r="U55" s="35">
        <v>14.282999999999999</v>
      </c>
      <c r="V55" s="25">
        <v>3</v>
      </c>
      <c r="W55" s="538">
        <v>2095.0100000000002</v>
      </c>
      <c r="X55" s="45">
        <v>1988</v>
      </c>
      <c r="Y55" s="25"/>
      <c r="Z55" s="46" t="s">
        <v>14</v>
      </c>
      <c r="AA55" s="25" t="s">
        <v>15</v>
      </c>
      <c r="AB55" s="39">
        <f t="shared" si="7"/>
        <v>31404.199900000003</v>
      </c>
      <c r="AC55" s="40">
        <f t="shared" si="12"/>
        <v>0.54</v>
      </c>
      <c r="AD55" s="39">
        <f t="shared" si="9"/>
        <v>14445.93</v>
      </c>
      <c r="AE55" s="79">
        <f t="shared" si="10"/>
        <v>0</v>
      </c>
      <c r="AF55" s="185">
        <f t="shared" si="11"/>
        <v>0</v>
      </c>
      <c r="AG55" s="423">
        <f t="shared" si="6"/>
        <v>14445.93</v>
      </c>
      <c r="AH55" s="516">
        <f t="shared" si="5"/>
        <v>14445</v>
      </c>
      <c r="AI55" s="1044"/>
      <c r="AJ55" s="1044"/>
      <c r="AK55" s="1044"/>
    </row>
    <row r="56" spans="1:37" ht="12.7">
      <c r="A56" s="47" t="s">
        <v>11</v>
      </c>
      <c r="B56" s="23" t="s">
        <v>541</v>
      </c>
      <c r="C56" s="474" t="s">
        <v>666</v>
      </c>
      <c r="D56" s="139" t="s">
        <v>448</v>
      </c>
      <c r="E56" s="760" t="s">
        <v>10</v>
      </c>
      <c r="F56" s="23"/>
      <c r="G56" s="138"/>
      <c r="H56" s="41" t="s">
        <v>199</v>
      </c>
      <c r="I56" s="33" t="s">
        <v>8</v>
      </c>
      <c r="J56" s="34">
        <v>7</v>
      </c>
      <c r="K56" s="35">
        <v>58.631</v>
      </c>
      <c r="L56" s="22">
        <v>82</v>
      </c>
      <c r="M56" s="34">
        <v>25</v>
      </c>
      <c r="N56" s="35">
        <v>14.282999999999999</v>
      </c>
      <c r="O56" s="23" t="s">
        <v>200</v>
      </c>
      <c r="P56" s="33" t="s">
        <v>8</v>
      </c>
      <c r="Q56" s="34">
        <v>7</v>
      </c>
      <c r="R56" s="35">
        <v>51.389000000000003</v>
      </c>
      <c r="S56" s="22">
        <v>82</v>
      </c>
      <c r="T56" s="34">
        <v>25</v>
      </c>
      <c r="U56" s="35">
        <v>25.111000000000001</v>
      </c>
      <c r="V56" s="25">
        <v>3</v>
      </c>
      <c r="W56" s="538">
        <v>1096.98</v>
      </c>
      <c r="X56" s="45">
        <v>1988</v>
      </c>
      <c r="Y56" s="25"/>
      <c r="Z56" s="46" t="s">
        <v>14</v>
      </c>
      <c r="AA56" s="25" t="s">
        <v>15</v>
      </c>
      <c r="AB56" s="39">
        <f t="shared" si="7"/>
        <v>16443.730200000002</v>
      </c>
      <c r="AC56" s="40">
        <f t="shared" si="12"/>
        <v>0.54</v>
      </c>
      <c r="AD56" s="39">
        <f t="shared" si="9"/>
        <v>7564.12</v>
      </c>
      <c r="AE56" s="79">
        <f t="shared" si="10"/>
        <v>0</v>
      </c>
      <c r="AF56" s="185">
        <f t="shared" si="11"/>
        <v>0</v>
      </c>
      <c r="AG56" s="423">
        <f t="shared" si="6"/>
        <v>7564.12</v>
      </c>
      <c r="AH56" s="516">
        <f t="shared" si="5"/>
        <v>7564</v>
      </c>
      <c r="AI56" s="1044"/>
      <c r="AJ56" s="1044"/>
      <c r="AK56" s="1044"/>
    </row>
    <row r="57" spans="1:37" ht="12.7">
      <c r="A57" s="50" t="s">
        <v>11</v>
      </c>
      <c r="B57" s="51" t="s">
        <v>541</v>
      </c>
      <c r="C57" s="753" t="s">
        <v>666</v>
      </c>
      <c r="D57" s="279" t="s">
        <v>448</v>
      </c>
      <c r="E57" s="763" t="s">
        <v>10</v>
      </c>
      <c r="F57" s="51"/>
      <c r="G57" s="309"/>
      <c r="H57" s="180" t="s">
        <v>200</v>
      </c>
      <c r="I57" s="52" t="s">
        <v>8</v>
      </c>
      <c r="J57" s="53">
        <v>7</v>
      </c>
      <c r="K57" s="54">
        <v>51.389000000000003</v>
      </c>
      <c r="L57" s="55">
        <v>82</v>
      </c>
      <c r="M57" s="53">
        <v>25</v>
      </c>
      <c r="N57" s="54">
        <v>25.111000000000001</v>
      </c>
      <c r="O57" s="51" t="s">
        <v>201</v>
      </c>
      <c r="P57" s="52" t="s">
        <v>8</v>
      </c>
      <c r="Q57" s="53">
        <v>7</v>
      </c>
      <c r="R57" s="54">
        <v>57.747999999999998</v>
      </c>
      <c r="S57" s="55">
        <v>82</v>
      </c>
      <c r="T57" s="53">
        <v>25</v>
      </c>
      <c r="U57" s="54">
        <v>33.065</v>
      </c>
      <c r="V57" s="170">
        <v>3</v>
      </c>
      <c r="W57" s="541">
        <v>879.63</v>
      </c>
      <c r="X57" s="171">
        <v>1988</v>
      </c>
      <c r="Y57" s="170"/>
      <c r="Z57" s="172" t="s">
        <v>14</v>
      </c>
      <c r="AA57" s="170" t="s">
        <v>15</v>
      </c>
      <c r="AB57" s="173">
        <f t="shared" si="7"/>
        <v>13185.653700000001</v>
      </c>
      <c r="AC57" s="60">
        <f t="shared" si="12"/>
        <v>0.54</v>
      </c>
      <c r="AD57" s="173">
        <f t="shared" si="9"/>
        <v>6065.40</v>
      </c>
      <c r="AE57" s="174">
        <f t="shared" si="10"/>
        <v>0</v>
      </c>
      <c r="AF57" s="191">
        <f t="shared" si="11"/>
        <v>0</v>
      </c>
      <c r="AG57" s="437">
        <f t="shared" si="6"/>
        <v>6065.40</v>
      </c>
      <c r="AH57" s="518">
        <f t="shared" si="5"/>
        <v>6065</v>
      </c>
      <c r="AI57" s="1044"/>
      <c r="AJ57" s="1044"/>
      <c r="AK57" s="1044"/>
    </row>
    <row r="58" spans="1:37" ht="12.7">
      <c r="A58" s="789" t="s">
        <v>11</v>
      </c>
      <c r="B58" s="790" t="s">
        <v>541</v>
      </c>
      <c r="C58" s="791" t="s">
        <v>666</v>
      </c>
      <c r="D58" s="792" t="s">
        <v>448</v>
      </c>
      <c r="E58" s="766" t="s">
        <v>10</v>
      </c>
      <c r="F58" s="642"/>
      <c r="G58" s="643" t="s">
        <v>281</v>
      </c>
      <c r="H58" s="644" t="s">
        <v>201</v>
      </c>
      <c r="I58" s="645" t="s">
        <v>8</v>
      </c>
      <c r="J58" s="646">
        <v>7</v>
      </c>
      <c r="K58" s="647">
        <v>57.747999999999998</v>
      </c>
      <c r="L58" s="648">
        <v>82</v>
      </c>
      <c r="M58" s="646">
        <v>25</v>
      </c>
      <c r="N58" s="647">
        <v>33.065</v>
      </c>
      <c r="O58" s="642" t="s">
        <v>202</v>
      </c>
      <c r="P58" s="645" t="s">
        <v>8</v>
      </c>
      <c r="Q58" s="646">
        <v>7</v>
      </c>
      <c r="R58" s="647">
        <v>57.948999999999998</v>
      </c>
      <c r="S58" s="648">
        <v>82</v>
      </c>
      <c r="T58" s="646">
        <v>25</v>
      </c>
      <c r="U58" s="647">
        <v>40.32</v>
      </c>
      <c r="V58" s="649">
        <v>3</v>
      </c>
      <c r="W58" s="503">
        <v>547.11</v>
      </c>
      <c r="X58" s="650">
        <v>1990</v>
      </c>
      <c r="Y58" s="649"/>
      <c r="Z58" s="651" t="s">
        <v>14</v>
      </c>
      <c r="AA58" s="649" t="s">
        <v>15</v>
      </c>
      <c r="AB58" s="652">
        <f>IF(G58="ABAND",0,(IF(AA58="steel",VLOOKUP(V58,steelrates,2,FALSE)*W58,VLOOKUP(V58,plasticrates,2,FALSE)*W58)))</f>
        <v>0</v>
      </c>
      <c r="AC58" s="653">
        <f t="shared" si="12"/>
        <v>0.52</v>
      </c>
      <c r="AD58" s="652">
        <f t="shared" si="9"/>
        <v>0</v>
      </c>
      <c r="AE58" s="654">
        <f t="shared" si="10"/>
        <v>0</v>
      </c>
      <c r="AF58" s="655">
        <f t="shared" si="11"/>
        <v>0</v>
      </c>
      <c r="AG58" s="656">
        <f t="shared" si="6"/>
        <v>0</v>
      </c>
      <c r="AH58" s="657">
        <f t="shared" si="5"/>
        <v>0</v>
      </c>
      <c r="AI58" s="197"/>
      <c r="AJ58" s="197"/>
      <c r="AK58" s="197"/>
    </row>
    <row r="59" spans="1:37" s="122" customFormat="1" ht="12.7">
      <c r="A59" s="748" t="s">
        <v>11</v>
      </c>
      <c r="B59" s="641" t="s">
        <v>541</v>
      </c>
      <c r="C59" s="640" t="s">
        <v>666</v>
      </c>
      <c r="D59" s="687" t="s">
        <v>448</v>
      </c>
      <c r="E59" s="767" t="s">
        <v>10</v>
      </c>
      <c r="F59" s="641"/>
      <c r="G59" s="643" t="s">
        <v>281</v>
      </c>
      <c r="H59" s="658" t="s">
        <v>202</v>
      </c>
      <c r="I59" s="659" t="s">
        <v>8</v>
      </c>
      <c r="J59" s="660">
        <v>7</v>
      </c>
      <c r="K59" s="661">
        <v>57.948999999999998</v>
      </c>
      <c r="L59" s="662">
        <v>82</v>
      </c>
      <c r="M59" s="660">
        <v>25</v>
      </c>
      <c r="N59" s="661">
        <v>40.32</v>
      </c>
      <c r="O59" s="641" t="s">
        <v>203</v>
      </c>
      <c r="P59" s="659" t="s">
        <v>8</v>
      </c>
      <c r="Q59" s="660">
        <v>8</v>
      </c>
      <c r="R59" s="661">
        <v>1.0780000000000001</v>
      </c>
      <c r="S59" s="662">
        <v>82</v>
      </c>
      <c r="T59" s="660">
        <v>25</v>
      </c>
      <c r="U59" s="661">
        <v>44.27</v>
      </c>
      <c r="V59" s="663">
        <v>3</v>
      </c>
      <c r="W59" s="504">
        <v>434.71</v>
      </c>
      <c r="X59" s="664">
        <v>1990</v>
      </c>
      <c r="Y59" s="663"/>
      <c r="Z59" s="665" t="s">
        <v>14</v>
      </c>
      <c r="AA59" s="663" t="s">
        <v>15</v>
      </c>
      <c r="AB59" s="666">
        <f t="shared" si="7"/>
        <v>0</v>
      </c>
      <c r="AC59" s="667">
        <f t="shared" si="12"/>
        <v>0.52</v>
      </c>
      <c r="AD59" s="666">
        <f t="shared" si="9"/>
        <v>0</v>
      </c>
      <c r="AE59" s="668">
        <f t="shared" si="10"/>
        <v>0</v>
      </c>
      <c r="AF59" s="669">
        <f t="shared" si="11"/>
        <v>0</v>
      </c>
      <c r="AG59" s="656">
        <f t="shared" si="6"/>
        <v>0</v>
      </c>
      <c r="AH59" s="657">
        <f t="shared" si="5"/>
        <v>0</v>
      </c>
      <c r="AI59" s="197"/>
      <c r="AJ59" s="197"/>
      <c r="AK59" s="197"/>
    </row>
    <row r="60" spans="1:37" s="122" customFormat="1" ht="12.7">
      <c r="A60" s="793" t="s">
        <v>11</v>
      </c>
      <c r="B60" s="794" t="s">
        <v>541</v>
      </c>
      <c r="C60" s="795" t="s">
        <v>666</v>
      </c>
      <c r="D60" s="796" t="s">
        <v>448</v>
      </c>
      <c r="E60" s="768" t="s">
        <v>10</v>
      </c>
      <c r="F60" s="670"/>
      <c r="G60" s="643" t="s">
        <v>281</v>
      </c>
      <c r="H60" s="671" t="s">
        <v>203</v>
      </c>
      <c r="I60" s="672" t="s">
        <v>8</v>
      </c>
      <c r="J60" s="673">
        <v>8</v>
      </c>
      <c r="K60" s="674">
        <v>1.0780000000000001</v>
      </c>
      <c r="L60" s="675">
        <v>82</v>
      </c>
      <c r="M60" s="673">
        <v>25</v>
      </c>
      <c r="N60" s="674">
        <v>44.27</v>
      </c>
      <c r="O60" s="670" t="s">
        <v>197</v>
      </c>
      <c r="P60" s="672">
        <v>42</v>
      </c>
      <c r="Q60" s="673">
        <v>8</v>
      </c>
      <c r="R60" s="674">
        <v>0.39100000000000001</v>
      </c>
      <c r="S60" s="675">
        <v>82</v>
      </c>
      <c r="T60" s="673">
        <v>25</v>
      </c>
      <c r="U60" s="674">
        <v>49.49</v>
      </c>
      <c r="V60" s="676">
        <v>3</v>
      </c>
      <c r="W60" s="505">
        <v>399.44</v>
      </c>
      <c r="X60" s="677">
        <v>1990</v>
      </c>
      <c r="Y60" s="676"/>
      <c r="Z60" s="678" t="s">
        <v>14</v>
      </c>
      <c r="AA60" s="676" t="s">
        <v>15</v>
      </c>
      <c r="AB60" s="679">
        <f t="shared" si="7"/>
        <v>0</v>
      </c>
      <c r="AC60" s="680">
        <f t="shared" si="12"/>
        <v>0.52</v>
      </c>
      <c r="AD60" s="679">
        <f t="shared" si="9"/>
        <v>0</v>
      </c>
      <c r="AE60" s="681">
        <f t="shared" si="10"/>
        <v>0</v>
      </c>
      <c r="AF60" s="682">
        <f t="shared" si="11"/>
        <v>0</v>
      </c>
      <c r="AG60" s="656">
        <f t="shared" si="6"/>
        <v>0</v>
      </c>
      <c r="AH60" s="657">
        <f t="shared" si="5"/>
        <v>0</v>
      </c>
      <c r="AI60" s="197"/>
      <c r="AJ60" s="197"/>
      <c r="AK60" s="197"/>
    </row>
    <row r="61" spans="1:37" ht="12.7">
      <c r="A61" s="321" t="s">
        <v>11</v>
      </c>
      <c r="B61" s="150" t="s">
        <v>541</v>
      </c>
      <c r="C61" s="785" t="s">
        <v>666</v>
      </c>
      <c r="D61" s="322" t="s">
        <v>448</v>
      </c>
      <c r="E61" s="762" t="s">
        <v>10</v>
      </c>
      <c r="F61" s="159"/>
      <c r="G61" s="308"/>
      <c r="H61" s="183" t="s">
        <v>316</v>
      </c>
      <c r="I61" s="161">
        <v>42</v>
      </c>
      <c r="J61" s="162">
        <v>7</v>
      </c>
      <c r="K61" s="163">
        <v>50.418999999999997</v>
      </c>
      <c r="L61" s="164">
        <v>82</v>
      </c>
      <c r="M61" s="162">
        <v>25</v>
      </c>
      <c r="N61" s="163">
        <v>12.655</v>
      </c>
      <c r="O61" s="159" t="s">
        <v>204</v>
      </c>
      <c r="P61" s="161">
        <v>42</v>
      </c>
      <c r="Q61" s="162">
        <v>7</v>
      </c>
      <c r="R61" s="163">
        <v>53.137999999999998</v>
      </c>
      <c r="S61" s="164">
        <v>82</v>
      </c>
      <c r="T61" s="162">
        <v>25</v>
      </c>
      <c r="U61" s="163">
        <v>8.6660000000000004</v>
      </c>
      <c r="V61" s="158">
        <v>3</v>
      </c>
      <c r="W61" s="540">
        <v>407.58</v>
      </c>
      <c r="X61" s="165">
        <v>1988</v>
      </c>
      <c r="Y61" s="158"/>
      <c r="Z61" s="166" t="s">
        <v>14</v>
      </c>
      <c r="AA61" s="158" t="s">
        <v>15</v>
      </c>
      <c r="AB61" s="167">
        <f t="shared" si="7"/>
        <v>6109.6242000000002</v>
      </c>
      <c r="AC61" s="168">
        <f t="shared" si="12"/>
        <v>0.54</v>
      </c>
      <c r="AD61" s="167">
        <f t="shared" si="9"/>
        <v>2810.43</v>
      </c>
      <c r="AE61" s="169">
        <f t="shared" si="10"/>
        <v>0</v>
      </c>
      <c r="AF61" s="441">
        <f t="shared" si="11"/>
        <v>0</v>
      </c>
      <c r="AG61" s="417">
        <f t="shared" si="6"/>
        <v>2810.43</v>
      </c>
      <c r="AH61" s="517">
        <f t="shared" si="5"/>
        <v>2810</v>
      </c>
      <c r="AI61" s="1049" t="s">
        <v>624</v>
      </c>
      <c r="AJ61" s="1050"/>
      <c r="AK61" s="1051"/>
    </row>
    <row r="62" spans="1:37" ht="12.7">
      <c r="A62" s="47" t="s">
        <v>11</v>
      </c>
      <c r="B62" s="23" t="s">
        <v>541</v>
      </c>
      <c r="C62" s="474" t="s">
        <v>666</v>
      </c>
      <c r="D62" s="139" t="s">
        <v>448</v>
      </c>
      <c r="E62" s="760" t="s">
        <v>10</v>
      </c>
      <c r="F62" s="23"/>
      <c r="G62" s="138"/>
      <c r="H62" s="41" t="s">
        <v>204</v>
      </c>
      <c r="I62" s="33">
        <v>42</v>
      </c>
      <c r="J62" s="34">
        <v>7</v>
      </c>
      <c r="K62" s="35">
        <v>53.137999999999998</v>
      </c>
      <c r="L62" s="22">
        <v>82</v>
      </c>
      <c r="M62" s="34">
        <v>25</v>
      </c>
      <c r="N62" s="35">
        <v>8.6660000000000004</v>
      </c>
      <c r="O62" s="23" t="s">
        <v>205</v>
      </c>
      <c r="P62" s="33">
        <v>42</v>
      </c>
      <c r="Q62" s="34">
        <v>7</v>
      </c>
      <c r="R62" s="35">
        <v>57.835999999999999</v>
      </c>
      <c r="S62" s="22">
        <v>82</v>
      </c>
      <c r="T62" s="34">
        <v>25</v>
      </c>
      <c r="U62" s="35">
        <v>14.417</v>
      </c>
      <c r="V62" s="25">
        <v>3</v>
      </c>
      <c r="W62" s="538">
        <v>643.47</v>
      </c>
      <c r="X62" s="45">
        <v>1988</v>
      </c>
      <c r="Y62" s="25"/>
      <c r="Z62" s="46" t="s">
        <v>14</v>
      </c>
      <c r="AA62" s="25" t="s">
        <v>15</v>
      </c>
      <c r="AB62" s="39">
        <f t="shared" si="7"/>
        <v>9645.6153000000013</v>
      </c>
      <c r="AC62" s="40">
        <f t="shared" si="12"/>
        <v>0.54</v>
      </c>
      <c r="AD62" s="39">
        <f t="shared" si="9"/>
        <v>4436.9799999999996</v>
      </c>
      <c r="AE62" s="79">
        <f t="shared" si="10"/>
        <v>0</v>
      </c>
      <c r="AF62" s="442">
        <f t="shared" si="11"/>
        <v>0</v>
      </c>
      <c r="AG62" s="423">
        <f t="shared" si="6"/>
        <v>4436.9799999999996</v>
      </c>
      <c r="AH62" s="516">
        <f t="shared" si="5"/>
        <v>4436</v>
      </c>
      <c r="AI62" s="1052"/>
      <c r="AJ62" s="1053"/>
      <c r="AK62" s="1054"/>
    </row>
    <row r="63" spans="1:37" ht="12.7">
      <c r="A63" s="47" t="s">
        <v>11</v>
      </c>
      <c r="B63" s="23" t="s">
        <v>541</v>
      </c>
      <c r="C63" s="474" t="s">
        <v>666</v>
      </c>
      <c r="D63" s="139" t="s">
        <v>448</v>
      </c>
      <c r="E63" s="760" t="s">
        <v>10</v>
      </c>
      <c r="F63" s="23"/>
      <c r="G63" s="138"/>
      <c r="H63" s="41" t="s">
        <v>205</v>
      </c>
      <c r="I63" s="33">
        <v>42</v>
      </c>
      <c r="J63" s="34">
        <v>7</v>
      </c>
      <c r="K63" s="35">
        <v>57.835999999999999</v>
      </c>
      <c r="L63" s="22">
        <v>82</v>
      </c>
      <c r="M63" s="34">
        <v>25</v>
      </c>
      <c r="N63" s="35">
        <v>14.417</v>
      </c>
      <c r="O63" s="23" t="s">
        <v>206</v>
      </c>
      <c r="P63" s="33">
        <v>42</v>
      </c>
      <c r="Q63" s="34">
        <v>7</v>
      </c>
      <c r="R63" s="35">
        <v>50.78</v>
      </c>
      <c r="S63" s="22">
        <v>82</v>
      </c>
      <c r="T63" s="34">
        <v>25</v>
      </c>
      <c r="U63" s="35">
        <v>25.097000000000001</v>
      </c>
      <c r="V63" s="25">
        <v>3</v>
      </c>
      <c r="W63" s="538">
        <v>1076.1199999999999</v>
      </c>
      <c r="X63" s="45">
        <v>1988</v>
      </c>
      <c r="Y63" s="25"/>
      <c r="Z63" s="46" t="s">
        <v>14</v>
      </c>
      <c r="AA63" s="25" t="s">
        <v>15</v>
      </c>
      <c r="AB63" s="39">
        <f t="shared" si="7"/>
        <v>16131.038799999998</v>
      </c>
      <c r="AC63" s="40">
        <f t="shared" si="12"/>
        <v>0.54</v>
      </c>
      <c r="AD63" s="39">
        <f t="shared" si="9"/>
        <v>7420.28</v>
      </c>
      <c r="AE63" s="79">
        <f t="shared" si="10"/>
        <v>0</v>
      </c>
      <c r="AF63" s="442">
        <f t="shared" si="11"/>
        <v>0</v>
      </c>
      <c r="AG63" s="423">
        <f t="shared" si="6"/>
        <v>7420.28</v>
      </c>
      <c r="AH63" s="516">
        <f t="shared" si="5"/>
        <v>7420</v>
      </c>
      <c r="AI63" s="1052"/>
      <c r="AJ63" s="1053"/>
      <c r="AK63" s="1054"/>
    </row>
    <row r="64" spans="1:37" ht="12.7">
      <c r="A64" s="47" t="s">
        <v>11</v>
      </c>
      <c r="B64" s="23" t="s">
        <v>541</v>
      </c>
      <c r="C64" s="474" t="s">
        <v>666</v>
      </c>
      <c r="D64" s="139" t="s">
        <v>448</v>
      </c>
      <c r="E64" s="760" t="s">
        <v>10</v>
      </c>
      <c r="F64" s="23"/>
      <c r="G64" s="138"/>
      <c r="H64" s="41" t="s">
        <v>317</v>
      </c>
      <c r="I64" s="33">
        <v>42</v>
      </c>
      <c r="J64" s="34">
        <v>7</v>
      </c>
      <c r="K64" s="35">
        <v>50.78</v>
      </c>
      <c r="L64" s="22">
        <v>82</v>
      </c>
      <c r="M64" s="34">
        <v>25</v>
      </c>
      <c r="N64" s="35">
        <v>25.097000000000001</v>
      </c>
      <c r="O64" s="23" t="s">
        <v>207</v>
      </c>
      <c r="P64" s="33">
        <v>42</v>
      </c>
      <c r="Q64" s="34">
        <v>7</v>
      </c>
      <c r="R64" s="35">
        <v>57.301000000000002</v>
      </c>
      <c r="S64" s="22">
        <v>82</v>
      </c>
      <c r="T64" s="34">
        <v>25</v>
      </c>
      <c r="U64" s="35">
        <v>33.366999999999997</v>
      </c>
      <c r="V64" s="25">
        <v>3</v>
      </c>
      <c r="W64" s="538">
        <v>907.91</v>
      </c>
      <c r="X64" s="45">
        <v>1988</v>
      </c>
      <c r="Y64" s="25"/>
      <c r="Z64" s="46" t="s">
        <v>14</v>
      </c>
      <c r="AA64" s="25" t="s">
        <v>15</v>
      </c>
      <c r="AB64" s="39">
        <f t="shared" si="7"/>
        <v>13609.570900000001</v>
      </c>
      <c r="AC64" s="40">
        <f t="shared" si="12"/>
        <v>0.54</v>
      </c>
      <c r="AD64" s="39">
        <f t="shared" si="9"/>
        <v>6260.40</v>
      </c>
      <c r="AE64" s="79">
        <f t="shared" si="10"/>
        <v>0</v>
      </c>
      <c r="AF64" s="442">
        <f t="shared" si="11"/>
        <v>0</v>
      </c>
      <c r="AG64" s="423">
        <f t="shared" si="6"/>
        <v>6260.40</v>
      </c>
      <c r="AH64" s="516">
        <f t="shared" si="5"/>
        <v>6260</v>
      </c>
      <c r="AI64" s="1052"/>
      <c r="AJ64" s="1053"/>
      <c r="AK64" s="1054"/>
    </row>
    <row r="65" spans="1:37" ht="12.7">
      <c r="A65" s="47" t="s">
        <v>11</v>
      </c>
      <c r="B65" s="23" t="s">
        <v>541</v>
      </c>
      <c r="C65" s="474" t="s">
        <v>666</v>
      </c>
      <c r="D65" s="139" t="s">
        <v>448</v>
      </c>
      <c r="E65" s="760" t="s">
        <v>10</v>
      </c>
      <c r="F65" s="23"/>
      <c r="G65" s="138"/>
      <c r="H65" s="41" t="s">
        <v>207</v>
      </c>
      <c r="I65" s="33">
        <v>42</v>
      </c>
      <c r="J65" s="34">
        <v>7</v>
      </c>
      <c r="K65" s="35">
        <v>57.301000000000002</v>
      </c>
      <c r="L65" s="22">
        <v>82</v>
      </c>
      <c r="M65" s="34">
        <v>25</v>
      </c>
      <c r="N65" s="35">
        <v>33.366999999999997</v>
      </c>
      <c r="O65" s="23" t="s">
        <v>208</v>
      </c>
      <c r="P65" s="33">
        <v>42</v>
      </c>
      <c r="Q65" s="34">
        <v>7</v>
      </c>
      <c r="R65" s="35">
        <v>57.585</v>
      </c>
      <c r="S65" s="22">
        <v>82</v>
      </c>
      <c r="T65" s="34">
        <v>25</v>
      </c>
      <c r="U65" s="35">
        <v>40.517000000000003</v>
      </c>
      <c r="V65" s="25">
        <v>3</v>
      </c>
      <c r="W65" s="538">
        <v>539.57000000000005</v>
      </c>
      <c r="X65" s="45">
        <v>1990</v>
      </c>
      <c r="Y65" s="25"/>
      <c r="Z65" s="46" t="s">
        <v>14</v>
      </c>
      <c r="AA65" s="25" t="s">
        <v>15</v>
      </c>
      <c r="AB65" s="39">
        <f t="shared" si="7"/>
        <v>8088.1543000000011</v>
      </c>
      <c r="AC65" s="40">
        <f t="shared" si="12"/>
        <v>0.52</v>
      </c>
      <c r="AD65" s="39">
        <f t="shared" si="9"/>
        <v>3882.31</v>
      </c>
      <c r="AE65" s="79">
        <f t="shared" si="10"/>
        <v>0</v>
      </c>
      <c r="AF65" s="442">
        <f t="shared" si="11"/>
        <v>0</v>
      </c>
      <c r="AG65" s="423">
        <f t="shared" si="6"/>
        <v>3882.31</v>
      </c>
      <c r="AH65" s="516">
        <f t="shared" si="5"/>
        <v>3882</v>
      </c>
      <c r="AI65" s="1052"/>
      <c r="AJ65" s="1053"/>
      <c r="AK65" s="1054"/>
    </row>
    <row r="66" spans="1:37" ht="12.7">
      <c r="A66" s="47" t="s">
        <v>11</v>
      </c>
      <c r="B66" s="23" t="s">
        <v>541</v>
      </c>
      <c r="C66" s="474" t="s">
        <v>666</v>
      </c>
      <c r="D66" s="139" t="s">
        <v>448</v>
      </c>
      <c r="E66" s="760" t="s">
        <v>10</v>
      </c>
      <c r="F66" s="23"/>
      <c r="G66" s="138"/>
      <c r="H66" s="41" t="s">
        <v>208</v>
      </c>
      <c r="I66" s="33">
        <v>42</v>
      </c>
      <c r="J66" s="34">
        <v>7</v>
      </c>
      <c r="K66" s="35">
        <v>57.585</v>
      </c>
      <c r="L66" s="22">
        <v>82</v>
      </c>
      <c r="M66" s="34">
        <v>25</v>
      </c>
      <c r="N66" s="35">
        <v>40.517000000000003</v>
      </c>
      <c r="O66" s="23" t="s">
        <v>209</v>
      </c>
      <c r="P66" s="33">
        <v>42</v>
      </c>
      <c r="Q66" s="34">
        <v>8</v>
      </c>
      <c r="R66" s="35">
        <v>0.49199999999999999</v>
      </c>
      <c r="S66" s="22">
        <v>82</v>
      </c>
      <c r="T66" s="34">
        <v>25</v>
      </c>
      <c r="U66" s="35">
        <v>44.216999999999999</v>
      </c>
      <c r="V66" s="25">
        <v>3</v>
      </c>
      <c r="W66" s="538">
        <v>405.41</v>
      </c>
      <c r="X66" s="45">
        <v>1990</v>
      </c>
      <c r="Y66" s="25"/>
      <c r="Z66" s="46" t="s">
        <v>14</v>
      </c>
      <c r="AA66" s="25" t="s">
        <v>15</v>
      </c>
      <c r="AB66" s="39">
        <f t="shared" si="7"/>
        <v>6077.0959000000003</v>
      </c>
      <c r="AC66" s="40">
        <f t="shared" si="12"/>
        <v>0.52</v>
      </c>
      <c r="AD66" s="39">
        <f t="shared" si="9"/>
        <v>2917.01</v>
      </c>
      <c r="AE66" s="79">
        <f t="shared" si="10"/>
        <v>0</v>
      </c>
      <c r="AF66" s="442">
        <f t="shared" si="11"/>
        <v>0</v>
      </c>
      <c r="AG66" s="423">
        <f t="shared" si="6"/>
        <v>2917.01</v>
      </c>
      <c r="AH66" s="516">
        <f t="shared" si="5"/>
        <v>2917</v>
      </c>
      <c r="AI66" s="1052"/>
      <c r="AJ66" s="1053"/>
      <c r="AK66" s="1054"/>
    </row>
    <row r="67" spans="1:37" ht="12.7">
      <c r="A67" s="47" t="s">
        <v>11</v>
      </c>
      <c r="B67" s="23" t="s">
        <v>541</v>
      </c>
      <c r="C67" s="474" t="s">
        <v>666</v>
      </c>
      <c r="D67" s="139" t="s">
        <v>448</v>
      </c>
      <c r="E67" s="760" t="s">
        <v>10</v>
      </c>
      <c r="F67" s="23"/>
      <c r="G67" s="138"/>
      <c r="H67" s="41" t="s">
        <v>209</v>
      </c>
      <c r="I67" s="33">
        <v>42</v>
      </c>
      <c r="J67" s="34">
        <v>8</v>
      </c>
      <c r="K67" s="35">
        <v>0.49199999999999999</v>
      </c>
      <c r="L67" s="22">
        <v>82</v>
      </c>
      <c r="M67" s="34">
        <v>25</v>
      </c>
      <c r="N67" s="35">
        <v>44.216999999999999</v>
      </c>
      <c r="O67" s="23" t="s">
        <v>197</v>
      </c>
      <c r="P67" s="33">
        <v>42</v>
      </c>
      <c r="Q67" s="34">
        <v>8</v>
      </c>
      <c r="R67" s="35">
        <v>0.39100000000000001</v>
      </c>
      <c r="S67" s="22">
        <v>82</v>
      </c>
      <c r="T67" s="34">
        <v>25</v>
      </c>
      <c r="U67" s="35">
        <v>49.49</v>
      </c>
      <c r="V67" s="25">
        <v>3</v>
      </c>
      <c r="W67" s="538">
        <v>397.47</v>
      </c>
      <c r="X67" s="45">
        <v>1990</v>
      </c>
      <c r="Y67" s="25"/>
      <c r="Z67" s="46" t="s">
        <v>14</v>
      </c>
      <c r="AA67" s="25" t="s">
        <v>15</v>
      </c>
      <c r="AB67" s="39">
        <f t="shared" si="7"/>
        <v>5958.0753000000004</v>
      </c>
      <c r="AC67" s="40">
        <f t="shared" si="12"/>
        <v>0.52</v>
      </c>
      <c r="AD67" s="39">
        <f t="shared" si="9"/>
        <v>2859.88</v>
      </c>
      <c r="AE67" s="79">
        <f t="shared" si="10"/>
        <v>0</v>
      </c>
      <c r="AF67" s="442">
        <f t="shared" si="11"/>
        <v>0</v>
      </c>
      <c r="AG67" s="423">
        <f t="shared" si="6"/>
        <v>2859.88</v>
      </c>
      <c r="AH67" s="516">
        <f t="shared" si="5"/>
        <v>2859</v>
      </c>
      <c r="AI67" s="1052"/>
      <c r="AJ67" s="1053"/>
      <c r="AK67" s="1054"/>
    </row>
    <row r="68" spans="1:37" ht="12.7">
      <c r="A68" s="47" t="s">
        <v>11</v>
      </c>
      <c r="B68" s="23" t="s">
        <v>541</v>
      </c>
      <c r="C68" s="474" t="s">
        <v>666</v>
      </c>
      <c r="D68" s="139" t="s">
        <v>448</v>
      </c>
      <c r="E68" s="760" t="s">
        <v>10</v>
      </c>
      <c r="F68" s="23"/>
      <c r="G68" s="138"/>
      <c r="H68" s="41"/>
      <c r="I68" s="33">
        <v>42</v>
      </c>
      <c r="J68" s="34">
        <v>7</v>
      </c>
      <c r="K68" s="35">
        <v>55.713999999999999</v>
      </c>
      <c r="L68" s="22">
        <v>82</v>
      </c>
      <c r="M68" s="34">
        <v>25</v>
      </c>
      <c r="N68" s="35">
        <v>28.776</v>
      </c>
      <c r="O68" s="23" t="s">
        <v>210</v>
      </c>
      <c r="P68" s="33">
        <v>42</v>
      </c>
      <c r="Q68" s="34">
        <v>7</v>
      </c>
      <c r="R68" s="35">
        <v>58.125999999999998</v>
      </c>
      <c r="S68" s="22">
        <v>82</v>
      </c>
      <c r="T68" s="34">
        <v>25</v>
      </c>
      <c r="U68" s="35">
        <v>32.811999999999998</v>
      </c>
      <c r="V68" s="25">
        <v>3</v>
      </c>
      <c r="W68" s="538">
        <v>390.03</v>
      </c>
      <c r="X68" s="45">
        <v>1990</v>
      </c>
      <c r="Y68" s="25"/>
      <c r="Z68" s="46" t="s">
        <v>14</v>
      </c>
      <c r="AA68" s="25" t="s">
        <v>15</v>
      </c>
      <c r="AB68" s="39">
        <f t="shared" si="13" ref="AB68:AB128">IF(G68="ABAND",0,(IF(AA68="steel",VLOOKUP(V68,steelrates,2,FALSE)*W68,VLOOKUP(V68,plasticrates,2,FALSE)*W68)))</f>
        <v>5846.5496999999996</v>
      </c>
      <c r="AC68" s="40">
        <f t="shared" si="14" ref="AC68:AC96">IF(X68=0,0,(VLOOKUP(X68,depreciation,2,)))</f>
        <v>0.52</v>
      </c>
      <c r="AD68" s="39">
        <f t="shared" si="15" ref="AD68:AD128">ROUND(+AB68-(+AB68*AC68),2)</f>
        <v>2806.34</v>
      </c>
      <c r="AE68" s="79">
        <f t="shared" si="16" ref="AE68:AE128">(IF(Y68="LOOP",AD68*0.25,0))</f>
        <v>0</v>
      </c>
      <c r="AF68" s="442">
        <f t="shared" si="17" ref="AF68:AF128">(IF(G68="SUSP",AD68*0.2,0))</f>
        <v>0</v>
      </c>
      <c r="AG68" s="423">
        <f t="shared" si="6"/>
        <v>2806.34</v>
      </c>
      <c r="AH68" s="516">
        <f t="shared" si="18" ref="AH68:AH131">ROUNDDOWN(AG68,0)</f>
        <v>2806</v>
      </c>
      <c r="AI68" s="1052"/>
      <c r="AJ68" s="1053"/>
      <c r="AK68" s="1054"/>
    </row>
    <row r="69" spans="1:37" ht="12.7">
      <c r="A69" s="50" t="s">
        <v>11</v>
      </c>
      <c r="B69" s="51" t="s">
        <v>541</v>
      </c>
      <c r="C69" s="753" t="s">
        <v>666</v>
      </c>
      <c r="D69" s="279" t="s">
        <v>448</v>
      </c>
      <c r="E69" s="763" t="s">
        <v>10</v>
      </c>
      <c r="F69" s="51"/>
      <c r="G69" s="309"/>
      <c r="H69" s="180" t="s">
        <v>210</v>
      </c>
      <c r="I69" s="52">
        <v>42</v>
      </c>
      <c r="J69" s="53">
        <v>7</v>
      </c>
      <c r="K69" s="54">
        <v>58.125999999999998</v>
      </c>
      <c r="L69" s="55">
        <v>82</v>
      </c>
      <c r="M69" s="53">
        <v>25</v>
      </c>
      <c r="N69" s="54">
        <v>32.811999999999998</v>
      </c>
      <c r="O69" s="51" t="s">
        <v>211</v>
      </c>
      <c r="P69" s="52">
        <v>42</v>
      </c>
      <c r="Q69" s="53">
        <v>7</v>
      </c>
      <c r="R69" s="54">
        <v>58.402000000000001</v>
      </c>
      <c r="S69" s="55">
        <v>82</v>
      </c>
      <c r="T69" s="53">
        <v>25</v>
      </c>
      <c r="U69" s="54">
        <v>39.988999999999997</v>
      </c>
      <c r="V69" s="170">
        <v>3</v>
      </c>
      <c r="W69" s="541">
        <v>541.57000000000005</v>
      </c>
      <c r="X69" s="171">
        <v>1990</v>
      </c>
      <c r="Y69" s="170"/>
      <c r="Z69" s="172" t="s">
        <v>14</v>
      </c>
      <c r="AA69" s="170" t="s">
        <v>15</v>
      </c>
      <c r="AB69" s="173">
        <f t="shared" si="13"/>
        <v>8118.1343000000006</v>
      </c>
      <c r="AC69" s="60">
        <f t="shared" si="14"/>
        <v>0.52</v>
      </c>
      <c r="AD69" s="173">
        <f t="shared" si="15"/>
        <v>3896.70</v>
      </c>
      <c r="AE69" s="174">
        <f t="shared" si="16"/>
        <v>0</v>
      </c>
      <c r="AF69" s="443">
        <f t="shared" si="17"/>
        <v>0</v>
      </c>
      <c r="AG69" s="437">
        <f t="shared" si="19" ref="AG69:AG132">AD69-AE69-AF69</f>
        <v>3896.70</v>
      </c>
      <c r="AH69" s="518">
        <f t="shared" si="18"/>
        <v>3896</v>
      </c>
      <c r="AI69" s="1055"/>
      <c r="AJ69" s="1056"/>
      <c r="AK69" s="1057"/>
    </row>
    <row r="70" spans="1:37" s="122" customFormat="1" ht="12.7">
      <c r="A70" s="786" t="s">
        <v>11</v>
      </c>
      <c r="B70" s="642" t="s">
        <v>541</v>
      </c>
      <c r="C70" s="787" t="s">
        <v>666</v>
      </c>
      <c r="D70" s="788" t="s">
        <v>448</v>
      </c>
      <c r="E70" s="766" t="s">
        <v>10</v>
      </c>
      <c r="F70" s="642"/>
      <c r="G70" s="643" t="s">
        <v>281</v>
      </c>
      <c r="H70" s="644" t="s">
        <v>211</v>
      </c>
      <c r="I70" s="645">
        <v>42</v>
      </c>
      <c r="J70" s="646">
        <v>7</v>
      </c>
      <c r="K70" s="647">
        <v>58.402000000000001</v>
      </c>
      <c r="L70" s="648">
        <v>82</v>
      </c>
      <c r="M70" s="646">
        <v>25</v>
      </c>
      <c r="N70" s="647">
        <v>39.988999999999997</v>
      </c>
      <c r="O70" s="642" t="s">
        <v>212</v>
      </c>
      <c r="P70" s="645">
        <v>42</v>
      </c>
      <c r="Q70" s="646">
        <v>8</v>
      </c>
      <c r="R70" s="647">
        <v>1.667</v>
      </c>
      <c r="S70" s="648">
        <v>82</v>
      </c>
      <c r="T70" s="646">
        <v>25</v>
      </c>
      <c r="U70" s="647">
        <v>44.040999999999997</v>
      </c>
      <c r="V70" s="649">
        <v>3</v>
      </c>
      <c r="W70" s="503">
        <v>450</v>
      </c>
      <c r="X70" s="650">
        <v>1990</v>
      </c>
      <c r="Y70" s="649"/>
      <c r="Z70" s="651" t="s">
        <v>14</v>
      </c>
      <c r="AA70" s="649" t="s">
        <v>15</v>
      </c>
      <c r="AB70" s="652">
        <f t="shared" si="13"/>
        <v>0</v>
      </c>
      <c r="AC70" s="653">
        <f t="shared" si="14"/>
        <v>0.52</v>
      </c>
      <c r="AD70" s="652">
        <f t="shared" si="15"/>
        <v>0</v>
      </c>
      <c r="AE70" s="654">
        <f t="shared" si="16"/>
        <v>0</v>
      </c>
      <c r="AF70" s="655">
        <f t="shared" si="17"/>
        <v>0</v>
      </c>
      <c r="AG70" s="656">
        <f t="shared" si="19"/>
        <v>0</v>
      </c>
      <c r="AH70" s="657">
        <f t="shared" si="18"/>
        <v>0</v>
      </c>
      <c r="AI70" s="197"/>
      <c r="AJ70" s="197"/>
      <c r="AK70" s="197"/>
    </row>
    <row r="71" spans="1:37" ht="12.7">
      <c r="A71" s="47" t="s">
        <v>11</v>
      </c>
      <c r="B71" s="23" t="s">
        <v>541</v>
      </c>
      <c r="C71" s="474" t="s">
        <v>666</v>
      </c>
      <c r="D71" s="139" t="s">
        <v>448</v>
      </c>
      <c r="E71" s="760" t="s">
        <v>10</v>
      </c>
      <c r="F71" s="23"/>
      <c r="G71" s="138"/>
      <c r="H71" s="41" t="s">
        <v>212</v>
      </c>
      <c r="I71" s="33">
        <v>42</v>
      </c>
      <c r="J71" s="34">
        <v>8</v>
      </c>
      <c r="K71" s="35">
        <v>1.667</v>
      </c>
      <c r="L71" s="22">
        <v>82</v>
      </c>
      <c r="M71" s="34">
        <v>25</v>
      </c>
      <c r="N71" s="35">
        <v>44.040999999999997</v>
      </c>
      <c r="O71" s="23" t="s">
        <v>197</v>
      </c>
      <c r="P71" s="33">
        <v>42</v>
      </c>
      <c r="Q71" s="34">
        <v>8</v>
      </c>
      <c r="R71" s="35">
        <v>0.39100000000000001</v>
      </c>
      <c r="S71" s="22">
        <v>82</v>
      </c>
      <c r="T71" s="34">
        <v>25</v>
      </c>
      <c r="U71" s="35">
        <v>49.49</v>
      </c>
      <c r="V71" s="25">
        <v>3</v>
      </c>
      <c r="W71" s="538">
        <v>430.48</v>
      </c>
      <c r="X71" s="45">
        <v>1990</v>
      </c>
      <c r="Y71" s="25"/>
      <c r="Z71" s="46" t="s">
        <v>14</v>
      </c>
      <c r="AA71" s="25" t="s">
        <v>15</v>
      </c>
      <c r="AB71" s="39">
        <f t="shared" si="13"/>
        <v>6452.8951999999999</v>
      </c>
      <c r="AC71" s="40">
        <f t="shared" si="14"/>
        <v>0.52</v>
      </c>
      <c r="AD71" s="39">
        <f t="shared" si="15"/>
        <v>3097.39</v>
      </c>
      <c r="AE71" s="79">
        <f t="shared" si="16"/>
        <v>0</v>
      </c>
      <c r="AF71" s="185">
        <f t="shared" si="17"/>
        <v>0</v>
      </c>
      <c r="AG71" s="423">
        <f t="shared" si="19"/>
        <v>3097.39</v>
      </c>
      <c r="AH71" s="516">
        <f t="shared" si="18"/>
        <v>3097</v>
      </c>
      <c r="AI71" s="197"/>
      <c r="AJ71" s="197"/>
      <c r="AK71" s="197"/>
    </row>
    <row r="72" spans="1:37" ht="12.7">
      <c r="A72" s="47" t="s">
        <v>11</v>
      </c>
      <c r="B72" s="23" t="s">
        <v>541</v>
      </c>
      <c r="C72" s="474" t="s">
        <v>666</v>
      </c>
      <c r="D72" s="139" t="s">
        <v>448</v>
      </c>
      <c r="E72" s="760" t="s">
        <v>10</v>
      </c>
      <c r="F72" s="23"/>
      <c r="G72" s="138" t="s">
        <v>281</v>
      </c>
      <c r="H72" s="41" t="s">
        <v>318</v>
      </c>
      <c r="I72" s="33">
        <v>42</v>
      </c>
      <c r="J72" s="34">
        <v>8</v>
      </c>
      <c r="K72" s="35">
        <v>35.054000000000002</v>
      </c>
      <c r="L72" s="22">
        <v>82</v>
      </c>
      <c r="M72" s="34">
        <v>24</v>
      </c>
      <c r="N72" s="35">
        <v>26.113</v>
      </c>
      <c r="O72" s="41" t="s">
        <v>213</v>
      </c>
      <c r="P72" s="33">
        <v>42</v>
      </c>
      <c r="Q72" s="34">
        <v>8</v>
      </c>
      <c r="R72" s="35">
        <v>37.527999999999999</v>
      </c>
      <c r="S72" s="22">
        <v>82</v>
      </c>
      <c r="T72" s="34">
        <v>24</v>
      </c>
      <c r="U72" s="35">
        <v>48.286000000000001</v>
      </c>
      <c r="V72" s="25">
        <v>3</v>
      </c>
      <c r="W72" s="538">
        <v>1689.27</v>
      </c>
      <c r="X72" s="45">
        <v>1998</v>
      </c>
      <c r="Y72" s="25"/>
      <c r="Z72" s="46" t="s">
        <v>14</v>
      </c>
      <c r="AA72" s="25" t="s">
        <v>15</v>
      </c>
      <c r="AB72" s="39">
        <f t="shared" si="13"/>
        <v>0</v>
      </c>
      <c r="AC72" s="40">
        <f t="shared" si="14"/>
        <v>0.40</v>
      </c>
      <c r="AD72" s="39">
        <f t="shared" si="15"/>
        <v>0</v>
      </c>
      <c r="AE72" s="79">
        <f t="shared" si="16"/>
        <v>0</v>
      </c>
      <c r="AF72" s="185">
        <f t="shared" si="17"/>
        <v>0</v>
      </c>
      <c r="AG72" s="423">
        <f t="shared" si="19"/>
        <v>0</v>
      </c>
      <c r="AH72" s="516">
        <f t="shared" si="18"/>
        <v>0</v>
      </c>
      <c r="AI72" s="197"/>
      <c r="AJ72" s="197"/>
      <c r="AK72" s="197"/>
    </row>
    <row r="73" spans="1:37" ht="12.7">
      <c r="A73" s="47" t="s">
        <v>11</v>
      </c>
      <c r="B73" s="23" t="s">
        <v>541</v>
      </c>
      <c r="C73" s="474" t="s">
        <v>666</v>
      </c>
      <c r="D73" s="139" t="s">
        <v>448</v>
      </c>
      <c r="E73" s="760" t="s">
        <v>10</v>
      </c>
      <c r="F73" s="23"/>
      <c r="G73" s="138" t="s">
        <v>281</v>
      </c>
      <c r="H73" s="41" t="s">
        <v>213</v>
      </c>
      <c r="I73" s="33">
        <v>42</v>
      </c>
      <c r="J73" s="34">
        <v>8</v>
      </c>
      <c r="K73" s="35">
        <v>37.527999999999999</v>
      </c>
      <c r="L73" s="22">
        <v>82</v>
      </c>
      <c r="M73" s="34">
        <v>24</v>
      </c>
      <c r="N73" s="35">
        <v>48.286000000000001</v>
      </c>
      <c r="O73" s="41" t="s">
        <v>214</v>
      </c>
      <c r="P73" s="33">
        <v>42</v>
      </c>
      <c r="Q73" s="34">
        <v>8</v>
      </c>
      <c r="R73" s="35">
        <v>38.843000000000004</v>
      </c>
      <c r="S73" s="22">
        <v>82</v>
      </c>
      <c r="T73" s="34">
        <v>24</v>
      </c>
      <c r="U73" s="35">
        <v>59.509</v>
      </c>
      <c r="V73" s="25">
        <v>3</v>
      </c>
      <c r="W73" s="538">
        <v>856</v>
      </c>
      <c r="X73" s="45">
        <v>1993</v>
      </c>
      <c r="Y73" s="25"/>
      <c r="Z73" s="46" t="s">
        <v>14</v>
      </c>
      <c r="AA73" s="25" t="s">
        <v>15</v>
      </c>
      <c r="AB73" s="39">
        <f t="shared" si="13"/>
        <v>0</v>
      </c>
      <c r="AC73" s="40">
        <f t="shared" si="14"/>
        <v>0.50</v>
      </c>
      <c r="AD73" s="39">
        <f t="shared" si="15"/>
        <v>0</v>
      </c>
      <c r="AE73" s="79">
        <f t="shared" si="16"/>
        <v>0</v>
      </c>
      <c r="AF73" s="185">
        <f t="shared" si="17"/>
        <v>0</v>
      </c>
      <c r="AG73" s="423">
        <f t="shared" si="19"/>
        <v>0</v>
      </c>
      <c r="AH73" s="516">
        <f t="shared" si="18"/>
        <v>0</v>
      </c>
      <c r="AI73" s="197"/>
      <c r="AJ73" s="197"/>
      <c r="AK73" s="197"/>
    </row>
    <row r="74" spans="1:37" ht="12.7">
      <c r="A74" s="47" t="s">
        <v>11</v>
      </c>
      <c r="B74" s="23" t="s">
        <v>541</v>
      </c>
      <c r="C74" s="474" t="s">
        <v>666</v>
      </c>
      <c r="D74" s="139" t="s">
        <v>448</v>
      </c>
      <c r="E74" s="760" t="s">
        <v>10</v>
      </c>
      <c r="F74" s="23"/>
      <c r="G74" s="138" t="s">
        <v>281</v>
      </c>
      <c r="H74" s="41" t="s">
        <v>214</v>
      </c>
      <c r="I74" s="33">
        <v>42</v>
      </c>
      <c r="J74" s="34">
        <v>8</v>
      </c>
      <c r="K74" s="35">
        <v>38.843000000000004</v>
      </c>
      <c r="L74" s="22">
        <v>82</v>
      </c>
      <c r="M74" s="34">
        <v>24</v>
      </c>
      <c r="N74" s="35">
        <v>59.509</v>
      </c>
      <c r="O74" s="23" t="s">
        <v>215</v>
      </c>
      <c r="P74" s="33">
        <v>42</v>
      </c>
      <c r="Q74" s="34">
        <v>8</v>
      </c>
      <c r="R74" s="35">
        <v>35.652000000000001</v>
      </c>
      <c r="S74" s="22">
        <v>82</v>
      </c>
      <c r="T74" s="34">
        <v>25</v>
      </c>
      <c r="U74" s="35">
        <v>4.4870000000000001</v>
      </c>
      <c r="V74" s="25">
        <v>3</v>
      </c>
      <c r="W74" s="538">
        <v>495.01</v>
      </c>
      <c r="X74" s="45">
        <v>1990</v>
      </c>
      <c r="Y74" s="25"/>
      <c r="Z74" s="46" t="s">
        <v>14</v>
      </c>
      <c r="AA74" s="25" t="s">
        <v>15</v>
      </c>
      <c r="AB74" s="39">
        <f t="shared" si="13"/>
        <v>0</v>
      </c>
      <c r="AC74" s="40">
        <f t="shared" si="14"/>
        <v>0.52</v>
      </c>
      <c r="AD74" s="39">
        <f t="shared" si="15"/>
        <v>0</v>
      </c>
      <c r="AE74" s="79">
        <f t="shared" si="16"/>
        <v>0</v>
      </c>
      <c r="AF74" s="185">
        <f t="shared" si="17"/>
        <v>0</v>
      </c>
      <c r="AG74" s="423">
        <f t="shared" si="19"/>
        <v>0</v>
      </c>
      <c r="AH74" s="516">
        <f t="shared" si="18"/>
        <v>0</v>
      </c>
      <c r="AI74" s="197"/>
      <c r="AJ74" s="197"/>
      <c r="AK74" s="197"/>
    </row>
    <row r="75" spans="1:37" ht="12.7">
      <c r="A75" s="47" t="s">
        <v>11</v>
      </c>
      <c r="B75" s="23" t="s">
        <v>541</v>
      </c>
      <c r="C75" s="474" t="s">
        <v>666</v>
      </c>
      <c r="D75" s="139" t="s">
        <v>448</v>
      </c>
      <c r="E75" s="760" t="s">
        <v>10</v>
      </c>
      <c r="F75" s="23"/>
      <c r="G75" s="138" t="s">
        <v>281</v>
      </c>
      <c r="H75" s="41" t="s">
        <v>215</v>
      </c>
      <c r="I75" s="33">
        <v>42</v>
      </c>
      <c r="J75" s="34">
        <v>8</v>
      </c>
      <c r="K75" s="35">
        <v>35.652000000000001</v>
      </c>
      <c r="L75" s="22">
        <v>82</v>
      </c>
      <c r="M75" s="34">
        <v>25</v>
      </c>
      <c r="N75" s="35">
        <v>4.4870000000000001</v>
      </c>
      <c r="O75" s="23" t="s">
        <v>216</v>
      </c>
      <c r="P75" s="33">
        <v>42</v>
      </c>
      <c r="Q75" s="34">
        <v>8</v>
      </c>
      <c r="R75" s="35">
        <v>38.709000000000003</v>
      </c>
      <c r="S75" s="22">
        <v>82</v>
      </c>
      <c r="T75" s="34">
        <v>25</v>
      </c>
      <c r="U75" s="35">
        <v>5.93</v>
      </c>
      <c r="V75" s="25">
        <v>3</v>
      </c>
      <c r="W75" s="538">
        <v>328.02</v>
      </c>
      <c r="X75" s="45">
        <v>1990</v>
      </c>
      <c r="Y75" s="25"/>
      <c r="Z75" s="46" t="s">
        <v>14</v>
      </c>
      <c r="AA75" s="25" t="s">
        <v>15</v>
      </c>
      <c r="AB75" s="39">
        <f t="shared" si="13"/>
        <v>0</v>
      </c>
      <c r="AC75" s="40">
        <f t="shared" si="14"/>
        <v>0.52</v>
      </c>
      <c r="AD75" s="39">
        <f t="shared" si="15"/>
        <v>0</v>
      </c>
      <c r="AE75" s="79">
        <f t="shared" si="16"/>
        <v>0</v>
      </c>
      <c r="AF75" s="185">
        <f t="shared" si="17"/>
        <v>0</v>
      </c>
      <c r="AG75" s="423">
        <f t="shared" si="19"/>
        <v>0</v>
      </c>
      <c r="AH75" s="516">
        <f t="shared" si="18"/>
        <v>0</v>
      </c>
      <c r="AI75" s="197"/>
      <c r="AJ75" s="197"/>
      <c r="AK75" s="197"/>
    </row>
    <row r="76" spans="1:37" ht="12.7">
      <c r="A76" s="47" t="s">
        <v>11</v>
      </c>
      <c r="B76" s="23" t="s">
        <v>541</v>
      </c>
      <c r="C76" s="474" t="s">
        <v>666</v>
      </c>
      <c r="D76" s="139" t="s">
        <v>448</v>
      </c>
      <c r="E76" s="760" t="s">
        <v>10</v>
      </c>
      <c r="F76" s="23"/>
      <c r="G76" s="138" t="s">
        <v>281</v>
      </c>
      <c r="H76" s="41" t="s">
        <v>216</v>
      </c>
      <c r="I76" s="33">
        <v>42</v>
      </c>
      <c r="J76" s="34">
        <v>8</v>
      </c>
      <c r="K76" s="35">
        <v>38.709000000000003</v>
      </c>
      <c r="L76" s="22">
        <v>82</v>
      </c>
      <c r="M76" s="34">
        <v>25</v>
      </c>
      <c r="N76" s="35">
        <v>5.93</v>
      </c>
      <c r="O76" s="23" t="s">
        <v>217</v>
      </c>
      <c r="P76" s="33">
        <v>42</v>
      </c>
      <c r="Q76" s="34">
        <v>8</v>
      </c>
      <c r="R76" s="35">
        <v>40.046999999999997</v>
      </c>
      <c r="S76" s="22">
        <v>82</v>
      </c>
      <c r="T76" s="34">
        <v>25</v>
      </c>
      <c r="U76" s="35">
        <v>9.975</v>
      </c>
      <c r="V76" s="25">
        <v>3</v>
      </c>
      <c r="W76" s="538">
        <v>333.53</v>
      </c>
      <c r="X76" s="45">
        <v>1990</v>
      </c>
      <c r="Y76" s="25"/>
      <c r="Z76" s="46" t="s">
        <v>14</v>
      </c>
      <c r="AA76" s="25" t="s">
        <v>15</v>
      </c>
      <c r="AB76" s="39">
        <f t="shared" si="13"/>
        <v>0</v>
      </c>
      <c r="AC76" s="40">
        <f t="shared" si="14"/>
        <v>0.52</v>
      </c>
      <c r="AD76" s="39">
        <f t="shared" si="15"/>
        <v>0</v>
      </c>
      <c r="AE76" s="79">
        <f t="shared" si="16"/>
        <v>0</v>
      </c>
      <c r="AF76" s="185">
        <f t="shared" si="17"/>
        <v>0</v>
      </c>
      <c r="AG76" s="423">
        <f t="shared" si="19"/>
        <v>0</v>
      </c>
      <c r="AH76" s="516">
        <f t="shared" si="18"/>
        <v>0</v>
      </c>
      <c r="AI76" s="197"/>
      <c r="AJ76" s="197"/>
      <c r="AK76" s="197"/>
    </row>
    <row r="77" spans="1:37" ht="12.7">
      <c r="A77" s="47" t="s">
        <v>11</v>
      </c>
      <c r="B77" s="23" t="s">
        <v>541</v>
      </c>
      <c r="C77" s="474" t="s">
        <v>666</v>
      </c>
      <c r="D77" s="139" t="s">
        <v>448</v>
      </c>
      <c r="E77" s="760" t="s">
        <v>10</v>
      </c>
      <c r="F77" s="23"/>
      <c r="G77" s="138" t="s">
        <v>281</v>
      </c>
      <c r="H77" s="41" t="s">
        <v>217</v>
      </c>
      <c r="I77" s="33">
        <v>42</v>
      </c>
      <c r="J77" s="34">
        <v>8</v>
      </c>
      <c r="K77" s="35">
        <v>40.046999999999997</v>
      </c>
      <c r="L77" s="22">
        <v>82</v>
      </c>
      <c r="M77" s="34">
        <v>25</v>
      </c>
      <c r="N77" s="35">
        <v>9.975</v>
      </c>
      <c r="O77" s="23" t="s">
        <v>218</v>
      </c>
      <c r="P77" s="33">
        <v>42</v>
      </c>
      <c r="Q77" s="34">
        <v>8</v>
      </c>
      <c r="R77" s="35">
        <v>48.60</v>
      </c>
      <c r="S77" s="22">
        <v>82</v>
      </c>
      <c r="T77" s="34">
        <v>25</v>
      </c>
      <c r="U77" s="35">
        <v>27.832000000000001</v>
      </c>
      <c r="V77" s="25">
        <v>3</v>
      </c>
      <c r="W77" s="538">
        <v>1599.97</v>
      </c>
      <c r="X77" s="45">
        <v>1990</v>
      </c>
      <c r="Y77" s="25"/>
      <c r="Z77" s="46" t="s">
        <v>14</v>
      </c>
      <c r="AA77" s="25" t="s">
        <v>15</v>
      </c>
      <c r="AB77" s="39">
        <f t="shared" si="13"/>
        <v>0</v>
      </c>
      <c r="AC77" s="40">
        <f t="shared" si="14"/>
        <v>0.52</v>
      </c>
      <c r="AD77" s="39">
        <f t="shared" si="15"/>
        <v>0</v>
      </c>
      <c r="AE77" s="79">
        <f t="shared" si="16"/>
        <v>0</v>
      </c>
      <c r="AF77" s="185">
        <f t="shared" si="17"/>
        <v>0</v>
      </c>
      <c r="AG77" s="423">
        <f t="shared" si="19"/>
        <v>0</v>
      </c>
      <c r="AH77" s="516">
        <f t="shared" si="18"/>
        <v>0</v>
      </c>
      <c r="AI77" s="197"/>
      <c r="AJ77" s="197"/>
      <c r="AK77" s="197"/>
    </row>
    <row r="78" spans="1:37" ht="12.7">
      <c r="A78" s="47" t="s">
        <v>11</v>
      </c>
      <c r="B78" s="23" t="s">
        <v>541</v>
      </c>
      <c r="C78" s="474" t="s">
        <v>666</v>
      </c>
      <c r="D78" s="139" t="s">
        <v>448</v>
      </c>
      <c r="E78" s="760" t="s">
        <v>10</v>
      </c>
      <c r="F78" s="23"/>
      <c r="G78" s="138" t="s">
        <v>281</v>
      </c>
      <c r="H78" s="41" t="s">
        <v>218</v>
      </c>
      <c r="I78" s="33">
        <v>42</v>
      </c>
      <c r="J78" s="34">
        <v>8</v>
      </c>
      <c r="K78" s="35">
        <v>48.60</v>
      </c>
      <c r="L78" s="22">
        <v>82</v>
      </c>
      <c r="M78" s="34">
        <v>25</v>
      </c>
      <c r="N78" s="35">
        <v>27.832000000000001</v>
      </c>
      <c r="O78" s="23" t="s">
        <v>219</v>
      </c>
      <c r="P78" s="33">
        <v>42</v>
      </c>
      <c r="Q78" s="34">
        <v>8</v>
      </c>
      <c r="R78" s="35">
        <v>50.125</v>
      </c>
      <c r="S78" s="22">
        <v>82</v>
      </c>
      <c r="T78" s="34">
        <v>25</v>
      </c>
      <c r="U78" s="35">
        <v>29.853000000000002</v>
      </c>
      <c r="V78" s="25">
        <v>3</v>
      </c>
      <c r="W78" s="538">
        <v>216.83</v>
      </c>
      <c r="X78" s="45">
        <v>1990</v>
      </c>
      <c r="Y78" s="25"/>
      <c r="Z78" s="46" t="s">
        <v>14</v>
      </c>
      <c r="AA78" s="25" t="s">
        <v>15</v>
      </c>
      <c r="AB78" s="39">
        <f t="shared" si="13"/>
        <v>0</v>
      </c>
      <c r="AC78" s="40">
        <f t="shared" si="14"/>
        <v>0.52</v>
      </c>
      <c r="AD78" s="39">
        <f t="shared" si="15"/>
        <v>0</v>
      </c>
      <c r="AE78" s="79">
        <f t="shared" si="16"/>
        <v>0</v>
      </c>
      <c r="AF78" s="185">
        <f t="shared" si="17"/>
        <v>0</v>
      </c>
      <c r="AG78" s="423">
        <f t="shared" si="19"/>
        <v>0</v>
      </c>
      <c r="AH78" s="516">
        <f t="shared" si="18"/>
        <v>0</v>
      </c>
      <c r="AI78" s="197"/>
      <c r="AJ78" s="197"/>
      <c r="AK78" s="197"/>
    </row>
    <row r="79" spans="1:37" ht="12.7">
      <c r="A79" s="47" t="s">
        <v>11</v>
      </c>
      <c r="B79" s="23" t="s">
        <v>541</v>
      </c>
      <c r="C79" s="474" t="s">
        <v>666</v>
      </c>
      <c r="D79" s="139" t="s">
        <v>448</v>
      </c>
      <c r="E79" s="760" t="s">
        <v>10</v>
      </c>
      <c r="F79" s="23"/>
      <c r="G79" s="138" t="s">
        <v>281</v>
      </c>
      <c r="H79" s="41" t="s">
        <v>219</v>
      </c>
      <c r="I79" s="33">
        <v>42</v>
      </c>
      <c r="J79" s="34">
        <v>8</v>
      </c>
      <c r="K79" s="35">
        <v>50.125</v>
      </c>
      <c r="L79" s="22">
        <v>82</v>
      </c>
      <c r="M79" s="34">
        <v>25</v>
      </c>
      <c r="N79" s="35">
        <v>29.853000000000002</v>
      </c>
      <c r="O79" s="23" t="s">
        <v>220</v>
      </c>
      <c r="P79" s="33">
        <v>42</v>
      </c>
      <c r="Q79" s="34">
        <v>8</v>
      </c>
      <c r="R79" s="35">
        <v>36.790999999999997</v>
      </c>
      <c r="S79" s="22">
        <v>82</v>
      </c>
      <c r="T79" s="34">
        <v>25</v>
      </c>
      <c r="U79" s="35">
        <v>49.935</v>
      </c>
      <c r="V79" s="25">
        <v>3</v>
      </c>
      <c r="W79" s="538">
        <v>2027.72</v>
      </c>
      <c r="X79" s="45">
        <v>1990</v>
      </c>
      <c r="Y79" s="25"/>
      <c r="Z79" s="46" t="s">
        <v>14</v>
      </c>
      <c r="AA79" s="25" t="s">
        <v>15</v>
      </c>
      <c r="AB79" s="39">
        <f t="shared" si="13"/>
        <v>0</v>
      </c>
      <c r="AC79" s="40">
        <f t="shared" si="14"/>
        <v>0.52</v>
      </c>
      <c r="AD79" s="39">
        <f t="shared" si="15"/>
        <v>0</v>
      </c>
      <c r="AE79" s="79">
        <f t="shared" si="16"/>
        <v>0</v>
      </c>
      <c r="AF79" s="185">
        <f t="shared" si="17"/>
        <v>0</v>
      </c>
      <c r="AG79" s="423">
        <f t="shared" si="19"/>
        <v>0</v>
      </c>
      <c r="AH79" s="516">
        <f t="shared" si="18"/>
        <v>0</v>
      </c>
      <c r="AI79" s="197"/>
      <c r="AJ79" s="197"/>
      <c r="AK79" s="197"/>
    </row>
    <row r="80" spans="1:37" ht="12.7">
      <c r="A80" s="47" t="s">
        <v>11</v>
      </c>
      <c r="B80" s="23" t="s">
        <v>541</v>
      </c>
      <c r="C80" s="474" t="s">
        <v>666</v>
      </c>
      <c r="D80" s="139" t="s">
        <v>448</v>
      </c>
      <c r="E80" s="760" t="s">
        <v>10</v>
      </c>
      <c r="F80" s="23"/>
      <c r="G80" s="138" t="s">
        <v>281</v>
      </c>
      <c r="H80" s="41"/>
      <c r="I80" s="33">
        <v>42</v>
      </c>
      <c r="J80" s="34">
        <v>8</v>
      </c>
      <c r="K80" s="35">
        <v>28.172000000000001</v>
      </c>
      <c r="L80" s="22">
        <v>82</v>
      </c>
      <c r="M80" s="34">
        <v>26</v>
      </c>
      <c r="N80" s="35">
        <v>8.2240000000000002</v>
      </c>
      <c r="O80" s="23" t="s">
        <v>221</v>
      </c>
      <c r="P80" s="33">
        <v>42</v>
      </c>
      <c r="Q80" s="34">
        <v>8</v>
      </c>
      <c r="R80" s="35">
        <v>22.62</v>
      </c>
      <c r="S80" s="22">
        <v>82</v>
      </c>
      <c r="T80" s="34">
        <v>26</v>
      </c>
      <c r="U80" s="35">
        <v>10.561</v>
      </c>
      <c r="V80" s="25">
        <v>3</v>
      </c>
      <c r="W80" s="538">
        <v>589.01</v>
      </c>
      <c r="X80" s="45">
        <v>1990</v>
      </c>
      <c r="Y80" s="25"/>
      <c r="Z80" s="46" t="s">
        <v>14</v>
      </c>
      <c r="AA80" s="25" t="s">
        <v>15</v>
      </c>
      <c r="AB80" s="39">
        <f t="shared" si="13"/>
        <v>0</v>
      </c>
      <c r="AC80" s="40">
        <f t="shared" si="14"/>
        <v>0.52</v>
      </c>
      <c r="AD80" s="39">
        <f t="shared" si="15"/>
        <v>0</v>
      </c>
      <c r="AE80" s="79">
        <f t="shared" si="16"/>
        <v>0</v>
      </c>
      <c r="AF80" s="185">
        <f t="shared" si="17"/>
        <v>0</v>
      </c>
      <c r="AG80" s="423">
        <f t="shared" si="19"/>
        <v>0</v>
      </c>
      <c r="AH80" s="516">
        <f t="shared" si="18"/>
        <v>0</v>
      </c>
      <c r="AI80" s="197"/>
      <c r="AJ80" s="197"/>
      <c r="AK80" s="197"/>
    </row>
    <row r="81" spans="1:37" ht="12.7">
      <c r="A81" s="47" t="s">
        <v>11</v>
      </c>
      <c r="B81" s="23" t="s">
        <v>541</v>
      </c>
      <c r="C81" s="474" t="s">
        <v>666</v>
      </c>
      <c r="D81" s="139" t="s">
        <v>448</v>
      </c>
      <c r="E81" s="760" t="s">
        <v>10</v>
      </c>
      <c r="F81" s="23"/>
      <c r="G81" s="138" t="s">
        <v>281</v>
      </c>
      <c r="H81" s="41"/>
      <c r="I81" s="33">
        <v>42</v>
      </c>
      <c r="J81" s="34">
        <v>8</v>
      </c>
      <c r="K81" s="35">
        <v>4.5019999999999998</v>
      </c>
      <c r="L81" s="22">
        <v>82</v>
      </c>
      <c r="M81" s="34">
        <v>26</v>
      </c>
      <c r="N81" s="35">
        <v>24.553999999999998</v>
      </c>
      <c r="O81" s="23" t="s">
        <v>222</v>
      </c>
      <c r="P81" s="33">
        <v>42</v>
      </c>
      <c r="Q81" s="34">
        <v>8</v>
      </c>
      <c r="R81" s="35">
        <v>11.37</v>
      </c>
      <c r="S81" s="22">
        <v>82</v>
      </c>
      <c r="T81" s="34">
        <v>26</v>
      </c>
      <c r="U81" s="35">
        <v>14.298999999999999</v>
      </c>
      <c r="V81" s="25">
        <v>3</v>
      </c>
      <c r="W81" s="538">
        <v>1039.53</v>
      </c>
      <c r="X81" s="45">
        <v>1988</v>
      </c>
      <c r="Y81" s="25"/>
      <c r="Z81" s="46" t="s">
        <v>14</v>
      </c>
      <c r="AA81" s="25" t="s">
        <v>15</v>
      </c>
      <c r="AB81" s="39">
        <f t="shared" si="13"/>
        <v>0</v>
      </c>
      <c r="AC81" s="40">
        <f t="shared" si="14"/>
        <v>0.54</v>
      </c>
      <c r="AD81" s="39">
        <f t="shared" si="15"/>
        <v>0</v>
      </c>
      <c r="AE81" s="79">
        <f t="shared" si="16"/>
        <v>0</v>
      </c>
      <c r="AF81" s="185">
        <f t="shared" si="17"/>
        <v>0</v>
      </c>
      <c r="AG81" s="423">
        <f t="shared" si="19"/>
        <v>0</v>
      </c>
      <c r="AH81" s="516">
        <f t="shared" si="18"/>
        <v>0</v>
      </c>
      <c r="AI81" s="197"/>
      <c r="AJ81" s="197"/>
      <c r="AK81" s="197"/>
    </row>
    <row r="82" spans="1:37" ht="12.7">
      <c r="A82" s="47" t="s">
        <v>11</v>
      </c>
      <c r="B82" s="23" t="s">
        <v>541</v>
      </c>
      <c r="C82" s="474" t="s">
        <v>666</v>
      </c>
      <c r="D82" s="139" t="s">
        <v>448</v>
      </c>
      <c r="E82" s="760" t="s">
        <v>10</v>
      </c>
      <c r="F82" s="23"/>
      <c r="G82" s="138" t="s">
        <v>281</v>
      </c>
      <c r="H82" s="41" t="s">
        <v>222</v>
      </c>
      <c r="I82" s="33">
        <v>42</v>
      </c>
      <c r="J82" s="34">
        <v>8</v>
      </c>
      <c r="K82" s="35">
        <v>11.37</v>
      </c>
      <c r="L82" s="22">
        <v>82</v>
      </c>
      <c r="M82" s="34">
        <v>26</v>
      </c>
      <c r="N82" s="35">
        <v>14.298999999999999</v>
      </c>
      <c r="O82" s="23" t="s">
        <v>223</v>
      </c>
      <c r="P82" s="33">
        <v>42</v>
      </c>
      <c r="Q82" s="34">
        <v>8</v>
      </c>
      <c r="R82" s="35">
        <v>4.7409999999999997</v>
      </c>
      <c r="S82" s="22">
        <v>82</v>
      </c>
      <c r="T82" s="34">
        <v>26</v>
      </c>
      <c r="U82" s="35">
        <v>6.0759999999999996</v>
      </c>
      <c r="V82" s="25">
        <v>3</v>
      </c>
      <c r="W82" s="538">
        <v>913.45</v>
      </c>
      <c r="X82" s="45">
        <v>1988</v>
      </c>
      <c r="Y82" s="25"/>
      <c r="Z82" s="46" t="s">
        <v>14</v>
      </c>
      <c r="AA82" s="25" t="s">
        <v>15</v>
      </c>
      <c r="AB82" s="39">
        <f t="shared" si="13"/>
        <v>0</v>
      </c>
      <c r="AC82" s="40">
        <f t="shared" si="14"/>
        <v>0.54</v>
      </c>
      <c r="AD82" s="39">
        <f t="shared" si="15"/>
        <v>0</v>
      </c>
      <c r="AE82" s="79">
        <f t="shared" si="16"/>
        <v>0</v>
      </c>
      <c r="AF82" s="185">
        <f t="shared" si="17"/>
        <v>0</v>
      </c>
      <c r="AG82" s="423">
        <f t="shared" si="19"/>
        <v>0</v>
      </c>
      <c r="AH82" s="516">
        <f t="shared" si="18"/>
        <v>0</v>
      </c>
      <c r="AI82" s="197"/>
      <c r="AJ82" s="197"/>
      <c r="AK82" s="197"/>
    </row>
    <row r="83" spans="1:37" ht="12.7">
      <c r="A83" s="47" t="s">
        <v>11</v>
      </c>
      <c r="B83" s="23" t="s">
        <v>541</v>
      </c>
      <c r="C83" s="474" t="s">
        <v>666</v>
      </c>
      <c r="D83" s="139" t="s">
        <v>448</v>
      </c>
      <c r="E83" s="760" t="s">
        <v>10</v>
      </c>
      <c r="F83" s="23"/>
      <c r="G83" s="138" t="s">
        <v>281</v>
      </c>
      <c r="H83" s="41" t="s">
        <v>223</v>
      </c>
      <c r="I83" s="33">
        <v>42</v>
      </c>
      <c r="J83" s="34">
        <v>8</v>
      </c>
      <c r="K83" s="35">
        <v>4.7409999999999997</v>
      </c>
      <c r="L83" s="22">
        <v>82</v>
      </c>
      <c r="M83" s="34">
        <v>26</v>
      </c>
      <c r="N83" s="35">
        <v>6.0759999999999996</v>
      </c>
      <c r="O83" s="23" t="s">
        <v>224</v>
      </c>
      <c r="P83" s="33">
        <v>42</v>
      </c>
      <c r="Q83" s="34">
        <v>8</v>
      </c>
      <c r="R83" s="35">
        <v>5.8410000000000002</v>
      </c>
      <c r="S83" s="22">
        <v>82</v>
      </c>
      <c r="T83" s="34">
        <v>26</v>
      </c>
      <c r="U83" s="35">
        <v>4.9809999999999999</v>
      </c>
      <c r="V83" s="25">
        <v>3</v>
      </c>
      <c r="W83" s="538">
        <v>138.58000000000001</v>
      </c>
      <c r="X83" s="45">
        <v>1988</v>
      </c>
      <c r="Y83" s="25"/>
      <c r="Z83" s="46" t="s">
        <v>14</v>
      </c>
      <c r="AA83" s="25" t="s">
        <v>15</v>
      </c>
      <c r="AB83" s="39">
        <f t="shared" si="13"/>
        <v>0</v>
      </c>
      <c r="AC83" s="40">
        <f t="shared" si="14"/>
        <v>0.54</v>
      </c>
      <c r="AD83" s="39">
        <f t="shared" si="15"/>
        <v>0</v>
      </c>
      <c r="AE83" s="79">
        <f t="shared" si="16"/>
        <v>0</v>
      </c>
      <c r="AF83" s="185">
        <f t="shared" si="17"/>
        <v>0</v>
      </c>
      <c r="AG83" s="423">
        <f t="shared" si="19"/>
        <v>0</v>
      </c>
      <c r="AH83" s="516">
        <f t="shared" si="18"/>
        <v>0</v>
      </c>
      <c r="AI83" s="197"/>
      <c r="AJ83" s="197"/>
      <c r="AK83" s="197"/>
    </row>
    <row r="84" spans="1:37" ht="12.7">
      <c r="A84" s="47" t="s">
        <v>11</v>
      </c>
      <c r="B84" s="23" t="s">
        <v>541</v>
      </c>
      <c r="C84" s="474" t="s">
        <v>666</v>
      </c>
      <c r="D84" s="139" t="s">
        <v>448</v>
      </c>
      <c r="E84" s="760" t="s">
        <v>10</v>
      </c>
      <c r="F84" s="23"/>
      <c r="G84" s="138" t="s">
        <v>281</v>
      </c>
      <c r="H84" s="41" t="s">
        <v>224</v>
      </c>
      <c r="I84" s="33">
        <v>42</v>
      </c>
      <c r="J84" s="34">
        <v>8</v>
      </c>
      <c r="K84" s="35">
        <v>5.8410000000000002</v>
      </c>
      <c r="L84" s="22">
        <v>82</v>
      </c>
      <c r="M84" s="34">
        <v>26</v>
      </c>
      <c r="N84" s="35">
        <v>4.9809999999999999</v>
      </c>
      <c r="O84" s="23" t="s">
        <v>225</v>
      </c>
      <c r="P84" s="33">
        <v>42</v>
      </c>
      <c r="Q84" s="34">
        <v>8</v>
      </c>
      <c r="R84" s="35">
        <v>5.265</v>
      </c>
      <c r="S84" s="22">
        <v>82</v>
      </c>
      <c r="T84" s="34">
        <v>25</v>
      </c>
      <c r="U84" s="35">
        <v>49.475999999999999</v>
      </c>
      <c r="V84" s="25">
        <v>3</v>
      </c>
      <c r="W84" s="538">
        <v>1169.82</v>
      </c>
      <c r="X84" s="45">
        <v>1988</v>
      </c>
      <c r="Y84" s="25"/>
      <c r="Z84" s="46" t="s">
        <v>14</v>
      </c>
      <c r="AA84" s="25" t="s">
        <v>15</v>
      </c>
      <c r="AB84" s="39">
        <f t="shared" si="13"/>
        <v>0</v>
      </c>
      <c r="AC84" s="40">
        <f t="shared" si="14"/>
        <v>0.54</v>
      </c>
      <c r="AD84" s="39">
        <f t="shared" si="15"/>
        <v>0</v>
      </c>
      <c r="AE84" s="79">
        <f t="shared" si="16"/>
        <v>0</v>
      </c>
      <c r="AF84" s="185">
        <f t="shared" si="17"/>
        <v>0</v>
      </c>
      <c r="AG84" s="423">
        <f t="shared" si="19"/>
        <v>0</v>
      </c>
      <c r="AH84" s="516">
        <f t="shared" si="18"/>
        <v>0</v>
      </c>
      <c r="AI84" s="197"/>
      <c r="AJ84" s="197"/>
      <c r="AK84" s="197"/>
    </row>
    <row r="85" spans="1:37" ht="12.7">
      <c r="A85" s="47" t="s">
        <v>11</v>
      </c>
      <c r="B85" s="23" t="s">
        <v>541</v>
      </c>
      <c r="C85" s="474" t="s">
        <v>666</v>
      </c>
      <c r="D85" s="139" t="s">
        <v>448</v>
      </c>
      <c r="E85" s="760" t="s">
        <v>10</v>
      </c>
      <c r="F85" s="23"/>
      <c r="G85" s="138" t="s">
        <v>281</v>
      </c>
      <c r="H85" s="41" t="s">
        <v>225</v>
      </c>
      <c r="I85" s="33">
        <v>42</v>
      </c>
      <c r="J85" s="34">
        <v>8</v>
      </c>
      <c r="K85" s="35">
        <v>5.265</v>
      </c>
      <c r="L85" s="22">
        <v>82</v>
      </c>
      <c r="M85" s="34">
        <v>25</v>
      </c>
      <c r="N85" s="35">
        <v>49.475999999999999</v>
      </c>
      <c r="O85" s="23" t="s">
        <v>226</v>
      </c>
      <c r="P85" s="33">
        <v>42</v>
      </c>
      <c r="Q85" s="34">
        <v>8</v>
      </c>
      <c r="R85" s="35">
        <v>1.861</v>
      </c>
      <c r="S85" s="22">
        <v>82</v>
      </c>
      <c r="T85" s="34">
        <v>25</v>
      </c>
      <c r="U85" s="35">
        <v>45.28</v>
      </c>
      <c r="V85" s="25">
        <v>3</v>
      </c>
      <c r="W85" s="538">
        <v>467.68</v>
      </c>
      <c r="X85" s="45">
        <v>1988</v>
      </c>
      <c r="Y85" s="25"/>
      <c r="Z85" s="46" t="s">
        <v>14</v>
      </c>
      <c r="AA85" s="25" t="s">
        <v>15</v>
      </c>
      <c r="AB85" s="39">
        <f t="shared" si="13"/>
        <v>0</v>
      </c>
      <c r="AC85" s="40">
        <f t="shared" si="14"/>
        <v>0.54</v>
      </c>
      <c r="AD85" s="39">
        <f t="shared" si="15"/>
        <v>0</v>
      </c>
      <c r="AE85" s="79">
        <f t="shared" si="16"/>
        <v>0</v>
      </c>
      <c r="AF85" s="185">
        <f t="shared" si="17"/>
        <v>0</v>
      </c>
      <c r="AG85" s="423">
        <f t="shared" si="19"/>
        <v>0</v>
      </c>
      <c r="AH85" s="520">
        <f t="shared" si="18"/>
        <v>0</v>
      </c>
      <c r="AI85" s="197"/>
      <c r="AJ85" s="197"/>
      <c r="AK85" s="197"/>
    </row>
    <row r="86" spans="1:37" ht="12.7">
      <c r="A86" s="47" t="s">
        <v>11</v>
      </c>
      <c r="B86" s="23" t="s">
        <v>541</v>
      </c>
      <c r="C86" s="474" t="s">
        <v>666</v>
      </c>
      <c r="D86" s="139" t="s">
        <v>448</v>
      </c>
      <c r="E86" s="760" t="s">
        <v>10</v>
      </c>
      <c r="F86" s="23"/>
      <c r="G86" s="138" t="s">
        <v>281</v>
      </c>
      <c r="H86" s="41" t="s">
        <v>226</v>
      </c>
      <c r="I86" s="33">
        <v>42</v>
      </c>
      <c r="J86" s="34">
        <v>8</v>
      </c>
      <c r="K86" s="35">
        <v>1.861</v>
      </c>
      <c r="L86" s="22">
        <v>82</v>
      </c>
      <c r="M86" s="34">
        <v>25</v>
      </c>
      <c r="N86" s="35">
        <v>45.28</v>
      </c>
      <c r="O86" s="23" t="s">
        <v>197</v>
      </c>
      <c r="P86" s="33">
        <v>42</v>
      </c>
      <c r="Q86" s="34">
        <v>8</v>
      </c>
      <c r="R86" s="35">
        <v>0.39100000000000001</v>
      </c>
      <c r="S86" s="22">
        <v>82</v>
      </c>
      <c r="T86" s="34">
        <v>25</v>
      </c>
      <c r="U86" s="35">
        <v>49.49</v>
      </c>
      <c r="V86" s="25">
        <v>3</v>
      </c>
      <c r="W86" s="538">
        <v>350.43</v>
      </c>
      <c r="X86" s="45">
        <v>1988</v>
      </c>
      <c r="Y86" s="25"/>
      <c r="Z86" s="46" t="s">
        <v>14</v>
      </c>
      <c r="AA86" s="25" t="s">
        <v>15</v>
      </c>
      <c r="AB86" s="39">
        <f t="shared" si="13"/>
        <v>0</v>
      </c>
      <c r="AC86" s="40">
        <f t="shared" si="14"/>
        <v>0.54</v>
      </c>
      <c r="AD86" s="39">
        <f t="shared" si="15"/>
        <v>0</v>
      </c>
      <c r="AE86" s="79">
        <f t="shared" si="16"/>
        <v>0</v>
      </c>
      <c r="AF86" s="185">
        <f t="shared" si="17"/>
        <v>0</v>
      </c>
      <c r="AG86" s="423">
        <f t="shared" si="19"/>
        <v>0</v>
      </c>
      <c r="AH86" s="520">
        <f t="shared" si="18"/>
        <v>0</v>
      </c>
      <c r="AI86" s="197"/>
      <c r="AJ86" s="197"/>
      <c r="AK86" s="197"/>
    </row>
    <row r="87" spans="1:37" ht="12.7">
      <c r="A87" s="47" t="s">
        <v>11</v>
      </c>
      <c r="B87" s="23" t="s">
        <v>541</v>
      </c>
      <c r="C87" s="474" t="s">
        <v>666</v>
      </c>
      <c r="D87" s="139" t="s">
        <v>448</v>
      </c>
      <c r="E87" s="760" t="s">
        <v>10</v>
      </c>
      <c r="F87" s="23"/>
      <c r="G87" s="138" t="s">
        <v>281</v>
      </c>
      <c r="H87" s="41"/>
      <c r="I87" s="33">
        <v>42</v>
      </c>
      <c r="J87" s="34">
        <v>8</v>
      </c>
      <c r="K87" s="35">
        <v>26.626999999999999</v>
      </c>
      <c r="L87" s="22">
        <v>82</v>
      </c>
      <c r="M87" s="34">
        <v>25</v>
      </c>
      <c r="N87" s="35">
        <v>48.277000000000001</v>
      </c>
      <c r="O87" s="41" t="s">
        <v>227</v>
      </c>
      <c r="P87" s="33">
        <v>42</v>
      </c>
      <c r="Q87" s="34">
        <v>8</v>
      </c>
      <c r="R87" s="35">
        <v>31.725</v>
      </c>
      <c r="S87" s="22">
        <v>82</v>
      </c>
      <c r="T87" s="34">
        <v>25</v>
      </c>
      <c r="U87" s="35">
        <v>54.128999999999998</v>
      </c>
      <c r="V87" s="25">
        <v>3</v>
      </c>
      <c r="W87" s="538">
        <v>678.81</v>
      </c>
      <c r="X87" s="45">
        <v>1990</v>
      </c>
      <c r="Y87" s="25"/>
      <c r="Z87" s="46" t="s">
        <v>14</v>
      </c>
      <c r="AA87" s="25" t="s">
        <v>15</v>
      </c>
      <c r="AB87" s="39">
        <f t="shared" si="13"/>
        <v>0</v>
      </c>
      <c r="AC87" s="40">
        <f t="shared" si="14"/>
        <v>0.52</v>
      </c>
      <c r="AD87" s="39">
        <f t="shared" si="15"/>
        <v>0</v>
      </c>
      <c r="AE87" s="79">
        <f t="shared" si="16"/>
        <v>0</v>
      </c>
      <c r="AF87" s="185">
        <f t="shared" si="17"/>
        <v>0</v>
      </c>
      <c r="AG87" s="423">
        <f t="shared" si="19"/>
        <v>0</v>
      </c>
      <c r="AH87" s="520">
        <f t="shared" si="18"/>
        <v>0</v>
      </c>
      <c r="AI87" s="197"/>
      <c r="AJ87" s="197"/>
      <c r="AK87" s="197"/>
    </row>
    <row r="88" spans="1:37" ht="12.7">
      <c r="A88" s="47" t="s">
        <v>11</v>
      </c>
      <c r="B88" s="23" t="s">
        <v>541</v>
      </c>
      <c r="C88" s="474" t="s">
        <v>666</v>
      </c>
      <c r="D88" s="139" t="s">
        <v>448</v>
      </c>
      <c r="E88" s="760" t="s">
        <v>10</v>
      </c>
      <c r="F88" s="23"/>
      <c r="G88" s="138" t="s">
        <v>281</v>
      </c>
      <c r="H88" s="41"/>
      <c r="I88" s="33">
        <v>42</v>
      </c>
      <c r="J88" s="34">
        <v>8</v>
      </c>
      <c r="K88" s="35">
        <v>39.512999999999998</v>
      </c>
      <c r="L88" s="22">
        <v>82</v>
      </c>
      <c r="M88" s="34">
        <v>25</v>
      </c>
      <c r="N88" s="35">
        <v>29.661000000000001</v>
      </c>
      <c r="O88" s="23" t="s">
        <v>228</v>
      </c>
      <c r="P88" s="33">
        <v>42</v>
      </c>
      <c r="Q88" s="34">
        <v>8</v>
      </c>
      <c r="R88" s="35">
        <v>45.051000000000002</v>
      </c>
      <c r="S88" s="22">
        <v>82</v>
      </c>
      <c r="T88" s="34">
        <v>25</v>
      </c>
      <c r="U88" s="35">
        <v>37.494999999999997</v>
      </c>
      <c r="V88" s="25">
        <v>3</v>
      </c>
      <c r="W88" s="538">
        <v>814.11</v>
      </c>
      <c r="X88" s="45">
        <v>1990</v>
      </c>
      <c r="Y88" s="25"/>
      <c r="Z88" s="46" t="s">
        <v>14</v>
      </c>
      <c r="AA88" s="25" t="s">
        <v>15</v>
      </c>
      <c r="AB88" s="39">
        <f t="shared" si="13"/>
        <v>0</v>
      </c>
      <c r="AC88" s="40">
        <f t="shared" si="14"/>
        <v>0.52</v>
      </c>
      <c r="AD88" s="39">
        <f t="shared" si="15"/>
        <v>0</v>
      </c>
      <c r="AE88" s="79">
        <f t="shared" si="16"/>
        <v>0</v>
      </c>
      <c r="AF88" s="185">
        <f t="shared" si="17"/>
        <v>0</v>
      </c>
      <c r="AG88" s="423">
        <f t="shared" si="19"/>
        <v>0</v>
      </c>
      <c r="AH88" s="520">
        <f t="shared" si="18"/>
        <v>0</v>
      </c>
      <c r="AI88" s="197"/>
      <c r="AJ88" s="197"/>
      <c r="AK88" s="197"/>
    </row>
    <row r="89" spans="1:37" ht="12.7">
      <c r="A89" s="50" t="s">
        <v>11</v>
      </c>
      <c r="B89" s="51" t="s">
        <v>541</v>
      </c>
      <c r="C89" s="753" t="s">
        <v>666</v>
      </c>
      <c r="D89" s="279" t="s">
        <v>448</v>
      </c>
      <c r="E89" s="763" t="s">
        <v>10</v>
      </c>
      <c r="F89" s="51"/>
      <c r="G89" s="309"/>
      <c r="H89" s="180"/>
      <c r="I89" s="52">
        <v>42</v>
      </c>
      <c r="J89" s="53">
        <v>6</v>
      </c>
      <c r="K89" s="54">
        <v>25.779</v>
      </c>
      <c r="L89" s="55">
        <v>82</v>
      </c>
      <c r="M89" s="53">
        <v>27</v>
      </c>
      <c r="N89" s="54">
        <v>14.968</v>
      </c>
      <c r="O89" s="180" t="s">
        <v>229</v>
      </c>
      <c r="P89" s="52">
        <v>42</v>
      </c>
      <c r="Q89" s="53">
        <v>6</v>
      </c>
      <c r="R89" s="54">
        <v>33.176000000000002</v>
      </c>
      <c r="S89" s="55">
        <v>82</v>
      </c>
      <c r="T89" s="53">
        <v>27</v>
      </c>
      <c r="U89" s="54">
        <v>13.271000000000001</v>
      </c>
      <c r="V89" s="170">
        <v>3</v>
      </c>
      <c r="W89" s="541">
        <v>759.71</v>
      </c>
      <c r="X89" s="171">
        <v>1992</v>
      </c>
      <c r="Y89" s="170"/>
      <c r="Z89" s="172" t="s">
        <v>14</v>
      </c>
      <c r="AA89" s="170" t="s">
        <v>15</v>
      </c>
      <c r="AB89" s="173">
        <f t="shared" si="13"/>
        <v>11388.052900000001</v>
      </c>
      <c r="AC89" s="60">
        <f t="shared" si="14"/>
        <v>0.51</v>
      </c>
      <c r="AD89" s="173">
        <f t="shared" si="15"/>
        <v>5580.15</v>
      </c>
      <c r="AE89" s="174">
        <f t="shared" si="16"/>
        <v>0</v>
      </c>
      <c r="AF89" s="191">
        <f t="shared" si="17"/>
        <v>0</v>
      </c>
      <c r="AG89" s="437">
        <f t="shared" si="19"/>
        <v>5580.15</v>
      </c>
      <c r="AH89" s="521">
        <f t="shared" si="18"/>
        <v>5580</v>
      </c>
      <c r="AI89" s="197"/>
      <c r="AJ89" s="197"/>
      <c r="AK89" s="197"/>
    </row>
    <row r="90" spans="1:37" ht="12.7">
      <c r="A90" s="321" t="s">
        <v>11</v>
      </c>
      <c r="B90" s="150" t="s">
        <v>541</v>
      </c>
      <c r="C90" s="785" t="s">
        <v>666</v>
      </c>
      <c r="D90" s="322" t="s">
        <v>448</v>
      </c>
      <c r="E90" s="773" t="s">
        <v>10</v>
      </c>
      <c r="F90" s="150"/>
      <c r="G90" s="182"/>
      <c r="H90" s="555" t="s">
        <v>229</v>
      </c>
      <c r="I90" s="556">
        <v>42</v>
      </c>
      <c r="J90" s="557">
        <v>6</v>
      </c>
      <c r="K90" s="558">
        <v>33.176000000000002</v>
      </c>
      <c r="L90" s="559">
        <v>82</v>
      </c>
      <c r="M90" s="557">
        <v>27</v>
      </c>
      <c r="N90" s="558">
        <v>13.271000000000001</v>
      </c>
      <c r="O90" s="150" t="s">
        <v>230</v>
      </c>
      <c r="P90" s="556">
        <v>42</v>
      </c>
      <c r="Q90" s="557">
        <v>6</v>
      </c>
      <c r="R90" s="558">
        <v>35.220999999999997</v>
      </c>
      <c r="S90" s="559">
        <v>82</v>
      </c>
      <c r="T90" s="557">
        <v>27</v>
      </c>
      <c r="U90" s="558">
        <v>15.186999999999999</v>
      </c>
      <c r="V90" s="151">
        <v>3</v>
      </c>
      <c r="W90" s="542">
        <v>252.46</v>
      </c>
      <c r="X90" s="152">
        <v>1992</v>
      </c>
      <c r="Y90" s="151"/>
      <c r="Z90" s="153" t="s">
        <v>14</v>
      </c>
      <c r="AA90" s="151" t="s">
        <v>15</v>
      </c>
      <c r="AB90" s="154">
        <f t="shared" si="13"/>
        <v>3784.3754000000004</v>
      </c>
      <c r="AC90" s="155">
        <f t="shared" si="14"/>
        <v>0.51</v>
      </c>
      <c r="AD90" s="154">
        <f t="shared" si="15"/>
        <v>1854.34</v>
      </c>
      <c r="AE90" s="797">
        <f t="shared" si="16"/>
        <v>0</v>
      </c>
      <c r="AF90" s="186">
        <f t="shared" si="17"/>
        <v>0</v>
      </c>
      <c r="AG90" s="423">
        <f t="shared" si="19"/>
        <v>1854.34</v>
      </c>
      <c r="AH90" s="516">
        <f t="shared" si="18"/>
        <v>1854</v>
      </c>
      <c r="AI90" s="1044">
        <v>6.16</v>
      </c>
      <c r="AJ90" s="1044">
        <v>0.69</v>
      </c>
      <c r="AK90" s="1044">
        <v>8.83</v>
      </c>
    </row>
    <row r="91" spans="1:37" ht="12.7">
      <c r="A91" s="47" t="s">
        <v>11</v>
      </c>
      <c r="B91" s="23" t="s">
        <v>541</v>
      </c>
      <c r="C91" s="474" t="s">
        <v>666</v>
      </c>
      <c r="D91" s="139" t="s">
        <v>448</v>
      </c>
      <c r="E91" s="760" t="s">
        <v>10</v>
      </c>
      <c r="F91" s="23"/>
      <c r="G91" s="138"/>
      <c r="H91" s="471" t="s">
        <v>319</v>
      </c>
      <c r="I91" s="33">
        <v>42</v>
      </c>
      <c r="J91" s="34">
        <v>6</v>
      </c>
      <c r="K91" s="35">
        <v>28.108000000000001</v>
      </c>
      <c r="L91" s="22">
        <v>82</v>
      </c>
      <c r="M91" s="34">
        <v>27</v>
      </c>
      <c r="N91" s="35">
        <v>38.292999999999999</v>
      </c>
      <c r="O91" s="41" t="s">
        <v>231</v>
      </c>
      <c r="P91" s="33">
        <v>42</v>
      </c>
      <c r="Q91" s="34">
        <v>6</v>
      </c>
      <c r="R91" s="35">
        <v>33.176000000000002</v>
      </c>
      <c r="S91" s="22">
        <v>82</v>
      </c>
      <c r="T91" s="34">
        <v>27</v>
      </c>
      <c r="U91" s="35">
        <v>13.271000000000001</v>
      </c>
      <c r="V91" s="25">
        <v>3</v>
      </c>
      <c r="W91" s="538">
        <v>1954.86</v>
      </c>
      <c r="X91" s="45">
        <v>1997</v>
      </c>
      <c r="Y91" s="25"/>
      <c r="Z91" s="46" t="s">
        <v>14</v>
      </c>
      <c r="AA91" s="25" t="s">
        <v>15</v>
      </c>
      <c r="AB91" s="39">
        <f t="shared" si="13"/>
        <v>29303.3514</v>
      </c>
      <c r="AC91" s="40">
        <f t="shared" si="14"/>
        <v>0.42</v>
      </c>
      <c r="AD91" s="39">
        <f t="shared" si="15"/>
        <v>16995.939999999999</v>
      </c>
      <c r="AE91" s="184">
        <f t="shared" si="16"/>
        <v>0</v>
      </c>
      <c r="AF91" s="185">
        <f t="shared" si="17"/>
        <v>0</v>
      </c>
      <c r="AG91" s="423">
        <f t="shared" si="19"/>
        <v>16995.939999999999</v>
      </c>
      <c r="AH91" s="520">
        <f t="shared" si="18"/>
        <v>16995</v>
      </c>
      <c r="AI91" s="1044"/>
      <c r="AJ91" s="1044"/>
      <c r="AK91" s="1044"/>
    </row>
    <row r="92" spans="1:37" ht="12.7">
      <c r="A92" s="47" t="s">
        <v>11</v>
      </c>
      <c r="B92" s="23" t="s">
        <v>541</v>
      </c>
      <c r="C92" s="474" t="s">
        <v>666</v>
      </c>
      <c r="D92" s="139" t="s">
        <v>448</v>
      </c>
      <c r="E92" s="760" t="s">
        <v>10</v>
      </c>
      <c r="F92" s="23"/>
      <c r="G92" s="138"/>
      <c r="H92" s="471" t="s">
        <v>231</v>
      </c>
      <c r="I92" s="33">
        <v>42</v>
      </c>
      <c r="J92" s="34">
        <v>6</v>
      </c>
      <c r="K92" s="35">
        <v>33.176000000000002</v>
      </c>
      <c r="L92" s="22">
        <v>82</v>
      </c>
      <c r="M92" s="34">
        <v>27</v>
      </c>
      <c r="N92" s="35">
        <v>13.271000000000001</v>
      </c>
      <c r="O92" s="41" t="s">
        <v>232</v>
      </c>
      <c r="P92" s="33">
        <v>42</v>
      </c>
      <c r="Q92" s="34">
        <v>6</v>
      </c>
      <c r="R92" s="35">
        <v>26.667999999999999</v>
      </c>
      <c r="S92" s="22">
        <v>82</v>
      </c>
      <c r="T92" s="34">
        <v>27</v>
      </c>
      <c r="U92" s="35">
        <v>32.409999999999997</v>
      </c>
      <c r="V92" s="25">
        <v>3</v>
      </c>
      <c r="W92" s="538">
        <v>1586.15</v>
      </c>
      <c r="X92" s="45">
        <v>1997</v>
      </c>
      <c r="Y92" s="25"/>
      <c r="Z92" s="46" t="s">
        <v>14</v>
      </c>
      <c r="AA92" s="25" t="s">
        <v>15</v>
      </c>
      <c r="AB92" s="39">
        <f t="shared" si="13"/>
        <v>23776.388500000001</v>
      </c>
      <c r="AC92" s="40">
        <f t="shared" si="14"/>
        <v>0.42</v>
      </c>
      <c r="AD92" s="39">
        <f t="shared" si="15"/>
        <v>13790.31</v>
      </c>
      <c r="AE92" s="184">
        <f t="shared" si="16"/>
        <v>0</v>
      </c>
      <c r="AF92" s="185">
        <f t="shared" si="17"/>
        <v>0</v>
      </c>
      <c r="AG92" s="423">
        <f t="shared" si="19"/>
        <v>13790.31</v>
      </c>
      <c r="AH92" s="520">
        <f t="shared" si="18"/>
        <v>13790</v>
      </c>
      <c r="AI92" s="1044"/>
      <c r="AJ92" s="1044"/>
      <c r="AK92" s="1044"/>
    </row>
    <row r="93" spans="1:37" ht="12.7">
      <c r="A93" s="47" t="s">
        <v>11</v>
      </c>
      <c r="B93" s="23" t="s">
        <v>541</v>
      </c>
      <c r="C93" s="474" t="s">
        <v>666</v>
      </c>
      <c r="D93" s="139" t="s">
        <v>448</v>
      </c>
      <c r="E93" s="760" t="s">
        <v>10</v>
      </c>
      <c r="F93" s="23"/>
      <c r="G93" s="138"/>
      <c r="H93" s="471" t="s">
        <v>232</v>
      </c>
      <c r="I93" s="33">
        <v>42</v>
      </c>
      <c r="J93" s="34">
        <v>6</v>
      </c>
      <c r="K93" s="35">
        <v>26.667999999999999</v>
      </c>
      <c r="L93" s="22">
        <v>82</v>
      </c>
      <c r="M93" s="34">
        <v>27</v>
      </c>
      <c r="N93" s="35">
        <v>32.409999999999997</v>
      </c>
      <c r="O93" s="23" t="s">
        <v>233</v>
      </c>
      <c r="P93" s="33">
        <v>42</v>
      </c>
      <c r="Q93" s="34">
        <v>6</v>
      </c>
      <c r="R93" s="35">
        <v>36.445999999999998</v>
      </c>
      <c r="S93" s="22">
        <v>82</v>
      </c>
      <c r="T93" s="34">
        <v>27</v>
      </c>
      <c r="U93" s="35">
        <v>17.739000000000001</v>
      </c>
      <c r="V93" s="25">
        <v>3</v>
      </c>
      <c r="W93" s="538">
        <v>1484.32</v>
      </c>
      <c r="X93" s="45">
        <v>1997</v>
      </c>
      <c r="Y93" s="25"/>
      <c r="Z93" s="46" t="s">
        <v>14</v>
      </c>
      <c r="AA93" s="25" t="s">
        <v>15</v>
      </c>
      <c r="AB93" s="39">
        <f t="shared" si="13"/>
        <v>22249.9568</v>
      </c>
      <c r="AC93" s="40">
        <f t="shared" si="14"/>
        <v>0.42</v>
      </c>
      <c r="AD93" s="39">
        <f t="shared" si="15"/>
        <v>12904.97</v>
      </c>
      <c r="AE93" s="184">
        <f t="shared" si="16"/>
        <v>0</v>
      </c>
      <c r="AF93" s="185">
        <f t="shared" si="17"/>
        <v>0</v>
      </c>
      <c r="AG93" s="423">
        <f t="shared" si="19"/>
        <v>12904.97</v>
      </c>
      <c r="AH93" s="520">
        <f t="shared" si="18"/>
        <v>12904</v>
      </c>
      <c r="AI93" s="1044"/>
      <c r="AJ93" s="1044"/>
      <c r="AK93" s="1044"/>
    </row>
    <row r="94" spans="1:37" ht="12.7">
      <c r="A94" s="50" t="s">
        <v>11</v>
      </c>
      <c r="B94" s="51" t="s">
        <v>541</v>
      </c>
      <c r="C94" s="753" t="s">
        <v>666</v>
      </c>
      <c r="D94" s="279" t="s">
        <v>448</v>
      </c>
      <c r="E94" s="763" t="s">
        <v>10</v>
      </c>
      <c r="F94" s="51"/>
      <c r="G94" s="309"/>
      <c r="H94" s="180" t="s">
        <v>233</v>
      </c>
      <c r="I94" s="52">
        <v>42</v>
      </c>
      <c r="J94" s="53">
        <v>6</v>
      </c>
      <c r="K94" s="54">
        <v>36.445999999999998</v>
      </c>
      <c r="L94" s="55">
        <v>82</v>
      </c>
      <c r="M94" s="53">
        <v>27</v>
      </c>
      <c r="N94" s="54">
        <v>17.739000000000001</v>
      </c>
      <c r="O94" s="51" t="s">
        <v>230</v>
      </c>
      <c r="P94" s="52">
        <v>42</v>
      </c>
      <c r="Q94" s="53">
        <v>6</v>
      </c>
      <c r="R94" s="54">
        <v>35.220999999999997</v>
      </c>
      <c r="S94" s="55">
        <v>82</v>
      </c>
      <c r="T94" s="53">
        <v>27</v>
      </c>
      <c r="U94" s="54">
        <v>15.186999999999999</v>
      </c>
      <c r="V94" s="170">
        <v>3</v>
      </c>
      <c r="W94" s="541">
        <v>228.87</v>
      </c>
      <c r="X94" s="171">
        <v>1992</v>
      </c>
      <c r="Y94" s="170"/>
      <c r="Z94" s="172" t="s">
        <v>14</v>
      </c>
      <c r="AA94" s="170" t="s">
        <v>15</v>
      </c>
      <c r="AB94" s="173">
        <f t="shared" si="13"/>
        <v>3430.7613000000001</v>
      </c>
      <c r="AC94" s="60">
        <f t="shared" si="14"/>
        <v>0.51</v>
      </c>
      <c r="AD94" s="173">
        <f t="shared" si="15"/>
        <v>1681.07</v>
      </c>
      <c r="AE94" s="799">
        <f t="shared" si="16"/>
        <v>0</v>
      </c>
      <c r="AF94" s="191">
        <f t="shared" si="17"/>
        <v>0</v>
      </c>
      <c r="AG94" s="437">
        <f t="shared" si="19"/>
        <v>1681.07</v>
      </c>
      <c r="AH94" s="521">
        <f t="shared" si="18"/>
        <v>1681</v>
      </c>
      <c r="AI94" s="1044"/>
      <c r="AJ94" s="1044"/>
      <c r="AK94" s="1044"/>
    </row>
    <row r="95" spans="1:37" ht="12.7">
      <c r="A95" s="321" t="s">
        <v>11</v>
      </c>
      <c r="B95" s="150" t="s">
        <v>541</v>
      </c>
      <c r="C95" s="785" t="s">
        <v>666</v>
      </c>
      <c r="D95" s="322" t="s">
        <v>448</v>
      </c>
      <c r="E95" s="773" t="s">
        <v>10</v>
      </c>
      <c r="F95" s="150"/>
      <c r="G95" s="182"/>
      <c r="H95" s="798" t="s">
        <v>261</v>
      </c>
      <c r="I95" s="556">
        <v>42</v>
      </c>
      <c r="J95" s="557">
        <v>6</v>
      </c>
      <c r="K95" s="558">
        <v>11.534000000000001</v>
      </c>
      <c r="L95" s="559">
        <v>82</v>
      </c>
      <c r="M95" s="557">
        <v>26</v>
      </c>
      <c r="N95" s="558">
        <v>16.515999999999998</v>
      </c>
      <c r="O95" s="555" t="s">
        <v>234</v>
      </c>
      <c r="P95" s="556">
        <v>42</v>
      </c>
      <c r="Q95" s="557">
        <v>6</v>
      </c>
      <c r="R95" s="558">
        <v>17.062999999999999</v>
      </c>
      <c r="S95" s="559">
        <v>82</v>
      </c>
      <c r="T95" s="557">
        <v>26</v>
      </c>
      <c r="U95" s="558">
        <v>25.454000000000001</v>
      </c>
      <c r="V95" s="151">
        <v>3</v>
      </c>
      <c r="W95" s="542">
        <v>876.02</v>
      </c>
      <c r="X95" s="152">
        <v>1997</v>
      </c>
      <c r="Y95" s="151"/>
      <c r="Z95" s="153" t="s">
        <v>14</v>
      </c>
      <c r="AA95" s="151" t="s">
        <v>15</v>
      </c>
      <c r="AB95" s="154">
        <f t="shared" si="13"/>
        <v>13131.5398</v>
      </c>
      <c r="AC95" s="155">
        <f t="shared" si="14"/>
        <v>0.42</v>
      </c>
      <c r="AD95" s="154">
        <f t="shared" si="15"/>
        <v>7616.29</v>
      </c>
      <c r="AE95" s="156">
        <f t="shared" si="16"/>
        <v>0</v>
      </c>
      <c r="AF95" s="186">
        <f t="shared" si="17"/>
        <v>0</v>
      </c>
      <c r="AG95" s="423">
        <f t="shared" si="19"/>
        <v>7616.29</v>
      </c>
      <c r="AH95" s="520">
        <f t="shared" si="18"/>
        <v>7616</v>
      </c>
      <c r="AI95" s="1044">
        <v>1.01</v>
      </c>
      <c r="AJ95" s="1044">
        <v>1.26</v>
      </c>
      <c r="AK95" s="1044">
        <v>3.53</v>
      </c>
    </row>
    <row r="96" spans="1:37" ht="12.7">
      <c r="A96" s="47" t="s">
        <v>11</v>
      </c>
      <c r="B96" s="23" t="s">
        <v>541</v>
      </c>
      <c r="C96" s="474" t="s">
        <v>666</v>
      </c>
      <c r="D96" s="139" t="s">
        <v>448</v>
      </c>
      <c r="E96" s="760" t="s">
        <v>10</v>
      </c>
      <c r="F96" s="23"/>
      <c r="G96" s="138"/>
      <c r="H96" s="471" t="s">
        <v>234</v>
      </c>
      <c r="I96" s="33">
        <v>42</v>
      </c>
      <c r="J96" s="34">
        <v>6</v>
      </c>
      <c r="K96" s="35">
        <v>17.062999999999999</v>
      </c>
      <c r="L96" s="22">
        <v>82</v>
      </c>
      <c r="M96" s="34">
        <v>26</v>
      </c>
      <c r="N96" s="35">
        <v>25.454000000000001</v>
      </c>
      <c r="O96" s="41" t="s">
        <v>235</v>
      </c>
      <c r="P96" s="33">
        <v>42</v>
      </c>
      <c r="Q96" s="34">
        <v>6</v>
      </c>
      <c r="R96" s="35">
        <v>24.728000000000002</v>
      </c>
      <c r="S96" s="22">
        <v>82</v>
      </c>
      <c r="T96" s="34">
        <v>26</v>
      </c>
      <c r="U96" s="35">
        <v>58.063000000000002</v>
      </c>
      <c r="V96" s="25">
        <v>3</v>
      </c>
      <c r="W96" s="538">
        <v>2577.9899999999998</v>
      </c>
      <c r="X96" s="45">
        <v>1992</v>
      </c>
      <c r="Y96" s="25"/>
      <c r="Z96" s="46" t="s">
        <v>14</v>
      </c>
      <c r="AA96" s="25" t="s">
        <v>15</v>
      </c>
      <c r="AB96" s="39">
        <f t="shared" si="13"/>
        <v>38644.070099999997</v>
      </c>
      <c r="AC96" s="40">
        <f t="shared" si="14"/>
        <v>0.51</v>
      </c>
      <c r="AD96" s="39">
        <f t="shared" si="15"/>
        <v>18935.59</v>
      </c>
      <c r="AE96" s="79">
        <f t="shared" si="16"/>
        <v>0</v>
      </c>
      <c r="AF96" s="185">
        <f t="shared" si="17"/>
        <v>0</v>
      </c>
      <c r="AG96" s="423">
        <f t="shared" si="19"/>
        <v>18935.59</v>
      </c>
      <c r="AH96" s="520">
        <f t="shared" si="18"/>
        <v>18935</v>
      </c>
      <c r="AI96" s="1044"/>
      <c r="AJ96" s="1044"/>
      <c r="AK96" s="1044"/>
    </row>
    <row r="97" spans="1:37" ht="12.7">
      <c r="A97" s="50" t="s">
        <v>11</v>
      </c>
      <c r="B97" s="51" t="s">
        <v>541</v>
      </c>
      <c r="C97" s="753" t="s">
        <v>666</v>
      </c>
      <c r="D97" s="279" t="s">
        <v>448</v>
      </c>
      <c r="E97" s="763" t="s">
        <v>10</v>
      </c>
      <c r="F97" s="51"/>
      <c r="G97" s="309"/>
      <c r="H97" s="800" t="s">
        <v>235</v>
      </c>
      <c r="I97" s="52">
        <v>42</v>
      </c>
      <c r="J97" s="53">
        <v>6</v>
      </c>
      <c r="K97" s="54">
        <v>24.728000000000002</v>
      </c>
      <c r="L97" s="55">
        <v>82</v>
      </c>
      <c r="M97" s="53">
        <v>26</v>
      </c>
      <c r="N97" s="54">
        <v>58.063000000000002</v>
      </c>
      <c r="O97" s="51" t="s">
        <v>230</v>
      </c>
      <c r="P97" s="52">
        <v>42</v>
      </c>
      <c r="Q97" s="53">
        <v>6</v>
      </c>
      <c r="R97" s="54">
        <v>35.220999999999997</v>
      </c>
      <c r="S97" s="55">
        <v>82</v>
      </c>
      <c r="T97" s="53">
        <v>27</v>
      </c>
      <c r="U97" s="54">
        <v>15.186999999999999</v>
      </c>
      <c r="V97" s="170">
        <v>3</v>
      </c>
      <c r="W97" s="541">
        <v>1671.85</v>
      </c>
      <c r="X97" s="171">
        <v>1992</v>
      </c>
      <c r="Y97" s="170"/>
      <c r="Z97" s="172" t="s">
        <v>14</v>
      </c>
      <c r="AA97" s="170" t="s">
        <v>15</v>
      </c>
      <c r="AB97" s="173">
        <f t="shared" si="13"/>
        <v>25061.031499999997</v>
      </c>
      <c r="AC97" s="60">
        <f t="shared" si="20" ref="AC97:AC128">IF(X97=0,0,(VLOOKUP(X97,depreciation,2,)))</f>
        <v>0.51</v>
      </c>
      <c r="AD97" s="173">
        <f t="shared" si="15"/>
        <v>12279.91</v>
      </c>
      <c r="AE97" s="174">
        <f t="shared" si="16"/>
        <v>0</v>
      </c>
      <c r="AF97" s="191">
        <f t="shared" si="17"/>
        <v>0</v>
      </c>
      <c r="AG97" s="437">
        <f t="shared" si="19"/>
        <v>12279.91</v>
      </c>
      <c r="AH97" s="521">
        <f t="shared" si="18"/>
        <v>12279</v>
      </c>
      <c r="AI97" s="1044"/>
      <c r="AJ97" s="1044"/>
      <c r="AK97" s="1044"/>
    </row>
    <row r="98" spans="1:37" ht="12.7">
      <c r="A98" s="321" t="s">
        <v>11</v>
      </c>
      <c r="B98" s="150" t="s">
        <v>541</v>
      </c>
      <c r="C98" s="785" t="s">
        <v>666</v>
      </c>
      <c r="D98" s="322" t="s">
        <v>448</v>
      </c>
      <c r="E98" s="773" t="s">
        <v>10</v>
      </c>
      <c r="F98" s="150"/>
      <c r="G98" s="182"/>
      <c r="H98" s="555" t="s">
        <v>320</v>
      </c>
      <c r="I98" s="556">
        <v>42</v>
      </c>
      <c r="J98" s="557">
        <v>6</v>
      </c>
      <c r="K98" s="558">
        <v>12.401999999999999</v>
      </c>
      <c r="L98" s="559">
        <v>82</v>
      </c>
      <c r="M98" s="557">
        <v>25</v>
      </c>
      <c r="N98" s="558">
        <v>48.738</v>
      </c>
      <c r="O98" s="555" t="s">
        <v>236</v>
      </c>
      <c r="P98" s="556">
        <v>42</v>
      </c>
      <c r="Q98" s="557">
        <v>6</v>
      </c>
      <c r="R98" s="558">
        <v>15.688000000000001</v>
      </c>
      <c r="S98" s="559">
        <v>82</v>
      </c>
      <c r="T98" s="557">
        <v>26</v>
      </c>
      <c r="U98" s="558">
        <v>7.2519999999999998</v>
      </c>
      <c r="V98" s="151">
        <v>4</v>
      </c>
      <c r="W98" s="542">
        <v>1434.91</v>
      </c>
      <c r="X98" s="152">
        <v>1997</v>
      </c>
      <c r="Y98" s="151"/>
      <c r="Z98" s="153" t="s">
        <v>14</v>
      </c>
      <c r="AA98" s="151" t="s">
        <v>15</v>
      </c>
      <c r="AB98" s="154">
        <f t="shared" si="13"/>
        <v>25914.474600000001</v>
      </c>
      <c r="AC98" s="155">
        <f t="shared" si="20"/>
        <v>0.42</v>
      </c>
      <c r="AD98" s="154">
        <f t="shared" si="15"/>
        <v>15030.40</v>
      </c>
      <c r="AE98" s="156">
        <f t="shared" si="16"/>
        <v>0</v>
      </c>
      <c r="AF98" s="186">
        <f t="shared" si="17"/>
        <v>0</v>
      </c>
      <c r="AG98" s="423">
        <f t="shared" si="19"/>
        <v>15030.40</v>
      </c>
      <c r="AH98" s="516">
        <f t="shared" si="18"/>
        <v>15030</v>
      </c>
      <c r="AI98" s="1044">
        <v>2.96</v>
      </c>
      <c r="AJ98" s="1045" t="s">
        <v>613</v>
      </c>
      <c r="AK98" s="1044">
        <v>9.89</v>
      </c>
    </row>
    <row r="99" spans="1:37" ht="12.7">
      <c r="A99" s="47" t="s">
        <v>11</v>
      </c>
      <c r="B99" s="23" t="s">
        <v>541</v>
      </c>
      <c r="C99" s="474" t="s">
        <v>666</v>
      </c>
      <c r="D99" s="139" t="s">
        <v>448</v>
      </c>
      <c r="E99" s="760" t="s">
        <v>10</v>
      </c>
      <c r="F99" s="23"/>
      <c r="G99" s="138"/>
      <c r="H99" s="471" t="s">
        <v>322</v>
      </c>
      <c r="I99" s="33">
        <v>42</v>
      </c>
      <c r="J99" s="34">
        <v>6</v>
      </c>
      <c r="K99" s="35">
        <v>15.688000000000001</v>
      </c>
      <c r="L99" s="22">
        <v>82</v>
      </c>
      <c r="M99" s="34">
        <v>26</v>
      </c>
      <c r="N99" s="35">
        <v>7.2519999999999998</v>
      </c>
      <c r="O99" s="41" t="s">
        <v>237</v>
      </c>
      <c r="P99" s="33">
        <v>42</v>
      </c>
      <c r="Q99" s="34">
        <v>6</v>
      </c>
      <c r="R99" s="35">
        <v>15.454000000000001</v>
      </c>
      <c r="S99" s="22">
        <v>82</v>
      </c>
      <c r="T99" s="34">
        <v>26</v>
      </c>
      <c r="U99" s="35">
        <v>8.827</v>
      </c>
      <c r="V99" s="25">
        <v>3</v>
      </c>
      <c r="W99" s="538">
        <v>121.06</v>
      </c>
      <c r="X99" s="45">
        <v>1993</v>
      </c>
      <c r="Y99" s="25"/>
      <c r="Z99" s="46" t="s">
        <v>14</v>
      </c>
      <c r="AA99" s="25" t="s">
        <v>15</v>
      </c>
      <c r="AB99" s="39">
        <f t="shared" si="13"/>
        <v>1814.6894</v>
      </c>
      <c r="AC99" s="40">
        <f t="shared" si="20"/>
        <v>0.50</v>
      </c>
      <c r="AD99" s="39">
        <f t="shared" si="15"/>
        <v>907.34</v>
      </c>
      <c r="AE99" s="79">
        <f t="shared" si="16"/>
        <v>0</v>
      </c>
      <c r="AF99" s="185">
        <f t="shared" si="17"/>
        <v>0</v>
      </c>
      <c r="AG99" s="423">
        <f t="shared" si="19"/>
        <v>907.34</v>
      </c>
      <c r="AH99" s="516">
        <f t="shared" si="18"/>
        <v>907</v>
      </c>
      <c r="AI99" s="1044"/>
      <c r="AJ99" s="1044"/>
      <c r="AK99" s="1044"/>
    </row>
    <row r="100" spans="1:37" ht="12.7">
      <c r="A100" s="50" t="s">
        <v>11</v>
      </c>
      <c r="B100" s="51" t="s">
        <v>541</v>
      </c>
      <c r="C100" s="753" t="s">
        <v>666</v>
      </c>
      <c r="D100" s="279" t="s">
        <v>448</v>
      </c>
      <c r="E100" s="763" t="s">
        <v>10</v>
      </c>
      <c r="F100" s="140"/>
      <c r="G100" s="307"/>
      <c r="H100" s="472" t="s">
        <v>237</v>
      </c>
      <c r="I100" s="142">
        <v>42</v>
      </c>
      <c r="J100" s="143">
        <v>6</v>
      </c>
      <c r="K100" s="144">
        <v>15.454000000000001</v>
      </c>
      <c r="L100" s="145">
        <v>82</v>
      </c>
      <c r="M100" s="143">
        <v>26</v>
      </c>
      <c r="N100" s="144">
        <v>8.827</v>
      </c>
      <c r="O100" s="181" t="s">
        <v>238</v>
      </c>
      <c r="P100" s="142">
        <v>42</v>
      </c>
      <c r="Q100" s="143">
        <v>6</v>
      </c>
      <c r="R100" s="144">
        <v>17.940999999999999</v>
      </c>
      <c r="S100" s="145">
        <v>82</v>
      </c>
      <c r="T100" s="143">
        <v>26</v>
      </c>
      <c r="U100" s="144">
        <v>12.176</v>
      </c>
      <c r="V100" s="141">
        <v>3</v>
      </c>
      <c r="W100" s="539">
        <v>356.59</v>
      </c>
      <c r="X100" s="146">
        <v>1993</v>
      </c>
      <c r="Y100" s="141"/>
      <c r="Z100" s="147" t="s">
        <v>14</v>
      </c>
      <c r="AA100" s="141" t="s">
        <v>15</v>
      </c>
      <c r="AB100" s="148">
        <f t="shared" si="13"/>
        <v>5345.2840999999999</v>
      </c>
      <c r="AC100" s="149">
        <f t="shared" si="20"/>
        <v>0.50</v>
      </c>
      <c r="AD100" s="148">
        <f t="shared" si="15"/>
        <v>2672.64</v>
      </c>
      <c r="AE100" s="175">
        <f t="shared" si="16"/>
        <v>0</v>
      </c>
      <c r="AF100" s="187">
        <f t="shared" si="17"/>
        <v>0</v>
      </c>
      <c r="AG100" s="423">
        <f t="shared" si="19"/>
        <v>2672.64</v>
      </c>
      <c r="AH100" s="516">
        <f t="shared" si="18"/>
        <v>2672</v>
      </c>
      <c r="AI100" s="1046"/>
      <c r="AJ100" s="1046"/>
      <c r="AK100" s="1046"/>
    </row>
    <row r="101" spans="1:37" ht="12.7">
      <c r="A101" s="203" t="s">
        <v>11</v>
      </c>
      <c r="B101" s="204" t="s">
        <v>541</v>
      </c>
      <c r="C101" s="325" t="s">
        <v>666</v>
      </c>
      <c r="D101" s="757" t="s">
        <v>448</v>
      </c>
      <c r="E101" s="779" t="s">
        <v>10</v>
      </c>
      <c r="F101" s="204"/>
      <c r="G101" s="310"/>
      <c r="H101" s="473" t="s">
        <v>321</v>
      </c>
      <c r="I101" s="206">
        <v>42</v>
      </c>
      <c r="J101" s="207">
        <v>6</v>
      </c>
      <c r="K101" s="208">
        <v>19.071999999999999</v>
      </c>
      <c r="L101" s="209">
        <v>82</v>
      </c>
      <c r="M101" s="207">
        <v>26</v>
      </c>
      <c r="N101" s="208">
        <v>46.215</v>
      </c>
      <c r="O101" s="205" t="s">
        <v>239</v>
      </c>
      <c r="P101" s="206">
        <v>42</v>
      </c>
      <c r="Q101" s="207">
        <v>6</v>
      </c>
      <c r="R101" s="208">
        <v>22.525</v>
      </c>
      <c r="S101" s="209">
        <v>82</v>
      </c>
      <c r="T101" s="207">
        <v>26</v>
      </c>
      <c r="U101" s="208">
        <v>45.661000000000001</v>
      </c>
      <c r="V101" s="210">
        <v>3</v>
      </c>
      <c r="W101" s="543">
        <v>30</v>
      </c>
      <c r="X101" s="211">
        <v>1992</v>
      </c>
      <c r="Y101" s="210"/>
      <c r="Z101" s="212" t="s">
        <v>14</v>
      </c>
      <c r="AA101" s="210" t="s">
        <v>15</v>
      </c>
      <c r="AB101" s="213">
        <f t="shared" si="13"/>
        <v>449.70</v>
      </c>
      <c r="AC101" s="214">
        <f t="shared" si="20"/>
        <v>0.51</v>
      </c>
      <c r="AD101" s="213">
        <f t="shared" si="15"/>
        <v>220.35</v>
      </c>
      <c r="AE101" s="215">
        <f t="shared" si="16"/>
        <v>0</v>
      </c>
      <c r="AF101" s="216">
        <f t="shared" si="17"/>
        <v>0</v>
      </c>
      <c r="AG101" s="260">
        <f t="shared" si="19"/>
        <v>220.35</v>
      </c>
      <c r="AH101" s="522">
        <f t="shared" si="18"/>
        <v>220</v>
      </c>
      <c r="AI101" s="196">
        <v>0.88</v>
      </c>
      <c r="AJ101" s="196">
        <v>0.13</v>
      </c>
      <c r="AK101" s="202" t="s">
        <v>613</v>
      </c>
    </row>
    <row r="102" spans="1:37" ht="12.7">
      <c r="A102" s="203" t="s">
        <v>11</v>
      </c>
      <c r="B102" s="204" t="s">
        <v>541</v>
      </c>
      <c r="C102" s="325" t="s">
        <v>666</v>
      </c>
      <c r="D102" s="757" t="s">
        <v>448</v>
      </c>
      <c r="E102" s="770" t="s">
        <v>10</v>
      </c>
      <c r="F102" s="218"/>
      <c r="G102" s="311" t="s">
        <v>281</v>
      </c>
      <c r="H102" s="554" t="s">
        <v>413</v>
      </c>
      <c r="I102" s="219">
        <v>42</v>
      </c>
      <c r="J102" s="220">
        <v>8</v>
      </c>
      <c r="K102" s="221">
        <v>26.321000000000002</v>
      </c>
      <c r="L102" s="222">
        <v>82</v>
      </c>
      <c r="M102" s="220">
        <v>26</v>
      </c>
      <c r="N102" s="221">
        <v>26.850999999999999</v>
      </c>
      <c r="O102" s="554" t="s">
        <v>240</v>
      </c>
      <c r="P102" s="219">
        <v>42</v>
      </c>
      <c r="Q102" s="220">
        <v>8</v>
      </c>
      <c r="R102" s="221">
        <v>24.931000000000001</v>
      </c>
      <c r="S102" s="222">
        <v>82</v>
      </c>
      <c r="T102" s="220">
        <v>26</v>
      </c>
      <c r="U102" s="221">
        <v>30.433</v>
      </c>
      <c r="V102" s="223">
        <v>3</v>
      </c>
      <c r="W102" s="544">
        <v>356.59</v>
      </c>
      <c r="X102" s="224">
        <v>1990</v>
      </c>
      <c r="Y102" s="223"/>
      <c r="Z102" s="225" t="s">
        <v>14</v>
      </c>
      <c r="AA102" s="223" t="s">
        <v>15</v>
      </c>
      <c r="AB102" s="226">
        <f t="shared" si="13"/>
        <v>0</v>
      </c>
      <c r="AC102" s="227">
        <f t="shared" si="20"/>
        <v>0.52</v>
      </c>
      <c r="AD102" s="226">
        <f t="shared" si="15"/>
        <v>0</v>
      </c>
      <c r="AE102" s="228">
        <f t="shared" si="16"/>
        <v>0</v>
      </c>
      <c r="AF102" s="229">
        <f t="shared" si="17"/>
        <v>0</v>
      </c>
      <c r="AG102" s="423">
        <f t="shared" si="19"/>
        <v>0</v>
      </c>
      <c r="AH102" s="516">
        <f t="shared" si="18"/>
        <v>0</v>
      </c>
      <c r="AI102" s="230"/>
      <c r="AJ102" s="230"/>
      <c r="AK102" s="230"/>
    </row>
    <row r="103" spans="1:37" ht="12.7">
      <c r="A103" s="203" t="s">
        <v>11</v>
      </c>
      <c r="B103" s="204" t="s">
        <v>541</v>
      </c>
      <c r="C103" s="325" t="s">
        <v>666</v>
      </c>
      <c r="D103" s="757" t="s">
        <v>448</v>
      </c>
      <c r="E103" s="769" t="s">
        <v>10</v>
      </c>
      <c r="F103" s="204"/>
      <c r="G103" s="310"/>
      <c r="H103" s="205" t="s">
        <v>307</v>
      </c>
      <c r="I103" s="206">
        <v>42</v>
      </c>
      <c r="J103" s="207">
        <v>6</v>
      </c>
      <c r="K103" s="208">
        <v>11.224</v>
      </c>
      <c r="L103" s="209">
        <v>82</v>
      </c>
      <c r="M103" s="207">
        <v>26</v>
      </c>
      <c r="N103" s="208">
        <v>19.428000000000001</v>
      </c>
      <c r="O103" s="205" t="s">
        <v>261</v>
      </c>
      <c r="P103" s="206" t="s">
        <v>8</v>
      </c>
      <c r="Q103" s="207">
        <v>6</v>
      </c>
      <c r="R103" s="208">
        <v>11.534000000000001</v>
      </c>
      <c r="S103" s="209" t="s">
        <v>108</v>
      </c>
      <c r="T103" s="207">
        <v>26</v>
      </c>
      <c r="U103" s="208">
        <v>16.515999999999998</v>
      </c>
      <c r="V103" s="210">
        <v>3</v>
      </c>
      <c r="W103" s="543">
        <v>278.75</v>
      </c>
      <c r="X103" s="211">
        <v>1996</v>
      </c>
      <c r="Y103" s="210"/>
      <c r="Z103" s="212" t="s">
        <v>14</v>
      </c>
      <c r="AA103" s="210" t="s">
        <v>31</v>
      </c>
      <c r="AB103" s="213">
        <f t="shared" si="13"/>
        <v>8540.90</v>
      </c>
      <c r="AC103" s="214">
        <f t="shared" si="20"/>
        <v>0.44</v>
      </c>
      <c r="AD103" s="213">
        <f t="shared" si="15"/>
        <v>4782.8999999999996</v>
      </c>
      <c r="AE103" s="215">
        <f t="shared" si="16"/>
        <v>0</v>
      </c>
      <c r="AF103" s="216">
        <f t="shared" si="17"/>
        <v>0</v>
      </c>
      <c r="AG103" s="260">
        <f t="shared" si="19"/>
        <v>4782.8999999999996</v>
      </c>
      <c r="AH103" s="522">
        <f t="shared" si="18"/>
        <v>4782</v>
      </c>
      <c r="AI103" s="196">
        <v>1.01</v>
      </c>
      <c r="AJ103" s="196">
        <v>0.69</v>
      </c>
      <c r="AK103" s="196">
        <v>3.53</v>
      </c>
    </row>
    <row r="104" spans="1:37" s="122" customFormat="1" ht="12.7">
      <c r="A104" s="801" t="s">
        <v>11</v>
      </c>
      <c r="B104" s="231" t="s">
        <v>541</v>
      </c>
      <c r="C104" s="785" t="s">
        <v>666</v>
      </c>
      <c r="D104" s="802" t="s">
        <v>448</v>
      </c>
      <c r="E104" s="771" t="s">
        <v>10</v>
      </c>
      <c r="F104" s="231"/>
      <c r="G104" s="312"/>
      <c r="H104" s="232" t="s">
        <v>296</v>
      </c>
      <c r="I104" s="233">
        <v>42</v>
      </c>
      <c r="J104" s="234">
        <v>6</v>
      </c>
      <c r="K104" s="235">
        <v>49.076999999999998</v>
      </c>
      <c r="L104" s="236">
        <v>82</v>
      </c>
      <c r="M104" s="234">
        <v>27</v>
      </c>
      <c r="N104" s="235">
        <v>42.067999999999998</v>
      </c>
      <c r="O104" s="231" t="s">
        <v>241</v>
      </c>
      <c r="P104" s="233">
        <v>42</v>
      </c>
      <c r="Q104" s="234">
        <v>6</v>
      </c>
      <c r="R104" s="235">
        <v>50.025</v>
      </c>
      <c r="S104" s="236">
        <v>82</v>
      </c>
      <c r="T104" s="234">
        <v>27</v>
      </c>
      <c r="U104" s="235">
        <v>37.887999999999998</v>
      </c>
      <c r="V104" s="237">
        <v>3</v>
      </c>
      <c r="W104" s="542">
        <v>329.40</v>
      </c>
      <c r="X104" s="238">
        <v>1990</v>
      </c>
      <c r="Y104" s="237"/>
      <c r="Z104" s="239" t="s">
        <v>60</v>
      </c>
      <c r="AA104" s="237" t="s">
        <v>31</v>
      </c>
      <c r="AB104" s="240">
        <f t="shared" si="13"/>
        <v>10092.815999999999</v>
      </c>
      <c r="AC104" s="241">
        <f t="shared" si="20"/>
        <v>0.52</v>
      </c>
      <c r="AD104" s="240">
        <f t="shared" si="15"/>
        <v>4844.55</v>
      </c>
      <c r="AE104" s="242">
        <f t="shared" si="16"/>
        <v>0</v>
      </c>
      <c r="AF104" s="243">
        <f t="shared" si="17"/>
        <v>0</v>
      </c>
      <c r="AG104" s="488">
        <f t="shared" si="19"/>
        <v>4844.55</v>
      </c>
      <c r="AH104" s="523">
        <f t="shared" si="18"/>
        <v>4844</v>
      </c>
      <c r="AI104" s="1069" t="s">
        <v>624</v>
      </c>
      <c r="AJ104" s="1070"/>
      <c r="AK104" s="1071"/>
    </row>
    <row r="105" spans="1:37" s="122" customFormat="1" ht="12.7">
      <c r="A105" s="108" t="s">
        <v>11</v>
      </c>
      <c r="B105" s="109" t="s">
        <v>541</v>
      </c>
      <c r="C105" s="474" t="s">
        <v>666</v>
      </c>
      <c r="D105" s="319" t="s">
        <v>448</v>
      </c>
      <c r="E105" s="772" t="s">
        <v>10</v>
      </c>
      <c r="F105" s="109"/>
      <c r="G105" s="110"/>
      <c r="H105" s="111" t="s">
        <v>241</v>
      </c>
      <c r="I105" s="112">
        <v>42</v>
      </c>
      <c r="J105" s="113">
        <v>6</v>
      </c>
      <c r="K105" s="114">
        <v>50.025</v>
      </c>
      <c r="L105" s="115">
        <v>82</v>
      </c>
      <c r="M105" s="113">
        <v>27</v>
      </c>
      <c r="N105" s="114">
        <v>37.887999999999998</v>
      </c>
      <c r="O105" s="109" t="s">
        <v>242</v>
      </c>
      <c r="P105" s="112">
        <v>42</v>
      </c>
      <c r="Q105" s="113">
        <v>6</v>
      </c>
      <c r="R105" s="114">
        <v>49.11</v>
      </c>
      <c r="S105" s="115">
        <v>82</v>
      </c>
      <c r="T105" s="113">
        <v>27</v>
      </c>
      <c r="U105" s="114">
        <v>31.747</v>
      </c>
      <c r="V105" s="116">
        <v>3</v>
      </c>
      <c r="W105" s="538">
        <v>472.08</v>
      </c>
      <c r="X105" s="117">
        <v>1990</v>
      </c>
      <c r="Y105" s="116"/>
      <c r="Z105" s="118" t="s">
        <v>60</v>
      </c>
      <c r="AA105" s="116" t="s">
        <v>31</v>
      </c>
      <c r="AB105" s="119">
        <f t="shared" si="13"/>
        <v>14464.531199999999</v>
      </c>
      <c r="AC105" s="120">
        <f t="shared" si="20"/>
        <v>0.52</v>
      </c>
      <c r="AD105" s="119">
        <f t="shared" si="15"/>
        <v>6942.97</v>
      </c>
      <c r="AE105" s="121">
        <f t="shared" si="16"/>
        <v>0</v>
      </c>
      <c r="AF105" s="192">
        <f t="shared" si="17"/>
        <v>0</v>
      </c>
      <c r="AG105" s="488">
        <f t="shared" si="19"/>
        <v>6942.97</v>
      </c>
      <c r="AH105" s="523">
        <f t="shared" si="18"/>
        <v>6942</v>
      </c>
      <c r="AI105" s="1072"/>
      <c r="AJ105" s="1073"/>
      <c r="AK105" s="1074"/>
    </row>
    <row r="106" spans="1:37" s="122" customFormat="1" ht="12.7">
      <c r="A106" s="108" t="s">
        <v>11</v>
      </c>
      <c r="B106" s="109" t="s">
        <v>541</v>
      </c>
      <c r="C106" s="474" t="s">
        <v>666</v>
      </c>
      <c r="D106" s="319" t="s">
        <v>448</v>
      </c>
      <c r="E106" s="772" t="s">
        <v>10</v>
      </c>
      <c r="F106" s="109"/>
      <c r="G106" s="110"/>
      <c r="H106" s="111" t="s">
        <v>242</v>
      </c>
      <c r="I106" s="112">
        <v>42</v>
      </c>
      <c r="J106" s="113">
        <v>6</v>
      </c>
      <c r="K106" s="114">
        <v>49.11</v>
      </c>
      <c r="L106" s="115">
        <v>82</v>
      </c>
      <c r="M106" s="113">
        <v>27</v>
      </c>
      <c r="N106" s="114">
        <v>31.747</v>
      </c>
      <c r="O106" s="109" t="s">
        <v>230</v>
      </c>
      <c r="P106" s="112">
        <v>42</v>
      </c>
      <c r="Q106" s="113">
        <v>6</v>
      </c>
      <c r="R106" s="114">
        <v>35.220999999999997</v>
      </c>
      <c r="S106" s="115">
        <v>82</v>
      </c>
      <c r="T106" s="113">
        <v>27</v>
      </c>
      <c r="U106" s="114">
        <v>15.186999999999999</v>
      </c>
      <c r="V106" s="116">
        <v>3</v>
      </c>
      <c r="W106" s="538">
        <v>2066.75</v>
      </c>
      <c r="X106" s="117">
        <v>1990</v>
      </c>
      <c r="Y106" s="116"/>
      <c r="Z106" s="118" t="s">
        <v>60</v>
      </c>
      <c r="AA106" s="116" t="s">
        <v>31</v>
      </c>
      <c r="AB106" s="119">
        <f t="shared" si="13"/>
        <v>63325.22</v>
      </c>
      <c r="AC106" s="120">
        <f t="shared" si="20"/>
        <v>0.52</v>
      </c>
      <c r="AD106" s="119">
        <f t="shared" si="15"/>
        <v>30396.11</v>
      </c>
      <c r="AE106" s="121">
        <f t="shared" si="16"/>
        <v>0</v>
      </c>
      <c r="AF106" s="192">
        <f t="shared" si="17"/>
        <v>0</v>
      </c>
      <c r="AG106" s="488">
        <f t="shared" si="19"/>
        <v>30396.11</v>
      </c>
      <c r="AH106" s="523">
        <f t="shared" si="18"/>
        <v>30396</v>
      </c>
      <c r="AI106" s="1072"/>
      <c r="AJ106" s="1073"/>
      <c r="AK106" s="1074"/>
    </row>
    <row r="107" spans="1:37" s="122" customFormat="1" ht="12.7">
      <c r="A107" s="108" t="s">
        <v>11</v>
      </c>
      <c r="B107" s="109" t="s">
        <v>541</v>
      </c>
      <c r="C107" s="474" t="s">
        <v>666</v>
      </c>
      <c r="D107" s="319" t="s">
        <v>448</v>
      </c>
      <c r="E107" s="772" t="s">
        <v>10</v>
      </c>
      <c r="F107" s="109"/>
      <c r="G107" s="110"/>
      <c r="H107" s="111"/>
      <c r="I107" s="112">
        <v>42</v>
      </c>
      <c r="J107" s="113">
        <v>6</v>
      </c>
      <c r="K107" s="114">
        <v>42.956000000000003</v>
      </c>
      <c r="L107" s="115">
        <v>82</v>
      </c>
      <c r="M107" s="113">
        <v>27</v>
      </c>
      <c r="N107" s="114">
        <v>24.646000000000001</v>
      </c>
      <c r="O107" s="111" t="s">
        <v>243</v>
      </c>
      <c r="P107" s="112">
        <v>42</v>
      </c>
      <c r="Q107" s="113">
        <v>7</v>
      </c>
      <c r="R107" s="114">
        <v>31.366</v>
      </c>
      <c r="S107" s="115">
        <v>82</v>
      </c>
      <c r="T107" s="113">
        <v>26</v>
      </c>
      <c r="U107" s="114">
        <v>0.55000000000000004</v>
      </c>
      <c r="V107" s="116">
        <v>3</v>
      </c>
      <c r="W107" s="538">
        <v>8135.85</v>
      </c>
      <c r="X107" s="117">
        <v>1990</v>
      </c>
      <c r="Y107" s="116"/>
      <c r="Z107" s="118" t="s">
        <v>60</v>
      </c>
      <c r="AA107" s="116" t="s">
        <v>31</v>
      </c>
      <c r="AB107" s="119">
        <f t="shared" si="13"/>
        <v>249282.44400000002</v>
      </c>
      <c r="AC107" s="120">
        <f t="shared" si="20"/>
        <v>0.52</v>
      </c>
      <c r="AD107" s="119">
        <f t="shared" si="15"/>
        <v>119655.57</v>
      </c>
      <c r="AE107" s="121">
        <f t="shared" si="16"/>
        <v>0</v>
      </c>
      <c r="AF107" s="192">
        <f t="shared" si="17"/>
        <v>0</v>
      </c>
      <c r="AG107" s="488">
        <f t="shared" si="19"/>
        <v>119655.57</v>
      </c>
      <c r="AH107" s="804">
        <f t="shared" si="18"/>
        <v>119655</v>
      </c>
      <c r="AI107" s="1072"/>
      <c r="AJ107" s="1073"/>
      <c r="AK107" s="1074"/>
    </row>
    <row r="108" spans="1:37" s="122" customFormat="1" ht="12.7">
      <c r="A108" s="805" t="s">
        <v>11</v>
      </c>
      <c r="B108" s="806" t="s">
        <v>541</v>
      </c>
      <c r="C108" s="753" t="s">
        <v>666</v>
      </c>
      <c r="D108" s="807" t="s">
        <v>448</v>
      </c>
      <c r="E108" s="808" t="s">
        <v>10</v>
      </c>
      <c r="F108" s="806"/>
      <c r="G108" s="809"/>
      <c r="H108" s="810" t="s">
        <v>243</v>
      </c>
      <c r="I108" s="811">
        <v>42</v>
      </c>
      <c r="J108" s="812">
        <v>7</v>
      </c>
      <c r="K108" s="813">
        <v>31.366</v>
      </c>
      <c r="L108" s="814">
        <v>82</v>
      </c>
      <c r="M108" s="812">
        <v>26</v>
      </c>
      <c r="N108" s="813">
        <v>0.55000000000000004</v>
      </c>
      <c r="O108" s="810" t="s">
        <v>244</v>
      </c>
      <c r="P108" s="811">
        <v>42</v>
      </c>
      <c r="Q108" s="812">
        <v>7</v>
      </c>
      <c r="R108" s="813">
        <v>58.241999999999997</v>
      </c>
      <c r="S108" s="814">
        <v>82</v>
      </c>
      <c r="T108" s="812">
        <v>25</v>
      </c>
      <c r="U108" s="813">
        <v>59.021999999999998</v>
      </c>
      <c r="V108" s="815">
        <v>3</v>
      </c>
      <c r="W108" s="541">
        <v>2669.60</v>
      </c>
      <c r="X108" s="816">
        <v>1990</v>
      </c>
      <c r="Y108" s="815"/>
      <c r="Z108" s="817" t="s">
        <v>60</v>
      </c>
      <c r="AA108" s="815" t="s">
        <v>31</v>
      </c>
      <c r="AB108" s="818">
        <f t="shared" si="13"/>
        <v>81796.543999999994</v>
      </c>
      <c r="AC108" s="819">
        <f t="shared" si="20"/>
        <v>0.52</v>
      </c>
      <c r="AD108" s="818">
        <f t="shared" si="15"/>
        <v>39262.339999999997</v>
      </c>
      <c r="AE108" s="820">
        <f t="shared" si="16"/>
        <v>0</v>
      </c>
      <c r="AF108" s="821">
        <f t="shared" si="17"/>
        <v>0</v>
      </c>
      <c r="AG108" s="822">
        <f t="shared" si="19"/>
        <v>39262.339999999997</v>
      </c>
      <c r="AH108" s="823">
        <f t="shared" si="18"/>
        <v>39262</v>
      </c>
      <c r="AI108" s="1075"/>
      <c r="AJ108" s="1076"/>
      <c r="AK108" s="1077"/>
    </row>
    <row r="109" spans="1:37" s="318" customFormat="1" ht="12.7">
      <c r="A109" s="824" t="s">
        <v>11</v>
      </c>
      <c r="B109" s="825" t="s">
        <v>541</v>
      </c>
      <c r="C109" s="825" t="s">
        <v>666</v>
      </c>
      <c r="D109" s="826" t="s">
        <v>448</v>
      </c>
      <c r="E109" s="827" t="s">
        <v>10</v>
      </c>
      <c r="F109" s="825"/>
      <c r="G109" s="717" t="s">
        <v>281</v>
      </c>
      <c r="H109" s="828" t="s">
        <v>244</v>
      </c>
      <c r="I109" s="829">
        <v>42</v>
      </c>
      <c r="J109" s="830">
        <v>7</v>
      </c>
      <c r="K109" s="831">
        <v>58.241999999999997</v>
      </c>
      <c r="L109" s="832">
        <v>82</v>
      </c>
      <c r="M109" s="830">
        <v>25</v>
      </c>
      <c r="N109" s="831">
        <v>59.021999999999998</v>
      </c>
      <c r="O109" s="825" t="s">
        <v>197</v>
      </c>
      <c r="P109" s="829">
        <v>42</v>
      </c>
      <c r="Q109" s="830">
        <v>8</v>
      </c>
      <c r="R109" s="831">
        <v>0.39100000000000001</v>
      </c>
      <c r="S109" s="832">
        <v>82</v>
      </c>
      <c r="T109" s="830">
        <v>25</v>
      </c>
      <c r="U109" s="831">
        <v>49.49</v>
      </c>
      <c r="V109" s="825">
        <v>3</v>
      </c>
      <c r="W109" s="833">
        <v>922.97</v>
      </c>
      <c r="X109" s="834">
        <v>1990</v>
      </c>
      <c r="Y109" s="825"/>
      <c r="Z109" s="723" t="s">
        <v>60</v>
      </c>
      <c r="AA109" s="825" t="s">
        <v>31</v>
      </c>
      <c r="AB109" s="835">
        <f t="shared" si="13"/>
        <v>0</v>
      </c>
      <c r="AC109" s="836">
        <f t="shared" si="20"/>
        <v>0.52</v>
      </c>
      <c r="AD109" s="835">
        <f t="shared" si="15"/>
        <v>0</v>
      </c>
      <c r="AE109" s="715">
        <f t="shared" si="16"/>
        <v>0</v>
      </c>
      <c r="AF109" s="716">
        <f t="shared" si="17"/>
        <v>0</v>
      </c>
      <c r="AG109" s="700">
        <f t="shared" si="19"/>
        <v>0</v>
      </c>
      <c r="AH109" s="701">
        <f t="shared" si="18"/>
        <v>0</v>
      </c>
      <c r="AI109" s="345"/>
      <c r="AJ109" s="346"/>
      <c r="AK109" s="346"/>
    </row>
    <row r="110" spans="1:37" s="122" customFormat="1" ht="12.7">
      <c r="A110" s="801" t="s">
        <v>11</v>
      </c>
      <c r="B110" s="231" t="s">
        <v>541</v>
      </c>
      <c r="C110" s="785" t="s">
        <v>666</v>
      </c>
      <c r="D110" s="802" t="s">
        <v>448</v>
      </c>
      <c r="E110" s="771" t="s">
        <v>10</v>
      </c>
      <c r="F110" s="231"/>
      <c r="G110" s="312"/>
      <c r="H110" s="232"/>
      <c r="I110" s="233">
        <v>42</v>
      </c>
      <c r="J110" s="234">
        <v>6</v>
      </c>
      <c r="K110" s="235">
        <v>53.575</v>
      </c>
      <c r="L110" s="236">
        <v>82</v>
      </c>
      <c r="M110" s="234">
        <v>27</v>
      </c>
      <c r="N110" s="235">
        <v>40.695</v>
      </c>
      <c r="O110" s="231" t="s">
        <v>245</v>
      </c>
      <c r="P110" s="233">
        <v>42</v>
      </c>
      <c r="Q110" s="234">
        <v>6</v>
      </c>
      <c r="R110" s="235">
        <v>50.527999999999999</v>
      </c>
      <c r="S110" s="236">
        <v>82</v>
      </c>
      <c r="T110" s="234">
        <v>27</v>
      </c>
      <c r="U110" s="235">
        <v>37.985</v>
      </c>
      <c r="V110" s="237">
        <v>3</v>
      </c>
      <c r="W110" s="542">
        <v>369.98</v>
      </c>
      <c r="X110" s="238">
        <v>1990</v>
      </c>
      <c r="Y110" s="237"/>
      <c r="Z110" s="239" t="s">
        <v>53</v>
      </c>
      <c r="AA110" s="237" t="s">
        <v>31</v>
      </c>
      <c r="AB110" s="240">
        <f t="shared" si="13"/>
        <v>11336.1872</v>
      </c>
      <c r="AC110" s="241">
        <f t="shared" si="20"/>
        <v>0.52</v>
      </c>
      <c r="AD110" s="240">
        <f t="shared" si="15"/>
        <v>5441.37</v>
      </c>
      <c r="AE110" s="242">
        <f t="shared" si="16"/>
        <v>0</v>
      </c>
      <c r="AF110" s="243">
        <f t="shared" si="17"/>
        <v>0</v>
      </c>
      <c r="AG110" s="488">
        <f t="shared" si="19"/>
        <v>5441.37</v>
      </c>
      <c r="AH110" s="523">
        <f t="shared" si="18"/>
        <v>5441</v>
      </c>
      <c r="AI110" s="1069" t="s">
        <v>624</v>
      </c>
      <c r="AJ110" s="1070"/>
      <c r="AK110" s="1071"/>
    </row>
    <row r="111" spans="1:37" s="122" customFormat="1" ht="12.7">
      <c r="A111" s="108" t="s">
        <v>11</v>
      </c>
      <c r="B111" s="109" t="s">
        <v>541</v>
      </c>
      <c r="C111" s="474" t="s">
        <v>666</v>
      </c>
      <c r="D111" s="319" t="s">
        <v>448</v>
      </c>
      <c r="E111" s="772" t="s">
        <v>10</v>
      </c>
      <c r="F111" s="109"/>
      <c r="G111" s="110"/>
      <c r="H111" s="111" t="s">
        <v>245</v>
      </c>
      <c r="I111" s="112">
        <v>42</v>
      </c>
      <c r="J111" s="113">
        <v>6</v>
      </c>
      <c r="K111" s="114">
        <v>50.527999999999999</v>
      </c>
      <c r="L111" s="115">
        <v>82</v>
      </c>
      <c r="M111" s="113">
        <v>27</v>
      </c>
      <c r="N111" s="114">
        <v>37.985</v>
      </c>
      <c r="O111" s="109" t="s">
        <v>246</v>
      </c>
      <c r="P111" s="112">
        <v>42</v>
      </c>
      <c r="Q111" s="113">
        <v>6</v>
      </c>
      <c r="R111" s="114">
        <v>49.745</v>
      </c>
      <c r="S111" s="115">
        <v>82</v>
      </c>
      <c r="T111" s="113">
        <v>27</v>
      </c>
      <c r="U111" s="114">
        <v>31.498999999999999</v>
      </c>
      <c r="V111" s="116">
        <v>3</v>
      </c>
      <c r="W111" s="538">
        <v>495.31</v>
      </c>
      <c r="X111" s="117">
        <v>1990</v>
      </c>
      <c r="Y111" s="116"/>
      <c r="Z111" s="118" t="s">
        <v>53</v>
      </c>
      <c r="AA111" s="116" t="s">
        <v>31</v>
      </c>
      <c r="AB111" s="119">
        <f t="shared" si="13"/>
        <v>15176.2984</v>
      </c>
      <c r="AC111" s="120">
        <f t="shared" si="20"/>
        <v>0.52</v>
      </c>
      <c r="AD111" s="119">
        <f t="shared" si="15"/>
        <v>7284.62</v>
      </c>
      <c r="AE111" s="121">
        <f t="shared" si="16"/>
        <v>0</v>
      </c>
      <c r="AF111" s="192">
        <f t="shared" si="17"/>
        <v>0</v>
      </c>
      <c r="AG111" s="488">
        <f t="shared" si="19"/>
        <v>7284.62</v>
      </c>
      <c r="AH111" s="523">
        <f t="shared" si="18"/>
        <v>7284</v>
      </c>
      <c r="AI111" s="1072"/>
      <c r="AJ111" s="1073"/>
      <c r="AK111" s="1074"/>
    </row>
    <row r="112" spans="1:37" s="122" customFormat="1" ht="12.7">
      <c r="A112" s="108" t="s">
        <v>11</v>
      </c>
      <c r="B112" s="109" t="s">
        <v>541</v>
      </c>
      <c r="C112" s="474" t="s">
        <v>666</v>
      </c>
      <c r="D112" s="319" t="s">
        <v>448</v>
      </c>
      <c r="E112" s="772" t="s">
        <v>10</v>
      </c>
      <c r="F112" s="109"/>
      <c r="G112" s="110"/>
      <c r="H112" s="111" t="s">
        <v>246</v>
      </c>
      <c r="I112" s="112">
        <v>42</v>
      </c>
      <c r="J112" s="113">
        <v>6</v>
      </c>
      <c r="K112" s="114">
        <v>49.745</v>
      </c>
      <c r="L112" s="115">
        <v>82</v>
      </c>
      <c r="M112" s="113">
        <v>27</v>
      </c>
      <c r="N112" s="114">
        <v>31.498999999999999</v>
      </c>
      <c r="O112" s="109" t="s">
        <v>230</v>
      </c>
      <c r="P112" s="112">
        <v>42</v>
      </c>
      <c r="Q112" s="113">
        <v>6</v>
      </c>
      <c r="R112" s="114">
        <v>35.220999999999997</v>
      </c>
      <c r="S112" s="115">
        <v>82</v>
      </c>
      <c r="T112" s="113">
        <v>27</v>
      </c>
      <c r="U112" s="114">
        <v>15.186999999999999</v>
      </c>
      <c r="V112" s="116">
        <v>3</v>
      </c>
      <c r="W112" s="538">
        <v>2002.94</v>
      </c>
      <c r="X112" s="117">
        <v>1990</v>
      </c>
      <c r="Y112" s="116"/>
      <c r="Z112" s="118" t="s">
        <v>53</v>
      </c>
      <c r="AA112" s="116" t="s">
        <v>31</v>
      </c>
      <c r="AB112" s="119">
        <f t="shared" si="13"/>
        <v>61370.081600000005</v>
      </c>
      <c r="AC112" s="120">
        <f t="shared" si="20"/>
        <v>0.52</v>
      </c>
      <c r="AD112" s="119">
        <f t="shared" si="15"/>
        <v>29457.64</v>
      </c>
      <c r="AE112" s="121">
        <f t="shared" si="16"/>
        <v>0</v>
      </c>
      <c r="AF112" s="192">
        <f t="shared" si="17"/>
        <v>0</v>
      </c>
      <c r="AG112" s="488">
        <f t="shared" si="19"/>
        <v>29457.64</v>
      </c>
      <c r="AH112" s="523">
        <f t="shared" si="18"/>
        <v>29457</v>
      </c>
      <c r="AI112" s="1072"/>
      <c r="AJ112" s="1073"/>
      <c r="AK112" s="1074"/>
    </row>
    <row r="113" spans="1:37" s="122" customFormat="1" ht="12.7">
      <c r="A113" s="108" t="s">
        <v>11</v>
      </c>
      <c r="B113" s="109" t="s">
        <v>541</v>
      </c>
      <c r="C113" s="474" t="s">
        <v>666</v>
      </c>
      <c r="D113" s="319" t="s">
        <v>448</v>
      </c>
      <c r="E113" s="772" t="s">
        <v>10</v>
      </c>
      <c r="F113" s="109"/>
      <c r="G113" s="110"/>
      <c r="H113" s="111"/>
      <c r="I113" s="112">
        <v>42</v>
      </c>
      <c r="J113" s="113">
        <v>6</v>
      </c>
      <c r="K113" s="114">
        <v>43.816000000000003</v>
      </c>
      <c r="L113" s="115">
        <v>82</v>
      </c>
      <c r="M113" s="113">
        <v>27</v>
      </c>
      <c r="N113" s="114">
        <v>24.565</v>
      </c>
      <c r="O113" s="111" t="s">
        <v>247</v>
      </c>
      <c r="P113" s="112">
        <v>42</v>
      </c>
      <c r="Q113" s="113">
        <v>7</v>
      </c>
      <c r="R113" s="114">
        <v>33.075000000000003</v>
      </c>
      <c r="S113" s="115">
        <v>82</v>
      </c>
      <c r="T113" s="113">
        <v>25</v>
      </c>
      <c r="U113" s="114">
        <v>59.302999999999997</v>
      </c>
      <c r="V113" s="116">
        <v>3</v>
      </c>
      <c r="W113" s="538">
        <v>8135.85</v>
      </c>
      <c r="X113" s="117">
        <v>1990</v>
      </c>
      <c r="Y113" s="116"/>
      <c r="Z113" s="118" t="s">
        <v>53</v>
      </c>
      <c r="AA113" s="116" t="s">
        <v>31</v>
      </c>
      <c r="AB113" s="119">
        <f t="shared" si="13"/>
        <v>249282.44400000002</v>
      </c>
      <c r="AC113" s="120">
        <f t="shared" si="20"/>
        <v>0.52</v>
      </c>
      <c r="AD113" s="119">
        <f t="shared" si="15"/>
        <v>119655.57</v>
      </c>
      <c r="AE113" s="121">
        <f t="shared" si="16"/>
        <v>0</v>
      </c>
      <c r="AF113" s="192">
        <f t="shared" si="17"/>
        <v>0</v>
      </c>
      <c r="AG113" s="488">
        <f t="shared" si="19"/>
        <v>119655.57</v>
      </c>
      <c r="AH113" s="523">
        <f t="shared" si="18"/>
        <v>119655</v>
      </c>
      <c r="AI113" s="1072"/>
      <c r="AJ113" s="1073"/>
      <c r="AK113" s="1074"/>
    </row>
    <row r="114" spans="1:37" s="122" customFormat="1" ht="12.7">
      <c r="A114" s="805" t="s">
        <v>11</v>
      </c>
      <c r="B114" s="806" t="s">
        <v>541</v>
      </c>
      <c r="C114" s="753" t="s">
        <v>666</v>
      </c>
      <c r="D114" s="807" t="s">
        <v>448</v>
      </c>
      <c r="E114" s="808" t="s">
        <v>10</v>
      </c>
      <c r="F114" s="806"/>
      <c r="G114" s="809"/>
      <c r="H114" s="810" t="s">
        <v>247</v>
      </c>
      <c r="I114" s="811">
        <v>42</v>
      </c>
      <c r="J114" s="812">
        <v>7</v>
      </c>
      <c r="K114" s="813">
        <v>33.075000000000003</v>
      </c>
      <c r="L114" s="814">
        <v>82</v>
      </c>
      <c r="M114" s="812">
        <v>25</v>
      </c>
      <c r="N114" s="813">
        <v>59.302999999999997</v>
      </c>
      <c r="O114" s="810" t="s">
        <v>248</v>
      </c>
      <c r="P114" s="811">
        <v>42</v>
      </c>
      <c r="Q114" s="812">
        <v>7</v>
      </c>
      <c r="R114" s="813">
        <v>57.603999999999999</v>
      </c>
      <c r="S114" s="814">
        <v>82</v>
      </c>
      <c r="T114" s="812">
        <v>25</v>
      </c>
      <c r="U114" s="813">
        <v>58.225999999999999</v>
      </c>
      <c r="V114" s="815">
        <v>3</v>
      </c>
      <c r="W114" s="541">
        <v>2669.60</v>
      </c>
      <c r="X114" s="816">
        <v>1990</v>
      </c>
      <c r="Y114" s="815"/>
      <c r="Z114" s="817" t="s">
        <v>53</v>
      </c>
      <c r="AA114" s="815" t="s">
        <v>31</v>
      </c>
      <c r="AB114" s="818">
        <f t="shared" si="13"/>
        <v>81796.543999999994</v>
      </c>
      <c r="AC114" s="819">
        <f t="shared" si="20"/>
        <v>0.52</v>
      </c>
      <c r="AD114" s="818">
        <f t="shared" si="15"/>
        <v>39262.339999999997</v>
      </c>
      <c r="AE114" s="820">
        <f t="shared" si="16"/>
        <v>0</v>
      </c>
      <c r="AF114" s="821">
        <f t="shared" si="17"/>
        <v>0</v>
      </c>
      <c r="AG114" s="822">
        <f t="shared" si="19"/>
        <v>39262.339999999997</v>
      </c>
      <c r="AH114" s="823">
        <f t="shared" si="18"/>
        <v>39262</v>
      </c>
      <c r="AI114" s="1075"/>
      <c r="AJ114" s="1076"/>
      <c r="AK114" s="1077"/>
    </row>
    <row r="115" spans="1:37" s="122" customFormat="1" ht="12.7">
      <c r="A115" s="702" t="s">
        <v>11</v>
      </c>
      <c r="B115" s="710" t="s">
        <v>541</v>
      </c>
      <c r="C115" s="825" t="s">
        <v>666</v>
      </c>
      <c r="D115" s="837" t="s">
        <v>448</v>
      </c>
      <c r="E115" s="776" t="s">
        <v>10</v>
      </c>
      <c r="F115" s="710"/>
      <c r="G115" s="717" t="s">
        <v>281</v>
      </c>
      <c r="H115" s="838" t="s">
        <v>248</v>
      </c>
      <c r="I115" s="706">
        <v>42</v>
      </c>
      <c r="J115" s="707">
        <v>7</v>
      </c>
      <c r="K115" s="708">
        <v>57.603999999999999</v>
      </c>
      <c r="L115" s="709">
        <v>82</v>
      </c>
      <c r="M115" s="707">
        <v>25</v>
      </c>
      <c r="N115" s="708">
        <v>58.225999999999999</v>
      </c>
      <c r="O115" s="710" t="s">
        <v>197</v>
      </c>
      <c r="P115" s="706">
        <v>42</v>
      </c>
      <c r="Q115" s="707">
        <v>8</v>
      </c>
      <c r="R115" s="708">
        <v>0.39100000000000001</v>
      </c>
      <c r="S115" s="709">
        <v>82</v>
      </c>
      <c r="T115" s="707">
        <v>25</v>
      </c>
      <c r="U115" s="708">
        <v>49.49</v>
      </c>
      <c r="V115" s="703">
        <v>3</v>
      </c>
      <c r="W115" s="501">
        <v>1302.17</v>
      </c>
      <c r="X115" s="711">
        <v>1990</v>
      </c>
      <c r="Y115" s="703"/>
      <c r="Z115" s="712" t="s">
        <v>53</v>
      </c>
      <c r="AA115" s="703" t="s">
        <v>31</v>
      </c>
      <c r="AB115" s="713">
        <f t="shared" si="13"/>
        <v>0</v>
      </c>
      <c r="AC115" s="714">
        <f t="shared" si="20"/>
        <v>0.52</v>
      </c>
      <c r="AD115" s="713">
        <f t="shared" si="15"/>
        <v>0</v>
      </c>
      <c r="AE115" s="715">
        <f t="shared" si="16"/>
        <v>0</v>
      </c>
      <c r="AF115" s="716">
        <f t="shared" si="17"/>
        <v>0</v>
      </c>
      <c r="AG115" s="700">
        <f t="shared" si="19"/>
        <v>0</v>
      </c>
      <c r="AH115" s="839">
        <f t="shared" si="18"/>
        <v>0</v>
      </c>
      <c r="AI115" s="197"/>
      <c r="AJ115" s="197"/>
      <c r="AK115" s="197"/>
    </row>
    <row r="116" spans="1:37" ht="12.7">
      <c r="A116" s="321" t="s">
        <v>11</v>
      </c>
      <c r="B116" s="150" t="s">
        <v>541</v>
      </c>
      <c r="C116" s="785" t="s">
        <v>666</v>
      </c>
      <c r="D116" s="322" t="s">
        <v>448</v>
      </c>
      <c r="E116" s="773" t="s">
        <v>10</v>
      </c>
      <c r="F116" s="150"/>
      <c r="G116" s="182"/>
      <c r="H116" s="555" t="s">
        <v>323</v>
      </c>
      <c r="I116" s="556">
        <v>42</v>
      </c>
      <c r="J116" s="557">
        <v>8</v>
      </c>
      <c r="K116" s="558">
        <v>39.512999999999998</v>
      </c>
      <c r="L116" s="559">
        <v>82</v>
      </c>
      <c r="M116" s="557">
        <v>25</v>
      </c>
      <c r="N116" s="558">
        <v>29.661000000000001</v>
      </c>
      <c r="O116" s="555" t="s">
        <v>249</v>
      </c>
      <c r="P116" s="556">
        <v>42</v>
      </c>
      <c r="Q116" s="557">
        <v>8</v>
      </c>
      <c r="R116" s="558">
        <v>36.840000000000003</v>
      </c>
      <c r="S116" s="559">
        <v>82</v>
      </c>
      <c r="T116" s="557">
        <v>25</v>
      </c>
      <c r="U116" s="558">
        <v>26.22</v>
      </c>
      <c r="V116" s="151">
        <v>3</v>
      </c>
      <c r="W116" s="542">
        <v>374.77</v>
      </c>
      <c r="X116" s="152">
        <v>2013</v>
      </c>
      <c r="Y116" s="151"/>
      <c r="Z116" s="153" t="s">
        <v>60</v>
      </c>
      <c r="AA116" s="151" t="s">
        <v>15</v>
      </c>
      <c r="AB116" s="154">
        <f t="shared" si="13"/>
        <v>5617.8022999999994</v>
      </c>
      <c r="AC116" s="155">
        <f t="shared" si="20"/>
        <v>0.08</v>
      </c>
      <c r="AD116" s="154">
        <f t="shared" si="15"/>
        <v>5168.38</v>
      </c>
      <c r="AE116" s="156">
        <f t="shared" si="16"/>
        <v>0</v>
      </c>
      <c r="AF116" s="186">
        <f t="shared" si="17"/>
        <v>0</v>
      </c>
      <c r="AG116" s="423">
        <f t="shared" si="19"/>
        <v>5168.38</v>
      </c>
      <c r="AH116" s="516">
        <f t="shared" si="18"/>
        <v>5168</v>
      </c>
      <c r="AI116" s="1049" t="s">
        <v>624</v>
      </c>
      <c r="AJ116" s="1078"/>
      <c r="AK116" s="1079"/>
    </row>
    <row r="117" spans="1:37" ht="12.7">
      <c r="A117" s="47" t="s">
        <v>11</v>
      </c>
      <c r="B117" s="23" t="s">
        <v>541</v>
      </c>
      <c r="C117" s="474" t="s">
        <v>666</v>
      </c>
      <c r="D117" s="139" t="s">
        <v>448</v>
      </c>
      <c r="E117" s="760" t="s">
        <v>10</v>
      </c>
      <c r="F117" s="23"/>
      <c r="G117" s="138"/>
      <c r="H117" s="41" t="s">
        <v>249</v>
      </c>
      <c r="I117" s="33">
        <v>42</v>
      </c>
      <c r="J117" s="34">
        <v>8</v>
      </c>
      <c r="K117" s="35">
        <v>36.840000000000003</v>
      </c>
      <c r="L117" s="22">
        <v>82</v>
      </c>
      <c r="M117" s="34">
        <v>25</v>
      </c>
      <c r="N117" s="35">
        <v>26.22</v>
      </c>
      <c r="O117" s="41" t="s">
        <v>250</v>
      </c>
      <c r="P117" s="33">
        <v>42</v>
      </c>
      <c r="Q117" s="34">
        <v>8</v>
      </c>
      <c r="R117" s="35">
        <v>34.281999999999996</v>
      </c>
      <c r="S117" s="22">
        <v>82</v>
      </c>
      <c r="T117" s="34">
        <v>25</v>
      </c>
      <c r="U117" s="35">
        <v>29.384</v>
      </c>
      <c r="V117" s="25">
        <v>3</v>
      </c>
      <c r="W117" s="538">
        <v>352</v>
      </c>
      <c r="X117" s="45">
        <v>2013</v>
      </c>
      <c r="Y117" s="25"/>
      <c r="Z117" s="46" t="s">
        <v>60</v>
      </c>
      <c r="AA117" s="25" t="s">
        <v>15</v>
      </c>
      <c r="AB117" s="39">
        <f t="shared" si="13"/>
        <v>5276.48</v>
      </c>
      <c r="AC117" s="40">
        <f t="shared" si="20"/>
        <v>0.08</v>
      </c>
      <c r="AD117" s="39">
        <f t="shared" si="15"/>
        <v>4854.3599999999997</v>
      </c>
      <c r="AE117" s="79">
        <f t="shared" si="16"/>
        <v>0</v>
      </c>
      <c r="AF117" s="185">
        <f t="shared" si="17"/>
        <v>0</v>
      </c>
      <c r="AG117" s="423">
        <f t="shared" si="19"/>
        <v>4854.3599999999997</v>
      </c>
      <c r="AH117" s="516">
        <f t="shared" si="18"/>
        <v>4854</v>
      </c>
      <c r="AI117" s="1080"/>
      <c r="AJ117" s="1081"/>
      <c r="AK117" s="1082"/>
    </row>
    <row r="118" spans="1:37" ht="12.7">
      <c r="A118" s="47" t="s">
        <v>11</v>
      </c>
      <c r="B118" s="23" t="s">
        <v>541</v>
      </c>
      <c r="C118" s="474" t="s">
        <v>666</v>
      </c>
      <c r="D118" s="139" t="s">
        <v>448</v>
      </c>
      <c r="E118" s="760" t="s">
        <v>10</v>
      </c>
      <c r="F118" s="23"/>
      <c r="G118" s="138"/>
      <c r="H118" s="41" t="s">
        <v>250</v>
      </c>
      <c r="I118" s="33">
        <v>42</v>
      </c>
      <c r="J118" s="34">
        <v>8</v>
      </c>
      <c r="K118" s="35">
        <v>34.281999999999996</v>
      </c>
      <c r="L118" s="22">
        <v>82</v>
      </c>
      <c r="M118" s="34">
        <v>25</v>
      </c>
      <c r="N118" s="35">
        <v>29.384</v>
      </c>
      <c r="O118" s="41" t="s">
        <v>249</v>
      </c>
      <c r="P118" s="33">
        <v>42</v>
      </c>
      <c r="Q118" s="34">
        <v>8</v>
      </c>
      <c r="R118" s="35">
        <v>25.955</v>
      </c>
      <c r="S118" s="22">
        <v>82</v>
      </c>
      <c r="T118" s="34">
        <v>25</v>
      </c>
      <c r="U118" s="35">
        <v>19.384</v>
      </c>
      <c r="V118" s="25">
        <v>3</v>
      </c>
      <c r="W118" s="538">
        <v>1130.68</v>
      </c>
      <c r="X118" s="45">
        <v>1996</v>
      </c>
      <c r="Y118" s="25"/>
      <c r="Z118" s="46" t="s">
        <v>60</v>
      </c>
      <c r="AA118" s="25" t="s">
        <v>15</v>
      </c>
      <c r="AB118" s="39">
        <f t="shared" si="13"/>
        <v>16948.893200000002</v>
      </c>
      <c r="AC118" s="40">
        <f t="shared" si="20"/>
        <v>0.44</v>
      </c>
      <c r="AD118" s="39">
        <f t="shared" si="15"/>
        <v>9491.3799999999992</v>
      </c>
      <c r="AE118" s="79">
        <f t="shared" si="16"/>
        <v>0</v>
      </c>
      <c r="AF118" s="185">
        <f t="shared" si="17"/>
        <v>0</v>
      </c>
      <c r="AG118" s="423">
        <f t="shared" si="19"/>
        <v>9491.3799999999992</v>
      </c>
      <c r="AH118" s="516">
        <f t="shared" si="18"/>
        <v>9491</v>
      </c>
      <c r="AI118" s="1080"/>
      <c r="AJ118" s="1081"/>
      <c r="AK118" s="1082"/>
    </row>
    <row r="119" spans="1:37" ht="12.7">
      <c r="A119" s="47" t="s">
        <v>11</v>
      </c>
      <c r="B119" s="23" t="s">
        <v>541</v>
      </c>
      <c r="C119" s="474" t="s">
        <v>666</v>
      </c>
      <c r="D119" s="139" t="s">
        <v>448</v>
      </c>
      <c r="E119" s="760" t="s">
        <v>10</v>
      </c>
      <c r="F119" s="23"/>
      <c r="G119" s="138"/>
      <c r="H119" s="41" t="s">
        <v>251</v>
      </c>
      <c r="I119" s="33">
        <v>42</v>
      </c>
      <c r="J119" s="34">
        <v>8</v>
      </c>
      <c r="K119" s="35">
        <v>25.955</v>
      </c>
      <c r="L119" s="22">
        <v>82</v>
      </c>
      <c r="M119" s="34">
        <v>25</v>
      </c>
      <c r="N119" s="35">
        <v>19.384</v>
      </c>
      <c r="O119" s="41" t="s">
        <v>252</v>
      </c>
      <c r="P119" s="33">
        <v>42</v>
      </c>
      <c r="Q119" s="34">
        <v>8</v>
      </c>
      <c r="R119" s="35">
        <v>4.085</v>
      </c>
      <c r="S119" s="22">
        <v>82</v>
      </c>
      <c r="T119" s="34">
        <v>25</v>
      </c>
      <c r="U119" s="35">
        <v>51.963000000000001</v>
      </c>
      <c r="V119" s="25">
        <v>3</v>
      </c>
      <c r="W119" s="538">
        <v>3305.87</v>
      </c>
      <c r="X119" s="45">
        <v>1996</v>
      </c>
      <c r="Y119" s="25"/>
      <c r="Z119" s="46" t="s">
        <v>60</v>
      </c>
      <c r="AA119" s="25" t="s">
        <v>31</v>
      </c>
      <c r="AB119" s="39">
        <f t="shared" si="13"/>
        <v>101291.85679999999</v>
      </c>
      <c r="AC119" s="40">
        <f t="shared" si="20"/>
        <v>0.44</v>
      </c>
      <c r="AD119" s="39">
        <f t="shared" si="15"/>
        <v>56723.44</v>
      </c>
      <c r="AE119" s="79">
        <f t="shared" si="16"/>
        <v>0</v>
      </c>
      <c r="AF119" s="185">
        <f t="shared" si="17"/>
        <v>0</v>
      </c>
      <c r="AG119" s="423">
        <f t="shared" si="19"/>
        <v>56723.44</v>
      </c>
      <c r="AH119" s="516">
        <f t="shared" si="18"/>
        <v>56723</v>
      </c>
      <c r="AI119" s="1080"/>
      <c r="AJ119" s="1081"/>
      <c r="AK119" s="1082"/>
    </row>
    <row r="120" spans="1:37" ht="12.7">
      <c r="A120" s="47" t="s">
        <v>11</v>
      </c>
      <c r="B120" s="23" t="s">
        <v>541</v>
      </c>
      <c r="C120" s="474" t="s">
        <v>666</v>
      </c>
      <c r="D120" s="139" t="s">
        <v>448</v>
      </c>
      <c r="E120" s="760" t="s">
        <v>10</v>
      </c>
      <c r="F120" s="23"/>
      <c r="G120" s="138"/>
      <c r="H120" s="41" t="s">
        <v>252</v>
      </c>
      <c r="I120" s="33">
        <v>42</v>
      </c>
      <c r="J120" s="34">
        <v>8</v>
      </c>
      <c r="K120" s="35">
        <v>4.085</v>
      </c>
      <c r="L120" s="22">
        <v>82</v>
      </c>
      <c r="M120" s="34">
        <v>25</v>
      </c>
      <c r="N120" s="35">
        <v>51.963000000000001</v>
      </c>
      <c r="O120" s="23" t="s">
        <v>197</v>
      </c>
      <c r="P120" s="33">
        <v>42</v>
      </c>
      <c r="Q120" s="34">
        <v>8</v>
      </c>
      <c r="R120" s="35">
        <v>0.39100000000000001</v>
      </c>
      <c r="S120" s="22">
        <v>82</v>
      </c>
      <c r="T120" s="34">
        <v>25</v>
      </c>
      <c r="U120" s="35">
        <v>49.49</v>
      </c>
      <c r="V120" s="25">
        <v>3</v>
      </c>
      <c r="W120" s="538">
        <v>417.81</v>
      </c>
      <c r="X120" s="45">
        <v>1996</v>
      </c>
      <c r="Y120" s="25"/>
      <c r="Z120" s="46" t="s">
        <v>60</v>
      </c>
      <c r="AA120" s="25" t="s">
        <v>31</v>
      </c>
      <c r="AB120" s="39">
        <f t="shared" si="13"/>
        <v>12801.698400000001</v>
      </c>
      <c r="AC120" s="40">
        <f t="shared" si="20"/>
        <v>0.44</v>
      </c>
      <c r="AD120" s="39">
        <f t="shared" si="15"/>
        <v>7168.95</v>
      </c>
      <c r="AE120" s="79">
        <f t="shared" si="16"/>
        <v>0</v>
      </c>
      <c r="AF120" s="185">
        <f t="shared" si="17"/>
        <v>0</v>
      </c>
      <c r="AG120" s="423">
        <f t="shared" si="19"/>
        <v>7168.95</v>
      </c>
      <c r="AH120" s="516">
        <f t="shared" si="18"/>
        <v>7168</v>
      </c>
      <c r="AI120" s="1080"/>
      <c r="AJ120" s="1081"/>
      <c r="AK120" s="1082"/>
    </row>
    <row r="121" spans="1:37" ht="12.7">
      <c r="A121" s="47" t="s">
        <v>11</v>
      </c>
      <c r="B121" s="23" t="s">
        <v>541</v>
      </c>
      <c r="C121" s="474" t="s">
        <v>666</v>
      </c>
      <c r="D121" s="139" t="s">
        <v>448</v>
      </c>
      <c r="E121" s="760" t="s">
        <v>10</v>
      </c>
      <c r="F121" s="23"/>
      <c r="G121" s="138"/>
      <c r="H121" s="41" t="s">
        <v>291</v>
      </c>
      <c r="I121" s="33">
        <v>42</v>
      </c>
      <c r="J121" s="34">
        <v>7</v>
      </c>
      <c r="K121" s="35">
        <v>9.2720000000000002</v>
      </c>
      <c r="L121" s="22">
        <v>82</v>
      </c>
      <c r="M121" s="34">
        <v>24</v>
      </c>
      <c r="N121" s="35">
        <v>57.749000000000002</v>
      </c>
      <c r="O121" s="37" t="s">
        <v>292</v>
      </c>
      <c r="P121" s="33">
        <v>42</v>
      </c>
      <c r="Q121" s="34">
        <v>7</v>
      </c>
      <c r="R121" s="35">
        <v>10.798999999999999</v>
      </c>
      <c r="S121" s="22">
        <v>82</v>
      </c>
      <c r="T121" s="34">
        <v>24</v>
      </c>
      <c r="U121" s="35">
        <v>59.616</v>
      </c>
      <c r="V121" s="25">
        <v>3</v>
      </c>
      <c r="W121" s="538">
        <v>293.27</v>
      </c>
      <c r="X121" s="45">
        <v>1991</v>
      </c>
      <c r="Y121" s="25"/>
      <c r="Z121" s="46" t="s">
        <v>253</v>
      </c>
      <c r="AA121" s="25" t="s">
        <v>31</v>
      </c>
      <c r="AB121" s="39">
        <f t="shared" si="13"/>
        <v>8985.7927999999993</v>
      </c>
      <c r="AC121" s="40">
        <f t="shared" si="20"/>
        <v>0.52</v>
      </c>
      <c r="AD121" s="39">
        <f t="shared" si="15"/>
        <v>4313.18</v>
      </c>
      <c r="AE121" s="79">
        <f t="shared" si="16"/>
        <v>0</v>
      </c>
      <c r="AF121" s="185">
        <f t="shared" si="17"/>
        <v>0</v>
      </c>
      <c r="AG121" s="423">
        <f t="shared" si="19"/>
        <v>4313.18</v>
      </c>
      <c r="AH121" s="516">
        <f t="shared" si="18"/>
        <v>4313</v>
      </c>
      <c r="AI121" s="1080"/>
      <c r="AJ121" s="1081"/>
      <c r="AK121" s="1082"/>
    </row>
    <row r="122" spans="1:37" ht="12.7">
      <c r="A122" s="47" t="s">
        <v>11</v>
      </c>
      <c r="B122" s="23" t="s">
        <v>541</v>
      </c>
      <c r="C122" s="474" t="s">
        <v>666</v>
      </c>
      <c r="D122" s="139" t="s">
        <v>448</v>
      </c>
      <c r="E122" s="760" t="s">
        <v>10</v>
      </c>
      <c r="F122" s="23"/>
      <c r="G122" s="138"/>
      <c r="H122" s="45" t="s">
        <v>292</v>
      </c>
      <c r="I122" s="33">
        <v>42</v>
      </c>
      <c r="J122" s="34">
        <v>7</v>
      </c>
      <c r="K122" s="35">
        <v>10.798999999999999</v>
      </c>
      <c r="L122" s="22">
        <v>82</v>
      </c>
      <c r="M122" s="34">
        <v>24</v>
      </c>
      <c r="N122" s="35">
        <v>59.616</v>
      </c>
      <c r="O122" s="41" t="s">
        <v>254</v>
      </c>
      <c r="P122" s="33">
        <v>42</v>
      </c>
      <c r="Q122" s="34">
        <v>7</v>
      </c>
      <c r="R122" s="35">
        <v>10.097</v>
      </c>
      <c r="S122" s="22">
        <v>82</v>
      </c>
      <c r="T122" s="34">
        <v>25</v>
      </c>
      <c r="U122" s="35">
        <v>0.65200000000000002</v>
      </c>
      <c r="V122" s="25">
        <v>3</v>
      </c>
      <c r="W122" s="538">
        <v>62.75</v>
      </c>
      <c r="X122" s="45">
        <v>1991</v>
      </c>
      <c r="Y122" s="25"/>
      <c r="Z122" s="46" t="s">
        <v>253</v>
      </c>
      <c r="AA122" s="25" t="s">
        <v>31</v>
      </c>
      <c r="AB122" s="39">
        <f t="shared" si="13"/>
        <v>1922.66</v>
      </c>
      <c r="AC122" s="40">
        <f t="shared" si="20"/>
        <v>0.52</v>
      </c>
      <c r="AD122" s="39">
        <f t="shared" si="15"/>
        <v>922.88</v>
      </c>
      <c r="AE122" s="79">
        <f t="shared" si="16"/>
        <v>0</v>
      </c>
      <c r="AF122" s="185">
        <f t="shared" si="17"/>
        <v>0</v>
      </c>
      <c r="AG122" s="423">
        <f t="shared" si="19"/>
        <v>922.88</v>
      </c>
      <c r="AH122" s="516">
        <f t="shared" si="18"/>
        <v>922</v>
      </c>
      <c r="AI122" s="1080"/>
      <c r="AJ122" s="1081"/>
      <c r="AK122" s="1082"/>
    </row>
    <row r="123" spans="1:37" ht="12.7">
      <c r="A123" s="47" t="s">
        <v>11</v>
      </c>
      <c r="B123" s="23" t="s">
        <v>541</v>
      </c>
      <c r="C123" s="474" t="s">
        <v>666</v>
      </c>
      <c r="D123" s="139" t="s">
        <v>448</v>
      </c>
      <c r="E123" s="760" t="s">
        <v>10</v>
      </c>
      <c r="F123" s="23"/>
      <c r="G123" s="138"/>
      <c r="H123" s="41" t="s">
        <v>254</v>
      </c>
      <c r="I123" s="33">
        <v>42</v>
      </c>
      <c r="J123" s="34">
        <v>7</v>
      </c>
      <c r="K123" s="35">
        <v>10.097</v>
      </c>
      <c r="L123" s="22">
        <v>82</v>
      </c>
      <c r="M123" s="34">
        <v>25</v>
      </c>
      <c r="N123" s="35">
        <v>0.65200000000000002</v>
      </c>
      <c r="O123" s="23" t="s">
        <v>255</v>
      </c>
      <c r="P123" s="33">
        <v>42</v>
      </c>
      <c r="Q123" s="34">
        <v>7</v>
      </c>
      <c r="R123" s="35">
        <v>55.436999999999998</v>
      </c>
      <c r="S123" s="22">
        <v>82</v>
      </c>
      <c r="T123" s="34">
        <v>25</v>
      </c>
      <c r="U123" s="35">
        <v>56.561999999999998</v>
      </c>
      <c r="V123" s="25">
        <v>3</v>
      </c>
      <c r="W123" s="538">
        <v>6547.04</v>
      </c>
      <c r="X123" s="45">
        <v>1991</v>
      </c>
      <c r="Y123" s="25"/>
      <c r="Z123" s="46" t="s">
        <v>253</v>
      </c>
      <c r="AA123" s="25" t="s">
        <v>31</v>
      </c>
      <c r="AB123" s="39">
        <f t="shared" si="13"/>
        <v>200601.30559999999</v>
      </c>
      <c r="AC123" s="40">
        <f t="shared" si="20"/>
        <v>0.52</v>
      </c>
      <c r="AD123" s="39">
        <f t="shared" si="15"/>
        <v>96288.63</v>
      </c>
      <c r="AE123" s="79">
        <f t="shared" si="16"/>
        <v>0</v>
      </c>
      <c r="AF123" s="185">
        <f t="shared" si="17"/>
        <v>0</v>
      </c>
      <c r="AG123" s="423">
        <f t="shared" si="19"/>
        <v>96288.63</v>
      </c>
      <c r="AH123" s="516">
        <f t="shared" si="18"/>
        <v>96288</v>
      </c>
      <c r="AI123" s="1080"/>
      <c r="AJ123" s="1081"/>
      <c r="AK123" s="1082"/>
    </row>
    <row r="124" spans="1:37" ht="12.7">
      <c r="A124" s="50" t="s">
        <v>11</v>
      </c>
      <c r="B124" s="51" t="s">
        <v>541</v>
      </c>
      <c r="C124" s="753" t="s">
        <v>666</v>
      </c>
      <c r="D124" s="279" t="s">
        <v>448</v>
      </c>
      <c r="E124" s="763" t="s">
        <v>10</v>
      </c>
      <c r="F124" s="51"/>
      <c r="G124" s="309"/>
      <c r="H124" s="180" t="s">
        <v>255</v>
      </c>
      <c r="I124" s="52">
        <v>42</v>
      </c>
      <c r="J124" s="53">
        <v>7</v>
      </c>
      <c r="K124" s="54">
        <v>55.436999999999998</v>
      </c>
      <c r="L124" s="55">
        <v>82</v>
      </c>
      <c r="M124" s="53">
        <v>25</v>
      </c>
      <c r="N124" s="54">
        <v>56.561999999999998</v>
      </c>
      <c r="O124" s="51" t="s">
        <v>197</v>
      </c>
      <c r="P124" s="52">
        <v>42</v>
      </c>
      <c r="Q124" s="53">
        <v>8</v>
      </c>
      <c r="R124" s="54">
        <v>0.39100000000000001</v>
      </c>
      <c r="S124" s="55">
        <v>82</v>
      </c>
      <c r="T124" s="53">
        <v>25</v>
      </c>
      <c r="U124" s="54">
        <v>49.49</v>
      </c>
      <c r="V124" s="170">
        <v>3</v>
      </c>
      <c r="W124" s="541">
        <v>1186.8800000000001</v>
      </c>
      <c r="X124" s="171">
        <v>1991</v>
      </c>
      <c r="Y124" s="170"/>
      <c r="Z124" s="172" t="s">
        <v>253</v>
      </c>
      <c r="AA124" s="170" t="s">
        <v>31</v>
      </c>
      <c r="AB124" s="173">
        <f t="shared" si="13"/>
        <v>36366.003200000006</v>
      </c>
      <c r="AC124" s="60">
        <f t="shared" si="20"/>
        <v>0.52</v>
      </c>
      <c r="AD124" s="173">
        <f t="shared" si="15"/>
        <v>17455.68</v>
      </c>
      <c r="AE124" s="174">
        <f t="shared" si="16"/>
        <v>0</v>
      </c>
      <c r="AF124" s="191">
        <f t="shared" si="17"/>
        <v>0</v>
      </c>
      <c r="AG124" s="437">
        <f t="shared" si="19"/>
        <v>17455.68</v>
      </c>
      <c r="AH124" s="521">
        <f t="shared" si="18"/>
        <v>17455</v>
      </c>
      <c r="AI124" s="1083"/>
      <c r="AJ124" s="1084"/>
      <c r="AK124" s="1085"/>
    </row>
    <row r="125" spans="1:37" ht="12.7">
      <c r="A125" s="321" t="s">
        <v>11</v>
      </c>
      <c r="B125" s="150" t="s">
        <v>541</v>
      </c>
      <c r="C125" s="785" t="s">
        <v>666</v>
      </c>
      <c r="D125" s="322" t="s">
        <v>448</v>
      </c>
      <c r="E125" s="773" t="s">
        <v>10</v>
      </c>
      <c r="F125" s="150"/>
      <c r="G125" s="182" t="s">
        <v>281</v>
      </c>
      <c r="H125" s="555" t="s">
        <v>189</v>
      </c>
      <c r="I125" s="556" t="s">
        <v>8</v>
      </c>
      <c r="J125" s="557">
        <v>8</v>
      </c>
      <c r="K125" s="558">
        <v>25.891999999999999</v>
      </c>
      <c r="L125" s="559">
        <v>82</v>
      </c>
      <c r="M125" s="557">
        <v>27</v>
      </c>
      <c r="N125" s="558">
        <v>2.698</v>
      </c>
      <c r="O125" s="555" t="s">
        <v>256</v>
      </c>
      <c r="P125" s="556" t="s">
        <v>8</v>
      </c>
      <c r="Q125" s="557">
        <v>8</v>
      </c>
      <c r="R125" s="558">
        <v>7.5460000000000003</v>
      </c>
      <c r="S125" s="559">
        <v>82</v>
      </c>
      <c r="T125" s="557">
        <v>26</v>
      </c>
      <c r="U125" s="558">
        <v>35.104999999999997</v>
      </c>
      <c r="V125" s="151">
        <v>3</v>
      </c>
      <c r="W125" s="542">
        <v>2901</v>
      </c>
      <c r="X125" s="152">
        <v>1992</v>
      </c>
      <c r="Y125" s="151"/>
      <c r="Z125" s="153" t="s">
        <v>60</v>
      </c>
      <c r="AA125" s="151" t="s">
        <v>31</v>
      </c>
      <c r="AB125" s="154">
        <f t="shared" si="13"/>
        <v>0</v>
      </c>
      <c r="AC125" s="155">
        <f t="shared" si="20"/>
        <v>0.51</v>
      </c>
      <c r="AD125" s="154">
        <f t="shared" si="15"/>
        <v>0</v>
      </c>
      <c r="AE125" s="156">
        <f t="shared" si="16"/>
        <v>0</v>
      </c>
      <c r="AF125" s="186">
        <f t="shared" si="17"/>
        <v>0</v>
      </c>
      <c r="AG125" s="423">
        <f t="shared" si="19"/>
        <v>0</v>
      </c>
      <c r="AH125" s="516">
        <f t="shared" si="18"/>
        <v>0</v>
      </c>
      <c r="AI125" s="197"/>
      <c r="AJ125" s="197"/>
      <c r="AK125" s="197"/>
    </row>
    <row r="126" spans="1:37" ht="12.7">
      <c r="A126" s="47" t="s">
        <v>11</v>
      </c>
      <c r="B126" s="23" t="s">
        <v>541</v>
      </c>
      <c r="C126" s="474" t="s">
        <v>666</v>
      </c>
      <c r="D126" s="139" t="s">
        <v>448</v>
      </c>
      <c r="E126" s="760" t="s">
        <v>10</v>
      </c>
      <c r="F126" s="23"/>
      <c r="G126" s="138" t="s">
        <v>281</v>
      </c>
      <c r="H126" s="41" t="s">
        <v>256</v>
      </c>
      <c r="I126" s="33">
        <v>42</v>
      </c>
      <c r="J126" s="34">
        <v>8</v>
      </c>
      <c r="K126" s="35">
        <v>7.5460000000000003</v>
      </c>
      <c r="L126" s="22">
        <v>82</v>
      </c>
      <c r="M126" s="34">
        <v>26</v>
      </c>
      <c r="N126" s="35">
        <v>35.104999999999997</v>
      </c>
      <c r="O126" s="41" t="s">
        <v>257</v>
      </c>
      <c r="P126" s="33">
        <v>42</v>
      </c>
      <c r="Q126" s="34">
        <v>8</v>
      </c>
      <c r="R126" s="35">
        <v>16.065999999999999</v>
      </c>
      <c r="S126" s="22">
        <v>82</v>
      </c>
      <c r="T126" s="34">
        <v>26</v>
      </c>
      <c r="U126" s="35">
        <v>22.172999999999998</v>
      </c>
      <c r="V126" s="25">
        <v>3</v>
      </c>
      <c r="W126" s="538">
        <v>1451.95</v>
      </c>
      <c r="X126" s="45">
        <v>1992</v>
      </c>
      <c r="Y126" s="25"/>
      <c r="Z126" s="46" t="s">
        <v>60</v>
      </c>
      <c r="AA126" s="25" t="s">
        <v>31</v>
      </c>
      <c r="AB126" s="39">
        <f t="shared" si="13"/>
        <v>0</v>
      </c>
      <c r="AC126" s="40">
        <f t="shared" si="20"/>
        <v>0.51</v>
      </c>
      <c r="AD126" s="39">
        <f t="shared" si="15"/>
        <v>0</v>
      </c>
      <c r="AE126" s="79">
        <f t="shared" si="16"/>
        <v>0</v>
      </c>
      <c r="AF126" s="185">
        <f t="shared" si="17"/>
        <v>0</v>
      </c>
      <c r="AG126" s="423">
        <f t="shared" si="19"/>
        <v>0</v>
      </c>
      <c r="AH126" s="516">
        <f t="shared" si="18"/>
        <v>0</v>
      </c>
      <c r="AI126" s="197"/>
      <c r="AJ126" s="197"/>
      <c r="AK126" s="197"/>
    </row>
    <row r="127" spans="1:37" ht="12.7">
      <c r="A127" s="566" t="s">
        <v>11</v>
      </c>
      <c r="B127" s="567" t="s">
        <v>541</v>
      </c>
      <c r="C127" s="568" t="s">
        <v>666</v>
      </c>
      <c r="D127" s="729" t="s">
        <v>448</v>
      </c>
      <c r="E127" s="765" t="s">
        <v>10</v>
      </c>
      <c r="F127" s="570" t="s">
        <v>674</v>
      </c>
      <c r="G127" s="606" t="s">
        <v>281</v>
      </c>
      <c r="H127" s="607" t="s">
        <v>257</v>
      </c>
      <c r="I127" s="590">
        <v>42</v>
      </c>
      <c r="J127" s="591">
        <v>8</v>
      </c>
      <c r="K127" s="592">
        <v>16.065999999999999</v>
      </c>
      <c r="L127" s="593">
        <v>82</v>
      </c>
      <c r="M127" s="591">
        <v>26</v>
      </c>
      <c r="N127" s="592">
        <v>22.172999999999998</v>
      </c>
      <c r="O127" s="607" t="s">
        <v>258</v>
      </c>
      <c r="P127" s="590">
        <v>42</v>
      </c>
      <c r="Q127" s="591">
        <v>7</v>
      </c>
      <c r="R127" s="592">
        <v>56.052999999999997</v>
      </c>
      <c r="S127" s="593">
        <v>82</v>
      </c>
      <c r="T127" s="591">
        <v>25</v>
      </c>
      <c r="U127" s="592">
        <v>57.473999999999997</v>
      </c>
      <c r="V127" s="570">
        <v>3</v>
      </c>
      <c r="W127" s="598">
        <v>2710.54</v>
      </c>
      <c r="X127" s="599">
        <v>1992</v>
      </c>
      <c r="Y127" s="570"/>
      <c r="Z127" s="600" t="s">
        <v>60</v>
      </c>
      <c r="AA127" s="570" t="s">
        <v>31</v>
      </c>
      <c r="AB127" s="601">
        <f t="shared" si="13"/>
        <v>0</v>
      </c>
      <c r="AC127" s="602">
        <f t="shared" si="20"/>
        <v>0.51</v>
      </c>
      <c r="AD127" s="601">
        <f t="shared" si="15"/>
        <v>0</v>
      </c>
      <c r="AE127" s="603">
        <f t="shared" si="16"/>
        <v>0</v>
      </c>
      <c r="AF127" s="604">
        <f t="shared" si="17"/>
        <v>0</v>
      </c>
      <c r="AG127" s="588">
        <f t="shared" si="19"/>
        <v>0</v>
      </c>
      <c r="AH127" s="589">
        <f t="shared" si="18"/>
        <v>0</v>
      </c>
      <c r="AI127" s="197"/>
      <c r="AJ127" s="197"/>
      <c r="AK127" s="197"/>
    </row>
    <row r="128" spans="1:37" ht="12.7">
      <c r="A128" s="47" t="s">
        <v>11</v>
      </c>
      <c r="B128" s="23" t="s">
        <v>541</v>
      </c>
      <c r="C128" s="474" t="s">
        <v>666</v>
      </c>
      <c r="D128" s="139" t="s">
        <v>448</v>
      </c>
      <c r="E128" s="760" t="s">
        <v>10</v>
      </c>
      <c r="F128" s="23"/>
      <c r="G128" s="138" t="s">
        <v>281</v>
      </c>
      <c r="H128" s="41" t="s">
        <v>258</v>
      </c>
      <c r="I128" s="33">
        <v>42</v>
      </c>
      <c r="J128" s="34">
        <v>7</v>
      </c>
      <c r="K128" s="35">
        <v>56.052999999999997</v>
      </c>
      <c r="L128" s="22">
        <v>82</v>
      </c>
      <c r="M128" s="34">
        <v>25</v>
      </c>
      <c r="N128" s="35">
        <v>57.473999999999997</v>
      </c>
      <c r="O128" s="23" t="s">
        <v>197</v>
      </c>
      <c r="P128" s="33">
        <v>42</v>
      </c>
      <c r="Q128" s="34">
        <v>8</v>
      </c>
      <c r="R128" s="35">
        <v>0.39100000000000001</v>
      </c>
      <c r="S128" s="22">
        <v>82</v>
      </c>
      <c r="T128" s="34">
        <v>25</v>
      </c>
      <c r="U128" s="35">
        <v>49.49</v>
      </c>
      <c r="V128" s="25">
        <v>3</v>
      </c>
      <c r="W128" s="538">
        <v>689.46</v>
      </c>
      <c r="X128" s="45">
        <v>1992</v>
      </c>
      <c r="Y128" s="25"/>
      <c r="Z128" s="46" t="s">
        <v>60</v>
      </c>
      <c r="AA128" s="25" t="s">
        <v>31</v>
      </c>
      <c r="AB128" s="39">
        <f t="shared" si="13"/>
        <v>0</v>
      </c>
      <c r="AC128" s="40">
        <f t="shared" si="20"/>
        <v>0.51</v>
      </c>
      <c r="AD128" s="39">
        <f t="shared" si="15"/>
        <v>0</v>
      </c>
      <c r="AE128" s="79">
        <f t="shared" si="16"/>
        <v>0</v>
      </c>
      <c r="AF128" s="185">
        <f t="shared" si="17"/>
        <v>0</v>
      </c>
      <c r="AG128" s="423">
        <f t="shared" si="19"/>
        <v>0</v>
      </c>
      <c r="AH128" s="516">
        <f t="shared" si="18"/>
        <v>0</v>
      </c>
      <c r="AI128" s="197"/>
      <c r="AJ128" s="197"/>
      <c r="AK128" s="197"/>
    </row>
    <row r="129" spans="1:37" ht="12.7">
      <c r="A129" s="47" t="s">
        <v>11</v>
      </c>
      <c r="B129" s="23" t="s">
        <v>541</v>
      </c>
      <c r="C129" s="474" t="s">
        <v>666</v>
      </c>
      <c r="D129" s="139" t="s">
        <v>448</v>
      </c>
      <c r="E129" s="760" t="s">
        <v>10</v>
      </c>
      <c r="F129" s="23"/>
      <c r="G129" s="138" t="s">
        <v>281</v>
      </c>
      <c r="H129" s="41" t="s">
        <v>357</v>
      </c>
      <c r="I129" s="33" t="s">
        <v>8</v>
      </c>
      <c r="J129" s="34">
        <v>8</v>
      </c>
      <c r="K129" s="35">
        <v>35.054000000000002</v>
      </c>
      <c r="L129" s="22">
        <v>82</v>
      </c>
      <c r="M129" s="34">
        <v>26</v>
      </c>
      <c r="N129" s="35">
        <v>57.63</v>
      </c>
      <c r="O129" s="41" t="s">
        <v>191</v>
      </c>
      <c r="P129" s="33" t="s">
        <v>8</v>
      </c>
      <c r="Q129" s="34">
        <v>8</v>
      </c>
      <c r="R129" s="35">
        <v>12.199</v>
      </c>
      <c r="S129" s="22">
        <v>82</v>
      </c>
      <c r="T129" s="34">
        <v>26</v>
      </c>
      <c r="U129" s="35">
        <v>43.749000000000002</v>
      </c>
      <c r="V129" s="25">
        <v>3</v>
      </c>
      <c r="W129" s="538">
        <v>2539.27</v>
      </c>
      <c r="X129" s="45">
        <v>1992</v>
      </c>
      <c r="Y129" s="25"/>
      <c r="Z129" s="46" t="s">
        <v>60</v>
      </c>
      <c r="AA129" s="25" t="s">
        <v>31</v>
      </c>
      <c r="AB129" s="39">
        <f t="shared" si="21" ref="AB129:AB195">IF(G129="ABAND",0,(IF(AA129="steel",VLOOKUP(V129,steelrates,2,FALSE)*W129,VLOOKUP(V129,plasticrates,2,FALSE)*W129)))</f>
        <v>0</v>
      </c>
      <c r="AC129" s="40">
        <f t="shared" si="22" ref="AC129:AC162">IF(X129=0,0,(VLOOKUP(X129,depreciation,2,)))</f>
        <v>0.51</v>
      </c>
      <c r="AD129" s="39">
        <f t="shared" si="23" ref="AD129:AD195">ROUND(+AB129-(+AB129*AC129),2)</f>
        <v>0</v>
      </c>
      <c r="AE129" s="79">
        <f t="shared" si="24" ref="AE129:AE195">(IF(Y129="LOOP",AD129*0.25,0))</f>
        <v>0</v>
      </c>
      <c r="AF129" s="185">
        <f t="shared" si="25" ref="AF129:AF195">(IF(G129="SUSP",AD129*0.2,0))</f>
        <v>0</v>
      </c>
      <c r="AG129" s="423">
        <f t="shared" si="19"/>
        <v>0</v>
      </c>
      <c r="AH129" s="516">
        <f t="shared" si="18"/>
        <v>0</v>
      </c>
      <c r="AI129" s="197"/>
      <c r="AJ129" s="197"/>
      <c r="AK129" s="197"/>
    </row>
    <row r="130" spans="1:37" ht="12.7">
      <c r="A130" s="50" t="s">
        <v>11</v>
      </c>
      <c r="B130" s="51" t="s">
        <v>541</v>
      </c>
      <c r="C130" s="753" t="s">
        <v>666</v>
      </c>
      <c r="D130" s="279" t="s">
        <v>448</v>
      </c>
      <c r="E130" s="761" t="s">
        <v>10</v>
      </c>
      <c r="F130" s="140"/>
      <c r="G130" s="307" t="s">
        <v>281</v>
      </c>
      <c r="H130" s="181" t="s">
        <v>189</v>
      </c>
      <c r="I130" s="142">
        <v>42</v>
      </c>
      <c r="J130" s="143">
        <v>8</v>
      </c>
      <c r="K130" s="144">
        <v>25.891999999999999</v>
      </c>
      <c r="L130" s="145">
        <v>82</v>
      </c>
      <c r="M130" s="143">
        <v>27</v>
      </c>
      <c r="N130" s="144">
        <v>2.698</v>
      </c>
      <c r="O130" s="140" t="s">
        <v>190</v>
      </c>
      <c r="P130" s="142">
        <v>42</v>
      </c>
      <c r="Q130" s="143">
        <v>8</v>
      </c>
      <c r="R130" s="144">
        <v>35.054000000000002</v>
      </c>
      <c r="S130" s="145">
        <v>82</v>
      </c>
      <c r="T130" s="143">
        <v>26</v>
      </c>
      <c r="U130" s="144">
        <v>57.63</v>
      </c>
      <c r="V130" s="141">
        <v>3</v>
      </c>
      <c r="W130" s="539">
        <v>1003.12</v>
      </c>
      <c r="X130" s="146">
        <v>1992</v>
      </c>
      <c r="Y130" s="141"/>
      <c r="Z130" s="147" t="s">
        <v>60</v>
      </c>
      <c r="AA130" s="141" t="s">
        <v>31</v>
      </c>
      <c r="AB130" s="148">
        <f t="shared" si="21"/>
        <v>0</v>
      </c>
      <c r="AC130" s="149">
        <f t="shared" si="22"/>
        <v>0.51</v>
      </c>
      <c r="AD130" s="148">
        <f t="shared" si="23"/>
        <v>0</v>
      </c>
      <c r="AE130" s="175">
        <f t="shared" si="24"/>
        <v>0</v>
      </c>
      <c r="AF130" s="187">
        <f t="shared" si="25"/>
        <v>0</v>
      </c>
      <c r="AG130" s="423">
        <f t="shared" si="19"/>
        <v>0</v>
      </c>
      <c r="AH130" s="516">
        <f t="shared" si="18"/>
        <v>0</v>
      </c>
      <c r="AI130" s="244"/>
      <c r="AJ130" s="244"/>
      <c r="AK130" s="244"/>
    </row>
    <row r="131" spans="1:37" ht="12.7">
      <c r="A131" s="203" t="s">
        <v>11</v>
      </c>
      <c r="B131" s="204" t="s">
        <v>541</v>
      </c>
      <c r="C131" s="325" t="s">
        <v>666</v>
      </c>
      <c r="D131" s="757" t="s">
        <v>448</v>
      </c>
      <c r="E131" s="769" t="s">
        <v>10</v>
      </c>
      <c r="F131" s="204"/>
      <c r="G131" s="310"/>
      <c r="H131" s="473" t="s">
        <v>300</v>
      </c>
      <c r="I131" s="206" t="s">
        <v>8</v>
      </c>
      <c r="J131" s="207">
        <v>5</v>
      </c>
      <c r="K131" s="208">
        <v>58.947000000000003</v>
      </c>
      <c r="L131" s="209" t="s">
        <v>108</v>
      </c>
      <c r="M131" s="207">
        <v>25</v>
      </c>
      <c r="N131" s="208">
        <v>59</v>
      </c>
      <c r="O131" s="204" t="s">
        <v>261</v>
      </c>
      <c r="P131" s="206" t="s">
        <v>8</v>
      </c>
      <c r="Q131" s="207">
        <v>6</v>
      </c>
      <c r="R131" s="208">
        <v>11.534000000000001</v>
      </c>
      <c r="S131" s="209" t="s">
        <v>108</v>
      </c>
      <c r="T131" s="207">
        <v>26</v>
      </c>
      <c r="U131" s="208">
        <v>16.515999999999998</v>
      </c>
      <c r="V131" s="210">
        <v>4</v>
      </c>
      <c r="W131" s="543">
        <v>2156.7600000000002</v>
      </c>
      <c r="X131" s="211">
        <v>1998</v>
      </c>
      <c r="Y131" s="210"/>
      <c r="Z131" s="212" t="s">
        <v>14</v>
      </c>
      <c r="AA131" s="210" t="s">
        <v>15</v>
      </c>
      <c r="AB131" s="213">
        <f t="shared" si="21"/>
        <v>38951.085599999999</v>
      </c>
      <c r="AC131" s="214">
        <f t="shared" si="22"/>
        <v>0.40</v>
      </c>
      <c r="AD131" s="213">
        <f t="shared" si="23"/>
        <v>23370.65</v>
      </c>
      <c r="AE131" s="215">
        <f t="shared" si="24"/>
        <v>0</v>
      </c>
      <c r="AF131" s="216">
        <f t="shared" si="25"/>
        <v>0</v>
      </c>
      <c r="AG131" s="260">
        <f t="shared" si="19"/>
        <v>23370.65</v>
      </c>
      <c r="AH131" s="522">
        <f t="shared" si="18"/>
        <v>23370</v>
      </c>
      <c r="AI131" s="196">
        <v>10.19</v>
      </c>
      <c r="AJ131" s="196">
        <v>6.98</v>
      </c>
      <c r="AK131" s="196">
        <v>7.77</v>
      </c>
    </row>
    <row r="132" spans="1:37" ht="12.7">
      <c r="A132" s="321" t="s">
        <v>11</v>
      </c>
      <c r="B132" s="150" t="s">
        <v>541</v>
      </c>
      <c r="C132" s="785" t="s">
        <v>666</v>
      </c>
      <c r="D132" s="322" t="s">
        <v>448</v>
      </c>
      <c r="E132" s="773" t="s">
        <v>10</v>
      </c>
      <c r="F132" s="150"/>
      <c r="G132" s="182" t="s">
        <v>281</v>
      </c>
      <c r="H132" s="555"/>
      <c r="I132" s="556">
        <v>42</v>
      </c>
      <c r="J132" s="557">
        <v>8</v>
      </c>
      <c r="K132" s="558">
        <v>36.790999999999997</v>
      </c>
      <c r="L132" s="559">
        <v>82</v>
      </c>
      <c r="M132" s="557">
        <v>25</v>
      </c>
      <c r="N132" s="558">
        <v>49.935</v>
      </c>
      <c r="O132" s="150" t="s">
        <v>259</v>
      </c>
      <c r="P132" s="556">
        <v>42</v>
      </c>
      <c r="Q132" s="557">
        <v>8</v>
      </c>
      <c r="R132" s="558">
        <v>35.542000000000002</v>
      </c>
      <c r="S132" s="559">
        <v>82</v>
      </c>
      <c r="T132" s="557">
        <v>25</v>
      </c>
      <c r="U132" s="558">
        <v>48.475</v>
      </c>
      <c r="V132" s="151">
        <v>4</v>
      </c>
      <c r="W132" s="542">
        <v>167.62</v>
      </c>
      <c r="X132" s="152">
        <v>1990</v>
      </c>
      <c r="Y132" s="151"/>
      <c r="Z132" s="153" t="s">
        <v>14</v>
      </c>
      <c r="AA132" s="151" t="s">
        <v>15</v>
      </c>
      <c r="AB132" s="154">
        <f t="shared" si="21"/>
        <v>0</v>
      </c>
      <c r="AC132" s="155">
        <f t="shared" si="22"/>
        <v>0.52</v>
      </c>
      <c r="AD132" s="154">
        <f t="shared" si="23"/>
        <v>0</v>
      </c>
      <c r="AE132" s="156">
        <f t="shared" si="24"/>
        <v>0</v>
      </c>
      <c r="AF132" s="186">
        <f t="shared" si="25"/>
        <v>0</v>
      </c>
      <c r="AG132" s="423">
        <f t="shared" si="19"/>
        <v>0</v>
      </c>
      <c r="AH132" s="516">
        <f t="shared" si="26" ref="AH132:AH181">ROUNDDOWN(AG132,0)</f>
        <v>0</v>
      </c>
      <c r="AI132" s="217"/>
      <c r="AJ132" s="217"/>
      <c r="AK132" s="217"/>
    </row>
    <row r="133" spans="1:37" ht="12.7">
      <c r="A133" s="50" t="s">
        <v>11</v>
      </c>
      <c r="B133" s="51" t="s">
        <v>541</v>
      </c>
      <c r="C133" s="753" t="s">
        <v>666</v>
      </c>
      <c r="D133" s="279" t="s">
        <v>448</v>
      </c>
      <c r="E133" s="761" t="s">
        <v>10</v>
      </c>
      <c r="F133" s="140"/>
      <c r="G133" s="307" t="s">
        <v>281</v>
      </c>
      <c r="H133" s="181" t="s">
        <v>259</v>
      </c>
      <c r="I133" s="142">
        <v>42</v>
      </c>
      <c r="J133" s="143">
        <v>8</v>
      </c>
      <c r="K133" s="144">
        <v>35.542000000000002</v>
      </c>
      <c r="L133" s="145">
        <v>82</v>
      </c>
      <c r="M133" s="143">
        <v>25</v>
      </c>
      <c r="N133" s="144">
        <v>48.475</v>
      </c>
      <c r="O133" s="140" t="s">
        <v>222</v>
      </c>
      <c r="P133" s="142">
        <v>42</v>
      </c>
      <c r="Q133" s="143">
        <v>8</v>
      </c>
      <c r="R133" s="144">
        <v>21.489000000000001</v>
      </c>
      <c r="S133" s="145">
        <v>82</v>
      </c>
      <c r="T133" s="143">
        <v>26</v>
      </c>
      <c r="U133" s="144">
        <v>9.2889999999999997</v>
      </c>
      <c r="V133" s="141">
        <v>4</v>
      </c>
      <c r="W133" s="539">
        <v>2117.4899999999998</v>
      </c>
      <c r="X133" s="146">
        <v>1990</v>
      </c>
      <c r="Y133" s="141"/>
      <c r="Z133" s="147" t="s">
        <v>14</v>
      </c>
      <c r="AA133" s="141" t="s">
        <v>15</v>
      </c>
      <c r="AB133" s="148">
        <f t="shared" si="21"/>
        <v>0</v>
      </c>
      <c r="AC133" s="149">
        <f t="shared" si="22"/>
        <v>0.52</v>
      </c>
      <c r="AD133" s="148">
        <f t="shared" si="23"/>
        <v>0</v>
      </c>
      <c r="AE133" s="175">
        <f t="shared" si="24"/>
        <v>0</v>
      </c>
      <c r="AF133" s="187">
        <f t="shared" si="25"/>
        <v>0</v>
      </c>
      <c r="AG133" s="423">
        <f t="shared" si="27" ref="AG133:AG182">AD133-AE133-AF133</f>
        <v>0</v>
      </c>
      <c r="AH133" s="516">
        <f t="shared" si="26"/>
        <v>0</v>
      </c>
      <c r="AI133" s="197"/>
      <c r="AJ133" s="197"/>
      <c r="AK133" s="197"/>
    </row>
    <row r="134" spans="1:37" ht="12.7">
      <c r="A134" s="321" t="s">
        <v>11</v>
      </c>
      <c r="B134" s="150" t="s">
        <v>541</v>
      </c>
      <c r="C134" s="785" t="s">
        <v>666</v>
      </c>
      <c r="D134" s="322" t="s">
        <v>448</v>
      </c>
      <c r="E134" s="762" t="s">
        <v>10</v>
      </c>
      <c r="F134" s="159"/>
      <c r="G134" s="308"/>
      <c r="H134" s="183" t="s">
        <v>222</v>
      </c>
      <c r="I134" s="161">
        <v>42</v>
      </c>
      <c r="J134" s="162">
        <v>8</v>
      </c>
      <c r="K134" s="163">
        <v>21.489000000000001</v>
      </c>
      <c r="L134" s="164">
        <v>82</v>
      </c>
      <c r="M134" s="162">
        <v>26</v>
      </c>
      <c r="N134" s="163">
        <v>9.2889999999999997</v>
      </c>
      <c r="O134" s="159" t="s">
        <v>221</v>
      </c>
      <c r="P134" s="161">
        <v>42</v>
      </c>
      <c r="Q134" s="162">
        <v>8</v>
      </c>
      <c r="R134" s="163">
        <v>22.62</v>
      </c>
      <c r="S134" s="164">
        <v>82</v>
      </c>
      <c r="T134" s="162">
        <v>26</v>
      </c>
      <c r="U134" s="163">
        <v>10.561</v>
      </c>
      <c r="V134" s="158">
        <v>4</v>
      </c>
      <c r="W134" s="540">
        <v>149.34</v>
      </c>
      <c r="X134" s="165">
        <v>1990</v>
      </c>
      <c r="Y134" s="158"/>
      <c r="Z134" s="166" t="s">
        <v>14</v>
      </c>
      <c r="AA134" s="158" t="s">
        <v>15</v>
      </c>
      <c r="AB134" s="167">
        <f t="shared" si="21"/>
        <v>2697.0803999999998</v>
      </c>
      <c r="AC134" s="168">
        <f t="shared" si="22"/>
        <v>0.52</v>
      </c>
      <c r="AD134" s="167">
        <f t="shared" si="23"/>
        <v>1294.5999999999999</v>
      </c>
      <c r="AE134" s="169">
        <f t="shared" si="24"/>
        <v>0</v>
      </c>
      <c r="AF134" s="441">
        <f t="shared" si="25"/>
        <v>0</v>
      </c>
      <c r="AG134" s="417">
        <f t="shared" si="27"/>
        <v>1294.5999999999999</v>
      </c>
      <c r="AH134" s="517">
        <f t="shared" si="26"/>
        <v>1294</v>
      </c>
      <c r="AI134" s="1068" t="s">
        <v>624</v>
      </c>
      <c r="AJ134" s="1050"/>
      <c r="AK134" s="1051"/>
    </row>
    <row r="135" spans="1:37" ht="12.7">
      <c r="A135" s="47" t="s">
        <v>11</v>
      </c>
      <c r="B135" s="23" t="s">
        <v>541</v>
      </c>
      <c r="C135" s="474" t="s">
        <v>666</v>
      </c>
      <c r="D135" s="139" t="s">
        <v>448</v>
      </c>
      <c r="E135" s="760" t="s">
        <v>10</v>
      </c>
      <c r="F135" s="23"/>
      <c r="G135" s="138"/>
      <c r="H135" s="41" t="s">
        <v>256</v>
      </c>
      <c r="I135" s="33" t="s">
        <v>8</v>
      </c>
      <c r="J135" s="34">
        <v>8</v>
      </c>
      <c r="K135" s="35">
        <v>7.5460000000000003</v>
      </c>
      <c r="L135" s="22" t="s">
        <v>108</v>
      </c>
      <c r="M135" s="34">
        <v>26</v>
      </c>
      <c r="N135" s="35">
        <v>35.104999999999997</v>
      </c>
      <c r="O135" s="23" t="s">
        <v>221</v>
      </c>
      <c r="P135" s="33" t="s">
        <v>8</v>
      </c>
      <c r="Q135" s="34">
        <v>8</v>
      </c>
      <c r="R135" s="35">
        <v>22.62</v>
      </c>
      <c r="S135" s="22">
        <v>82</v>
      </c>
      <c r="T135" s="34">
        <v>26</v>
      </c>
      <c r="U135" s="35">
        <v>10.561</v>
      </c>
      <c r="V135" s="25">
        <v>4</v>
      </c>
      <c r="W135" s="538">
        <v>1439.95</v>
      </c>
      <c r="X135" s="45">
        <v>1992</v>
      </c>
      <c r="Y135" s="25"/>
      <c r="Z135" s="46" t="s">
        <v>14</v>
      </c>
      <c r="AA135" s="25" t="s">
        <v>15</v>
      </c>
      <c r="AB135" s="39">
        <f t="shared" si="21"/>
        <v>26005.496999999999</v>
      </c>
      <c r="AC135" s="40">
        <f t="shared" si="22"/>
        <v>0.51</v>
      </c>
      <c r="AD135" s="39">
        <f t="shared" si="23"/>
        <v>12742.69</v>
      </c>
      <c r="AE135" s="79">
        <f t="shared" si="24"/>
        <v>0</v>
      </c>
      <c r="AF135" s="442">
        <f t="shared" si="25"/>
        <v>0</v>
      </c>
      <c r="AG135" s="423">
        <f t="shared" si="27"/>
        <v>12742.69</v>
      </c>
      <c r="AH135" s="516">
        <f t="shared" si="26"/>
        <v>12742</v>
      </c>
      <c r="AI135" s="1052"/>
      <c r="AJ135" s="1053"/>
      <c r="AK135" s="1054"/>
    </row>
    <row r="136" spans="1:37" ht="12.7">
      <c r="A136" s="47" t="s">
        <v>11</v>
      </c>
      <c r="B136" s="23" t="s">
        <v>541</v>
      </c>
      <c r="C136" s="474" t="s">
        <v>666</v>
      </c>
      <c r="D136" s="139" t="s">
        <v>448</v>
      </c>
      <c r="E136" s="760" t="s">
        <v>10</v>
      </c>
      <c r="F136" s="23"/>
      <c r="G136" s="138"/>
      <c r="H136" s="41" t="s">
        <v>356</v>
      </c>
      <c r="I136" s="33">
        <v>42</v>
      </c>
      <c r="J136" s="34">
        <v>8</v>
      </c>
      <c r="K136" s="35">
        <v>22.62</v>
      </c>
      <c r="L136" s="22">
        <v>82</v>
      </c>
      <c r="M136" s="34">
        <v>26</v>
      </c>
      <c r="N136" s="35">
        <v>10.561</v>
      </c>
      <c r="O136" s="23" t="s">
        <v>194</v>
      </c>
      <c r="P136" s="33" t="s">
        <v>8</v>
      </c>
      <c r="Q136" s="34">
        <v>8</v>
      </c>
      <c r="R136" s="35">
        <v>16.420999999999999</v>
      </c>
      <c r="S136" s="22">
        <v>82</v>
      </c>
      <c r="T136" s="34">
        <v>26</v>
      </c>
      <c r="U136" s="35">
        <v>20.128</v>
      </c>
      <c r="V136" s="25">
        <v>4</v>
      </c>
      <c r="W136" s="538">
        <v>955.77</v>
      </c>
      <c r="X136" s="45">
        <v>1990</v>
      </c>
      <c r="Y136" s="25"/>
      <c r="Z136" s="46" t="s">
        <v>14</v>
      </c>
      <c r="AA136" s="25" t="s">
        <v>15</v>
      </c>
      <c r="AB136" s="39">
        <f t="shared" si="21"/>
        <v>17261.206199999997</v>
      </c>
      <c r="AC136" s="40">
        <f t="shared" si="22"/>
        <v>0.52</v>
      </c>
      <c r="AD136" s="39">
        <f t="shared" si="23"/>
        <v>8285.3799999999992</v>
      </c>
      <c r="AE136" s="79">
        <f t="shared" si="24"/>
        <v>0</v>
      </c>
      <c r="AF136" s="442">
        <f t="shared" si="25"/>
        <v>0</v>
      </c>
      <c r="AG136" s="423">
        <f t="shared" si="27"/>
        <v>8285.3799999999992</v>
      </c>
      <c r="AH136" s="516">
        <f t="shared" si="26"/>
        <v>8285</v>
      </c>
      <c r="AI136" s="1052"/>
      <c r="AJ136" s="1053"/>
      <c r="AK136" s="1054"/>
    </row>
    <row r="137" spans="1:37" ht="12.7">
      <c r="A137" s="50" t="s">
        <v>11</v>
      </c>
      <c r="B137" s="51" t="s">
        <v>541</v>
      </c>
      <c r="C137" s="753" t="s">
        <v>666</v>
      </c>
      <c r="D137" s="279" t="s">
        <v>448</v>
      </c>
      <c r="E137" s="763" t="s">
        <v>10</v>
      </c>
      <c r="F137" s="51"/>
      <c r="G137" s="309"/>
      <c r="H137" s="180" t="s">
        <v>194</v>
      </c>
      <c r="I137" s="52" t="s">
        <v>8</v>
      </c>
      <c r="J137" s="53">
        <v>8</v>
      </c>
      <c r="K137" s="54">
        <v>16.420999999999999</v>
      </c>
      <c r="L137" s="55">
        <v>82</v>
      </c>
      <c r="M137" s="53">
        <v>26</v>
      </c>
      <c r="N137" s="54">
        <v>20.128</v>
      </c>
      <c r="O137" s="51" t="s">
        <v>260</v>
      </c>
      <c r="P137" s="52">
        <v>42</v>
      </c>
      <c r="Q137" s="53">
        <v>7</v>
      </c>
      <c r="R137" s="54">
        <v>57.716000000000001</v>
      </c>
      <c r="S137" s="55">
        <v>82</v>
      </c>
      <c r="T137" s="53">
        <v>25</v>
      </c>
      <c r="U137" s="54">
        <v>56.625</v>
      </c>
      <c r="V137" s="170">
        <v>4</v>
      </c>
      <c r="W137" s="541">
        <v>2592.85</v>
      </c>
      <c r="X137" s="171">
        <v>1990</v>
      </c>
      <c r="Y137" s="170"/>
      <c r="Z137" s="172" t="s">
        <v>14</v>
      </c>
      <c r="AA137" s="170" t="s">
        <v>15</v>
      </c>
      <c r="AB137" s="173">
        <f t="shared" si="21"/>
        <v>46826.870999999992</v>
      </c>
      <c r="AC137" s="60">
        <f t="shared" si="22"/>
        <v>0.52</v>
      </c>
      <c r="AD137" s="173">
        <f t="shared" si="23"/>
        <v>22476.90</v>
      </c>
      <c r="AE137" s="174">
        <f t="shared" si="24"/>
        <v>0</v>
      </c>
      <c r="AF137" s="443">
        <f t="shared" si="25"/>
        <v>0</v>
      </c>
      <c r="AG137" s="437">
        <f t="shared" si="27"/>
        <v>22476.90</v>
      </c>
      <c r="AH137" s="518">
        <f t="shared" si="26"/>
        <v>22476</v>
      </c>
      <c r="AI137" s="1055"/>
      <c r="AJ137" s="1056"/>
      <c r="AK137" s="1057"/>
    </row>
    <row r="138" spans="1:37" s="122" customFormat="1" ht="12.7">
      <c r="A138" s="702" t="s">
        <v>11</v>
      </c>
      <c r="B138" s="710" t="s">
        <v>541</v>
      </c>
      <c r="C138" s="825" t="s">
        <v>666</v>
      </c>
      <c r="D138" s="837" t="s">
        <v>448</v>
      </c>
      <c r="E138" s="776" t="s">
        <v>10</v>
      </c>
      <c r="F138" s="710"/>
      <c r="G138" s="717" t="s">
        <v>281</v>
      </c>
      <c r="H138" s="838" t="s">
        <v>260</v>
      </c>
      <c r="I138" s="706">
        <v>42</v>
      </c>
      <c r="J138" s="707">
        <v>7</v>
      </c>
      <c r="K138" s="708">
        <v>57.716000000000001</v>
      </c>
      <c r="L138" s="709">
        <v>82</v>
      </c>
      <c r="M138" s="707">
        <v>25</v>
      </c>
      <c r="N138" s="708">
        <v>56.625</v>
      </c>
      <c r="O138" s="710" t="s">
        <v>197</v>
      </c>
      <c r="P138" s="706">
        <v>42</v>
      </c>
      <c r="Q138" s="707">
        <v>8</v>
      </c>
      <c r="R138" s="708">
        <v>0.39100000000000001</v>
      </c>
      <c r="S138" s="709">
        <v>82</v>
      </c>
      <c r="T138" s="707">
        <v>25</v>
      </c>
      <c r="U138" s="708">
        <v>49.49</v>
      </c>
      <c r="V138" s="703">
        <v>4</v>
      </c>
      <c r="W138" s="501">
        <v>602</v>
      </c>
      <c r="X138" s="711">
        <v>1990</v>
      </c>
      <c r="Y138" s="703"/>
      <c r="Z138" s="712" t="s">
        <v>14</v>
      </c>
      <c r="AA138" s="703" t="s">
        <v>15</v>
      </c>
      <c r="AB138" s="713">
        <f t="shared" si="21"/>
        <v>0</v>
      </c>
      <c r="AC138" s="714">
        <f t="shared" si="22"/>
        <v>0.52</v>
      </c>
      <c r="AD138" s="713">
        <f t="shared" si="23"/>
        <v>0</v>
      </c>
      <c r="AE138" s="715">
        <f t="shared" si="24"/>
        <v>0</v>
      </c>
      <c r="AF138" s="716">
        <f t="shared" si="25"/>
        <v>0</v>
      </c>
      <c r="AG138" s="700">
        <f t="shared" si="27"/>
        <v>0</v>
      </c>
      <c r="AH138" s="839">
        <f t="shared" si="26"/>
        <v>0</v>
      </c>
      <c r="AI138" s="197"/>
      <c r="AJ138" s="197"/>
      <c r="AK138" s="197"/>
    </row>
    <row r="139" spans="1:37" ht="12.7">
      <c r="A139" s="203" t="s">
        <v>11</v>
      </c>
      <c r="B139" s="204" t="s">
        <v>541</v>
      </c>
      <c r="C139" s="325" t="s">
        <v>666</v>
      </c>
      <c r="D139" s="757" t="s">
        <v>448</v>
      </c>
      <c r="E139" s="770" t="s">
        <v>10</v>
      </c>
      <c r="F139" s="218"/>
      <c r="G139" s="311"/>
      <c r="H139" s="554" t="s">
        <v>237</v>
      </c>
      <c r="I139" s="219">
        <v>42</v>
      </c>
      <c r="J139" s="220">
        <v>6</v>
      </c>
      <c r="K139" s="221">
        <v>11.036</v>
      </c>
      <c r="L139" s="222">
        <v>82</v>
      </c>
      <c r="M139" s="220">
        <v>26</v>
      </c>
      <c r="N139" s="221">
        <v>11.35</v>
      </c>
      <c r="O139" s="554" t="s">
        <v>261</v>
      </c>
      <c r="P139" s="219">
        <v>42</v>
      </c>
      <c r="Q139" s="220">
        <v>6</v>
      </c>
      <c r="R139" s="221">
        <v>11.534000000000001</v>
      </c>
      <c r="S139" s="222">
        <v>82</v>
      </c>
      <c r="T139" s="220">
        <v>26</v>
      </c>
      <c r="U139" s="221">
        <v>16.515999999999998</v>
      </c>
      <c r="V139" s="223">
        <v>4</v>
      </c>
      <c r="W139" s="544">
        <v>392.72</v>
      </c>
      <c r="X139" s="224">
        <v>1992</v>
      </c>
      <c r="Y139" s="223"/>
      <c r="Z139" s="225" t="s">
        <v>14</v>
      </c>
      <c r="AA139" s="223" t="s">
        <v>15</v>
      </c>
      <c r="AB139" s="226">
        <f t="shared" si="21"/>
        <v>7092.5231999999996</v>
      </c>
      <c r="AC139" s="227">
        <f t="shared" si="22"/>
        <v>0.51</v>
      </c>
      <c r="AD139" s="226">
        <f t="shared" si="23"/>
        <v>3475.34</v>
      </c>
      <c r="AE139" s="228">
        <f t="shared" si="24"/>
        <v>0</v>
      </c>
      <c r="AF139" s="229">
        <f t="shared" si="25"/>
        <v>0</v>
      </c>
      <c r="AG139" s="423">
        <f t="shared" si="27"/>
        <v>3475.34</v>
      </c>
      <c r="AH139" s="516">
        <f t="shared" si="26"/>
        <v>3475</v>
      </c>
      <c r="AI139" s="1064" t="s">
        <v>624</v>
      </c>
      <c r="AJ139" s="1062"/>
      <c r="AK139" s="1063"/>
    </row>
    <row r="140" spans="1:37" ht="12.7">
      <c r="A140" s="321" t="s">
        <v>11</v>
      </c>
      <c r="B140" s="150" t="s">
        <v>541</v>
      </c>
      <c r="C140" s="785" t="s">
        <v>666</v>
      </c>
      <c r="D140" s="322" t="s">
        <v>448</v>
      </c>
      <c r="E140" s="762" t="s">
        <v>10</v>
      </c>
      <c r="F140" s="159"/>
      <c r="G140" s="308"/>
      <c r="H140" s="165" t="s">
        <v>282</v>
      </c>
      <c r="I140" s="161">
        <v>42</v>
      </c>
      <c r="J140" s="162">
        <v>6</v>
      </c>
      <c r="K140" s="163">
        <v>34.703000000000003</v>
      </c>
      <c r="L140" s="164">
        <v>82</v>
      </c>
      <c r="M140" s="162">
        <v>25</v>
      </c>
      <c r="N140" s="163">
        <v>57.572000000000003</v>
      </c>
      <c r="O140" s="183" t="s">
        <v>262</v>
      </c>
      <c r="P140" s="161">
        <v>42</v>
      </c>
      <c r="Q140" s="162">
        <v>6</v>
      </c>
      <c r="R140" s="163">
        <v>29.812000000000001</v>
      </c>
      <c r="S140" s="164">
        <v>82</v>
      </c>
      <c r="T140" s="162">
        <v>25</v>
      </c>
      <c r="U140" s="163">
        <v>58.171999999999997</v>
      </c>
      <c r="V140" s="158">
        <v>4</v>
      </c>
      <c r="W140" s="540">
        <v>464.18</v>
      </c>
      <c r="X140" s="165">
        <v>1992</v>
      </c>
      <c r="Y140" s="158"/>
      <c r="Z140" s="166" t="s">
        <v>14</v>
      </c>
      <c r="AA140" s="158" t="s">
        <v>15</v>
      </c>
      <c r="AB140" s="167">
        <f t="shared" si="21"/>
        <v>8383.0907999999999</v>
      </c>
      <c r="AC140" s="168">
        <f t="shared" si="22"/>
        <v>0.51</v>
      </c>
      <c r="AD140" s="167">
        <f t="shared" si="23"/>
        <v>4107.71</v>
      </c>
      <c r="AE140" s="169">
        <f t="shared" si="24"/>
        <v>0</v>
      </c>
      <c r="AF140" s="190">
        <f t="shared" si="25"/>
        <v>0</v>
      </c>
      <c r="AG140" s="417">
        <f t="shared" si="27"/>
        <v>4107.71</v>
      </c>
      <c r="AH140" s="517">
        <f t="shared" si="26"/>
        <v>4107</v>
      </c>
      <c r="AI140" s="1046">
        <v>6.86</v>
      </c>
      <c r="AJ140" s="1046">
        <v>167.83</v>
      </c>
      <c r="AK140" s="1046">
        <v>9.89</v>
      </c>
    </row>
    <row r="141" spans="1:37" ht="12.7">
      <c r="A141" s="47" t="s">
        <v>11</v>
      </c>
      <c r="B141" s="23" t="s">
        <v>541</v>
      </c>
      <c r="C141" s="474" t="s">
        <v>666</v>
      </c>
      <c r="D141" s="139" t="s">
        <v>448</v>
      </c>
      <c r="E141" s="760" t="s">
        <v>10</v>
      </c>
      <c r="F141" s="23"/>
      <c r="G141" s="138"/>
      <c r="H141" s="45" t="s">
        <v>283</v>
      </c>
      <c r="I141" s="33">
        <v>42</v>
      </c>
      <c r="J141" s="34">
        <v>6</v>
      </c>
      <c r="K141" s="35">
        <v>29.812000000000001</v>
      </c>
      <c r="L141" s="22">
        <v>82</v>
      </c>
      <c r="M141" s="34">
        <v>25</v>
      </c>
      <c r="N141" s="35">
        <v>58.171999999999997</v>
      </c>
      <c r="O141" s="41" t="s">
        <v>263</v>
      </c>
      <c r="P141" s="33">
        <v>42</v>
      </c>
      <c r="Q141" s="34">
        <v>6</v>
      </c>
      <c r="R141" s="35">
        <v>28.943000000000001</v>
      </c>
      <c r="S141" s="22">
        <v>82</v>
      </c>
      <c r="T141" s="34">
        <v>25</v>
      </c>
      <c r="U141" s="35">
        <v>59.518999999999998</v>
      </c>
      <c r="V141" s="25">
        <v>4</v>
      </c>
      <c r="W141" s="538">
        <v>93.32</v>
      </c>
      <c r="X141" s="45">
        <v>1992</v>
      </c>
      <c r="Y141" s="25"/>
      <c r="Z141" s="46" t="s">
        <v>14</v>
      </c>
      <c r="AA141" s="25" t="s">
        <v>15</v>
      </c>
      <c r="AB141" s="39">
        <f t="shared" si="21"/>
        <v>1685.3591999999996</v>
      </c>
      <c r="AC141" s="40">
        <f t="shared" si="22"/>
        <v>0.51</v>
      </c>
      <c r="AD141" s="39">
        <f t="shared" si="23"/>
        <v>825.83</v>
      </c>
      <c r="AE141" s="79">
        <f t="shared" si="24"/>
        <v>0</v>
      </c>
      <c r="AF141" s="185">
        <f t="shared" si="25"/>
        <v>0</v>
      </c>
      <c r="AG141" s="423">
        <f t="shared" si="27"/>
        <v>825.83</v>
      </c>
      <c r="AH141" s="516">
        <f t="shared" si="26"/>
        <v>825</v>
      </c>
      <c r="AI141" s="1047"/>
      <c r="AJ141" s="1047"/>
      <c r="AK141" s="1047"/>
    </row>
    <row r="142" spans="1:37" ht="12.7">
      <c r="A142" s="47" t="s">
        <v>11</v>
      </c>
      <c r="B142" s="23" t="s">
        <v>541</v>
      </c>
      <c r="C142" s="474" t="s">
        <v>666</v>
      </c>
      <c r="D142" s="139" t="s">
        <v>448</v>
      </c>
      <c r="E142" s="760" t="s">
        <v>10</v>
      </c>
      <c r="F142" s="23"/>
      <c r="G142" s="138"/>
      <c r="H142" s="45" t="s">
        <v>263</v>
      </c>
      <c r="I142" s="33">
        <v>42</v>
      </c>
      <c r="J142" s="34">
        <v>6</v>
      </c>
      <c r="K142" s="35">
        <v>28.943000000000001</v>
      </c>
      <c r="L142" s="22">
        <v>82</v>
      </c>
      <c r="M142" s="34">
        <v>25</v>
      </c>
      <c r="N142" s="35">
        <v>59.518999999999998</v>
      </c>
      <c r="O142" s="41" t="s">
        <v>264</v>
      </c>
      <c r="P142" s="33">
        <v>42</v>
      </c>
      <c r="Q142" s="34">
        <v>6</v>
      </c>
      <c r="R142" s="35">
        <v>26.936</v>
      </c>
      <c r="S142" s="22">
        <v>82</v>
      </c>
      <c r="T142" s="34">
        <v>25</v>
      </c>
      <c r="U142" s="35">
        <v>57.295</v>
      </c>
      <c r="V142" s="25">
        <v>4</v>
      </c>
      <c r="W142" s="538">
        <v>319.11</v>
      </c>
      <c r="X142" s="45">
        <v>1992</v>
      </c>
      <c r="Y142" s="25"/>
      <c r="Z142" s="46" t="s">
        <v>14</v>
      </c>
      <c r="AA142" s="25" t="s">
        <v>15</v>
      </c>
      <c r="AB142" s="39">
        <f t="shared" si="21"/>
        <v>5763.1265999999996</v>
      </c>
      <c r="AC142" s="40">
        <f t="shared" si="22"/>
        <v>0.51</v>
      </c>
      <c r="AD142" s="39">
        <f t="shared" si="23"/>
        <v>2823.93</v>
      </c>
      <c r="AE142" s="79">
        <f t="shared" si="24"/>
        <v>0</v>
      </c>
      <c r="AF142" s="185">
        <f t="shared" si="25"/>
        <v>0</v>
      </c>
      <c r="AG142" s="423">
        <f t="shared" si="27"/>
        <v>2823.93</v>
      </c>
      <c r="AH142" s="516">
        <f t="shared" si="26"/>
        <v>2823</v>
      </c>
      <c r="AI142" s="1047"/>
      <c r="AJ142" s="1047"/>
      <c r="AK142" s="1047"/>
    </row>
    <row r="143" spans="1:37" ht="12.7">
      <c r="A143" s="50" t="s">
        <v>11</v>
      </c>
      <c r="B143" s="51" t="s">
        <v>541</v>
      </c>
      <c r="C143" s="753" t="s">
        <v>666</v>
      </c>
      <c r="D143" s="279" t="s">
        <v>448</v>
      </c>
      <c r="E143" s="763" t="s">
        <v>10</v>
      </c>
      <c r="F143" s="51"/>
      <c r="G143" s="309"/>
      <c r="H143" s="171" t="s">
        <v>284</v>
      </c>
      <c r="I143" s="52">
        <v>42</v>
      </c>
      <c r="J143" s="53">
        <v>6</v>
      </c>
      <c r="K143" s="54">
        <v>26.936</v>
      </c>
      <c r="L143" s="55">
        <v>82</v>
      </c>
      <c r="M143" s="53">
        <v>25</v>
      </c>
      <c r="N143" s="54">
        <v>57.295</v>
      </c>
      <c r="O143" s="180" t="s">
        <v>265</v>
      </c>
      <c r="P143" s="52">
        <v>42</v>
      </c>
      <c r="Q143" s="53">
        <v>6</v>
      </c>
      <c r="R143" s="54">
        <v>13.369</v>
      </c>
      <c r="S143" s="55">
        <v>82</v>
      </c>
      <c r="T143" s="53">
        <v>26</v>
      </c>
      <c r="U143" s="54">
        <v>19.035</v>
      </c>
      <c r="V143" s="170">
        <v>4</v>
      </c>
      <c r="W143" s="541">
        <v>2123.39</v>
      </c>
      <c r="X143" s="171">
        <v>1992</v>
      </c>
      <c r="Y143" s="170"/>
      <c r="Z143" s="172" t="s">
        <v>14</v>
      </c>
      <c r="AA143" s="170" t="s">
        <v>15</v>
      </c>
      <c r="AB143" s="173">
        <f t="shared" si="21"/>
        <v>38348.423399999992</v>
      </c>
      <c r="AC143" s="60">
        <f t="shared" si="22"/>
        <v>0.51</v>
      </c>
      <c r="AD143" s="173">
        <f t="shared" si="23"/>
        <v>18790.73</v>
      </c>
      <c r="AE143" s="174">
        <f t="shared" si="24"/>
        <v>0</v>
      </c>
      <c r="AF143" s="191">
        <f t="shared" si="25"/>
        <v>0</v>
      </c>
      <c r="AG143" s="437">
        <f t="shared" si="27"/>
        <v>18790.73</v>
      </c>
      <c r="AH143" s="518">
        <f t="shared" si="26"/>
        <v>18790</v>
      </c>
      <c r="AI143" s="1048"/>
      <c r="AJ143" s="1048"/>
      <c r="AK143" s="1048"/>
    </row>
    <row r="144" spans="1:37" ht="12.7">
      <c r="A144" s="321" t="s">
        <v>11</v>
      </c>
      <c r="B144" s="150" t="s">
        <v>541</v>
      </c>
      <c r="C144" s="785" t="s">
        <v>666</v>
      </c>
      <c r="D144" s="322" t="s">
        <v>448</v>
      </c>
      <c r="E144" s="762" t="s">
        <v>10</v>
      </c>
      <c r="F144" s="159"/>
      <c r="G144" s="308"/>
      <c r="H144" s="165" t="s">
        <v>285</v>
      </c>
      <c r="I144" s="161">
        <v>42</v>
      </c>
      <c r="J144" s="162">
        <v>6</v>
      </c>
      <c r="K144" s="163">
        <v>13.997999999999999</v>
      </c>
      <c r="L144" s="164">
        <v>82</v>
      </c>
      <c r="M144" s="162">
        <v>26</v>
      </c>
      <c r="N144" s="163">
        <v>18.768999999999998</v>
      </c>
      <c r="O144" s="183" t="s">
        <v>266</v>
      </c>
      <c r="P144" s="161">
        <v>42</v>
      </c>
      <c r="Q144" s="162">
        <v>6</v>
      </c>
      <c r="R144" s="163">
        <v>18.372</v>
      </c>
      <c r="S144" s="164">
        <v>82</v>
      </c>
      <c r="T144" s="162">
        <v>26</v>
      </c>
      <c r="U144" s="163">
        <v>24.155</v>
      </c>
      <c r="V144" s="158">
        <v>3</v>
      </c>
      <c r="W144" s="540">
        <v>569</v>
      </c>
      <c r="X144" s="165">
        <v>1992</v>
      </c>
      <c r="Y144" s="158"/>
      <c r="Z144" s="166" t="s">
        <v>14</v>
      </c>
      <c r="AA144" s="158" t="s">
        <v>15</v>
      </c>
      <c r="AB144" s="167">
        <f t="shared" si="21"/>
        <v>8529.31</v>
      </c>
      <c r="AC144" s="168">
        <f t="shared" si="22"/>
        <v>0.51</v>
      </c>
      <c r="AD144" s="167">
        <f t="shared" si="23"/>
        <v>4179.3599999999997</v>
      </c>
      <c r="AE144" s="169">
        <f t="shared" si="24"/>
        <v>0</v>
      </c>
      <c r="AF144" s="441">
        <f t="shared" si="25"/>
        <v>0</v>
      </c>
      <c r="AG144" s="417">
        <f t="shared" si="27"/>
        <v>4179.3599999999997</v>
      </c>
      <c r="AH144" s="517">
        <f t="shared" si="26"/>
        <v>4179</v>
      </c>
      <c r="AI144" s="1068" t="s">
        <v>624</v>
      </c>
      <c r="AJ144" s="1050"/>
      <c r="AK144" s="1051"/>
    </row>
    <row r="145" spans="1:37" ht="12.7">
      <c r="A145" s="47" t="s">
        <v>11</v>
      </c>
      <c r="B145" s="23" t="s">
        <v>541</v>
      </c>
      <c r="C145" s="474" t="s">
        <v>666</v>
      </c>
      <c r="D145" s="139" t="s">
        <v>448</v>
      </c>
      <c r="E145" s="760" t="s">
        <v>10</v>
      </c>
      <c r="F145" s="23"/>
      <c r="G145" s="138"/>
      <c r="H145" s="45" t="s">
        <v>285</v>
      </c>
      <c r="I145" s="33">
        <v>42</v>
      </c>
      <c r="J145" s="34">
        <v>6</v>
      </c>
      <c r="K145" s="35">
        <v>13.997999999999999</v>
      </c>
      <c r="L145" s="22">
        <v>82</v>
      </c>
      <c r="M145" s="34">
        <v>26</v>
      </c>
      <c r="N145" s="35">
        <v>18.768999999999998</v>
      </c>
      <c r="O145" s="41" t="s">
        <v>266</v>
      </c>
      <c r="P145" s="33">
        <v>42</v>
      </c>
      <c r="Q145" s="34">
        <v>6</v>
      </c>
      <c r="R145" s="35">
        <v>18.372</v>
      </c>
      <c r="S145" s="22">
        <v>82</v>
      </c>
      <c r="T145" s="34">
        <v>26</v>
      </c>
      <c r="U145" s="35">
        <v>24.155</v>
      </c>
      <c r="V145" s="25">
        <v>3</v>
      </c>
      <c r="W145" s="538">
        <v>569</v>
      </c>
      <c r="X145" s="45">
        <v>1992</v>
      </c>
      <c r="Y145" s="25"/>
      <c r="Z145" s="46" t="s">
        <v>14</v>
      </c>
      <c r="AA145" s="25" t="s">
        <v>15</v>
      </c>
      <c r="AB145" s="39">
        <f t="shared" si="21"/>
        <v>8529.31</v>
      </c>
      <c r="AC145" s="40">
        <f t="shared" si="22"/>
        <v>0.51</v>
      </c>
      <c r="AD145" s="39">
        <f t="shared" si="23"/>
        <v>4179.3599999999997</v>
      </c>
      <c r="AE145" s="79">
        <f t="shared" si="24"/>
        <v>0</v>
      </c>
      <c r="AF145" s="442">
        <f t="shared" si="25"/>
        <v>0</v>
      </c>
      <c r="AG145" s="423">
        <f t="shared" si="27"/>
        <v>4179.3599999999997</v>
      </c>
      <c r="AH145" s="516">
        <f t="shared" si="26"/>
        <v>4179</v>
      </c>
      <c r="AI145" s="1052"/>
      <c r="AJ145" s="1053"/>
      <c r="AK145" s="1054"/>
    </row>
    <row r="146" spans="1:37" ht="12.7">
      <c r="A146" s="47" t="s">
        <v>11</v>
      </c>
      <c r="B146" s="23" t="s">
        <v>541</v>
      </c>
      <c r="C146" s="474" t="s">
        <v>666</v>
      </c>
      <c r="D146" s="139" t="s">
        <v>448</v>
      </c>
      <c r="E146" s="760" t="s">
        <v>10</v>
      </c>
      <c r="F146" s="23"/>
      <c r="G146" s="138"/>
      <c r="H146" s="45" t="s">
        <v>286</v>
      </c>
      <c r="I146" s="33">
        <v>42</v>
      </c>
      <c r="J146" s="34">
        <v>6</v>
      </c>
      <c r="K146" s="35">
        <v>18.372</v>
      </c>
      <c r="L146" s="22">
        <v>82</v>
      </c>
      <c r="M146" s="34">
        <v>26</v>
      </c>
      <c r="N146" s="35">
        <v>24.155</v>
      </c>
      <c r="O146" s="41" t="s">
        <v>287</v>
      </c>
      <c r="P146" s="33">
        <v>42</v>
      </c>
      <c r="Q146" s="34">
        <v>6</v>
      </c>
      <c r="R146" s="35">
        <v>25.60</v>
      </c>
      <c r="S146" s="22">
        <v>82</v>
      </c>
      <c r="T146" s="34">
        <v>26</v>
      </c>
      <c r="U146" s="35">
        <v>57.183999999999997</v>
      </c>
      <c r="V146" s="25">
        <v>3</v>
      </c>
      <c r="W146" s="538">
        <v>2618</v>
      </c>
      <c r="X146" s="45">
        <v>1992</v>
      </c>
      <c r="Y146" s="25"/>
      <c r="Z146" s="46" t="s">
        <v>14</v>
      </c>
      <c r="AA146" s="25" t="s">
        <v>15</v>
      </c>
      <c r="AB146" s="39">
        <f t="shared" si="21"/>
        <v>39243.82</v>
      </c>
      <c r="AC146" s="40">
        <f t="shared" si="22"/>
        <v>0.51</v>
      </c>
      <c r="AD146" s="39">
        <f t="shared" si="23"/>
        <v>19229.47</v>
      </c>
      <c r="AE146" s="79">
        <f t="shared" si="24"/>
        <v>0</v>
      </c>
      <c r="AF146" s="442">
        <f t="shared" si="25"/>
        <v>0</v>
      </c>
      <c r="AG146" s="423">
        <f t="shared" si="27"/>
        <v>19229.47</v>
      </c>
      <c r="AH146" s="516">
        <f t="shared" si="26"/>
        <v>19229</v>
      </c>
      <c r="AI146" s="1052"/>
      <c r="AJ146" s="1053"/>
      <c r="AK146" s="1054"/>
    </row>
    <row r="147" spans="1:37" ht="12.7">
      <c r="A147" s="50" t="s">
        <v>11</v>
      </c>
      <c r="B147" s="51" t="s">
        <v>541</v>
      </c>
      <c r="C147" s="753" t="s">
        <v>666</v>
      </c>
      <c r="D147" s="279" t="s">
        <v>448</v>
      </c>
      <c r="E147" s="763" t="s">
        <v>10</v>
      </c>
      <c r="F147" s="51"/>
      <c r="G147" s="309"/>
      <c r="H147" s="180" t="s">
        <v>286</v>
      </c>
      <c r="I147" s="52">
        <v>42</v>
      </c>
      <c r="J147" s="53">
        <v>6</v>
      </c>
      <c r="K147" s="54">
        <v>18.372</v>
      </c>
      <c r="L147" s="55">
        <v>82</v>
      </c>
      <c r="M147" s="53">
        <v>26</v>
      </c>
      <c r="N147" s="54">
        <v>24.155</v>
      </c>
      <c r="O147" s="180" t="s">
        <v>287</v>
      </c>
      <c r="P147" s="52">
        <v>42</v>
      </c>
      <c r="Q147" s="53">
        <v>6</v>
      </c>
      <c r="R147" s="54">
        <v>25.60</v>
      </c>
      <c r="S147" s="55">
        <v>82</v>
      </c>
      <c r="T147" s="53">
        <v>26</v>
      </c>
      <c r="U147" s="54">
        <v>57.183999999999997</v>
      </c>
      <c r="V147" s="170">
        <v>3</v>
      </c>
      <c r="W147" s="541">
        <v>2618</v>
      </c>
      <c r="X147" s="171">
        <v>1992</v>
      </c>
      <c r="Y147" s="170"/>
      <c r="Z147" s="172" t="s">
        <v>14</v>
      </c>
      <c r="AA147" s="170" t="s">
        <v>15</v>
      </c>
      <c r="AB147" s="173">
        <f t="shared" si="21"/>
        <v>39243.82</v>
      </c>
      <c r="AC147" s="60">
        <f t="shared" si="22"/>
        <v>0.51</v>
      </c>
      <c r="AD147" s="173">
        <f t="shared" si="23"/>
        <v>19229.47</v>
      </c>
      <c r="AE147" s="174">
        <f t="shared" si="24"/>
        <v>0</v>
      </c>
      <c r="AF147" s="443">
        <f t="shared" si="25"/>
        <v>0</v>
      </c>
      <c r="AG147" s="437">
        <f t="shared" si="27"/>
        <v>19229.47</v>
      </c>
      <c r="AH147" s="518">
        <f t="shared" si="26"/>
        <v>19229</v>
      </c>
      <c r="AI147" s="1055"/>
      <c r="AJ147" s="1056"/>
      <c r="AK147" s="1057"/>
    </row>
    <row r="148" spans="1:37" ht="12.7">
      <c r="A148" s="203" t="s">
        <v>11</v>
      </c>
      <c r="B148" s="204" t="s">
        <v>541</v>
      </c>
      <c r="C148" s="325" t="s">
        <v>666</v>
      </c>
      <c r="D148" s="757" t="s">
        <v>448</v>
      </c>
      <c r="E148" s="844" t="s">
        <v>10</v>
      </c>
      <c r="F148" s="210"/>
      <c r="G148" s="310"/>
      <c r="H148" s="210" t="s">
        <v>287</v>
      </c>
      <c r="I148" s="210" t="s">
        <v>8</v>
      </c>
      <c r="J148" s="210" t="s">
        <v>325</v>
      </c>
      <c r="K148" s="210" t="s">
        <v>354</v>
      </c>
      <c r="L148" s="845" t="s">
        <v>108</v>
      </c>
      <c r="M148" s="210" t="s">
        <v>9</v>
      </c>
      <c r="N148" s="210" t="s">
        <v>355</v>
      </c>
      <c r="O148" s="210" t="s">
        <v>306</v>
      </c>
      <c r="P148" s="846" t="s">
        <v>8</v>
      </c>
      <c r="Q148" s="210" t="s">
        <v>324</v>
      </c>
      <c r="R148" s="210" t="s">
        <v>293</v>
      </c>
      <c r="S148" s="845" t="s">
        <v>108</v>
      </c>
      <c r="T148" s="210" t="s">
        <v>294</v>
      </c>
      <c r="U148" s="210" t="s">
        <v>295</v>
      </c>
      <c r="V148" s="210">
        <v>3</v>
      </c>
      <c r="W148" s="547">
        <v>1617</v>
      </c>
      <c r="X148" s="211">
        <v>1992</v>
      </c>
      <c r="Y148" s="210"/>
      <c r="Z148" s="212" t="s">
        <v>14</v>
      </c>
      <c r="AA148" s="210" t="s">
        <v>15</v>
      </c>
      <c r="AB148" s="213">
        <f t="shared" si="21"/>
        <v>24238.83</v>
      </c>
      <c r="AC148" s="214">
        <f t="shared" si="22"/>
        <v>0.51</v>
      </c>
      <c r="AD148" s="213">
        <f t="shared" si="23"/>
        <v>11877.03</v>
      </c>
      <c r="AE148" s="215">
        <f t="shared" si="24"/>
        <v>0</v>
      </c>
      <c r="AF148" s="216">
        <f t="shared" si="25"/>
        <v>0</v>
      </c>
      <c r="AG148" s="260">
        <f t="shared" si="27"/>
        <v>11877.03</v>
      </c>
      <c r="AH148" s="535">
        <f t="shared" si="26"/>
        <v>11877</v>
      </c>
      <c r="AI148" s="196">
        <v>6.10</v>
      </c>
      <c r="AJ148" s="196">
        <v>203.56</v>
      </c>
      <c r="AK148" s="196">
        <v>18.36</v>
      </c>
    </row>
    <row r="149" spans="1:37" ht="12.7">
      <c r="A149" s="203" t="s">
        <v>11</v>
      </c>
      <c r="B149" s="204" t="s">
        <v>541</v>
      </c>
      <c r="C149" s="325" t="s">
        <v>666</v>
      </c>
      <c r="D149" s="757" t="s">
        <v>448</v>
      </c>
      <c r="E149" s="840" t="s">
        <v>10</v>
      </c>
      <c r="F149" s="223"/>
      <c r="G149" s="311"/>
      <c r="H149" s="223" t="s">
        <v>415</v>
      </c>
      <c r="I149" s="223" t="s">
        <v>8</v>
      </c>
      <c r="J149" s="223" t="s">
        <v>542</v>
      </c>
      <c r="K149" s="223" t="s">
        <v>546</v>
      </c>
      <c r="L149" s="841" t="s">
        <v>108</v>
      </c>
      <c r="M149" s="223" t="s">
        <v>544</v>
      </c>
      <c r="N149" s="223" t="s">
        <v>543</v>
      </c>
      <c r="O149" s="223" t="s">
        <v>416</v>
      </c>
      <c r="P149" s="842" t="s">
        <v>8</v>
      </c>
      <c r="Q149" s="223" t="s">
        <v>542</v>
      </c>
      <c r="R149" s="223" t="s">
        <v>543</v>
      </c>
      <c r="S149" s="841" t="s">
        <v>108</v>
      </c>
      <c r="T149" s="223" t="s">
        <v>544</v>
      </c>
      <c r="U149" s="223" t="s">
        <v>545</v>
      </c>
      <c r="V149" s="223">
        <v>4</v>
      </c>
      <c r="W149" s="843">
        <v>6298</v>
      </c>
      <c r="X149" s="224">
        <v>2002</v>
      </c>
      <c r="Y149" s="223"/>
      <c r="Z149" s="225" t="s">
        <v>14</v>
      </c>
      <c r="AA149" s="223" t="s">
        <v>15</v>
      </c>
      <c r="AB149" s="226">
        <f t="shared" si="21"/>
        <v>113741.87999999999</v>
      </c>
      <c r="AC149" s="227">
        <f t="shared" si="22"/>
        <v>0.30</v>
      </c>
      <c r="AD149" s="226">
        <f t="shared" si="23"/>
        <v>79619.320000000007</v>
      </c>
      <c r="AE149" s="228">
        <f t="shared" si="24"/>
        <v>0</v>
      </c>
      <c r="AF149" s="229">
        <f t="shared" si="25"/>
        <v>0</v>
      </c>
      <c r="AG149" s="423">
        <f t="shared" si="27"/>
        <v>79619.320000000007</v>
      </c>
      <c r="AH149" s="516">
        <f t="shared" si="26"/>
        <v>79619</v>
      </c>
      <c r="AI149" s="245"/>
      <c r="AJ149" s="245"/>
      <c r="AK149" s="245"/>
    </row>
    <row r="150" spans="1:37" ht="12.7">
      <c r="A150" s="321" t="s">
        <v>11</v>
      </c>
      <c r="B150" s="150" t="s">
        <v>541</v>
      </c>
      <c r="C150" s="785" t="s">
        <v>666</v>
      </c>
      <c r="D150" s="322" t="s">
        <v>448</v>
      </c>
      <c r="E150" s="762" t="s">
        <v>10</v>
      </c>
      <c r="F150" s="159"/>
      <c r="G150" s="308"/>
      <c r="H150" s="271" t="s">
        <v>449</v>
      </c>
      <c r="I150" s="161">
        <v>42</v>
      </c>
      <c r="J150" s="162">
        <v>8</v>
      </c>
      <c r="K150" s="163">
        <f>60*0.015</f>
        <v>0.89999999999999991</v>
      </c>
      <c r="L150" s="164">
        <v>82</v>
      </c>
      <c r="M150" s="162">
        <v>24</v>
      </c>
      <c r="N150" s="272">
        <f>60*0.956</f>
        <v>57.36</v>
      </c>
      <c r="O150" s="271" t="s">
        <v>450</v>
      </c>
      <c r="P150" s="161">
        <v>42</v>
      </c>
      <c r="Q150" s="162">
        <v>8</v>
      </c>
      <c r="R150" s="163">
        <f>60*0.039</f>
        <v>2.34</v>
      </c>
      <c r="S150" s="164">
        <v>82</v>
      </c>
      <c r="T150" s="162">
        <v>25</v>
      </c>
      <c r="U150" s="272">
        <f>60*0.017</f>
        <v>1.02</v>
      </c>
      <c r="V150" s="159">
        <v>4</v>
      </c>
      <c r="W150" s="540">
        <v>357.08</v>
      </c>
      <c r="X150" s="160">
        <v>2002</v>
      </c>
      <c r="Y150" s="159"/>
      <c r="Z150" s="273"/>
      <c r="AA150" s="159" t="s">
        <v>15</v>
      </c>
      <c r="AB150" s="274">
        <f t="shared" si="21"/>
        <v>6448.8647999999994</v>
      </c>
      <c r="AC150" s="168">
        <f t="shared" si="22"/>
        <v>0.30</v>
      </c>
      <c r="AD150" s="274">
        <f t="shared" si="23"/>
        <v>4514.21</v>
      </c>
      <c r="AE150" s="275">
        <f t="shared" si="24"/>
        <v>0</v>
      </c>
      <c r="AF150" s="276">
        <f t="shared" si="25"/>
        <v>0</v>
      </c>
      <c r="AG150" s="489">
        <f t="shared" si="27"/>
        <v>4514.21</v>
      </c>
      <c r="AH150" s="509">
        <f t="shared" si="26"/>
        <v>4514</v>
      </c>
      <c r="AI150" s="1046">
        <v>4.59</v>
      </c>
      <c r="AJ150" s="1046">
        <v>39.380000000000003</v>
      </c>
      <c r="AK150" s="1046">
        <v>1.77</v>
      </c>
    </row>
    <row r="151" spans="1:37" ht="12.7">
      <c r="A151" s="47" t="s">
        <v>11</v>
      </c>
      <c r="B151" s="23" t="s">
        <v>541</v>
      </c>
      <c r="C151" s="474" t="s">
        <v>666</v>
      </c>
      <c r="D151" s="139" t="s">
        <v>448</v>
      </c>
      <c r="E151" s="760" t="s">
        <v>10</v>
      </c>
      <c r="F151" s="23"/>
      <c r="G151" s="138"/>
      <c r="H151" s="32" t="s">
        <v>450</v>
      </c>
      <c r="I151" s="33">
        <v>42</v>
      </c>
      <c r="J151" s="34">
        <v>8</v>
      </c>
      <c r="K151" s="35">
        <f>60*0.039</f>
        <v>2.34</v>
      </c>
      <c r="L151" s="22">
        <v>82</v>
      </c>
      <c r="M151" s="34">
        <v>25</v>
      </c>
      <c r="N151" s="36">
        <f>60*0.017</f>
        <v>1.02</v>
      </c>
      <c r="O151" s="32" t="s">
        <v>451</v>
      </c>
      <c r="P151" s="33">
        <v>42</v>
      </c>
      <c r="Q151" s="34">
        <v>7</v>
      </c>
      <c r="R151" s="35">
        <f>60*0.92</f>
        <v>55.20</v>
      </c>
      <c r="S151" s="22">
        <v>82</v>
      </c>
      <c r="T151" s="34">
        <v>25</v>
      </c>
      <c r="U151" s="36">
        <f>60*0.209</f>
        <v>12.54</v>
      </c>
      <c r="V151" s="23">
        <v>4</v>
      </c>
      <c r="W151" s="538">
        <f>1885.38-357.08</f>
        <v>1528.3000000000002</v>
      </c>
      <c r="X151" s="37">
        <v>2002</v>
      </c>
      <c r="Y151" s="23"/>
      <c r="Z151" s="38"/>
      <c r="AA151" s="23" t="s">
        <v>15</v>
      </c>
      <c r="AB151" s="48">
        <f t="shared" si="21"/>
        <v>27601.098000000002</v>
      </c>
      <c r="AC151" s="40">
        <f t="shared" si="22"/>
        <v>0.30</v>
      </c>
      <c r="AD151" s="48">
        <f t="shared" si="23"/>
        <v>19320.77</v>
      </c>
      <c r="AE151" s="49">
        <f t="shared" si="24"/>
        <v>0</v>
      </c>
      <c r="AF151" s="189">
        <f t="shared" si="25"/>
        <v>0</v>
      </c>
      <c r="AG151" s="136">
        <f t="shared" si="27"/>
        <v>19320.77</v>
      </c>
      <c r="AH151" s="510">
        <f t="shared" si="26"/>
        <v>19320</v>
      </c>
      <c r="AI151" s="1047"/>
      <c r="AJ151" s="1047"/>
      <c r="AK151" s="1047"/>
    </row>
    <row r="152" spans="1:37" ht="12.7">
      <c r="A152" s="50" t="s">
        <v>11</v>
      </c>
      <c r="B152" s="51" t="s">
        <v>541</v>
      </c>
      <c r="C152" s="753" t="s">
        <v>666</v>
      </c>
      <c r="D152" s="279" t="s">
        <v>448</v>
      </c>
      <c r="E152" s="763" t="s">
        <v>10</v>
      </c>
      <c r="F152" s="51"/>
      <c r="G152" s="309"/>
      <c r="H152" s="277" t="s">
        <v>451</v>
      </c>
      <c r="I152" s="52">
        <v>42</v>
      </c>
      <c r="J152" s="53">
        <v>7</v>
      </c>
      <c r="K152" s="54">
        <f>60*0.92</f>
        <v>55.20</v>
      </c>
      <c r="L152" s="55">
        <v>82</v>
      </c>
      <c r="M152" s="53">
        <v>25</v>
      </c>
      <c r="N152" s="56">
        <f>60*0.209</f>
        <v>12.54</v>
      </c>
      <c r="O152" s="277" t="s">
        <v>452</v>
      </c>
      <c r="P152" s="52">
        <v>42</v>
      </c>
      <c r="Q152" s="53">
        <v>7</v>
      </c>
      <c r="R152" s="54">
        <f>60*0.842</f>
        <v>50.52</v>
      </c>
      <c r="S152" s="55">
        <v>82</v>
      </c>
      <c r="T152" s="53">
        <v>25</v>
      </c>
      <c r="U152" s="56">
        <f>60*0.22</f>
        <v>13.20</v>
      </c>
      <c r="V152" s="51">
        <v>4</v>
      </c>
      <c r="W152" s="541">
        <f>2375.75-1885.38</f>
        <v>490.36999999999989</v>
      </c>
      <c r="X152" s="57">
        <v>2002</v>
      </c>
      <c r="Y152" s="51"/>
      <c r="Z152" s="58"/>
      <c r="AA152" s="51" t="s">
        <v>15</v>
      </c>
      <c r="AB152" s="59">
        <f t="shared" si="21"/>
        <v>8856.0821999999971</v>
      </c>
      <c r="AC152" s="60">
        <f t="shared" si="22"/>
        <v>0.30</v>
      </c>
      <c r="AD152" s="59">
        <f t="shared" si="23"/>
        <v>6199.26</v>
      </c>
      <c r="AE152" s="61">
        <f t="shared" si="24"/>
        <v>0</v>
      </c>
      <c r="AF152" s="194">
        <f t="shared" si="25"/>
        <v>0</v>
      </c>
      <c r="AG152" s="490">
        <f t="shared" si="27"/>
        <v>6199.26</v>
      </c>
      <c r="AH152" s="511">
        <f t="shared" si="26"/>
        <v>6199</v>
      </c>
      <c r="AI152" s="1048"/>
      <c r="AJ152" s="1048"/>
      <c r="AK152" s="1048"/>
    </row>
    <row r="153" spans="1:37" ht="12.7">
      <c r="A153" s="321" t="s">
        <v>11</v>
      </c>
      <c r="B153" s="137" t="s">
        <v>541</v>
      </c>
      <c r="C153" s="785" t="s">
        <v>666</v>
      </c>
      <c r="D153" s="847" t="s">
        <v>448</v>
      </c>
      <c r="E153" s="774" t="s">
        <v>10</v>
      </c>
      <c r="F153" s="137" t="s">
        <v>554</v>
      </c>
      <c r="G153" s="313"/>
      <c r="H153" s="137" t="s">
        <v>555</v>
      </c>
      <c r="I153" s="263">
        <v>42</v>
      </c>
      <c r="J153" s="264">
        <v>7</v>
      </c>
      <c r="K153" s="265">
        <f>60*0.906</f>
        <v>54.36</v>
      </c>
      <c r="L153" s="266">
        <v>82</v>
      </c>
      <c r="M153" s="264">
        <v>22</v>
      </c>
      <c r="N153" s="267">
        <f>60*0.666</f>
        <v>39.96</v>
      </c>
      <c r="O153" s="137" t="s">
        <v>556</v>
      </c>
      <c r="P153" s="263">
        <v>42</v>
      </c>
      <c r="Q153" s="264">
        <v>7</v>
      </c>
      <c r="R153" s="265">
        <f>60*0.896</f>
        <v>53.76</v>
      </c>
      <c r="S153" s="266">
        <v>82</v>
      </c>
      <c r="T153" s="264">
        <v>22</v>
      </c>
      <c r="U153" s="267">
        <f>60*0.681</f>
        <v>40.86</v>
      </c>
      <c r="V153" s="137">
        <v>4</v>
      </c>
      <c r="W153" s="545">
        <v>91</v>
      </c>
      <c r="X153" s="137">
        <v>2005</v>
      </c>
      <c r="Y153" s="137"/>
      <c r="Z153" s="137"/>
      <c r="AA153" s="532" t="s">
        <v>15</v>
      </c>
      <c r="AB153" s="268">
        <f t="shared" si="21"/>
        <v>1643.4599999999998</v>
      </c>
      <c r="AC153" s="533">
        <f t="shared" si="22"/>
        <v>0.22</v>
      </c>
      <c r="AD153" s="268">
        <f t="shared" si="23"/>
        <v>1281.9000000000001</v>
      </c>
      <c r="AE153" s="269">
        <f t="shared" si="24"/>
        <v>0</v>
      </c>
      <c r="AF153" s="270">
        <f t="shared" si="25"/>
        <v>0</v>
      </c>
      <c r="AG153" s="491">
        <f t="shared" si="27"/>
        <v>1281.9000000000001</v>
      </c>
      <c r="AH153" s="524">
        <f t="shared" si="26"/>
        <v>1281</v>
      </c>
      <c r="AI153" s="1046">
        <v>24.41</v>
      </c>
      <c r="AJ153" s="1046">
        <v>553.55999999999995</v>
      </c>
      <c r="AK153" s="1046">
        <v>102.06</v>
      </c>
    </row>
    <row r="154" spans="1:37" ht="12.7">
      <c r="A154" s="47" t="s">
        <v>11</v>
      </c>
      <c r="B154" s="62" t="s">
        <v>541</v>
      </c>
      <c r="C154" s="474" t="s">
        <v>666</v>
      </c>
      <c r="D154" s="290" t="s">
        <v>448</v>
      </c>
      <c r="E154" s="775" t="s">
        <v>10</v>
      </c>
      <c r="F154" s="62" t="s">
        <v>554</v>
      </c>
      <c r="G154" s="314"/>
      <c r="H154" s="62" t="s">
        <v>556</v>
      </c>
      <c r="I154" s="63">
        <v>42</v>
      </c>
      <c r="J154" s="64">
        <v>7</v>
      </c>
      <c r="K154" s="65">
        <f>60*0.896</f>
        <v>53.76</v>
      </c>
      <c r="L154" s="66">
        <v>82</v>
      </c>
      <c r="M154" s="64">
        <v>22</v>
      </c>
      <c r="N154" s="67">
        <f>60*0.681</f>
        <v>40.86</v>
      </c>
      <c r="O154" s="62" t="s">
        <v>557</v>
      </c>
      <c r="P154" s="63">
        <v>42</v>
      </c>
      <c r="Q154" s="64">
        <v>7</v>
      </c>
      <c r="R154" s="65">
        <f>60*0.934</f>
        <v>56.040000000000006</v>
      </c>
      <c r="S154" s="66">
        <v>82</v>
      </c>
      <c r="T154" s="64">
        <v>22</v>
      </c>
      <c r="U154" s="67">
        <f>60*0.732</f>
        <v>43.92</v>
      </c>
      <c r="V154" s="62">
        <v>4</v>
      </c>
      <c r="W154" s="546">
        <v>325</v>
      </c>
      <c r="X154" s="62">
        <v>2005</v>
      </c>
      <c r="Y154" s="62"/>
      <c r="Z154" s="62"/>
      <c r="AA154" s="62" t="s">
        <v>15</v>
      </c>
      <c r="AB154" s="68">
        <f t="shared" si="21"/>
        <v>5869.50</v>
      </c>
      <c r="AC154" s="534">
        <f t="shared" si="22"/>
        <v>0.22</v>
      </c>
      <c r="AD154" s="68">
        <f t="shared" si="23"/>
        <v>4578.21</v>
      </c>
      <c r="AE154" s="69">
        <f t="shared" si="24"/>
        <v>0</v>
      </c>
      <c r="AF154" s="193">
        <f t="shared" si="25"/>
        <v>0</v>
      </c>
      <c r="AG154" s="491">
        <f t="shared" si="27"/>
        <v>4578.21</v>
      </c>
      <c r="AH154" s="524">
        <f t="shared" si="26"/>
        <v>4578</v>
      </c>
      <c r="AI154" s="1047"/>
      <c r="AJ154" s="1047"/>
      <c r="AK154" s="1047"/>
    </row>
    <row r="155" spans="1:37" ht="12.7">
      <c r="A155" s="47" t="s">
        <v>11</v>
      </c>
      <c r="B155" s="62" t="s">
        <v>541</v>
      </c>
      <c r="C155" s="474" t="s">
        <v>666</v>
      </c>
      <c r="D155" s="290" t="s">
        <v>448</v>
      </c>
      <c r="E155" s="775" t="s">
        <v>10</v>
      </c>
      <c r="F155" s="62" t="s">
        <v>554</v>
      </c>
      <c r="G155" s="314"/>
      <c r="H155" s="62" t="s">
        <v>557</v>
      </c>
      <c r="I155" s="63">
        <v>42</v>
      </c>
      <c r="J155" s="64">
        <v>7</v>
      </c>
      <c r="K155" s="65">
        <f>60*0.934</f>
        <v>56.040000000000006</v>
      </c>
      <c r="L155" s="66">
        <v>82</v>
      </c>
      <c r="M155" s="64">
        <v>22</v>
      </c>
      <c r="N155" s="67">
        <f>60*0.732</f>
        <v>43.92</v>
      </c>
      <c r="O155" s="62" t="s">
        <v>558</v>
      </c>
      <c r="P155" s="63">
        <v>42</v>
      </c>
      <c r="Q155" s="64">
        <v>8</v>
      </c>
      <c r="R155" s="65">
        <f>60*0.203</f>
        <v>12.18</v>
      </c>
      <c r="S155" s="66">
        <v>82</v>
      </c>
      <c r="T155" s="64">
        <v>22</v>
      </c>
      <c r="U155" s="67">
        <f>60*0.951</f>
        <v>57.059999999999995</v>
      </c>
      <c r="V155" s="62">
        <v>4</v>
      </c>
      <c r="W155" s="546">
        <v>1907</v>
      </c>
      <c r="X155" s="62">
        <v>2005</v>
      </c>
      <c r="Y155" s="62"/>
      <c r="Z155" s="62"/>
      <c r="AA155" s="62" t="s">
        <v>15</v>
      </c>
      <c r="AB155" s="68">
        <f t="shared" si="21"/>
        <v>34440.42</v>
      </c>
      <c r="AC155" s="534">
        <f t="shared" si="22"/>
        <v>0.22</v>
      </c>
      <c r="AD155" s="68">
        <f t="shared" si="23"/>
        <v>26863.53</v>
      </c>
      <c r="AE155" s="69">
        <f t="shared" si="24"/>
        <v>0</v>
      </c>
      <c r="AF155" s="193">
        <f t="shared" si="25"/>
        <v>0</v>
      </c>
      <c r="AG155" s="491">
        <f t="shared" si="27"/>
        <v>26863.53</v>
      </c>
      <c r="AH155" s="524">
        <f t="shared" si="26"/>
        <v>26863</v>
      </c>
      <c r="AI155" s="1047"/>
      <c r="AJ155" s="1047"/>
      <c r="AK155" s="1047"/>
    </row>
    <row r="156" spans="1:37" ht="12.7">
      <c r="A156" s="47" t="s">
        <v>11</v>
      </c>
      <c r="B156" s="62" t="s">
        <v>541</v>
      </c>
      <c r="C156" s="474" t="s">
        <v>666</v>
      </c>
      <c r="D156" s="290" t="s">
        <v>448</v>
      </c>
      <c r="E156" s="775" t="s">
        <v>10</v>
      </c>
      <c r="F156" s="62" t="s">
        <v>554</v>
      </c>
      <c r="G156" s="314"/>
      <c r="H156" s="62" t="s">
        <v>558</v>
      </c>
      <c r="I156" s="63">
        <v>42</v>
      </c>
      <c r="J156" s="64">
        <v>8</v>
      </c>
      <c r="K156" s="65">
        <f>60*0.203</f>
        <v>12.18</v>
      </c>
      <c r="L156" s="66">
        <v>82</v>
      </c>
      <c r="M156" s="64">
        <v>22</v>
      </c>
      <c r="N156" s="67">
        <f>60*0.951</f>
        <v>57.059999999999995</v>
      </c>
      <c r="O156" s="62" t="s">
        <v>559</v>
      </c>
      <c r="P156" s="63">
        <v>42</v>
      </c>
      <c r="Q156" s="64">
        <v>8</v>
      </c>
      <c r="R156" s="65">
        <f>60*0.275</f>
        <v>16.50</v>
      </c>
      <c r="S156" s="66">
        <v>82</v>
      </c>
      <c r="T156" s="64">
        <v>21</v>
      </c>
      <c r="U156" s="67">
        <f>60*0.731</f>
        <v>43.86</v>
      </c>
      <c r="V156" s="62">
        <v>4</v>
      </c>
      <c r="W156" s="546">
        <v>5511</v>
      </c>
      <c r="X156" s="62">
        <v>2005</v>
      </c>
      <c r="Y156" s="62"/>
      <c r="Z156" s="62"/>
      <c r="AA156" s="62" t="s">
        <v>15</v>
      </c>
      <c r="AB156" s="68">
        <f t="shared" si="21"/>
        <v>99528.659999999989</v>
      </c>
      <c r="AC156" s="534">
        <f t="shared" si="22"/>
        <v>0.22</v>
      </c>
      <c r="AD156" s="68">
        <f t="shared" si="23"/>
        <v>77632.350000000006</v>
      </c>
      <c r="AE156" s="69">
        <f t="shared" si="24"/>
        <v>0</v>
      </c>
      <c r="AF156" s="193">
        <f t="shared" si="25"/>
        <v>0</v>
      </c>
      <c r="AG156" s="491">
        <f t="shared" si="27"/>
        <v>77632.350000000006</v>
      </c>
      <c r="AH156" s="524">
        <f t="shared" si="26"/>
        <v>77632</v>
      </c>
      <c r="AI156" s="1047"/>
      <c r="AJ156" s="1047"/>
      <c r="AK156" s="1047"/>
    </row>
    <row r="157" spans="1:37" ht="12.7">
      <c r="A157" s="47" t="s">
        <v>11</v>
      </c>
      <c r="B157" s="62" t="s">
        <v>541</v>
      </c>
      <c r="C157" s="474" t="s">
        <v>666</v>
      </c>
      <c r="D157" s="290" t="s">
        <v>448</v>
      </c>
      <c r="E157" s="775" t="s">
        <v>10</v>
      </c>
      <c r="F157" s="62" t="s">
        <v>554</v>
      </c>
      <c r="G157" s="314"/>
      <c r="H157" s="62" t="s">
        <v>559</v>
      </c>
      <c r="I157" s="63">
        <v>42</v>
      </c>
      <c r="J157" s="64">
        <v>8</v>
      </c>
      <c r="K157" s="65">
        <f>60*0.275</f>
        <v>16.50</v>
      </c>
      <c r="L157" s="66">
        <v>82</v>
      </c>
      <c r="M157" s="64">
        <v>21</v>
      </c>
      <c r="N157" s="67">
        <f>60*0.731</f>
        <v>43.86</v>
      </c>
      <c r="O157" s="62" t="s">
        <v>560</v>
      </c>
      <c r="P157" s="63">
        <v>42</v>
      </c>
      <c r="Q157" s="64">
        <v>8</v>
      </c>
      <c r="R157" s="65">
        <f>60*0.298</f>
        <v>17.88</v>
      </c>
      <c r="S157" s="66">
        <v>82</v>
      </c>
      <c r="T157" s="64">
        <v>21</v>
      </c>
      <c r="U157" s="67">
        <f>60*0.586</f>
        <v>35.159999999999997</v>
      </c>
      <c r="V157" s="62">
        <v>4</v>
      </c>
      <c r="W157" s="546">
        <v>668</v>
      </c>
      <c r="X157" s="62">
        <v>2005</v>
      </c>
      <c r="Y157" s="62"/>
      <c r="Z157" s="62"/>
      <c r="AA157" s="62" t="s">
        <v>15</v>
      </c>
      <c r="AB157" s="68">
        <f t="shared" si="21"/>
        <v>12064.08</v>
      </c>
      <c r="AC157" s="534">
        <f t="shared" si="22"/>
        <v>0.22</v>
      </c>
      <c r="AD157" s="68">
        <f t="shared" si="23"/>
        <v>9409.98</v>
      </c>
      <c r="AE157" s="69">
        <f t="shared" si="24"/>
        <v>0</v>
      </c>
      <c r="AF157" s="193">
        <f t="shared" si="25"/>
        <v>0</v>
      </c>
      <c r="AG157" s="491">
        <f t="shared" si="27"/>
        <v>9409.98</v>
      </c>
      <c r="AH157" s="524">
        <f t="shared" si="26"/>
        <v>9409</v>
      </c>
      <c r="AI157" s="1047"/>
      <c r="AJ157" s="1047"/>
      <c r="AK157" s="1047"/>
    </row>
    <row r="158" spans="1:37" ht="12.7">
      <c r="A158" s="47" t="s">
        <v>11</v>
      </c>
      <c r="B158" s="62" t="s">
        <v>541</v>
      </c>
      <c r="C158" s="474" t="s">
        <v>666</v>
      </c>
      <c r="D158" s="290" t="s">
        <v>448</v>
      </c>
      <c r="E158" s="775" t="s">
        <v>10</v>
      </c>
      <c r="F158" s="62" t="s">
        <v>554</v>
      </c>
      <c r="G158" s="314"/>
      <c r="H158" s="62" t="s">
        <v>560</v>
      </c>
      <c r="I158" s="63">
        <v>42</v>
      </c>
      <c r="J158" s="64">
        <v>8</v>
      </c>
      <c r="K158" s="65">
        <f>60*0.298</f>
        <v>17.88</v>
      </c>
      <c r="L158" s="66">
        <v>82</v>
      </c>
      <c r="M158" s="64">
        <v>21</v>
      </c>
      <c r="N158" s="67">
        <f>60*0.586</f>
        <v>35.159999999999997</v>
      </c>
      <c r="O158" s="62" t="s">
        <v>561</v>
      </c>
      <c r="P158" s="63">
        <v>42</v>
      </c>
      <c r="Q158" s="64">
        <v>8</v>
      </c>
      <c r="R158" s="65">
        <f>60*0.46</f>
        <v>27.60</v>
      </c>
      <c r="S158" s="66">
        <v>82</v>
      </c>
      <c r="T158" s="64">
        <v>21</v>
      </c>
      <c r="U158" s="67">
        <f>60*0.39</f>
        <v>23.40</v>
      </c>
      <c r="V158" s="62">
        <v>4</v>
      </c>
      <c r="W158" s="546">
        <v>1321</v>
      </c>
      <c r="X158" s="62">
        <v>2005</v>
      </c>
      <c r="Y158" s="62"/>
      <c r="Z158" s="62"/>
      <c r="AA158" s="62" t="s">
        <v>15</v>
      </c>
      <c r="AB158" s="68">
        <f t="shared" si="21"/>
        <v>23857.26</v>
      </c>
      <c r="AC158" s="534">
        <f t="shared" si="22"/>
        <v>0.22</v>
      </c>
      <c r="AD158" s="68">
        <f t="shared" si="23"/>
        <v>18608.66</v>
      </c>
      <c r="AE158" s="69">
        <f t="shared" si="24"/>
        <v>0</v>
      </c>
      <c r="AF158" s="193">
        <f t="shared" si="25"/>
        <v>0</v>
      </c>
      <c r="AG158" s="491">
        <f t="shared" si="27"/>
        <v>18608.66</v>
      </c>
      <c r="AH158" s="524">
        <f t="shared" si="26"/>
        <v>18608</v>
      </c>
      <c r="AI158" s="1047"/>
      <c r="AJ158" s="1047"/>
      <c r="AK158" s="1047"/>
    </row>
    <row r="159" spans="1:37" ht="12.7">
      <c r="A159" s="47" t="s">
        <v>11</v>
      </c>
      <c r="B159" s="62" t="s">
        <v>541</v>
      </c>
      <c r="C159" s="474" t="s">
        <v>666</v>
      </c>
      <c r="D159" s="290" t="s">
        <v>448</v>
      </c>
      <c r="E159" s="775" t="s">
        <v>10</v>
      </c>
      <c r="F159" s="62" t="s">
        <v>554</v>
      </c>
      <c r="G159" s="314"/>
      <c r="H159" s="62" t="s">
        <v>561</v>
      </c>
      <c r="I159" s="63">
        <v>42</v>
      </c>
      <c r="J159" s="64">
        <v>8</v>
      </c>
      <c r="K159" s="65">
        <f>60*0.46</f>
        <v>27.60</v>
      </c>
      <c r="L159" s="66">
        <v>82</v>
      </c>
      <c r="M159" s="64">
        <v>21</v>
      </c>
      <c r="N159" s="67">
        <f>60*0.39</f>
        <v>23.40</v>
      </c>
      <c r="O159" s="62" t="s">
        <v>562</v>
      </c>
      <c r="P159" s="63">
        <v>42</v>
      </c>
      <c r="Q159" s="64">
        <v>8</v>
      </c>
      <c r="R159" s="65">
        <f>60*0.749</f>
        <v>44.94</v>
      </c>
      <c r="S159" s="66">
        <v>82</v>
      </c>
      <c r="T159" s="64">
        <v>20</v>
      </c>
      <c r="U159" s="67">
        <f>60*0.452</f>
        <v>27.12</v>
      </c>
      <c r="V159" s="62">
        <v>4</v>
      </c>
      <c r="W159" s="546">
        <v>4573</v>
      </c>
      <c r="X159" s="62">
        <v>2005</v>
      </c>
      <c r="Y159" s="62"/>
      <c r="Z159" s="62"/>
      <c r="AA159" s="62" t="s">
        <v>15</v>
      </c>
      <c r="AB159" s="68">
        <f t="shared" si="21"/>
        <v>82588.37999999999</v>
      </c>
      <c r="AC159" s="534">
        <f t="shared" si="22"/>
        <v>0.22</v>
      </c>
      <c r="AD159" s="68">
        <f t="shared" si="23"/>
        <v>64418.94</v>
      </c>
      <c r="AE159" s="69">
        <f t="shared" si="24"/>
        <v>0</v>
      </c>
      <c r="AF159" s="193">
        <f t="shared" si="25"/>
        <v>0</v>
      </c>
      <c r="AG159" s="491">
        <f t="shared" si="27"/>
        <v>64418.94</v>
      </c>
      <c r="AH159" s="524">
        <f t="shared" si="26"/>
        <v>64418</v>
      </c>
      <c r="AI159" s="1047"/>
      <c r="AJ159" s="1047"/>
      <c r="AK159" s="1047"/>
    </row>
    <row r="160" spans="1:37" ht="12.7">
      <c r="A160" s="47" t="s">
        <v>11</v>
      </c>
      <c r="B160" s="62" t="s">
        <v>541</v>
      </c>
      <c r="C160" s="474" t="s">
        <v>666</v>
      </c>
      <c r="D160" s="290" t="s">
        <v>448</v>
      </c>
      <c r="E160" s="775" t="s">
        <v>10</v>
      </c>
      <c r="F160" s="62" t="s">
        <v>554</v>
      </c>
      <c r="G160" s="314"/>
      <c r="H160" s="62" t="s">
        <v>562</v>
      </c>
      <c r="I160" s="63">
        <v>42</v>
      </c>
      <c r="J160" s="64">
        <v>8</v>
      </c>
      <c r="K160" s="65">
        <f>60*0.749</f>
        <v>44.94</v>
      </c>
      <c r="L160" s="66">
        <v>82</v>
      </c>
      <c r="M160" s="64">
        <v>20</v>
      </c>
      <c r="N160" s="67">
        <f>60*0.452</f>
        <v>27.12</v>
      </c>
      <c r="O160" s="62" t="s">
        <v>563</v>
      </c>
      <c r="P160" s="63">
        <v>42</v>
      </c>
      <c r="Q160" s="64">
        <v>8</v>
      </c>
      <c r="R160" s="65">
        <f>60*0.848</f>
        <v>50.879999999999995</v>
      </c>
      <c r="S160" s="66">
        <v>82</v>
      </c>
      <c r="T160" s="64">
        <v>20</v>
      </c>
      <c r="U160" s="67">
        <f>60*0.231</f>
        <v>13.86</v>
      </c>
      <c r="V160" s="62">
        <v>4</v>
      </c>
      <c r="W160" s="546">
        <v>1162</v>
      </c>
      <c r="X160" s="62">
        <v>2005</v>
      </c>
      <c r="Y160" s="62"/>
      <c r="Z160" s="62"/>
      <c r="AA160" s="62" t="s">
        <v>15</v>
      </c>
      <c r="AB160" s="68">
        <f t="shared" si="21"/>
        <v>20985.719999999998</v>
      </c>
      <c r="AC160" s="534">
        <f t="shared" si="22"/>
        <v>0.22</v>
      </c>
      <c r="AD160" s="68">
        <f t="shared" si="23"/>
        <v>16368.86</v>
      </c>
      <c r="AE160" s="69">
        <f t="shared" si="24"/>
        <v>0</v>
      </c>
      <c r="AF160" s="193">
        <f t="shared" si="25"/>
        <v>0</v>
      </c>
      <c r="AG160" s="491">
        <f t="shared" si="27"/>
        <v>16368.86</v>
      </c>
      <c r="AH160" s="507">
        <f t="shared" si="26"/>
        <v>16368</v>
      </c>
      <c r="AI160" s="1047"/>
      <c r="AJ160" s="1047"/>
      <c r="AK160" s="1047"/>
    </row>
    <row r="161" spans="1:37" ht="12.7">
      <c r="A161" s="47" t="s">
        <v>11</v>
      </c>
      <c r="B161" s="62" t="s">
        <v>541</v>
      </c>
      <c r="C161" s="474" t="s">
        <v>666</v>
      </c>
      <c r="D161" s="290" t="s">
        <v>448</v>
      </c>
      <c r="E161" s="775" t="s">
        <v>10</v>
      </c>
      <c r="F161" s="62" t="s">
        <v>554</v>
      </c>
      <c r="G161" s="314"/>
      <c r="H161" s="62" t="s">
        <v>563</v>
      </c>
      <c r="I161" s="63">
        <v>42</v>
      </c>
      <c r="J161" s="64">
        <v>8</v>
      </c>
      <c r="K161" s="65">
        <f>60*0.848</f>
        <v>50.879999999999995</v>
      </c>
      <c r="L161" s="66">
        <v>82</v>
      </c>
      <c r="M161" s="64">
        <v>20</v>
      </c>
      <c r="N161" s="67">
        <f>60*0.231</f>
        <v>13.86</v>
      </c>
      <c r="O161" s="62" t="s">
        <v>564</v>
      </c>
      <c r="P161" s="63">
        <v>42</v>
      </c>
      <c r="Q161" s="64">
        <v>8</v>
      </c>
      <c r="R161" s="65">
        <f>60*0.812</f>
        <v>48.720000000000006</v>
      </c>
      <c r="S161" s="66">
        <v>82</v>
      </c>
      <c r="T161" s="64">
        <v>20</v>
      </c>
      <c r="U161" s="67">
        <f>60*0.115</f>
        <v>6.90</v>
      </c>
      <c r="V161" s="62">
        <v>4</v>
      </c>
      <c r="W161" s="546">
        <v>566</v>
      </c>
      <c r="X161" s="62">
        <v>2005</v>
      </c>
      <c r="Y161" s="62"/>
      <c r="Z161" s="62"/>
      <c r="AA161" s="62" t="s">
        <v>15</v>
      </c>
      <c r="AB161" s="68">
        <f t="shared" si="21"/>
        <v>10221.959999999999</v>
      </c>
      <c r="AC161" s="534">
        <f t="shared" si="22"/>
        <v>0.22</v>
      </c>
      <c r="AD161" s="68">
        <f t="shared" si="23"/>
        <v>7973.13</v>
      </c>
      <c r="AE161" s="69">
        <f t="shared" si="24"/>
        <v>0</v>
      </c>
      <c r="AF161" s="193">
        <f t="shared" si="25"/>
        <v>0</v>
      </c>
      <c r="AG161" s="491">
        <f t="shared" si="27"/>
        <v>7973.13</v>
      </c>
      <c r="AH161" s="507">
        <f t="shared" si="26"/>
        <v>7973</v>
      </c>
      <c r="AI161" s="1047"/>
      <c r="AJ161" s="1047"/>
      <c r="AK161" s="1047"/>
    </row>
    <row r="162" spans="1:37" ht="12.7">
      <c r="A162" s="50" t="s">
        <v>11</v>
      </c>
      <c r="B162" s="848" t="s">
        <v>541</v>
      </c>
      <c r="C162" s="753" t="s">
        <v>666</v>
      </c>
      <c r="D162" s="849" t="s">
        <v>448</v>
      </c>
      <c r="E162" s="850" t="s">
        <v>10</v>
      </c>
      <c r="F162" s="848" t="s">
        <v>554</v>
      </c>
      <c r="G162" s="851"/>
      <c r="H162" s="848" t="s">
        <v>564</v>
      </c>
      <c r="I162" s="852">
        <v>42</v>
      </c>
      <c r="J162" s="853">
        <v>8</v>
      </c>
      <c r="K162" s="854">
        <f>60*0.812</f>
        <v>48.720000000000006</v>
      </c>
      <c r="L162" s="855">
        <v>82</v>
      </c>
      <c r="M162" s="853">
        <v>20</v>
      </c>
      <c r="N162" s="856">
        <f>60*0.115</f>
        <v>6.90</v>
      </c>
      <c r="O162" s="848" t="s">
        <v>565</v>
      </c>
      <c r="P162" s="852">
        <v>42</v>
      </c>
      <c r="Q162" s="853">
        <v>8</v>
      </c>
      <c r="R162" s="854">
        <f>60*0.81</f>
        <v>48.60</v>
      </c>
      <c r="S162" s="855">
        <v>82</v>
      </c>
      <c r="T162" s="853">
        <v>20</v>
      </c>
      <c r="U162" s="856">
        <f>60*0.119</f>
        <v>7.14</v>
      </c>
      <c r="V162" s="848">
        <v>4</v>
      </c>
      <c r="W162" s="857">
        <v>22</v>
      </c>
      <c r="X162" s="848">
        <v>2005</v>
      </c>
      <c r="Y162" s="848"/>
      <c r="Z162" s="848"/>
      <c r="AA162" s="848" t="s">
        <v>15</v>
      </c>
      <c r="AB162" s="858">
        <f t="shared" si="21"/>
        <v>397.32</v>
      </c>
      <c r="AC162" s="859">
        <f t="shared" si="22"/>
        <v>0.22</v>
      </c>
      <c r="AD162" s="858">
        <f t="shared" si="23"/>
        <v>309.91000000000003</v>
      </c>
      <c r="AE162" s="860">
        <f t="shared" si="24"/>
        <v>0</v>
      </c>
      <c r="AF162" s="861">
        <f t="shared" si="25"/>
        <v>0</v>
      </c>
      <c r="AG162" s="862">
        <f t="shared" si="27"/>
        <v>309.91000000000003</v>
      </c>
      <c r="AH162" s="508">
        <f t="shared" si="26"/>
        <v>309</v>
      </c>
      <c r="AI162" s="1048"/>
      <c r="AJ162" s="1048"/>
      <c r="AK162" s="1048"/>
    </row>
    <row r="163" spans="1:37" ht="12.7">
      <c r="A163" s="864" t="s">
        <v>11</v>
      </c>
      <c r="B163" s="865" t="s">
        <v>656</v>
      </c>
      <c r="C163" s="866" t="s">
        <v>668</v>
      </c>
      <c r="D163" s="867" t="s">
        <v>657</v>
      </c>
      <c r="E163" s="609" t="s">
        <v>658</v>
      </c>
      <c r="F163" s="580" t="s">
        <v>674</v>
      </c>
      <c r="G163" s="610" t="s">
        <v>281</v>
      </c>
      <c r="H163" s="611" t="s">
        <v>659</v>
      </c>
      <c r="I163" s="612">
        <v>42</v>
      </c>
      <c r="J163" s="613">
        <v>39</v>
      </c>
      <c r="K163" s="614">
        <v>54</v>
      </c>
      <c r="L163" s="615">
        <v>81</v>
      </c>
      <c r="M163" s="613">
        <v>13</v>
      </c>
      <c r="N163" s="616">
        <v>43</v>
      </c>
      <c r="O163" s="611" t="s">
        <v>660</v>
      </c>
      <c r="P163" s="612">
        <v>42</v>
      </c>
      <c r="Q163" s="613">
        <v>40</v>
      </c>
      <c r="R163" s="614">
        <v>43</v>
      </c>
      <c r="S163" s="615">
        <v>81</v>
      </c>
      <c r="T163" s="613">
        <v>14</v>
      </c>
      <c r="U163" s="616">
        <v>14</v>
      </c>
      <c r="V163" s="611">
        <v>6</v>
      </c>
      <c r="W163" s="617">
        <v>5469</v>
      </c>
      <c r="X163" s="611">
        <v>1970</v>
      </c>
      <c r="Y163" s="611"/>
      <c r="Z163" s="611"/>
      <c r="AA163" s="611" t="s">
        <v>31</v>
      </c>
      <c r="AB163" s="618">
        <f t="shared" si="28" ref="AB163:AB164">IF(G163="ABAND",0,(IF(AA163="steel",VLOOKUP(V163,steelrates,2,FALSE)*W163,VLOOKUP(V163,plasticrates,2,FALSE)*W163)))</f>
        <v>0</v>
      </c>
      <c r="AC163" s="619">
        <f t="shared" si="29" ref="AC163:AC164">IF(X163=0,0,(VLOOKUP(X163,depreciation,2,)))</f>
        <v>0.65</v>
      </c>
      <c r="AD163" s="618">
        <f t="shared" si="23"/>
        <v>0</v>
      </c>
      <c r="AE163" s="620">
        <f t="shared" si="24"/>
        <v>0</v>
      </c>
      <c r="AF163" s="621">
        <f t="shared" si="25"/>
        <v>0</v>
      </c>
      <c r="AG163" s="622">
        <f t="shared" si="27"/>
        <v>0</v>
      </c>
      <c r="AH163" s="623">
        <f t="shared" si="26"/>
        <v>0</v>
      </c>
      <c r="AI163" s="464"/>
      <c r="AJ163" s="464"/>
      <c r="AK163" s="464"/>
    </row>
    <row r="164" spans="1:37" ht="12.7">
      <c r="A164" s="868" t="s">
        <v>11</v>
      </c>
      <c r="B164" s="869" t="s">
        <v>656</v>
      </c>
      <c r="C164" s="870" t="s">
        <v>668</v>
      </c>
      <c r="D164" s="871" t="s">
        <v>657</v>
      </c>
      <c r="E164" s="609" t="s">
        <v>658</v>
      </c>
      <c r="F164" s="570" t="s">
        <v>674</v>
      </c>
      <c r="G164" s="610" t="s">
        <v>281</v>
      </c>
      <c r="H164" s="611" t="s">
        <v>659</v>
      </c>
      <c r="I164" s="612">
        <v>42</v>
      </c>
      <c r="J164" s="613">
        <v>39</v>
      </c>
      <c r="K164" s="614">
        <v>54</v>
      </c>
      <c r="L164" s="615">
        <v>81</v>
      </c>
      <c r="M164" s="613">
        <v>13</v>
      </c>
      <c r="N164" s="616">
        <v>43</v>
      </c>
      <c r="O164" s="611" t="s">
        <v>660</v>
      </c>
      <c r="P164" s="612">
        <v>42</v>
      </c>
      <c r="Q164" s="613">
        <v>40</v>
      </c>
      <c r="R164" s="614">
        <v>43</v>
      </c>
      <c r="S164" s="615">
        <v>81</v>
      </c>
      <c r="T164" s="613">
        <v>14</v>
      </c>
      <c r="U164" s="616">
        <v>14</v>
      </c>
      <c r="V164" s="611">
        <v>6</v>
      </c>
      <c r="W164" s="617">
        <v>5469</v>
      </c>
      <c r="X164" s="611">
        <v>1970</v>
      </c>
      <c r="Y164" s="611" t="s">
        <v>3</v>
      </c>
      <c r="Z164" s="611"/>
      <c r="AA164" s="611" t="s">
        <v>31</v>
      </c>
      <c r="AB164" s="618">
        <f t="shared" si="28"/>
        <v>0</v>
      </c>
      <c r="AC164" s="619">
        <f t="shared" si="29"/>
        <v>0.65</v>
      </c>
      <c r="AD164" s="618">
        <f t="shared" si="23"/>
        <v>0</v>
      </c>
      <c r="AE164" s="620">
        <f t="shared" si="24"/>
        <v>0</v>
      </c>
      <c r="AF164" s="621">
        <f t="shared" si="25"/>
        <v>0</v>
      </c>
      <c r="AG164" s="622">
        <f t="shared" si="27"/>
        <v>0</v>
      </c>
      <c r="AH164" s="623">
        <f t="shared" si="26"/>
        <v>0</v>
      </c>
      <c r="AI164" s="464"/>
      <c r="AJ164" s="464"/>
      <c r="AK164" s="464"/>
    </row>
    <row r="165" spans="1:37" ht="12.7">
      <c r="A165" s="321" t="s">
        <v>11</v>
      </c>
      <c r="B165" s="150" t="s">
        <v>540</v>
      </c>
      <c r="C165" s="863" t="s">
        <v>669</v>
      </c>
      <c r="D165" s="322" t="s">
        <v>421</v>
      </c>
      <c r="E165" s="762" t="s">
        <v>280</v>
      </c>
      <c r="F165" s="158" t="s">
        <v>574</v>
      </c>
      <c r="G165" s="308"/>
      <c r="H165" s="159" t="s">
        <v>573</v>
      </c>
      <c r="I165" s="161" t="s">
        <v>8</v>
      </c>
      <c r="J165" s="162">
        <v>6</v>
      </c>
      <c r="K165" s="163">
        <v>29.40</v>
      </c>
      <c r="L165" s="164" t="s">
        <v>288</v>
      </c>
      <c r="M165" s="162">
        <v>39</v>
      </c>
      <c r="N165" s="163">
        <v>27.30</v>
      </c>
      <c r="O165" s="159" t="s">
        <v>572</v>
      </c>
      <c r="P165" s="161" t="s">
        <v>8</v>
      </c>
      <c r="Q165" s="162">
        <v>6</v>
      </c>
      <c r="R165" s="163">
        <v>22.26</v>
      </c>
      <c r="S165" s="164">
        <v>82</v>
      </c>
      <c r="T165" s="162">
        <v>39</v>
      </c>
      <c r="U165" s="163">
        <v>27.12</v>
      </c>
      <c r="V165" s="158">
        <v>4</v>
      </c>
      <c r="W165" s="540">
        <v>723</v>
      </c>
      <c r="X165" s="165">
        <v>2006</v>
      </c>
      <c r="Y165" s="159"/>
      <c r="Z165" s="166"/>
      <c r="AA165" s="158" t="s">
        <v>15</v>
      </c>
      <c r="AB165" s="167">
        <f>IF(G165="ABAND",0,(IF(AA165="steel",VLOOKUP(V165,steelrates,2,FALSE)*W165,VLOOKUP(V165,plasticrates,2,FALSE)*W165)))</f>
        <v>13057.38</v>
      </c>
      <c r="AC165" s="168">
        <f>IF(X165=0,0,(VLOOKUP(X165,depreciation,2,)))</f>
        <v>0.20</v>
      </c>
      <c r="AD165" s="167">
        <f>ROUND(+AB165-(+AB165*AC165),2)</f>
        <v>10445.90</v>
      </c>
      <c r="AE165" s="169">
        <f>(IF(Y165="LOOP",AD165*0.25,0))</f>
        <v>0</v>
      </c>
      <c r="AF165" s="190">
        <f>(IF(G165="SUSP",AD165*0.2,0))</f>
        <v>0</v>
      </c>
      <c r="AG165" s="417">
        <f t="shared" si="27"/>
        <v>10445.90</v>
      </c>
      <c r="AH165" s="517">
        <f t="shared" si="26"/>
        <v>10445</v>
      </c>
      <c r="AI165" s="1046">
        <v>2.58</v>
      </c>
      <c r="AJ165" s="1046">
        <v>6.42</v>
      </c>
      <c r="AK165" s="1046">
        <v>1.77</v>
      </c>
    </row>
    <row r="166" spans="1:37" ht="12.7">
      <c r="A166" s="47" t="s">
        <v>11</v>
      </c>
      <c r="B166" s="23" t="s">
        <v>540</v>
      </c>
      <c r="C166" s="484" t="s">
        <v>669</v>
      </c>
      <c r="D166" s="139" t="s">
        <v>421</v>
      </c>
      <c r="E166" s="760" t="s">
        <v>280</v>
      </c>
      <c r="F166" s="25" t="s">
        <v>574</v>
      </c>
      <c r="G166" s="138"/>
      <c r="H166" s="23" t="s">
        <v>572</v>
      </c>
      <c r="I166" s="33" t="s">
        <v>8</v>
      </c>
      <c r="J166" s="34">
        <v>6</v>
      </c>
      <c r="K166" s="35">
        <v>22.26</v>
      </c>
      <c r="L166" s="22">
        <v>82</v>
      </c>
      <c r="M166" s="34">
        <v>39</v>
      </c>
      <c r="N166" s="35">
        <v>27.12</v>
      </c>
      <c r="O166" s="23" t="s">
        <v>571</v>
      </c>
      <c r="P166" s="33" t="s">
        <v>8</v>
      </c>
      <c r="Q166" s="34">
        <v>6</v>
      </c>
      <c r="R166" s="35">
        <v>10.26</v>
      </c>
      <c r="S166" s="22">
        <v>82</v>
      </c>
      <c r="T166" s="34">
        <v>39</v>
      </c>
      <c r="U166" s="35">
        <v>13.62</v>
      </c>
      <c r="V166" s="25">
        <v>4</v>
      </c>
      <c r="W166" s="538">
        <v>1583</v>
      </c>
      <c r="X166" s="45">
        <v>2006</v>
      </c>
      <c r="Y166" s="23"/>
      <c r="Z166" s="46"/>
      <c r="AA166" s="25" t="s">
        <v>15</v>
      </c>
      <c r="AB166" s="39">
        <f t="shared" si="21"/>
        <v>28588.98</v>
      </c>
      <c r="AC166" s="40">
        <f t="shared" si="30" ref="AC166:AC197">IF(X166=0,0,(VLOOKUP(X166,depreciation,2,)))</f>
        <v>0.20</v>
      </c>
      <c r="AD166" s="39">
        <f t="shared" si="23"/>
        <v>22871.18</v>
      </c>
      <c r="AE166" s="79">
        <f t="shared" si="24"/>
        <v>0</v>
      </c>
      <c r="AF166" s="185">
        <f t="shared" si="25"/>
        <v>0</v>
      </c>
      <c r="AG166" s="423">
        <f t="shared" si="27"/>
        <v>22871.18</v>
      </c>
      <c r="AH166" s="516">
        <f t="shared" si="26"/>
        <v>22871</v>
      </c>
      <c r="AI166" s="1047"/>
      <c r="AJ166" s="1047"/>
      <c r="AK166" s="1047"/>
    </row>
    <row r="167" spans="1:37" ht="12.7">
      <c r="A167" s="50" t="s">
        <v>11</v>
      </c>
      <c r="B167" s="51" t="s">
        <v>540</v>
      </c>
      <c r="C167" s="872" t="s">
        <v>669</v>
      </c>
      <c r="D167" s="279" t="s">
        <v>421</v>
      </c>
      <c r="E167" s="763" t="s">
        <v>280</v>
      </c>
      <c r="F167" s="170" t="s">
        <v>574</v>
      </c>
      <c r="G167" s="309"/>
      <c r="H167" s="51" t="s">
        <v>571</v>
      </c>
      <c r="I167" s="52" t="s">
        <v>8</v>
      </c>
      <c r="J167" s="53">
        <v>6</v>
      </c>
      <c r="K167" s="54">
        <v>10.26</v>
      </c>
      <c r="L167" s="55">
        <v>82</v>
      </c>
      <c r="M167" s="53">
        <v>39</v>
      </c>
      <c r="N167" s="54">
        <v>13.62</v>
      </c>
      <c r="O167" s="51" t="s">
        <v>384</v>
      </c>
      <c r="P167" s="52" t="s">
        <v>8</v>
      </c>
      <c r="Q167" s="53">
        <v>6</v>
      </c>
      <c r="R167" s="54">
        <v>2.40</v>
      </c>
      <c r="S167" s="55">
        <v>82</v>
      </c>
      <c r="T167" s="53">
        <v>38</v>
      </c>
      <c r="U167" s="54">
        <v>34.799999999999997</v>
      </c>
      <c r="V167" s="170">
        <v>4</v>
      </c>
      <c r="W167" s="541">
        <v>3023</v>
      </c>
      <c r="X167" s="171">
        <v>2006</v>
      </c>
      <c r="Y167" s="51"/>
      <c r="Z167" s="172"/>
      <c r="AA167" s="170" t="s">
        <v>15</v>
      </c>
      <c r="AB167" s="173">
        <f>IF(G167="ABAND",0,(IF(AA167="steel",VLOOKUP(V167,steelrates,2,FALSE)*W167,VLOOKUP(V167,plasticrates,2,FALSE)*W167)))</f>
        <v>54595.38</v>
      </c>
      <c r="AC167" s="60">
        <f>IF(X167=0,0,(VLOOKUP(X167,depreciation,2,)))</f>
        <v>0.20</v>
      </c>
      <c r="AD167" s="173">
        <f>ROUND(+AB167-(+AB167*AC167),2)</f>
        <v>43676.30</v>
      </c>
      <c r="AE167" s="174">
        <f>(IF(Y167="LOOP",AD167*0.25,0))</f>
        <v>0</v>
      </c>
      <c r="AF167" s="191">
        <f>(IF(G167="SUSP",AD167*0.2,0))</f>
        <v>0</v>
      </c>
      <c r="AG167" s="437">
        <f t="shared" si="27"/>
        <v>43676.30</v>
      </c>
      <c r="AH167" s="518">
        <f t="shared" si="26"/>
        <v>43676</v>
      </c>
      <c r="AI167" s="1048"/>
      <c r="AJ167" s="1048"/>
      <c r="AK167" s="1048"/>
    </row>
    <row r="168" spans="1:37" ht="12.7">
      <c r="A168" s="203" t="s">
        <v>11</v>
      </c>
      <c r="B168" s="204" t="s">
        <v>540</v>
      </c>
      <c r="C168" s="873" t="s">
        <v>669</v>
      </c>
      <c r="D168" s="757" t="s">
        <v>421</v>
      </c>
      <c r="E168" s="769" t="s">
        <v>280</v>
      </c>
      <c r="F168" s="210" t="s">
        <v>575</v>
      </c>
      <c r="G168" s="310"/>
      <c r="H168" s="204" t="s">
        <v>12</v>
      </c>
      <c r="I168" s="206">
        <v>42</v>
      </c>
      <c r="J168" s="207">
        <v>6</v>
      </c>
      <c r="K168" s="208">
        <v>2.50</v>
      </c>
      <c r="L168" s="209">
        <v>82</v>
      </c>
      <c r="M168" s="207">
        <v>38</v>
      </c>
      <c r="N168" s="208">
        <v>39.200000000000003</v>
      </c>
      <c r="O168" s="204" t="s">
        <v>13</v>
      </c>
      <c r="P168" s="206">
        <v>42</v>
      </c>
      <c r="Q168" s="207">
        <v>6</v>
      </c>
      <c r="R168" s="208">
        <v>0.60</v>
      </c>
      <c r="S168" s="209">
        <v>82</v>
      </c>
      <c r="T168" s="207">
        <v>38</v>
      </c>
      <c r="U168" s="208">
        <v>39.42</v>
      </c>
      <c r="V168" s="210">
        <v>4</v>
      </c>
      <c r="W168" s="543">
        <v>325</v>
      </c>
      <c r="X168" s="211">
        <v>1996</v>
      </c>
      <c r="Y168" s="204"/>
      <c r="Z168" s="212" t="s">
        <v>14</v>
      </c>
      <c r="AA168" s="210" t="s">
        <v>15</v>
      </c>
      <c r="AB168" s="213">
        <f t="shared" si="21"/>
        <v>5869.50</v>
      </c>
      <c r="AC168" s="214">
        <f t="shared" si="30"/>
        <v>0.44</v>
      </c>
      <c r="AD168" s="213">
        <f t="shared" si="23"/>
        <v>3286.92</v>
      </c>
      <c r="AE168" s="215">
        <f t="shared" si="24"/>
        <v>0</v>
      </c>
      <c r="AF168" s="216">
        <f t="shared" si="25"/>
        <v>0</v>
      </c>
      <c r="AG168" s="260">
        <f t="shared" si="27"/>
        <v>3286.92</v>
      </c>
      <c r="AH168" s="522">
        <f t="shared" si="26"/>
        <v>3286</v>
      </c>
      <c r="AI168" s="196">
        <v>4.28</v>
      </c>
      <c r="AJ168" s="196">
        <v>2.2599999999999998</v>
      </c>
      <c r="AK168" s="196">
        <v>1.06</v>
      </c>
    </row>
    <row r="169" spans="1:37" ht="12.7">
      <c r="A169" s="321" t="s">
        <v>11</v>
      </c>
      <c r="B169" s="150" t="s">
        <v>540</v>
      </c>
      <c r="C169" s="863" t="s">
        <v>669</v>
      </c>
      <c r="D169" s="322" t="s">
        <v>421</v>
      </c>
      <c r="E169" s="762" t="s">
        <v>280</v>
      </c>
      <c r="F169" s="158" t="s">
        <v>576</v>
      </c>
      <c r="G169" s="308"/>
      <c r="H169" s="159" t="s">
        <v>384</v>
      </c>
      <c r="I169" s="161" t="s">
        <v>8</v>
      </c>
      <c r="J169" s="162">
        <v>6</v>
      </c>
      <c r="K169" s="163">
        <v>2.40</v>
      </c>
      <c r="L169" s="164" t="s">
        <v>288</v>
      </c>
      <c r="M169" s="162">
        <v>38</v>
      </c>
      <c r="N169" s="163">
        <v>34.799999999999997</v>
      </c>
      <c r="O169" s="159" t="s">
        <v>385</v>
      </c>
      <c r="P169" s="161" t="s">
        <v>8</v>
      </c>
      <c r="Q169" s="162">
        <v>6</v>
      </c>
      <c r="R169" s="163">
        <v>10.80</v>
      </c>
      <c r="S169" s="164">
        <v>82</v>
      </c>
      <c r="T169" s="162">
        <v>38</v>
      </c>
      <c r="U169" s="163">
        <v>38.40</v>
      </c>
      <c r="V169" s="158">
        <v>4</v>
      </c>
      <c r="W169" s="540">
        <v>803</v>
      </c>
      <c r="X169" s="165">
        <v>2001</v>
      </c>
      <c r="Y169" s="159"/>
      <c r="Z169" s="166"/>
      <c r="AA169" s="158" t="s">
        <v>15</v>
      </c>
      <c r="AB169" s="167">
        <f t="shared" si="21"/>
        <v>14502.179999999998</v>
      </c>
      <c r="AC169" s="168">
        <f t="shared" si="30"/>
        <v>0.32</v>
      </c>
      <c r="AD169" s="167">
        <f t="shared" si="23"/>
        <v>9861.48</v>
      </c>
      <c r="AE169" s="169">
        <f t="shared" si="24"/>
        <v>0</v>
      </c>
      <c r="AF169" s="190">
        <f t="shared" si="25"/>
        <v>0</v>
      </c>
      <c r="AG169" s="417">
        <f t="shared" si="27"/>
        <v>9861.48</v>
      </c>
      <c r="AH169" s="517">
        <f t="shared" si="26"/>
        <v>9861</v>
      </c>
      <c r="AI169" s="1046">
        <v>14.47</v>
      </c>
      <c r="AJ169" s="1046">
        <v>25.73</v>
      </c>
      <c r="AK169" s="1046">
        <v>12.71</v>
      </c>
    </row>
    <row r="170" spans="1:37" ht="12.7">
      <c r="A170" s="47" t="s">
        <v>11</v>
      </c>
      <c r="B170" s="23" t="s">
        <v>540</v>
      </c>
      <c r="C170" s="484" t="s">
        <v>669</v>
      </c>
      <c r="D170" s="139" t="s">
        <v>421</v>
      </c>
      <c r="E170" s="760" t="s">
        <v>280</v>
      </c>
      <c r="F170" s="25" t="s">
        <v>576</v>
      </c>
      <c r="G170" s="138"/>
      <c r="H170" s="23" t="s">
        <v>385</v>
      </c>
      <c r="I170" s="33" t="s">
        <v>8</v>
      </c>
      <c r="J170" s="34">
        <v>6</v>
      </c>
      <c r="K170" s="35">
        <v>10.80</v>
      </c>
      <c r="L170" s="22" t="s">
        <v>288</v>
      </c>
      <c r="M170" s="34">
        <v>38</v>
      </c>
      <c r="N170" s="35">
        <v>38.40</v>
      </c>
      <c r="O170" s="23" t="s">
        <v>386</v>
      </c>
      <c r="P170" s="33" t="s">
        <v>8</v>
      </c>
      <c r="Q170" s="34">
        <v>6</v>
      </c>
      <c r="R170" s="35">
        <v>11.40</v>
      </c>
      <c r="S170" s="22">
        <v>82</v>
      </c>
      <c r="T170" s="34">
        <v>38</v>
      </c>
      <c r="U170" s="35">
        <v>46.20</v>
      </c>
      <c r="V170" s="25">
        <v>4</v>
      </c>
      <c r="W170" s="538">
        <v>619</v>
      </c>
      <c r="X170" s="45">
        <v>2001</v>
      </c>
      <c r="Y170" s="23"/>
      <c r="Z170" s="46"/>
      <c r="AA170" s="25" t="s">
        <v>15</v>
      </c>
      <c r="AB170" s="39">
        <f t="shared" si="21"/>
        <v>11179.14</v>
      </c>
      <c r="AC170" s="40">
        <f t="shared" si="30"/>
        <v>0.32</v>
      </c>
      <c r="AD170" s="39">
        <f t="shared" si="23"/>
        <v>7601.82</v>
      </c>
      <c r="AE170" s="79">
        <f t="shared" si="24"/>
        <v>0</v>
      </c>
      <c r="AF170" s="185">
        <f t="shared" si="25"/>
        <v>0</v>
      </c>
      <c r="AG170" s="423">
        <f t="shared" si="27"/>
        <v>7601.82</v>
      </c>
      <c r="AH170" s="516">
        <f t="shared" si="26"/>
        <v>7601</v>
      </c>
      <c r="AI170" s="1047"/>
      <c r="AJ170" s="1047"/>
      <c r="AK170" s="1047"/>
    </row>
    <row r="171" spans="1:37" ht="12.7">
      <c r="A171" s="50" t="s">
        <v>11</v>
      </c>
      <c r="B171" s="51" t="s">
        <v>540</v>
      </c>
      <c r="C171" s="872" t="s">
        <v>669</v>
      </c>
      <c r="D171" s="279" t="s">
        <v>421</v>
      </c>
      <c r="E171" s="763" t="s">
        <v>280</v>
      </c>
      <c r="F171" s="170" t="s">
        <v>576</v>
      </c>
      <c r="G171" s="309"/>
      <c r="H171" s="51" t="s">
        <v>386</v>
      </c>
      <c r="I171" s="52" t="s">
        <v>8</v>
      </c>
      <c r="J171" s="53">
        <v>6</v>
      </c>
      <c r="K171" s="54">
        <v>11.40</v>
      </c>
      <c r="L171" s="55" t="s">
        <v>288</v>
      </c>
      <c r="M171" s="53">
        <v>38</v>
      </c>
      <c r="N171" s="54">
        <v>46.20</v>
      </c>
      <c r="O171" s="51" t="s">
        <v>387</v>
      </c>
      <c r="P171" s="52" t="s">
        <v>8</v>
      </c>
      <c r="Q171" s="53">
        <v>6</v>
      </c>
      <c r="R171" s="54">
        <v>10.199999999999999</v>
      </c>
      <c r="S171" s="55">
        <v>82</v>
      </c>
      <c r="T171" s="53">
        <v>38</v>
      </c>
      <c r="U171" s="54">
        <v>43.80</v>
      </c>
      <c r="V171" s="170">
        <v>4</v>
      </c>
      <c r="W171" s="541">
        <v>47</v>
      </c>
      <c r="X171" s="171">
        <v>2001</v>
      </c>
      <c r="Y171" s="51"/>
      <c r="Z171" s="172"/>
      <c r="AA171" s="170" t="s">
        <v>15</v>
      </c>
      <c r="AB171" s="173">
        <f t="shared" si="21"/>
        <v>848.82</v>
      </c>
      <c r="AC171" s="60">
        <f t="shared" si="30"/>
        <v>0.32</v>
      </c>
      <c r="AD171" s="173">
        <f t="shared" si="23"/>
        <v>577.20000000000005</v>
      </c>
      <c r="AE171" s="174">
        <f t="shared" si="24"/>
        <v>0</v>
      </c>
      <c r="AF171" s="191">
        <f t="shared" si="25"/>
        <v>0</v>
      </c>
      <c r="AG171" s="437">
        <f t="shared" si="27"/>
        <v>577.20000000000005</v>
      </c>
      <c r="AH171" s="518">
        <f t="shared" si="26"/>
        <v>577</v>
      </c>
      <c r="AI171" s="1048"/>
      <c r="AJ171" s="1048"/>
      <c r="AK171" s="1048"/>
    </row>
    <row r="172" spans="1:37" ht="12.7">
      <c r="A172" s="321" t="s">
        <v>11</v>
      </c>
      <c r="B172" s="150" t="s">
        <v>540</v>
      </c>
      <c r="C172" s="863" t="s">
        <v>669</v>
      </c>
      <c r="D172" s="322" t="s">
        <v>421</v>
      </c>
      <c r="E172" s="762" t="s">
        <v>280</v>
      </c>
      <c r="F172" s="158" t="s">
        <v>577</v>
      </c>
      <c r="G172" s="308"/>
      <c r="H172" s="159" t="s">
        <v>388</v>
      </c>
      <c r="I172" s="161" t="s">
        <v>8</v>
      </c>
      <c r="J172" s="162">
        <v>6</v>
      </c>
      <c r="K172" s="163">
        <v>59.40</v>
      </c>
      <c r="L172" s="164" t="s">
        <v>288</v>
      </c>
      <c r="M172" s="162">
        <v>41</v>
      </c>
      <c r="N172" s="163">
        <v>31.80</v>
      </c>
      <c r="O172" s="159" t="s">
        <v>390</v>
      </c>
      <c r="P172" s="161" t="s">
        <v>8</v>
      </c>
      <c r="Q172" s="162">
        <v>7</v>
      </c>
      <c r="R172" s="163">
        <v>0.01</v>
      </c>
      <c r="S172" s="164">
        <v>82</v>
      </c>
      <c r="T172" s="162">
        <v>41</v>
      </c>
      <c r="U172" s="163">
        <v>25.80</v>
      </c>
      <c r="V172" s="158">
        <v>4</v>
      </c>
      <c r="W172" s="540">
        <v>460</v>
      </c>
      <c r="X172" s="165">
        <v>2001</v>
      </c>
      <c r="Y172" s="159"/>
      <c r="Z172" s="166"/>
      <c r="AA172" s="158" t="s">
        <v>15</v>
      </c>
      <c r="AB172" s="167">
        <f t="shared" si="21"/>
        <v>8307.5999999999985</v>
      </c>
      <c r="AC172" s="168">
        <f t="shared" si="30"/>
        <v>0.32</v>
      </c>
      <c r="AD172" s="167">
        <f t="shared" si="23"/>
        <v>5649.17</v>
      </c>
      <c r="AE172" s="169">
        <f t="shared" si="24"/>
        <v>0</v>
      </c>
      <c r="AF172" s="190">
        <f t="shared" si="25"/>
        <v>0</v>
      </c>
      <c r="AG172" s="417">
        <f t="shared" si="27"/>
        <v>5649.17</v>
      </c>
      <c r="AH172" s="517">
        <f t="shared" si="26"/>
        <v>5649</v>
      </c>
      <c r="AI172" s="1046">
        <v>3.08</v>
      </c>
      <c r="AJ172" s="1046">
        <v>27.99</v>
      </c>
      <c r="AK172" s="1067" t="s">
        <v>613</v>
      </c>
    </row>
    <row r="173" spans="1:37" ht="12.7">
      <c r="A173" s="47" t="s">
        <v>11</v>
      </c>
      <c r="B173" s="23" t="s">
        <v>540</v>
      </c>
      <c r="C173" s="484" t="s">
        <v>669</v>
      </c>
      <c r="D173" s="139" t="s">
        <v>421</v>
      </c>
      <c r="E173" s="760" t="s">
        <v>280</v>
      </c>
      <c r="F173" s="25" t="s">
        <v>577</v>
      </c>
      <c r="G173" s="138"/>
      <c r="H173" s="23" t="s">
        <v>390</v>
      </c>
      <c r="I173" s="33" t="s">
        <v>8</v>
      </c>
      <c r="J173" s="34">
        <v>7</v>
      </c>
      <c r="K173" s="35">
        <v>0.01</v>
      </c>
      <c r="L173" s="22" t="s">
        <v>288</v>
      </c>
      <c r="M173" s="34">
        <v>41</v>
      </c>
      <c r="N173" s="35">
        <v>25.80</v>
      </c>
      <c r="O173" s="23" t="s">
        <v>389</v>
      </c>
      <c r="P173" s="33" t="s">
        <v>8</v>
      </c>
      <c r="Q173" s="34">
        <v>6</v>
      </c>
      <c r="R173" s="35">
        <v>59.40</v>
      </c>
      <c r="S173" s="22" t="s">
        <v>288</v>
      </c>
      <c r="T173" s="34">
        <v>41</v>
      </c>
      <c r="U173" s="35">
        <v>27</v>
      </c>
      <c r="V173" s="25">
        <v>4</v>
      </c>
      <c r="W173" s="538">
        <v>652</v>
      </c>
      <c r="X173" s="45">
        <v>2001</v>
      </c>
      <c r="Y173" s="23"/>
      <c r="Z173" s="46"/>
      <c r="AA173" s="25" t="s">
        <v>15</v>
      </c>
      <c r="AB173" s="39">
        <f t="shared" si="21"/>
        <v>11775.12</v>
      </c>
      <c r="AC173" s="40">
        <f t="shared" si="30"/>
        <v>0.32</v>
      </c>
      <c r="AD173" s="39">
        <f t="shared" si="23"/>
        <v>8007.08</v>
      </c>
      <c r="AE173" s="79">
        <f t="shared" si="24"/>
        <v>0</v>
      </c>
      <c r="AF173" s="185">
        <f t="shared" si="25"/>
        <v>0</v>
      </c>
      <c r="AG173" s="423">
        <f t="shared" si="27"/>
        <v>8007.08</v>
      </c>
      <c r="AH173" s="516">
        <f t="shared" si="26"/>
        <v>8007</v>
      </c>
      <c r="AI173" s="1047"/>
      <c r="AJ173" s="1047"/>
      <c r="AK173" s="1047"/>
    </row>
    <row r="174" spans="1:37" ht="12.7">
      <c r="A174" s="47" t="s">
        <v>11</v>
      </c>
      <c r="B174" s="23" t="s">
        <v>540</v>
      </c>
      <c r="C174" s="484" t="s">
        <v>669</v>
      </c>
      <c r="D174" s="139" t="s">
        <v>421</v>
      </c>
      <c r="E174" s="760" t="s">
        <v>280</v>
      </c>
      <c r="F174" s="25" t="s">
        <v>577</v>
      </c>
      <c r="G174" s="138"/>
      <c r="H174" s="23" t="s">
        <v>389</v>
      </c>
      <c r="I174" s="33" t="s">
        <v>8</v>
      </c>
      <c r="J174" s="34">
        <v>6</v>
      </c>
      <c r="K174" s="35">
        <v>59.40</v>
      </c>
      <c r="L174" s="22" t="s">
        <v>288</v>
      </c>
      <c r="M174" s="34">
        <v>41</v>
      </c>
      <c r="N174" s="35">
        <v>27</v>
      </c>
      <c r="O174" s="23" t="s">
        <v>391</v>
      </c>
      <c r="P174" s="33" t="s">
        <v>8</v>
      </c>
      <c r="Q174" s="34">
        <v>7</v>
      </c>
      <c r="R174" s="35">
        <v>1.20</v>
      </c>
      <c r="S174" s="22" t="s">
        <v>288</v>
      </c>
      <c r="T174" s="34">
        <v>41</v>
      </c>
      <c r="U174" s="35">
        <v>22.80</v>
      </c>
      <c r="V174" s="25">
        <v>4</v>
      </c>
      <c r="W174" s="538">
        <v>484</v>
      </c>
      <c r="X174" s="45">
        <v>2001</v>
      </c>
      <c r="Y174" s="23"/>
      <c r="Z174" s="46"/>
      <c r="AA174" s="25" t="s">
        <v>15</v>
      </c>
      <c r="AB174" s="39">
        <f t="shared" si="21"/>
        <v>8741.0399999999991</v>
      </c>
      <c r="AC174" s="40">
        <f t="shared" si="30"/>
        <v>0.32</v>
      </c>
      <c r="AD174" s="39">
        <f t="shared" si="23"/>
        <v>5943.91</v>
      </c>
      <c r="AE174" s="79">
        <f t="shared" si="24"/>
        <v>0</v>
      </c>
      <c r="AF174" s="185">
        <f t="shared" si="25"/>
        <v>0</v>
      </c>
      <c r="AG174" s="423">
        <f t="shared" si="27"/>
        <v>5943.91</v>
      </c>
      <c r="AH174" s="516">
        <f t="shared" si="26"/>
        <v>5943</v>
      </c>
      <c r="AI174" s="1047"/>
      <c r="AJ174" s="1047"/>
      <c r="AK174" s="1047"/>
    </row>
    <row r="175" spans="1:37" ht="12.7">
      <c r="A175" s="50" t="s">
        <v>11</v>
      </c>
      <c r="B175" s="51" t="s">
        <v>540</v>
      </c>
      <c r="C175" s="872" t="s">
        <v>669</v>
      </c>
      <c r="D175" s="279" t="s">
        <v>421</v>
      </c>
      <c r="E175" s="763" t="s">
        <v>280</v>
      </c>
      <c r="F175" s="170" t="s">
        <v>577</v>
      </c>
      <c r="G175" s="309"/>
      <c r="H175" s="51" t="s">
        <v>391</v>
      </c>
      <c r="I175" s="52" t="s">
        <v>8</v>
      </c>
      <c r="J175" s="53">
        <v>7</v>
      </c>
      <c r="K175" s="54">
        <v>1.20</v>
      </c>
      <c r="L175" s="55" t="s">
        <v>288</v>
      </c>
      <c r="M175" s="53">
        <v>41</v>
      </c>
      <c r="N175" s="54">
        <v>22.80</v>
      </c>
      <c r="O175" s="51" t="s">
        <v>392</v>
      </c>
      <c r="P175" s="52" t="s">
        <v>8</v>
      </c>
      <c r="Q175" s="53">
        <v>7</v>
      </c>
      <c r="R175" s="54">
        <v>0.60</v>
      </c>
      <c r="S175" s="55" t="s">
        <v>288</v>
      </c>
      <c r="T175" s="53">
        <v>41</v>
      </c>
      <c r="U175" s="54">
        <v>21.60</v>
      </c>
      <c r="V175" s="170">
        <v>4</v>
      </c>
      <c r="W175" s="541">
        <v>29</v>
      </c>
      <c r="X175" s="171">
        <v>2001</v>
      </c>
      <c r="Y175" s="51"/>
      <c r="Z175" s="172"/>
      <c r="AA175" s="170" t="s">
        <v>15</v>
      </c>
      <c r="AB175" s="173">
        <f t="shared" si="21"/>
        <v>523.74</v>
      </c>
      <c r="AC175" s="60">
        <f t="shared" si="30"/>
        <v>0.32</v>
      </c>
      <c r="AD175" s="173">
        <f t="shared" si="23"/>
        <v>356.14</v>
      </c>
      <c r="AE175" s="174">
        <f t="shared" si="24"/>
        <v>0</v>
      </c>
      <c r="AF175" s="191">
        <f t="shared" si="25"/>
        <v>0</v>
      </c>
      <c r="AG175" s="437">
        <f t="shared" si="27"/>
        <v>356.14</v>
      </c>
      <c r="AH175" s="518">
        <f t="shared" si="26"/>
        <v>356</v>
      </c>
      <c r="AI175" s="1048"/>
      <c r="AJ175" s="1048"/>
      <c r="AK175" s="1048"/>
    </row>
    <row r="176" spans="1:37" ht="12.7">
      <c r="A176" s="203" t="s">
        <v>11</v>
      </c>
      <c r="B176" s="204" t="s">
        <v>540</v>
      </c>
      <c r="C176" s="873" t="s">
        <v>669</v>
      </c>
      <c r="D176" s="757" t="s">
        <v>421</v>
      </c>
      <c r="E176" s="769" t="s">
        <v>280</v>
      </c>
      <c r="F176" s="210" t="s">
        <v>575</v>
      </c>
      <c r="G176" s="310"/>
      <c r="H176" s="246" t="s">
        <v>13</v>
      </c>
      <c r="I176" s="206">
        <v>42</v>
      </c>
      <c r="J176" s="207">
        <v>6</v>
      </c>
      <c r="K176" s="208">
        <v>29.533999999999999</v>
      </c>
      <c r="L176" s="209">
        <v>82</v>
      </c>
      <c r="M176" s="207">
        <v>38</v>
      </c>
      <c r="N176" s="208">
        <v>51.100999999999999</v>
      </c>
      <c r="O176" s="204" t="s">
        <v>6</v>
      </c>
      <c r="P176" s="206">
        <v>42</v>
      </c>
      <c r="Q176" s="207">
        <v>6</v>
      </c>
      <c r="R176" s="208">
        <v>0.78</v>
      </c>
      <c r="S176" s="209">
        <v>82</v>
      </c>
      <c r="T176" s="207">
        <v>38</v>
      </c>
      <c r="U176" s="208">
        <v>27.012</v>
      </c>
      <c r="V176" s="210">
        <v>4</v>
      </c>
      <c r="W176" s="543">
        <v>916</v>
      </c>
      <c r="X176" s="211">
        <v>1996</v>
      </c>
      <c r="Y176" s="204"/>
      <c r="Z176" s="212" t="s">
        <v>14</v>
      </c>
      <c r="AA176" s="210" t="s">
        <v>15</v>
      </c>
      <c r="AB176" s="213">
        <f t="shared" si="21"/>
        <v>16542.96</v>
      </c>
      <c r="AC176" s="214">
        <f t="shared" si="30"/>
        <v>0.44</v>
      </c>
      <c r="AD176" s="213">
        <f t="shared" si="23"/>
        <v>9264.06</v>
      </c>
      <c r="AE176" s="215">
        <f t="shared" si="24"/>
        <v>0</v>
      </c>
      <c r="AF176" s="216">
        <f t="shared" si="25"/>
        <v>0</v>
      </c>
      <c r="AG176" s="260">
        <f t="shared" si="27"/>
        <v>9264.06</v>
      </c>
      <c r="AH176" s="522">
        <f t="shared" si="26"/>
        <v>9264</v>
      </c>
      <c r="AI176" s="196">
        <v>4.28</v>
      </c>
      <c r="AJ176" s="196">
        <v>2.2599999999999998</v>
      </c>
      <c r="AK176" s="196">
        <v>1.06</v>
      </c>
    </row>
    <row r="177" spans="1:37" ht="12.7">
      <c r="A177" s="875" t="s">
        <v>11</v>
      </c>
      <c r="B177" s="876" t="s">
        <v>540</v>
      </c>
      <c r="C177" s="877" t="s">
        <v>670</v>
      </c>
      <c r="D177" s="878" t="s">
        <v>421</v>
      </c>
      <c r="E177" s="879" t="s">
        <v>18</v>
      </c>
      <c r="F177" s="880"/>
      <c r="G177" s="881"/>
      <c r="H177" s="882" t="s">
        <v>614</v>
      </c>
      <c r="I177" s="883" t="s">
        <v>8</v>
      </c>
      <c r="J177" s="884">
        <v>2</v>
      </c>
      <c r="K177" s="885">
        <v>35.40</v>
      </c>
      <c r="L177" s="886" t="s">
        <v>288</v>
      </c>
      <c r="M177" s="884">
        <v>33</v>
      </c>
      <c r="N177" s="885">
        <v>45.60</v>
      </c>
      <c r="O177" s="882" t="s">
        <v>614</v>
      </c>
      <c r="P177" s="883" t="s">
        <v>8</v>
      </c>
      <c r="Q177" s="884">
        <v>2</v>
      </c>
      <c r="R177" s="885">
        <v>35.40</v>
      </c>
      <c r="S177" s="886">
        <v>82</v>
      </c>
      <c r="T177" s="884">
        <v>33</v>
      </c>
      <c r="U177" s="885">
        <v>45.60</v>
      </c>
      <c r="V177" s="880">
        <v>3</v>
      </c>
      <c r="W177" s="887">
        <v>92</v>
      </c>
      <c r="X177" s="888">
        <v>2001</v>
      </c>
      <c r="Y177" s="876"/>
      <c r="Z177" s="889" t="s">
        <v>14</v>
      </c>
      <c r="AA177" s="880" t="s">
        <v>15</v>
      </c>
      <c r="AB177" s="890">
        <f t="shared" si="21"/>
        <v>1379.08</v>
      </c>
      <c r="AC177" s="891">
        <f t="shared" si="30"/>
        <v>0.32</v>
      </c>
      <c r="AD177" s="890">
        <f t="shared" si="23"/>
        <v>937.77</v>
      </c>
      <c r="AE177" s="892">
        <f t="shared" si="24"/>
        <v>0</v>
      </c>
      <c r="AF177" s="893">
        <f t="shared" si="25"/>
        <v>0</v>
      </c>
      <c r="AG177" s="894">
        <f t="shared" si="27"/>
        <v>937.77</v>
      </c>
      <c r="AH177" s="895">
        <f t="shared" si="26"/>
        <v>937</v>
      </c>
      <c r="AI177" s="1044">
        <v>1.1299999999999999</v>
      </c>
      <c r="AJ177" s="1044">
        <v>1.01</v>
      </c>
      <c r="AK177" s="1045" t="s">
        <v>609</v>
      </c>
    </row>
    <row r="178" spans="1:37" ht="12.7">
      <c r="A178" s="896" t="s">
        <v>11</v>
      </c>
      <c r="B178" s="897" t="s">
        <v>540</v>
      </c>
      <c r="C178" s="898" t="s">
        <v>670</v>
      </c>
      <c r="D178" s="899" t="s">
        <v>421</v>
      </c>
      <c r="E178" s="900" t="s">
        <v>18</v>
      </c>
      <c r="F178" s="901"/>
      <c r="G178" s="902"/>
      <c r="H178" s="903" t="s">
        <v>614</v>
      </c>
      <c r="I178" s="904" t="s">
        <v>8</v>
      </c>
      <c r="J178" s="905">
        <v>2</v>
      </c>
      <c r="K178" s="906">
        <v>35.40</v>
      </c>
      <c r="L178" s="907" t="s">
        <v>288</v>
      </c>
      <c r="M178" s="905">
        <v>33</v>
      </c>
      <c r="N178" s="906">
        <v>45.60</v>
      </c>
      <c r="O178" s="908" t="s">
        <v>615</v>
      </c>
      <c r="P178" s="904" t="s">
        <v>8</v>
      </c>
      <c r="Q178" s="905">
        <v>2</v>
      </c>
      <c r="R178" s="906">
        <v>35.40</v>
      </c>
      <c r="S178" s="907">
        <v>82</v>
      </c>
      <c r="T178" s="905">
        <v>33</v>
      </c>
      <c r="U178" s="906">
        <v>42.60</v>
      </c>
      <c r="V178" s="901">
        <v>3</v>
      </c>
      <c r="W178" s="909">
        <v>227</v>
      </c>
      <c r="X178" s="910">
        <v>2001</v>
      </c>
      <c r="Y178" s="897"/>
      <c r="Z178" s="911" t="s">
        <v>14</v>
      </c>
      <c r="AA178" s="901" t="s">
        <v>15</v>
      </c>
      <c r="AB178" s="912">
        <f t="shared" si="21"/>
        <v>3402.73</v>
      </c>
      <c r="AC178" s="913">
        <f t="shared" si="30"/>
        <v>0.32</v>
      </c>
      <c r="AD178" s="912">
        <f t="shared" si="23"/>
        <v>2313.86</v>
      </c>
      <c r="AE178" s="914">
        <f t="shared" si="24"/>
        <v>0</v>
      </c>
      <c r="AF178" s="915">
        <f t="shared" si="25"/>
        <v>0</v>
      </c>
      <c r="AG178" s="916">
        <f t="shared" si="27"/>
        <v>2313.86</v>
      </c>
      <c r="AH178" s="917">
        <f t="shared" si="26"/>
        <v>2313</v>
      </c>
      <c r="AI178" s="1044"/>
      <c r="AJ178" s="1044"/>
      <c r="AK178" s="1044"/>
    </row>
    <row r="179" spans="1:37" ht="12.7">
      <c r="A179" s="918" t="s">
        <v>11</v>
      </c>
      <c r="B179" s="919" t="s">
        <v>540</v>
      </c>
      <c r="C179" s="947" t="s">
        <v>670</v>
      </c>
      <c r="D179" s="920" t="s">
        <v>421</v>
      </c>
      <c r="E179" s="921" t="s">
        <v>18</v>
      </c>
      <c r="F179" s="922"/>
      <c r="G179" s="923"/>
      <c r="H179" s="924" t="s">
        <v>615</v>
      </c>
      <c r="I179" s="925" t="s">
        <v>8</v>
      </c>
      <c r="J179" s="926">
        <v>2</v>
      </c>
      <c r="K179" s="927">
        <v>35.40</v>
      </c>
      <c r="L179" s="928" t="s">
        <v>288</v>
      </c>
      <c r="M179" s="926">
        <v>33</v>
      </c>
      <c r="N179" s="927">
        <v>42.60</v>
      </c>
      <c r="O179" s="929" t="s">
        <v>616</v>
      </c>
      <c r="P179" s="925" t="s">
        <v>8</v>
      </c>
      <c r="Q179" s="926">
        <v>5</v>
      </c>
      <c r="R179" s="927">
        <v>16.80</v>
      </c>
      <c r="S179" s="928">
        <v>82</v>
      </c>
      <c r="T179" s="926">
        <v>33</v>
      </c>
      <c r="U179" s="927">
        <v>40.200000000000003</v>
      </c>
      <c r="V179" s="922">
        <v>3</v>
      </c>
      <c r="W179" s="930">
        <v>653</v>
      </c>
      <c r="X179" s="931">
        <v>2001</v>
      </c>
      <c r="Y179" s="932"/>
      <c r="Z179" s="933" t="s">
        <v>14</v>
      </c>
      <c r="AA179" s="922" t="s">
        <v>15</v>
      </c>
      <c r="AB179" s="934">
        <f t="shared" si="21"/>
        <v>9788.4699999999993</v>
      </c>
      <c r="AC179" s="935">
        <f t="shared" si="30"/>
        <v>0.32</v>
      </c>
      <c r="AD179" s="934">
        <f t="shared" si="23"/>
        <v>6656.16</v>
      </c>
      <c r="AE179" s="936">
        <f t="shared" si="24"/>
        <v>0</v>
      </c>
      <c r="AF179" s="937">
        <f t="shared" si="25"/>
        <v>0</v>
      </c>
      <c r="AG179" s="938">
        <f t="shared" si="27"/>
        <v>6656.16</v>
      </c>
      <c r="AH179" s="939">
        <f t="shared" si="26"/>
        <v>6656</v>
      </c>
      <c r="AI179" s="1044"/>
      <c r="AJ179" s="1044"/>
      <c r="AK179" s="1044"/>
    </row>
    <row r="180" spans="1:37" ht="12.7">
      <c r="A180" s="875" t="s">
        <v>11</v>
      </c>
      <c r="B180" s="876" t="s">
        <v>540</v>
      </c>
      <c r="C180" s="946" t="s">
        <v>670</v>
      </c>
      <c r="D180" s="878" t="s">
        <v>421</v>
      </c>
      <c r="E180" s="879" t="s">
        <v>18</v>
      </c>
      <c r="F180" s="880"/>
      <c r="G180" s="881"/>
      <c r="H180" s="940" t="s">
        <v>380</v>
      </c>
      <c r="I180" s="883" t="s">
        <v>8</v>
      </c>
      <c r="J180" s="884">
        <v>6</v>
      </c>
      <c r="K180" s="885">
        <v>19.20</v>
      </c>
      <c r="L180" s="886" t="s">
        <v>288</v>
      </c>
      <c r="M180" s="884">
        <v>37</v>
      </c>
      <c r="N180" s="885">
        <v>30.60</v>
      </c>
      <c r="O180" s="876" t="s">
        <v>381</v>
      </c>
      <c r="P180" s="883" t="s">
        <v>8</v>
      </c>
      <c r="Q180" s="884">
        <v>6</v>
      </c>
      <c r="R180" s="885">
        <v>15</v>
      </c>
      <c r="S180" s="886">
        <v>82</v>
      </c>
      <c r="T180" s="884">
        <v>37</v>
      </c>
      <c r="U180" s="885">
        <v>26.40</v>
      </c>
      <c r="V180" s="880">
        <v>4</v>
      </c>
      <c r="W180" s="887">
        <v>299</v>
      </c>
      <c r="X180" s="888">
        <v>2001</v>
      </c>
      <c r="Y180" s="876"/>
      <c r="Z180" s="889" t="s">
        <v>14</v>
      </c>
      <c r="AA180" s="880" t="s">
        <v>15</v>
      </c>
      <c r="AB180" s="890">
        <f t="shared" si="21"/>
        <v>5399.94</v>
      </c>
      <c r="AC180" s="891">
        <f t="shared" si="30"/>
        <v>0.32</v>
      </c>
      <c r="AD180" s="890">
        <f t="shared" si="23"/>
        <v>3671.96</v>
      </c>
      <c r="AE180" s="892">
        <f t="shared" si="24"/>
        <v>0</v>
      </c>
      <c r="AF180" s="893">
        <f t="shared" si="25"/>
        <v>0</v>
      </c>
      <c r="AG180" s="894">
        <f t="shared" si="27"/>
        <v>3671.96</v>
      </c>
      <c r="AH180" s="895">
        <f t="shared" si="26"/>
        <v>3671</v>
      </c>
      <c r="AI180" s="1044">
        <v>6.98</v>
      </c>
      <c r="AJ180" s="1044">
        <v>18.93</v>
      </c>
      <c r="AK180" s="1044">
        <v>3.88</v>
      </c>
    </row>
    <row r="181" spans="1:37" ht="12.7">
      <c r="A181" s="896" t="s">
        <v>11</v>
      </c>
      <c r="B181" s="897" t="s">
        <v>540</v>
      </c>
      <c r="C181" s="898" t="s">
        <v>670</v>
      </c>
      <c r="D181" s="899" t="s">
        <v>421</v>
      </c>
      <c r="E181" s="900" t="s">
        <v>18</v>
      </c>
      <c r="F181" s="901"/>
      <c r="G181" s="902"/>
      <c r="H181" s="941" t="s">
        <v>381</v>
      </c>
      <c r="I181" s="904" t="s">
        <v>8</v>
      </c>
      <c r="J181" s="905">
        <v>6</v>
      </c>
      <c r="K181" s="906">
        <v>15</v>
      </c>
      <c r="L181" s="907" t="s">
        <v>288</v>
      </c>
      <c r="M181" s="905">
        <v>37</v>
      </c>
      <c r="N181" s="906">
        <v>26.40</v>
      </c>
      <c r="O181" s="897" t="s">
        <v>382</v>
      </c>
      <c r="P181" s="904" t="s">
        <v>8</v>
      </c>
      <c r="Q181" s="905">
        <v>6</v>
      </c>
      <c r="R181" s="906">
        <v>16.20</v>
      </c>
      <c r="S181" s="907">
        <v>82</v>
      </c>
      <c r="T181" s="905">
        <v>37</v>
      </c>
      <c r="U181" s="906">
        <v>37.200000000000003</v>
      </c>
      <c r="V181" s="901">
        <v>4</v>
      </c>
      <c r="W181" s="909">
        <v>1314</v>
      </c>
      <c r="X181" s="910">
        <v>2001</v>
      </c>
      <c r="Y181" s="897"/>
      <c r="Z181" s="911" t="s">
        <v>14</v>
      </c>
      <c r="AA181" s="901" t="s">
        <v>15</v>
      </c>
      <c r="AB181" s="912">
        <f t="shared" si="21"/>
        <v>23730.839999999997</v>
      </c>
      <c r="AC181" s="913">
        <f t="shared" si="30"/>
        <v>0.32</v>
      </c>
      <c r="AD181" s="912">
        <f t="shared" si="23"/>
        <v>16136.97</v>
      </c>
      <c r="AE181" s="914">
        <f t="shared" si="24"/>
        <v>0</v>
      </c>
      <c r="AF181" s="915">
        <f t="shared" si="25"/>
        <v>0</v>
      </c>
      <c r="AG181" s="916">
        <f t="shared" si="27"/>
        <v>16136.97</v>
      </c>
      <c r="AH181" s="917">
        <f t="shared" si="26"/>
        <v>16136</v>
      </c>
      <c r="AI181" s="1044"/>
      <c r="AJ181" s="1044"/>
      <c r="AK181" s="1044"/>
    </row>
    <row r="182" spans="1:37" ht="12.7">
      <c r="A182" s="942" t="s">
        <v>11</v>
      </c>
      <c r="B182" s="932" t="s">
        <v>540</v>
      </c>
      <c r="C182" s="945" t="s">
        <v>670</v>
      </c>
      <c r="D182" s="943" t="s">
        <v>421</v>
      </c>
      <c r="E182" s="921" t="s">
        <v>18</v>
      </c>
      <c r="F182" s="922"/>
      <c r="G182" s="923"/>
      <c r="H182" s="944" t="s">
        <v>382</v>
      </c>
      <c r="I182" s="925" t="s">
        <v>8</v>
      </c>
      <c r="J182" s="926">
        <v>6</v>
      </c>
      <c r="K182" s="927">
        <v>16.20</v>
      </c>
      <c r="L182" s="928" t="s">
        <v>288</v>
      </c>
      <c r="M182" s="926">
        <v>37</v>
      </c>
      <c r="N182" s="927">
        <v>37.200000000000003</v>
      </c>
      <c r="O182" s="932" t="s">
        <v>383</v>
      </c>
      <c r="P182" s="925" t="s">
        <v>8</v>
      </c>
      <c r="Q182" s="926">
        <v>6</v>
      </c>
      <c r="R182" s="927">
        <v>31.80</v>
      </c>
      <c r="S182" s="928">
        <v>82</v>
      </c>
      <c r="T182" s="926">
        <v>37</v>
      </c>
      <c r="U182" s="927">
        <v>53.40</v>
      </c>
      <c r="V182" s="922">
        <v>4</v>
      </c>
      <c r="W182" s="930">
        <v>1757</v>
      </c>
      <c r="X182" s="931">
        <v>2001</v>
      </c>
      <c r="Y182" s="932"/>
      <c r="Z182" s="933" t="s">
        <v>14</v>
      </c>
      <c r="AA182" s="922" t="s">
        <v>15</v>
      </c>
      <c r="AB182" s="934">
        <f t="shared" si="21"/>
        <v>31731.42</v>
      </c>
      <c r="AC182" s="935">
        <f t="shared" si="30"/>
        <v>0.32</v>
      </c>
      <c r="AD182" s="934">
        <f t="shared" si="23"/>
        <v>21577.37</v>
      </c>
      <c r="AE182" s="936">
        <f t="shared" si="24"/>
        <v>0</v>
      </c>
      <c r="AF182" s="937">
        <f t="shared" si="25"/>
        <v>0</v>
      </c>
      <c r="AG182" s="938">
        <f t="shared" si="27"/>
        <v>21577.37</v>
      </c>
      <c r="AH182" s="939">
        <f t="shared" si="31" ref="AH182:AH245">ROUNDDOWN(AG182,0)</f>
        <v>21577</v>
      </c>
      <c r="AI182" s="1044"/>
      <c r="AJ182" s="1044"/>
      <c r="AK182" s="1044"/>
    </row>
    <row r="183" spans="1:37" ht="12.7">
      <c r="A183" s="875" t="s">
        <v>11</v>
      </c>
      <c r="B183" s="876" t="s">
        <v>540</v>
      </c>
      <c r="C183" s="877" t="s">
        <v>670</v>
      </c>
      <c r="D183" s="878" t="s">
        <v>421</v>
      </c>
      <c r="E183" s="879" t="s">
        <v>18</v>
      </c>
      <c r="F183" s="880"/>
      <c r="G183" s="881"/>
      <c r="H183" s="940" t="s">
        <v>404</v>
      </c>
      <c r="I183" s="883" t="s">
        <v>8</v>
      </c>
      <c r="J183" s="884">
        <v>2</v>
      </c>
      <c r="K183" s="885">
        <v>18.60</v>
      </c>
      <c r="L183" s="886" t="s">
        <v>288</v>
      </c>
      <c r="M183" s="884">
        <v>33</v>
      </c>
      <c r="N183" s="885">
        <v>32.40</v>
      </c>
      <c r="O183" s="876" t="s">
        <v>405</v>
      </c>
      <c r="P183" s="883" t="s">
        <v>8</v>
      </c>
      <c r="Q183" s="884">
        <v>2</v>
      </c>
      <c r="R183" s="885">
        <v>17.40</v>
      </c>
      <c r="S183" s="886" t="s">
        <v>288</v>
      </c>
      <c r="T183" s="884">
        <v>33</v>
      </c>
      <c r="U183" s="885">
        <v>32.40</v>
      </c>
      <c r="V183" s="880">
        <v>4</v>
      </c>
      <c r="W183" s="887">
        <v>33</v>
      </c>
      <c r="X183" s="888">
        <v>2001</v>
      </c>
      <c r="Y183" s="876"/>
      <c r="Z183" s="889" t="s">
        <v>30</v>
      </c>
      <c r="AA183" s="880" t="s">
        <v>31</v>
      </c>
      <c r="AB183" s="890">
        <f t="shared" si="21"/>
        <v>1176.78</v>
      </c>
      <c r="AC183" s="891">
        <f t="shared" si="30"/>
        <v>0.32</v>
      </c>
      <c r="AD183" s="890">
        <f t="shared" si="23"/>
        <v>800.21</v>
      </c>
      <c r="AE183" s="892">
        <f t="shared" si="24"/>
        <v>0</v>
      </c>
      <c r="AF183" s="893">
        <f t="shared" si="25"/>
        <v>0</v>
      </c>
      <c r="AG183" s="894">
        <f t="shared" si="32" ref="AG183:AG246">AD183-AE183-AF183</f>
        <v>800.21</v>
      </c>
      <c r="AH183" s="895">
        <f t="shared" si="31"/>
        <v>800</v>
      </c>
      <c r="AI183" s="1049" t="s">
        <v>624</v>
      </c>
      <c r="AJ183" s="1050"/>
      <c r="AK183" s="1051"/>
    </row>
    <row r="184" spans="1:37" ht="12.7">
      <c r="A184" s="896" t="s">
        <v>11</v>
      </c>
      <c r="B184" s="897" t="s">
        <v>540</v>
      </c>
      <c r="C184" s="898" t="s">
        <v>670</v>
      </c>
      <c r="D184" s="899" t="s">
        <v>421</v>
      </c>
      <c r="E184" s="900" t="s">
        <v>18</v>
      </c>
      <c r="F184" s="901"/>
      <c r="G184" s="902"/>
      <c r="H184" s="941" t="s">
        <v>405</v>
      </c>
      <c r="I184" s="904" t="s">
        <v>8</v>
      </c>
      <c r="J184" s="905">
        <v>2</v>
      </c>
      <c r="K184" s="906">
        <v>17.40</v>
      </c>
      <c r="L184" s="907" t="s">
        <v>288</v>
      </c>
      <c r="M184" s="905">
        <v>33</v>
      </c>
      <c r="N184" s="906">
        <v>32.40</v>
      </c>
      <c r="O184" s="897" t="s">
        <v>406</v>
      </c>
      <c r="P184" s="904" t="s">
        <v>8</v>
      </c>
      <c r="Q184" s="905">
        <v>2</v>
      </c>
      <c r="R184" s="906">
        <v>18.60</v>
      </c>
      <c r="S184" s="907" t="s">
        <v>288</v>
      </c>
      <c r="T184" s="905">
        <v>33</v>
      </c>
      <c r="U184" s="906">
        <v>32.40</v>
      </c>
      <c r="V184" s="901">
        <v>4</v>
      </c>
      <c r="W184" s="909">
        <v>69</v>
      </c>
      <c r="X184" s="910">
        <v>2001</v>
      </c>
      <c r="Y184" s="897"/>
      <c r="Z184" s="911" t="s">
        <v>30</v>
      </c>
      <c r="AA184" s="901" t="s">
        <v>31</v>
      </c>
      <c r="AB184" s="912">
        <f t="shared" si="21"/>
        <v>2460.54</v>
      </c>
      <c r="AC184" s="913">
        <f t="shared" si="30"/>
        <v>0.32</v>
      </c>
      <c r="AD184" s="912">
        <f t="shared" si="23"/>
        <v>1673.17</v>
      </c>
      <c r="AE184" s="914">
        <f t="shared" si="24"/>
        <v>0</v>
      </c>
      <c r="AF184" s="915">
        <f t="shared" si="25"/>
        <v>0</v>
      </c>
      <c r="AG184" s="916">
        <f t="shared" si="32"/>
        <v>1673.17</v>
      </c>
      <c r="AH184" s="917">
        <f t="shared" si="31"/>
        <v>1673</v>
      </c>
      <c r="AI184" s="1052"/>
      <c r="AJ184" s="1053"/>
      <c r="AK184" s="1054"/>
    </row>
    <row r="185" spans="1:37" ht="12.7">
      <c r="A185" s="896" t="s">
        <v>11</v>
      </c>
      <c r="B185" s="897" t="s">
        <v>540</v>
      </c>
      <c r="C185" s="898" t="s">
        <v>670</v>
      </c>
      <c r="D185" s="899" t="s">
        <v>421</v>
      </c>
      <c r="E185" s="900" t="s">
        <v>18</v>
      </c>
      <c r="F185" s="901"/>
      <c r="G185" s="902"/>
      <c r="H185" s="941" t="s">
        <v>406</v>
      </c>
      <c r="I185" s="904" t="s">
        <v>8</v>
      </c>
      <c r="J185" s="905">
        <v>2</v>
      </c>
      <c r="K185" s="906">
        <v>18.60</v>
      </c>
      <c r="L185" s="907" t="s">
        <v>288</v>
      </c>
      <c r="M185" s="905">
        <v>33</v>
      </c>
      <c r="N185" s="906">
        <v>32.40</v>
      </c>
      <c r="O185" s="897" t="s">
        <v>407</v>
      </c>
      <c r="P185" s="904" t="s">
        <v>8</v>
      </c>
      <c r="Q185" s="905">
        <v>2</v>
      </c>
      <c r="R185" s="906">
        <v>18.60</v>
      </c>
      <c r="S185" s="907" t="s">
        <v>288</v>
      </c>
      <c r="T185" s="905">
        <v>33</v>
      </c>
      <c r="U185" s="906">
        <v>31.80</v>
      </c>
      <c r="V185" s="901">
        <v>4</v>
      </c>
      <c r="W185" s="909">
        <v>42</v>
      </c>
      <c r="X185" s="910">
        <v>2001</v>
      </c>
      <c r="Y185" s="897"/>
      <c r="Z185" s="911" t="s">
        <v>30</v>
      </c>
      <c r="AA185" s="901" t="s">
        <v>31</v>
      </c>
      <c r="AB185" s="912">
        <f t="shared" si="21"/>
        <v>1497.7199999999998</v>
      </c>
      <c r="AC185" s="913">
        <f t="shared" si="30"/>
        <v>0.32</v>
      </c>
      <c r="AD185" s="912">
        <f t="shared" si="23"/>
        <v>1018.45</v>
      </c>
      <c r="AE185" s="914">
        <f t="shared" si="24"/>
        <v>0</v>
      </c>
      <c r="AF185" s="915">
        <f t="shared" si="25"/>
        <v>0</v>
      </c>
      <c r="AG185" s="916">
        <f t="shared" si="32"/>
        <v>1018.45</v>
      </c>
      <c r="AH185" s="917">
        <f t="shared" si="31"/>
        <v>1018</v>
      </c>
      <c r="AI185" s="1052"/>
      <c r="AJ185" s="1053"/>
      <c r="AK185" s="1054"/>
    </row>
    <row r="186" spans="1:37" ht="12.7">
      <c r="A186" s="896" t="s">
        <v>11</v>
      </c>
      <c r="B186" s="897" t="s">
        <v>540</v>
      </c>
      <c r="C186" s="898" t="s">
        <v>670</v>
      </c>
      <c r="D186" s="899" t="s">
        <v>421</v>
      </c>
      <c r="E186" s="900" t="s">
        <v>18</v>
      </c>
      <c r="F186" s="901"/>
      <c r="G186" s="902"/>
      <c r="H186" s="941" t="s">
        <v>407</v>
      </c>
      <c r="I186" s="904" t="s">
        <v>8</v>
      </c>
      <c r="J186" s="905">
        <v>2</v>
      </c>
      <c r="K186" s="906">
        <v>18.60</v>
      </c>
      <c r="L186" s="907" t="s">
        <v>288</v>
      </c>
      <c r="M186" s="905">
        <v>33</v>
      </c>
      <c r="N186" s="906">
        <v>31.80</v>
      </c>
      <c r="O186" s="897" t="s">
        <v>408</v>
      </c>
      <c r="P186" s="904" t="s">
        <v>8</v>
      </c>
      <c r="Q186" s="905">
        <v>2</v>
      </c>
      <c r="R186" s="906">
        <v>14.40</v>
      </c>
      <c r="S186" s="907" t="s">
        <v>288</v>
      </c>
      <c r="T186" s="905">
        <v>33</v>
      </c>
      <c r="U186" s="906">
        <v>22.80</v>
      </c>
      <c r="V186" s="901">
        <v>4</v>
      </c>
      <c r="W186" s="909">
        <v>688</v>
      </c>
      <c r="X186" s="910">
        <v>2001</v>
      </c>
      <c r="Y186" s="897"/>
      <c r="Z186" s="911" t="s">
        <v>30</v>
      </c>
      <c r="AA186" s="901" t="s">
        <v>31</v>
      </c>
      <c r="AB186" s="912">
        <f t="shared" si="21"/>
        <v>24534.08</v>
      </c>
      <c r="AC186" s="913">
        <f t="shared" si="30"/>
        <v>0.32</v>
      </c>
      <c r="AD186" s="912">
        <f t="shared" si="23"/>
        <v>16683.169999999998</v>
      </c>
      <c r="AE186" s="914">
        <f t="shared" si="24"/>
        <v>0</v>
      </c>
      <c r="AF186" s="915">
        <f t="shared" si="25"/>
        <v>0</v>
      </c>
      <c r="AG186" s="916">
        <f t="shared" si="32"/>
        <v>16683.169999999998</v>
      </c>
      <c r="AH186" s="917">
        <f t="shared" si="31"/>
        <v>16683</v>
      </c>
      <c r="AI186" s="1052"/>
      <c r="AJ186" s="1053"/>
      <c r="AK186" s="1054"/>
    </row>
    <row r="187" spans="1:37" ht="12.7">
      <c r="A187" s="896" t="s">
        <v>11</v>
      </c>
      <c r="B187" s="897" t="s">
        <v>540</v>
      </c>
      <c r="C187" s="898" t="s">
        <v>670</v>
      </c>
      <c r="D187" s="899" t="s">
        <v>421</v>
      </c>
      <c r="E187" s="900" t="s">
        <v>18</v>
      </c>
      <c r="F187" s="901"/>
      <c r="G187" s="902"/>
      <c r="H187" s="941" t="s">
        <v>408</v>
      </c>
      <c r="I187" s="904" t="s">
        <v>8</v>
      </c>
      <c r="J187" s="905">
        <v>2</v>
      </c>
      <c r="K187" s="906">
        <v>14.40</v>
      </c>
      <c r="L187" s="907" t="s">
        <v>288</v>
      </c>
      <c r="M187" s="905">
        <v>33</v>
      </c>
      <c r="N187" s="906">
        <v>22.80</v>
      </c>
      <c r="O187" s="897" t="s">
        <v>409</v>
      </c>
      <c r="P187" s="904" t="s">
        <v>8</v>
      </c>
      <c r="Q187" s="905">
        <v>1</v>
      </c>
      <c r="R187" s="906">
        <v>56.40</v>
      </c>
      <c r="S187" s="907" t="s">
        <v>288</v>
      </c>
      <c r="T187" s="905">
        <v>33</v>
      </c>
      <c r="U187" s="906">
        <v>18.60</v>
      </c>
      <c r="V187" s="901">
        <v>4</v>
      </c>
      <c r="W187" s="909">
        <v>2235</v>
      </c>
      <c r="X187" s="910">
        <v>2001</v>
      </c>
      <c r="Y187" s="897"/>
      <c r="Z187" s="911" t="s">
        <v>30</v>
      </c>
      <c r="AA187" s="901" t="s">
        <v>31</v>
      </c>
      <c r="AB187" s="912">
        <f t="shared" si="21"/>
        <v>79700.099999999991</v>
      </c>
      <c r="AC187" s="913">
        <f t="shared" si="30"/>
        <v>0.32</v>
      </c>
      <c r="AD187" s="912">
        <f t="shared" si="23"/>
        <v>54196.07</v>
      </c>
      <c r="AE187" s="914">
        <f t="shared" si="24"/>
        <v>0</v>
      </c>
      <c r="AF187" s="915">
        <f t="shared" si="25"/>
        <v>0</v>
      </c>
      <c r="AG187" s="916">
        <f t="shared" si="32"/>
        <v>54196.07</v>
      </c>
      <c r="AH187" s="917">
        <f t="shared" si="31"/>
        <v>54196</v>
      </c>
      <c r="AI187" s="1052"/>
      <c r="AJ187" s="1053"/>
      <c r="AK187" s="1054"/>
    </row>
    <row r="188" spans="1:37" ht="12.7">
      <c r="A188" s="896" t="s">
        <v>11</v>
      </c>
      <c r="B188" s="897" t="s">
        <v>540</v>
      </c>
      <c r="C188" s="898" t="s">
        <v>670</v>
      </c>
      <c r="D188" s="899" t="s">
        <v>421</v>
      </c>
      <c r="E188" s="900" t="s">
        <v>18</v>
      </c>
      <c r="F188" s="901"/>
      <c r="G188" s="902"/>
      <c r="H188" s="941" t="s">
        <v>409</v>
      </c>
      <c r="I188" s="904" t="s">
        <v>8</v>
      </c>
      <c r="J188" s="905">
        <v>1</v>
      </c>
      <c r="K188" s="906">
        <v>56.40</v>
      </c>
      <c r="L188" s="907" t="s">
        <v>288</v>
      </c>
      <c r="M188" s="905">
        <v>33</v>
      </c>
      <c r="N188" s="906">
        <v>18.60</v>
      </c>
      <c r="O188" s="897" t="s">
        <v>410</v>
      </c>
      <c r="P188" s="904" t="s">
        <v>8</v>
      </c>
      <c r="Q188" s="905">
        <v>1</v>
      </c>
      <c r="R188" s="906">
        <v>53.40</v>
      </c>
      <c r="S188" s="907" t="s">
        <v>288</v>
      </c>
      <c r="T188" s="905">
        <v>32</v>
      </c>
      <c r="U188" s="906">
        <v>5.40</v>
      </c>
      <c r="V188" s="901">
        <v>4</v>
      </c>
      <c r="W188" s="909">
        <v>5977</v>
      </c>
      <c r="X188" s="910">
        <v>2001</v>
      </c>
      <c r="Y188" s="897"/>
      <c r="Z188" s="911" t="s">
        <v>30</v>
      </c>
      <c r="AA188" s="901" t="s">
        <v>31</v>
      </c>
      <c r="AB188" s="912">
        <f t="shared" si="21"/>
        <v>213139.81999999998</v>
      </c>
      <c r="AC188" s="913">
        <f t="shared" si="30"/>
        <v>0.32</v>
      </c>
      <c r="AD188" s="912">
        <f t="shared" si="23"/>
        <v>144935.07999999999</v>
      </c>
      <c r="AE188" s="914">
        <f t="shared" si="24"/>
        <v>0</v>
      </c>
      <c r="AF188" s="915">
        <f t="shared" si="25"/>
        <v>0</v>
      </c>
      <c r="AG188" s="916">
        <f t="shared" si="32"/>
        <v>144935.07999999999</v>
      </c>
      <c r="AH188" s="917">
        <f t="shared" si="31"/>
        <v>144935</v>
      </c>
      <c r="AI188" s="1052"/>
      <c r="AJ188" s="1053"/>
      <c r="AK188" s="1054"/>
    </row>
    <row r="189" spans="1:37" ht="12.7">
      <c r="A189" s="896" t="s">
        <v>11</v>
      </c>
      <c r="B189" s="897" t="s">
        <v>540</v>
      </c>
      <c r="C189" s="898" t="s">
        <v>670</v>
      </c>
      <c r="D189" s="899" t="s">
        <v>421</v>
      </c>
      <c r="E189" s="900" t="s">
        <v>18</v>
      </c>
      <c r="F189" s="901"/>
      <c r="G189" s="902"/>
      <c r="H189" s="941" t="s">
        <v>410</v>
      </c>
      <c r="I189" s="904" t="s">
        <v>8</v>
      </c>
      <c r="J189" s="905">
        <v>1</v>
      </c>
      <c r="K189" s="906">
        <v>53.40</v>
      </c>
      <c r="L189" s="907" t="s">
        <v>288</v>
      </c>
      <c r="M189" s="905">
        <v>32</v>
      </c>
      <c r="N189" s="906">
        <v>5.40</v>
      </c>
      <c r="O189" s="897" t="s">
        <v>411</v>
      </c>
      <c r="P189" s="904" t="s">
        <v>8</v>
      </c>
      <c r="Q189" s="905">
        <v>1</v>
      </c>
      <c r="R189" s="906">
        <v>53.40</v>
      </c>
      <c r="S189" s="907" t="s">
        <v>288</v>
      </c>
      <c r="T189" s="905">
        <v>32</v>
      </c>
      <c r="U189" s="906">
        <v>0.001</v>
      </c>
      <c r="V189" s="901">
        <v>4</v>
      </c>
      <c r="W189" s="909">
        <v>121</v>
      </c>
      <c r="X189" s="910">
        <v>2001</v>
      </c>
      <c r="Y189" s="897"/>
      <c r="Z189" s="911" t="s">
        <v>30</v>
      </c>
      <c r="AA189" s="901" t="s">
        <v>31</v>
      </c>
      <c r="AB189" s="912">
        <f t="shared" si="21"/>
        <v>4314.8599999999997</v>
      </c>
      <c r="AC189" s="913">
        <f t="shared" si="30"/>
        <v>0.32</v>
      </c>
      <c r="AD189" s="912">
        <f t="shared" si="23"/>
        <v>2934.10</v>
      </c>
      <c r="AE189" s="914">
        <f t="shared" si="24"/>
        <v>0</v>
      </c>
      <c r="AF189" s="915">
        <f t="shared" si="25"/>
        <v>0</v>
      </c>
      <c r="AG189" s="916">
        <f t="shared" si="32"/>
        <v>2934.10</v>
      </c>
      <c r="AH189" s="917">
        <f t="shared" si="31"/>
        <v>2934</v>
      </c>
      <c r="AI189" s="1052"/>
      <c r="AJ189" s="1053"/>
      <c r="AK189" s="1054"/>
    </row>
    <row r="190" spans="1:37" ht="12.7">
      <c r="A190" s="942" t="s">
        <v>11</v>
      </c>
      <c r="B190" s="932" t="s">
        <v>540</v>
      </c>
      <c r="C190" s="945" t="s">
        <v>670</v>
      </c>
      <c r="D190" s="943" t="s">
        <v>421</v>
      </c>
      <c r="E190" s="921" t="s">
        <v>18</v>
      </c>
      <c r="F190" s="922"/>
      <c r="G190" s="923"/>
      <c r="H190" s="944" t="s">
        <v>411</v>
      </c>
      <c r="I190" s="925" t="s">
        <v>8</v>
      </c>
      <c r="J190" s="926">
        <v>1</v>
      </c>
      <c r="K190" s="927">
        <v>53.40</v>
      </c>
      <c r="L190" s="928" t="s">
        <v>288</v>
      </c>
      <c r="M190" s="926">
        <v>32</v>
      </c>
      <c r="N190" s="927">
        <v>0.001</v>
      </c>
      <c r="O190" s="932" t="s">
        <v>412</v>
      </c>
      <c r="P190" s="925" t="s">
        <v>8</v>
      </c>
      <c r="Q190" s="926">
        <v>1</v>
      </c>
      <c r="R190" s="927">
        <v>52.80</v>
      </c>
      <c r="S190" s="928" t="s">
        <v>288</v>
      </c>
      <c r="T190" s="926">
        <v>31</v>
      </c>
      <c r="U190" s="927">
        <v>49.20</v>
      </c>
      <c r="V190" s="922">
        <v>4</v>
      </c>
      <c r="W190" s="930">
        <v>981</v>
      </c>
      <c r="X190" s="931">
        <v>2001</v>
      </c>
      <c r="Y190" s="932"/>
      <c r="Z190" s="933" t="s">
        <v>30</v>
      </c>
      <c r="AA190" s="922" t="s">
        <v>31</v>
      </c>
      <c r="AB190" s="934">
        <f t="shared" si="21"/>
        <v>34982.46</v>
      </c>
      <c r="AC190" s="935">
        <f t="shared" si="30"/>
        <v>0.32</v>
      </c>
      <c r="AD190" s="934">
        <f t="shared" si="23"/>
        <v>23788.07</v>
      </c>
      <c r="AE190" s="936">
        <f t="shared" si="24"/>
        <v>0</v>
      </c>
      <c r="AF190" s="937">
        <f t="shared" si="25"/>
        <v>0</v>
      </c>
      <c r="AG190" s="938">
        <f t="shared" si="32"/>
        <v>23788.07</v>
      </c>
      <c r="AH190" s="939">
        <f t="shared" si="31"/>
        <v>23788</v>
      </c>
      <c r="AI190" s="1055"/>
      <c r="AJ190" s="1056"/>
      <c r="AK190" s="1057"/>
    </row>
    <row r="191" spans="1:37" ht="12.7">
      <c r="A191" s="203" t="s">
        <v>11</v>
      </c>
      <c r="B191" s="204" t="s">
        <v>540</v>
      </c>
      <c r="C191" s="949" t="s">
        <v>670</v>
      </c>
      <c r="D191" s="757" t="s">
        <v>421</v>
      </c>
      <c r="E191" s="769" t="s">
        <v>18</v>
      </c>
      <c r="F191" s="293"/>
      <c r="G191" s="316"/>
      <c r="H191" s="295" t="s">
        <v>375</v>
      </c>
      <c r="I191" s="296">
        <v>42</v>
      </c>
      <c r="J191" s="297">
        <v>4</v>
      </c>
      <c r="K191" s="298">
        <v>33</v>
      </c>
      <c r="L191" s="299">
        <v>82</v>
      </c>
      <c r="M191" s="297">
        <v>34</v>
      </c>
      <c r="N191" s="298">
        <v>51.60</v>
      </c>
      <c r="O191" s="294" t="s">
        <v>376</v>
      </c>
      <c r="P191" s="296">
        <v>42</v>
      </c>
      <c r="Q191" s="297">
        <v>4</v>
      </c>
      <c r="R191" s="298">
        <v>28.80</v>
      </c>
      <c r="S191" s="299">
        <v>82</v>
      </c>
      <c r="T191" s="297">
        <v>34</v>
      </c>
      <c r="U191" s="298">
        <v>55.80</v>
      </c>
      <c r="V191" s="293">
        <v>4</v>
      </c>
      <c r="W191" s="551">
        <v>471</v>
      </c>
      <c r="X191" s="301">
        <v>2000</v>
      </c>
      <c r="Y191" s="294"/>
      <c r="Z191" s="302" t="s">
        <v>14</v>
      </c>
      <c r="AA191" s="293" t="s">
        <v>15</v>
      </c>
      <c r="AB191" s="303">
        <f t="shared" si="21"/>
        <v>8506.26</v>
      </c>
      <c r="AC191" s="304">
        <f t="shared" si="30"/>
        <v>0.35</v>
      </c>
      <c r="AD191" s="303">
        <f t="shared" si="23"/>
        <v>5529.07</v>
      </c>
      <c r="AE191" s="305">
        <f t="shared" si="24"/>
        <v>0</v>
      </c>
      <c r="AF191" s="306">
        <f t="shared" si="25"/>
        <v>0</v>
      </c>
      <c r="AG191" s="437">
        <f t="shared" si="32"/>
        <v>5529.07</v>
      </c>
      <c r="AH191" s="518">
        <f t="shared" si="31"/>
        <v>5529</v>
      </c>
      <c r="AI191" s="196">
        <v>3.15</v>
      </c>
      <c r="AJ191" s="196">
        <v>5.60</v>
      </c>
      <c r="AK191" s="196">
        <v>3.88</v>
      </c>
    </row>
    <row r="192" spans="1:37" s="122" customFormat="1" ht="12.7">
      <c r="A192" s="786" t="s">
        <v>11</v>
      </c>
      <c r="B192" s="642" t="s">
        <v>540</v>
      </c>
      <c r="C192" s="948" t="s">
        <v>670</v>
      </c>
      <c r="D192" s="788" t="s">
        <v>421</v>
      </c>
      <c r="E192" s="766" t="s">
        <v>18</v>
      </c>
      <c r="F192" s="649"/>
      <c r="G192" s="643" t="s">
        <v>281</v>
      </c>
      <c r="H192" s="684" t="s">
        <v>373</v>
      </c>
      <c r="I192" s="645">
        <v>42</v>
      </c>
      <c r="J192" s="646">
        <v>8</v>
      </c>
      <c r="K192" s="647">
        <v>48.60</v>
      </c>
      <c r="L192" s="648">
        <v>82</v>
      </c>
      <c r="M192" s="646">
        <v>28</v>
      </c>
      <c r="N192" s="647">
        <v>10.199999999999999</v>
      </c>
      <c r="O192" s="642" t="s">
        <v>309</v>
      </c>
      <c r="P192" s="645">
        <v>42</v>
      </c>
      <c r="Q192" s="646">
        <v>8</v>
      </c>
      <c r="R192" s="647">
        <v>48.60</v>
      </c>
      <c r="S192" s="648">
        <v>82</v>
      </c>
      <c r="T192" s="646">
        <v>28</v>
      </c>
      <c r="U192" s="647">
        <v>10.80</v>
      </c>
      <c r="V192" s="649">
        <v>3</v>
      </c>
      <c r="W192" s="503">
        <v>64</v>
      </c>
      <c r="X192" s="650">
        <v>2000</v>
      </c>
      <c r="Y192" s="642"/>
      <c r="Z192" s="651" t="s">
        <v>14</v>
      </c>
      <c r="AA192" s="649" t="s">
        <v>15</v>
      </c>
      <c r="AB192" s="652">
        <f t="shared" si="21"/>
        <v>0</v>
      </c>
      <c r="AC192" s="653">
        <f t="shared" si="30"/>
        <v>0.35</v>
      </c>
      <c r="AD192" s="652">
        <f t="shared" si="23"/>
        <v>0</v>
      </c>
      <c r="AE192" s="654">
        <f t="shared" si="24"/>
        <v>0</v>
      </c>
      <c r="AF192" s="655">
        <f t="shared" si="25"/>
        <v>0</v>
      </c>
      <c r="AG192" s="656">
        <f t="shared" si="32"/>
        <v>0</v>
      </c>
      <c r="AH192" s="657">
        <f t="shared" si="31"/>
        <v>0</v>
      </c>
      <c r="AI192" s="217"/>
      <c r="AJ192" s="217"/>
      <c r="AK192" s="217"/>
    </row>
    <row r="193" spans="1:37" s="122" customFormat="1" ht="12.7">
      <c r="A193" s="748" t="s">
        <v>11</v>
      </c>
      <c r="B193" s="641" t="s">
        <v>540</v>
      </c>
      <c r="C193" s="683" t="s">
        <v>670</v>
      </c>
      <c r="D193" s="687" t="s">
        <v>421</v>
      </c>
      <c r="E193" s="767" t="s">
        <v>18</v>
      </c>
      <c r="F193" s="663"/>
      <c r="G193" s="643" t="s">
        <v>281</v>
      </c>
      <c r="H193" s="685" t="s">
        <v>374</v>
      </c>
      <c r="I193" s="659">
        <v>42</v>
      </c>
      <c r="J193" s="660">
        <v>8</v>
      </c>
      <c r="K193" s="661">
        <v>56.40</v>
      </c>
      <c r="L193" s="662">
        <v>82</v>
      </c>
      <c r="M193" s="660">
        <v>28</v>
      </c>
      <c r="N193" s="661">
        <v>9.60</v>
      </c>
      <c r="O193" s="641" t="s">
        <v>373</v>
      </c>
      <c r="P193" s="659">
        <v>42</v>
      </c>
      <c r="Q193" s="660">
        <v>8</v>
      </c>
      <c r="R193" s="661">
        <v>48.60</v>
      </c>
      <c r="S193" s="662">
        <v>82</v>
      </c>
      <c r="T193" s="660">
        <v>28</v>
      </c>
      <c r="U193" s="661">
        <v>10.199999999999999</v>
      </c>
      <c r="V193" s="663">
        <v>3</v>
      </c>
      <c r="W193" s="504">
        <v>813</v>
      </c>
      <c r="X193" s="664">
        <v>2000</v>
      </c>
      <c r="Y193" s="641"/>
      <c r="Z193" s="665" t="s">
        <v>14</v>
      </c>
      <c r="AA193" s="663" t="s">
        <v>15</v>
      </c>
      <c r="AB193" s="666">
        <f t="shared" si="21"/>
        <v>0</v>
      </c>
      <c r="AC193" s="667">
        <f t="shared" si="30"/>
        <v>0.35</v>
      </c>
      <c r="AD193" s="666">
        <f t="shared" si="23"/>
        <v>0</v>
      </c>
      <c r="AE193" s="668">
        <f t="shared" si="24"/>
        <v>0</v>
      </c>
      <c r="AF193" s="669">
        <f t="shared" si="25"/>
        <v>0</v>
      </c>
      <c r="AG193" s="656">
        <f t="shared" si="32"/>
        <v>0</v>
      </c>
      <c r="AH193" s="657">
        <f t="shared" si="31"/>
        <v>0</v>
      </c>
      <c r="AI193" s="197"/>
      <c r="AJ193" s="197"/>
      <c r="AK193" s="197"/>
    </row>
    <row r="194" spans="1:37" s="122" customFormat="1" ht="12.7">
      <c r="A194" s="748" t="s">
        <v>11</v>
      </c>
      <c r="B194" s="641" t="s">
        <v>540</v>
      </c>
      <c r="C194" s="683" t="s">
        <v>670</v>
      </c>
      <c r="D194" s="687" t="s">
        <v>421</v>
      </c>
      <c r="E194" s="767" t="s">
        <v>18</v>
      </c>
      <c r="F194" s="663"/>
      <c r="G194" s="643" t="s">
        <v>281</v>
      </c>
      <c r="H194" s="685" t="s">
        <v>372</v>
      </c>
      <c r="I194" s="659">
        <v>42</v>
      </c>
      <c r="J194" s="660">
        <v>8</v>
      </c>
      <c r="K194" s="661">
        <v>57</v>
      </c>
      <c r="L194" s="662">
        <v>82</v>
      </c>
      <c r="M194" s="660">
        <v>28</v>
      </c>
      <c r="N194" s="661">
        <v>22.80</v>
      </c>
      <c r="O194" s="641" t="s">
        <v>374</v>
      </c>
      <c r="P194" s="659">
        <v>42</v>
      </c>
      <c r="Q194" s="660">
        <v>8</v>
      </c>
      <c r="R194" s="661">
        <v>56.40</v>
      </c>
      <c r="S194" s="662">
        <v>82</v>
      </c>
      <c r="T194" s="660">
        <v>28</v>
      </c>
      <c r="U194" s="661">
        <v>9.60</v>
      </c>
      <c r="V194" s="663">
        <v>3</v>
      </c>
      <c r="W194" s="504">
        <v>970</v>
      </c>
      <c r="X194" s="664">
        <v>2000</v>
      </c>
      <c r="Y194" s="641"/>
      <c r="Z194" s="665" t="s">
        <v>14</v>
      </c>
      <c r="AA194" s="663" t="s">
        <v>15</v>
      </c>
      <c r="AB194" s="666">
        <f t="shared" si="21"/>
        <v>0</v>
      </c>
      <c r="AC194" s="667">
        <f t="shared" si="30"/>
        <v>0.35</v>
      </c>
      <c r="AD194" s="666">
        <f t="shared" si="23"/>
        <v>0</v>
      </c>
      <c r="AE194" s="668">
        <f t="shared" si="24"/>
        <v>0</v>
      </c>
      <c r="AF194" s="669">
        <f t="shared" si="25"/>
        <v>0</v>
      </c>
      <c r="AG194" s="656">
        <f t="shared" si="32"/>
        <v>0</v>
      </c>
      <c r="AH194" s="657">
        <f t="shared" si="31"/>
        <v>0</v>
      </c>
      <c r="AI194" s="197"/>
      <c r="AJ194" s="197"/>
      <c r="AK194" s="197"/>
    </row>
    <row r="195" spans="1:37" s="122" customFormat="1" ht="12.7">
      <c r="A195" s="748" t="s">
        <v>11</v>
      </c>
      <c r="B195" s="641" t="s">
        <v>540</v>
      </c>
      <c r="C195" s="683" t="s">
        <v>670</v>
      </c>
      <c r="D195" s="687" t="s">
        <v>421</v>
      </c>
      <c r="E195" s="767" t="s">
        <v>18</v>
      </c>
      <c r="F195" s="663"/>
      <c r="G195" s="643" t="s">
        <v>281</v>
      </c>
      <c r="H195" s="685" t="s">
        <v>371</v>
      </c>
      <c r="I195" s="659">
        <v>42</v>
      </c>
      <c r="J195" s="660">
        <v>8</v>
      </c>
      <c r="K195" s="661">
        <v>58.80</v>
      </c>
      <c r="L195" s="662">
        <v>82</v>
      </c>
      <c r="M195" s="660">
        <v>28</v>
      </c>
      <c r="N195" s="661">
        <v>22.20</v>
      </c>
      <c r="O195" s="641" t="s">
        <v>372</v>
      </c>
      <c r="P195" s="659">
        <v>42</v>
      </c>
      <c r="Q195" s="660">
        <v>8</v>
      </c>
      <c r="R195" s="661">
        <v>57</v>
      </c>
      <c r="S195" s="662">
        <v>82</v>
      </c>
      <c r="T195" s="660">
        <v>28</v>
      </c>
      <c r="U195" s="661">
        <v>22.80</v>
      </c>
      <c r="V195" s="663">
        <v>3</v>
      </c>
      <c r="W195" s="504">
        <v>157</v>
      </c>
      <c r="X195" s="664">
        <v>2000</v>
      </c>
      <c r="Y195" s="641"/>
      <c r="Z195" s="665" t="s">
        <v>14</v>
      </c>
      <c r="AA195" s="663" t="s">
        <v>15</v>
      </c>
      <c r="AB195" s="666">
        <f t="shared" si="21"/>
        <v>0</v>
      </c>
      <c r="AC195" s="667">
        <f t="shared" si="30"/>
        <v>0.35</v>
      </c>
      <c r="AD195" s="666">
        <f t="shared" si="23"/>
        <v>0</v>
      </c>
      <c r="AE195" s="668">
        <f t="shared" si="24"/>
        <v>0</v>
      </c>
      <c r="AF195" s="669">
        <f t="shared" si="25"/>
        <v>0</v>
      </c>
      <c r="AG195" s="656">
        <f t="shared" si="32"/>
        <v>0</v>
      </c>
      <c r="AH195" s="657">
        <f t="shared" si="31"/>
        <v>0</v>
      </c>
      <c r="AI195" s="197"/>
      <c r="AJ195" s="197"/>
      <c r="AK195" s="197"/>
    </row>
    <row r="196" spans="1:37" s="122" customFormat="1" ht="12.7">
      <c r="A196" s="793" t="s">
        <v>11</v>
      </c>
      <c r="B196" s="794" t="s">
        <v>540</v>
      </c>
      <c r="C196" s="950" t="s">
        <v>670</v>
      </c>
      <c r="D196" s="796" t="s">
        <v>421</v>
      </c>
      <c r="E196" s="768" t="s">
        <v>18</v>
      </c>
      <c r="F196" s="676"/>
      <c r="G196" s="643" t="s">
        <v>281</v>
      </c>
      <c r="H196" s="686" t="s">
        <v>370</v>
      </c>
      <c r="I196" s="672">
        <v>42</v>
      </c>
      <c r="J196" s="673">
        <v>8</v>
      </c>
      <c r="K196" s="674">
        <v>22.80</v>
      </c>
      <c r="L196" s="675">
        <v>81</v>
      </c>
      <c r="M196" s="673">
        <v>39</v>
      </c>
      <c r="N196" s="674">
        <v>54</v>
      </c>
      <c r="O196" s="670" t="s">
        <v>371</v>
      </c>
      <c r="P196" s="672">
        <v>42</v>
      </c>
      <c r="Q196" s="673">
        <v>8</v>
      </c>
      <c r="R196" s="674">
        <v>58.80</v>
      </c>
      <c r="S196" s="675">
        <v>82</v>
      </c>
      <c r="T196" s="673">
        <v>28</v>
      </c>
      <c r="U196" s="674">
        <v>22.20</v>
      </c>
      <c r="V196" s="676">
        <v>3</v>
      </c>
      <c r="W196" s="505">
        <v>36</v>
      </c>
      <c r="X196" s="677">
        <v>2000</v>
      </c>
      <c r="Y196" s="670"/>
      <c r="Z196" s="678" t="s">
        <v>14</v>
      </c>
      <c r="AA196" s="676" t="s">
        <v>15</v>
      </c>
      <c r="AB196" s="679">
        <f t="shared" si="33" ref="AB196:AB258">IF(G196="ABAND",0,(IF(AA196="steel",VLOOKUP(V196,steelrates,2,FALSE)*W196,VLOOKUP(V196,plasticrates,2,FALSE)*W196)))</f>
        <v>0</v>
      </c>
      <c r="AC196" s="680">
        <f t="shared" si="30"/>
        <v>0.35</v>
      </c>
      <c r="AD196" s="679">
        <f t="shared" si="34" ref="AD196:AD258">ROUND(+AB196-(+AB196*AC196),2)</f>
        <v>0</v>
      </c>
      <c r="AE196" s="681">
        <f t="shared" si="35" ref="AE196:AE258">(IF(Y196="LOOP",AD196*0.25,0))</f>
        <v>0</v>
      </c>
      <c r="AF196" s="682">
        <f t="shared" si="36" ref="AF196:AF258">(IF(G196="SUSP",AD196*0.2,0))</f>
        <v>0</v>
      </c>
      <c r="AG196" s="656">
        <f t="shared" si="32"/>
        <v>0</v>
      </c>
      <c r="AH196" s="657">
        <f t="shared" si="31"/>
        <v>0</v>
      </c>
      <c r="AI196" s="244"/>
      <c r="AJ196" s="244"/>
      <c r="AK196" s="244"/>
    </row>
    <row r="197" spans="1:37" ht="12.6" customHeight="1">
      <c r="A197" s="875" t="s">
        <v>11</v>
      </c>
      <c r="B197" s="876" t="s">
        <v>540</v>
      </c>
      <c r="C197" s="877" t="s">
        <v>670</v>
      </c>
      <c r="D197" s="878" t="s">
        <v>421</v>
      </c>
      <c r="E197" s="879" t="s">
        <v>18</v>
      </c>
      <c r="F197" s="880"/>
      <c r="G197" s="881"/>
      <c r="H197" s="940" t="s">
        <v>16</v>
      </c>
      <c r="I197" s="883">
        <v>42</v>
      </c>
      <c r="J197" s="884">
        <v>2</v>
      </c>
      <c r="K197" s="885">
        <v>28.575</v>
      </c>
      <c r="L197" s="886">
        <v>82</v>
      </c>
      <c r="M197" s="884">
        <v>34</v>
      </c>
      <c r="N197" s="885">
        <v>11.269</v>
      </c>
      <c r="O197" s="951" t="s">
        <v>17</v>
      </c>
      <c r="P197" s="883">
        <v>42</v>
      </c>
      <c r="Q197" s="884">
        <v>2</v>
      </c>
      <c r="R197" s="885">
        <v>31.765</v>
      </c>
      <c r="S197" s="886">
        <v>82</v>
      </c>
      <c r="T197" s="884">
        <v>34</v>
      </c>
      <c r="U197" s="885">
        <v>10.435</v>
      </c>
      <c r="V197" s="880">
        <v>2</v>
      </c>
      <c r="W197" s="887">
        <v>329.07</v>
      </c>
      <c r="X197" s="888">
        <v>1993</v>
      </c>
      <c r="Y197" s="876"/>
      <c r="Z197" s="889" t="s">
        <v>14</v>
      </c>
      <c r="AA197" s="880" t="s">
        <v>15</v>
      </c>
      <c r="AB197" s="890">
        <f t="shared" si="33"/>
        <v>3070.2231000000002</v>
      </c>
      <c r="AC197" s="891">
        <f t="shared" si="30"/>
        <v>0.50</v>
      </c>
      <c r="AD197" s="890">
        <f t="shared" si="34"/>
        <v>1535.11</v>
      </c>
      <c r="AE197" s="892">
        <f t="shared" si="35"/>
        <v>0</v>
      </c>
      <c r="AF197" s="893">
        <f t="shared" si="36"/>
        <v>0</v>
      </c>
      <c r="AG197" s="894">
        <f t="shared" si="32"/>
        <v>1535.11</v>
      </c>
      <c r="AH197" s="895">
        <f t="shared" si="31"/>
        <v>1535</v>
      </c>
      <c r="AI197" s="1044">
        <v>2.33</v>
      </c>
      <c r="AJ197" s="1044">
        <v>0.75</v>
      </c>
      <c r="AK197" s="1044">
        <v>0.35</v>
      </c>
    </row>
    <row r="198" spans="1:37" ht="12.6" customHeight="1">
      <c r="A198" s="942" t="s">
        <v>11</v>
      </c>
      <c r="B198" s="932" t="s">
        <v>540</v>
      </c>
      <c r="C198" s="945" t="s">
        <v>670</v>
      </c>
      <c r="D198" s="943" t="s">
        <v>421</v>
      </c>
      <c r="E198" s="921" t="s">
        <v>18</v>
      </c>
      <c r="F198" s="922"/>
      <c r="G198" s="923"/>
      <c r="H198" s="944" t="s">
        <v>17</v>
      </c>
      <c r="I198" s="925">
        <v>42</v>
      </c>
      <c r="J198" s="926">
        <v>2</v>
      </c>
      <c r="K198" s="927">
        <v>31.765</v>
      </c>
      <c r="L198" s="928">
        <v>82</v>
      </c>
      <c r="M198" s="926">
        <v>34</v>
      </c>
      <c r="N198" s="927">
        <v>10.435</v>
      </c>
      <c r="O198" s="952" t="s">
        <v>19</v>
      </c>
      <c r="P198" s="925">
        <v>42</v>
      </c>
      <c r="Q198" s="926">
        <v>2</v>
      </c>
      <c r="R198" s="927">
        <v>32.677</v>
      </c>
      <c r="S198" s="928">
        <v>82</v>
      </c>
      <c r="T198" s="926">
        <v>34</v>
      </c>
      <c r="U198" s="927">
        <v>9.9670000000000005</v>
      </c>
      <c r="V198" s="922">
        <v>2</v>
      </c>
      <c r="W198" s="930">
        <v>141.38</v>
      </c>
      <c r="X198" s="931">
        <v>1993</v>
      </c>
      <c r="Y198" s="932"/>
      <c r="Z198" s="933" t="s">
        <v>14</v>
      </c>
      <c r="AA198" s="922" t="s">
        <v>15</v>
      </c>
      <c r="AB198" s="934">
        <f t="shared" si="33"/>
        <v>1319.0753999999999</v>
      </c>
      <c r="AC198" s="935">
        <f t="shared" si="37" ref="AC198:AC228">IF(X198=0,0,(VLOOKUP(X198,depreciation,2,)))</f>
        <v>0.50</v>
      </c>
      <c r="AD198" s="934">
        <f t="shared" si="34"/>
        <v>659.54</v>
      </c>
      <c r="AE198" s="936">
        <f t="shared" si="35"/>
        <v>0</v>
      </c>
      <c r="AF198" s="937">
        <f t="shared" si="36"/>
        <v>0</v>
      </c>
      <c r="AG198" s="938">
        <f t="shared" si="32"/>
        <v>659.54</v>
      </c>
      <c r="AH198" s="939">
        <f t="shared" si="31"/>
        <v>659</v>
      </c>
      <c r="AI198" s="1044"/>
      <c r="AJ198" s="1044"/>
      <c r="AK198" s="1044"/>
    </row>
    <row r="199" spans="1:37" ht="12.7">
      <c r="A199" s="875" t="s">
        <v>11</v>
      </c>
      <c r="B199" s="876" t="s">
        <v>540</v>
      </c>
      <c r="C199" s="877" t="s">
        <v>670</v>
      </c>
      <c r="D199" s="878" t="s">
        <v>421</v>
      </c>
      <c r="E199" s="879" t="s">
        <v>18</v>
      </c>
      <c r="F199" s="880"/>
      <c r="G199" s="881"/>
      <c r="H199" s="940" t="s">
        <v>20</v>
      </c>
      <c r="I199" s="883">
        <v>42</v>
      </c>
      <c r="J199" s="884">
        <v>2</v>
      </c>
      <c r="K199" s="885">
        <v>34.987000000000002</v>
      </c>
      <c r="L199" s="886">
        <v>82</v>
      </c>
      <c r="M199" s="884">
        <v>33</v>
      </c>
      <c r="N199" s="885">
        <v>56.896999999999998</v>
      </c>
      <c r="O199" s="951" t="s">
        <v>21</v>
      </c>
      <c r="P199" s="883">
        <v>42</v>
      </c>
      <c r="Q199" s="884">
        <v>2</v>
      </c>
      <c r="R199" s="885">
        <v>32.835999999999999</v>
      </c>
      <c r="S199" s="886">
        <v>82</v>
      </c>
      <c r="T199" s="884">
        <v>34</v>
      </c>
      <c r="U199" s="885">
        <v>2.089</v>
      </c>
      <c r="V199" s="880">
        <v>2</v>
      </c>
      <c r="W199" s="887">
        <v>448.29</v>
      </c>
      <c r="X199" s="888">
        <v>1993</v>
      </c>
      <c r="Y199" s="876"/>
      <c r="Z199" s="889" t="s">
        <v>14</v>
      </c>
      <c r="AA199" s="880" t="s">
        <v>15</v>
      </c>
      <c r="AB199" s="890">
        <f t="shared" si="33"/>
        <v>4182.5457000000006</v>
      </c>
      <c r="AC199" s="891">
        <f t="shared" si="37"/>
        <v>0.50</v>
      </c>
      <c r="AD199" s="890">
        <f t="shared" si="34"/>
        <v>2091.27</v>
      </c>
      <c r="AE199" s="892">
        <f t="shared" si="35"/>
        <v>0</v>
      </c>
      <c r="AF199" s="893">
        <f t="shared" si="36"/>
        <v>0</v>
      </c>
      <c r="AG199" s="894">
        <f t="shared" si="32"/>
        <v>2091.27</v>
      </c>
      <c r="AH199" s="895">
        <f t="shared" si="31"/>
        <v>2091</v>
      </c>
      <c r="AI199" s="1044">
        <v>1.51</v>
      </c>
      <c r="AJ199" s="1044">
        <v>4.21</v>
      </c>
      <c r="AK199" s="1044">
        <v>1.06</v>
      </c>
    </row>
    <row r="200" spans="1:37" ht="12.7">
      <c r="A200" s="942" t="s">
        <v>11</v>
      </c>
      <c r="B200" s="932" t="s">
        <v>540</v>
      </c>
      <c r="C200" s="945" t="s">
        <v>670</v>
      </c>
      <c r="D200" s="943" t="s">
        <v>421</v>
      </c>
      <c r="E200" s="921" t="s">
        <v>18</v>
      </c>
      <c r="F200" s="922"/>
      <c r="G200" s="923"/>
      <c r="H200" s="944" t="s">
        <v>21</v>
      </c>
      <c r="I200" s="925">
        <v>42</v>
      </c>
      <c r="J200" s="926">
        <v>2</v>
      </c>
      <c r="K200" s="927">
        <v>32.835999999999999</v>
      </c>
      <c r="L200" s="928">
        <v>82</v>
      </c>
      <c r="M200" s="926">
        <v>34</v>
      </c>
      <c r="N200" s="927">
        <v>2.089</v>
      </c>
      <c r="O200" s="952" t="s">
        <v>22</v>
      </c>
      <c r="P200" s="925">
        <v>42</v>
      </c>
      <c r="Q200" s="926">
        <v>2</v>
      </c>
      <c r="R200" s="927">
        <v>24.10</v>
      </c>
      <c r="S200" s="928">
        <v>82</v>
      </c>
      <c r="T200" s="926">
        <v>34</v>
      </c>
      <c r="U200" s="927">
        <v>2.6930000000000001</v>
      </c>
      <c r="V200" s="922">
        <v>2</v>
      </c>
      <c r="W200" s="930">
        <v>885.63</v>
      </c>
      <c r="X200" s="931">
        <v>1993</v>
      </c>
      <c r="Y200" s="932"/>
      <c r="Z200" s="933" t="s">
        <v>14</v>
      </c>
      <c r="AA200" s="922" t="s">
        <v>15</v>
      </c>
      <c r="AB200" s="934">
        <f t="shared" si="33"/>
        <v>8262.9279000000006</v>
      </c>
      <c r="AC200" s="935">
        <f t="shared" si="37"/>
        <v>0.50</v>
      </c>
      <c r="AD200" s="934">
        <f t="shared" si="34"/>
        <v>4131.46</v>
      </c>
      <c r="AE200" s="936">
        <f t="shared" si="35"/>
        <v>0</v>
      </c>
      <c r="AF200" s="937">
        <f t="shared" si="36"/>
        <v>0</v>
      </c>
      <c r="AG200" s="938">
        <f t="shared" si="32"/>
        <v>4131.46</v>
      </c>
      <c r="AH200" s="939">
        <f t="shared" si="31"/>
        <v>4131</v>
      </c>
      <c r="AI200" s="1044"/>
      <c r="AJ200" s="1044"/>
      <c r="AK200" s="1044"/>
    </row>
    <row r="201" spans="1:37" ht="12.7">
      <c r="A201" s="203" t="s">
        <v>11</v>
      </c>
      <c r="B201" s="204" t="s">
        <v>540</v>
      </c>
      <c r="C201" s="949" t="s">
        <v>670</v>
      </c>
      <c r="D201" s="757" t="s">
        <v>421</v>
      </c>
      <c r="E201" s="769" t="s">
        <v>18</v>
      </c>
      <c r="F201" s="210"/>
      <c r="G201" s="310"/>
      <c r="H201" s="246" t="s">
        <v>304</v>
      </c>
      <c r="I201" s="206" t="s">
        <v>8</v>
      </c>
      <c r="J201" s="207">
        <v>5</v>
      </c>
      <c r="K201" s="208">
        <v>25.629000000000001</v>
      </c>
      <c r="L201" s="209" t="s">
        <v>288</v>
      </c>
      <c r="M201" s="207">
        <v>35</v>
      </c>
      <c r="N201" s="208">
        <v>59.375999999999998</v>
      </c>
      <c r="O201" s="323" t="s">
        <v>42</v>
      </c>
      <c r="P201" s="206">
        <v>42</v>
      </c>
      <c r="Q201" s="207">
        <v>5</v>
      </c>
      <c r="R201" s="208">
        <v>17.138000000000002</v>
      </c>
      <c r="S201" s="209">
        <v>82</v>
      </c>
      <c r="T201" s="207">
        <v>36</v>
      </c>
      <c r="U201" s="208">
        <v>17.056000000000001</v>
      </c>
      <c r="V201" s="210">
        <v>3</v>
      </c>
      <c r="W201" s="543">
        <v>1703.89</v>
      </c>
      <c r="X201" s="211">
        <v>1998</v>
      </c>
      <c r="Y201" s="204"/>
      <c r="Z201" s="212" t="s">
        <v>14</v>
      </c>
      <c r="AA201" s="210" t="s">
        <v>15</v>
      </c>
      <c r="AB201" s="213">
        <f t="shared" si="33"/>
        <v>25541.311100000003</v>
      </c>
      <c r="AC201" s="214">
        <f t="shared" si="37"/>
        <v>0.40</v>
      </c>
      <c r="AD201" s="213">
        <f t="shared" si="34"/>
        <v>15324.79</v>
      </c>
      <c r="AE201" s="215">
        <f t="shared" si="35"/>
        <v>0</v>
      </c>
      <c r="AF201" s="216">
        <f t="shared" si="36"/>
        <v>0</v>
      </c>
      <c r="AG201" s="260">
        <f t="shared" si="32"/>
        <v>15324.79</v>
      </c>
      <c r="AH201" s="535">
        <f t="shared" si="31"/>
        <v>15324</v>
      </c>
      <c r="AI201" s="196">
        <v>1.26</v>
      </c>
      <c r="AJ201" s="196">
        <v>1.76</v>
      </c>
      <c r="AK201" s="196">
        <v>2.12</v>
      </c>
    </row>
    <row r="202" spans="1:37" ht="12.7">
      <c r="A202" s="203" t="s">
        <v>11</v>
      </c>
      <c r="B202" s="204" t="s">
        <v>540</v>
      </c>
      <c r="C202" s="949" t="s">
        <v>670</v>
      </c>
      <c r="D202" s="757" t="s">
        <v>421</v>
      </c>
      <c r="E202" s="769" t="s">
        <v>18</v>
      </c>
      <c r="F202" s="210"/>
      <c r="G202" s="310"/>
      <c r="H202" s="246" t="s">
        <v>151</v>
      </c>
      <c r="I202" s="206" t="s">
        <v>8</v>
      </c>
      <c r="J202" s="207">
        <v>2</v>
      </c>
      <c r="K202" s="208">
        <v>13.12</v>
      </c>
      <c r="L202" s="209" t="s">
        <v>288</v>
      </c>
      <c r="M202" s="207">
        <v>33</v>
      </c>
      <c r="N202" s="208">
        <v>54.835</v>
      </c>
      <c r="O202" s="323" t="s">
        <v>297</v>
      </c>
      <c r="P202" s="206"/>
      <c r="Q202" s="207"/>
      <c r="R202" s="208"/>
      <c r="S202" s="209"/>
      <c r="T202" s="207"/>
      <c r="U202" s="208"/>
      <c r="V202" s="210">
        <v>2</v>
      </c>
      <c r="W202" s="543">
        <v>96.29</v>
      </c>
      <c r="X202" s="211">
        <v>1993</v>
      </c>
      <c r="Y202" s="204"/>
      <c r="Z202" s="212" t="s">
        <v>14</v>
      </c>
      <c r="AA202" s="210" t="s">
        <v>15</v>
      </c>
      <c r="AB202" s="213">
        <f t="shared" si="33"/>
        <v>898.38570000000004</v>
      </c>
      <c r="AC202" s="214">
        <f t="shared" si="37"/>
        <v>0.50</v>
      </c>
      <c r="AD202" s="213">
        <f t="shared" si="34"/>
        <v>449.19</v>
      </c>
      <c r="AE202" s="215">
        <f t="shared" si="35"/>
        <v>0</v>
      </c>
      <c r="AF202" s="216">
        <f t="shared" si="36"/>
        <v>0</v>
      </c>
      <c r="AG202" s="260">
        <f t="shared" si="32"/>
        <v>449.19</v>
      </c>
      <c r="AH202" s="535">
        <f t="shared" si="31"/>
        <v>449</v>
      </c>
      <c r="AI202" s="196">
        <v>2.77</v>
      </c>
      <c r="AJ202" s="196">
        <v>16.48</v>
      </c>
      <c r="AK202" s="196">
        <v>1.41</v>
      </c>
    </row>
    <row r="203" spans="1:37" ht="12.7">
      <c r="A203" s="203" t="s">
        <v>11</v>
      </c>
      <c r="B203" s="204" t="s">
        <v>540</v>
      </c>
      <c r="C203" s="949" t="s">
        <v>670</v>
      </c>
      <c r="D203" s="757" t="s">
        <v>421</v>
      </c>
      <c r="E203" s="769" t="s">
        <v>18</v>
      </c>
      <c r="F203" s="210"/>
      <c r="G203" s="310"/>
      <c r="H203" s="246" t="s">
        <v>154</v>
      </c>
      <c r="I203" s="206"/>
      <c r="J203" s="207"/>
      <c r="K203" s="208"/>
      <c r="L203" s="209"/>
      <c r="M203" s="207"/>
      <c r="N203" s="208"/>
      <c r="O203" s="323" t="s">
        <v>298</v>
      </c>
      <c r="P203" s="206"/>
      <c r="Q203" s="207"/>
      <c r="R203" s="208"/>
      <c r="S203" s="209"/>
      <c r="T203" s="207"/>
      <c r="U203" s="208"/>
      <c r="V203" s="210">
        <v>2</v>
      </c>
      <c r="W203" s="543">
        <v>935.19</v>
      </c>
      <c r="X203" s="211">
        <v>1993</v>
      </c>
      <c r="Y203" s="204"/>
      <c r="Z203" s="212" t="s">
        <v>14</v>
      </c>
      <c r="AA203" s="210" t="s">
        <v>15</v>
      </c>
      <c r="AB203" s="213">
        <f t="shared" si="33"/>
        <v>8725.3227000000006</v>
      </c>
      <c r="AC203" s="214">
        <f t="shared" si="37"/>
        <v>0.50</v>
      </c>
      <c r="AD203" s="213">
        <f t="shared" si="34"/>
        <v>4362.66</v>
      </c>
      <c r="AE203" s="215">
        <f t="shared" si="35"/>
        <v>0</v>
      </c>
      <c r="AF203" s="216">
        <f t="shared" si="36"/>
        <v>0</v>
      </c>
      <c r="AG203" s="260">
        <f t="shared" si="32"/>
        <v>4362.66</v>
      </c>
      <c r="AH203" s="535">
        <f t="shared" si="31"/>
        <v>4362</v>
      </c>
      <c r="AI203" s="278">
        <v>3.59</v>
      </c>
      <c r="AJ203" s="278">
        <v>12.83</v>
      </c>
      <c r="AK203" s="278">
        <v>1.77</v>
      </c>
    </row>
    <row r="204" spans="1:37" ht="12.7">
      <c r="A204" s="875" t="s">
        <v>11</v>
      </c>
      <c r="B204" s="876" t="s">
        <v>540</v>
      </c>
      <c r="C204" s="877" t="s">
        <v>670</v>
      </c>
      <c r="D204" s="878" t="s">
        <v>421</v>
      </c>
      <c r="E204" s="879" t="s">
        <v>18</v>
      </c>
      <c r="F204" s="880"/>
      <c r="G204" s="881"/>
      <c r="H204" s="940" t="s">
        <v>23</v>
      </c>
      <c r="I204" s="883">
        <v>42</v>
      </c>
      <c r="J204" s="884">
        <v>2</v>
      </c>
      <c r="K204" s="885">
        <v>0.63900000000000001</v>
      </c>
      <c r="L204" s="886">
        <v>82</v>
      </c>
      <c r="M204" s="884">
        <v>33</v>
      </c>
      <c r="N204" s="885">
        <v>42.738999999999997</v>
      </c>
      <c r="O204" s="951" t="s">
        <v>24</v>
      </c>
      <c r="P204" s="883">
        <v>42</v>
      </c>
      <c r="Q204" s="884">
        <v>2</v>
      </c>
      <c r="R204" s="885">
        <v>2.50</v>
      </c>
      <c r="S204" s="886">
        <v>82</v>
      </c>
      <c r="T204" s="884">
        <v>33</v>
      </c>
      <c r="U204" s="885">
        <v>43.457999999999998</v>
      </c>
      <c r="V204" s="880">
        <v>2</v>
      </c>
      <c r="W204" s="887">
        <v>196.06</v>
      </c>
      <c r="X204" s="888">
        <v>1993</v>
      </c>
      <c r="Y204" s="876"/>
      <c r="Z204" s="889" t="s">
        <v>14</v>
      </c>
      <c r="AA204" s="880" t="s">
        <v>15</v>
      </c>
      <c r="AB204" s="890">
        <f t="shared" si="33"/>
        <v>1829.2398000000001</v>
      </c>
      <c r="AC204" s="891">
        <f t="shared" si="37"/>
        <v>0.50</v>
      </c>
      <c r="AD204" s="890">
        <f t="shared" si="34"/>
        <v>914.62</v>
      </c>
      <c r="AE204" s="892">
        <f t="shared" si="35"/>
        <v>0</v>
      </c>
      <c r="AF204" s="893">
        <f t="shared" si="36"/>
        <v>0</v>
      </c>
      <c r="AG204" s="894">
        <f t="shared" si="32"/>
        <v>914.62</v>
      </c>
      <c r="AH204" s="895">
        <f t="shared" si="31"/>
        <v>914</v>
      </c>
      <c r="AI204" s="1044">
        <v>0.75</v>
      </c>
      <c r="AJ204" s="1044">
        <v>5.47</v>
      </c>
      <c r="AK204" s="1044">
        <v>0.71</v>
      </c>
    </row>
    <row r="205" spans="1:37" ht="12.7">
      <c r="A205" s="942" t="s">
        <v>11</v>
      </c>
      <c r="B205" s="932" t="s">
        <v>540</v>
      </c>
      <c r="C205" s="945" t="s">
        <v>670</v>
      </c>
      <c r="D205" s="943" t="s">
        <v>421</v>
      </c>
      <c r="E205" s="921" t="s">
        <v>18</v>
      </c>
      <c r="F205" s="922"/>
      <c r="G205" s="923"/>
      <c r="H205" s="944" t="s">
        <v>24</v>
      </c>
      <c r="I205" s="925">
        <v>42</v>
      </c>
      <c r="J205" s="926">
        <v>2</v>
      </c>
      <c r="K205" s="927">
        <v>2.50</v>
      </c>
      <c r="L205" s="928">
        <v>82</v>
      </c>
      <c r="M205" s="926">
        <v>33</v>
      </c>
      <c r="N205" s="927">
        <v>43.457999999999998</v>
      </c>
      <c r="O205" s="952" t="s">
        <v>25</v>
      </c>
      <c r="P205" s="925">
        <v>42</v>
      </c>
      <c r="Q205" s="926">
        <v>2</v>
      </c>
      <c r="R205" s="927">
        <v>11.923</v>
      </c>
      <c r="S205" s="928">
        <v>82</v>
      </c>
      <c r="T205" s="926">
        <v>33</v>
      </c>
      <c r="U205" s="927">
        <v>42.790999999999997</v>
      </c>
      <c r="V205" s="922">
        <v>2</v>
      </c>
      <c r="W205" s="930">
        <v>955.31</v>
      </c>
      <c r="X205" s="931">
        <v>1993</v>
      </c>
      <c r="Y205" s="932"/>
      <c r="Z205" s="933" t="s">
        <v>14</v>
      </c>
      <c r="AA205" s="922" t="s">
        <v>15</v>
      </c>
      <c r="AB205" s="934">
        <f t="shared" si="33"/>
        <v>8913.0422999999992</v>
      </c>
      <c r="AC205" s="935">
        <f t="shared" si="37"/>
        <v>0.50</v>
      </c>
      <c r="AD205" s="934">
        <f t="shared" si="34"/>
        <v>4456.5200000000004</v>
      </c>
      <c r="AE205" s="936">
        <f t="shared" si="35"/>
        <v>0</v>
      </c>
      <c r="AF205" s="937">
        <f t="shared" si="36"/>
        <v>0</v>
      </c>
      <c r="AG205" s="938">
        <f t="shared" si="32"/>
        <v>4456.5200000000004</v>
      </c>
      <c r="AH205" s="939">
        <f t="shared" si="31"/>
        <v>4456</v>
      </c>
      <c r="AI205" s="1044"/>
      <c r="AJ205" s="1044"/>
      <c r="AK205" s="1044"/>
    </row>
    <row r="206" spans="1:37" ht="12.7">
      <c r="A206" s="203" t="s">
        <v>11</v>
      </c>
      <c r="B206" s="204" t="s">
        <v>540</v>
      </c>
      <c r="C206" s="949" t="s">
        <v>670</v>
      </c>
      <c r="D206" s="757" t="s">
        <v>421</v>
      </c>
      <c r="E206" s="432" t="s">
        <v>18</v>
      </c>
      <c r="F206" s="425"/>
      <c r="G206" s="426" t="s">
        <v>281</v>
      </c>
      <c r="H206" s="427" t="s">
        <v>26</v>
      </c>
      <c r="I206" s="428">
        <v>42</v>
      </c>
      <c r="J206" s="429">
        <v>1</v>
      </c>
      <c r="K206" s="430">
        <v>36.878999999999998</v>
      </c>
      <c r="L206" s="431">
        <v>82</v>
      </c>
      <c r="M206" s="429">
        <v>33</v>
      </c>
      <c r="N206" s="430">
        <v>16.821999999999999</v>
      </c>
      <c r="O206" s="953" t="s">
        <v>27</v>
      </c>
      <c r="P206" s="428">
        <v>42</v>
      </c>
      <c r="Q206" s="429">
        <v>1</v>
      </c>
      <c r="R206" s="430">
        <v>35.680999999999997</v>
      </c>
      <c r="S206" s="431">
        <v>82</v>
      </c>
      <c r="T206" s="429">
        <v>33</v>
      </c>
      <c r="U206" s="430">
        <v>17.093</v>
      </c>
      <c r="V206" s="425">
        <v>2</v>
      </c>
      <c r="W206" s="549">
        <v>70.28</v>
      </c>
      <c r="X206" s="433">
        <v>1993</v>
      </c>
      <c r="Y206" s="432"/>
      <c r="Z206" s="434" t="s">
        <v>14</v>
      </c>
      <c r="AA206" s="425" t="s">
        <v>15</v>
      </c>
      <c r="AB206" s="435">
        <f t="shared" si="33"/>
        <v>0</v>
      </c>
      <c r="AC206" s="436">
        <f t="shared" si="37"/>
        <v>0.50</v>
      </c>
      <c r="AD206" s="435">
        <f t="shared" si="34"/>
        <v>0</v>
      </c>
      <c r="AE206" s="437">
        <f t="shared" si="35"/>
        <v>0</v>
      </c>
      <c r="AF206" s="437">
        <f t="shared" si="36"/>
        <v>0</v>
      </c>
      <c r="AG206" s="437">
        <f t="shared" si="32"/>
        <v>0</v>
      </c>
      <c r="AH206" s="518">
        <f t="shared" si="31"/>
        <v>0</v>
      </c>
      <c r="AI206" s="197"/>
      <c r="AJ206" s="327"/>
      <c r="AK206" s="328"/>
    </row>
    <row r="207" spans="1:37" ht="12.7">
      <c r="A207" s="955" t="s">
        <v>11</v>
      </c>
      <c r="B207" s="956" t="s">
        <v>540</v>
      </c>
      <c r="C207" s="957" t="s">
        <v>670</v>
      </c>
      <c r="D207" s="958" t="s">
        <v>421</v>
      </c>
      <c r="E207" s="688" t="s">
        <v>18</v>
      </c>
      <c r="F207" s="688"/>
      <c r="G207" s="689" t="s">
        <v>281</v>
      </c>
      <c r="H207" s="690" t="s">
        <v>28</v>
      </c>
      <c r="I207" s="691">
        <v>42</v>
      </c>
      <c r="J207" s="692">
        <v>7</v>
      </c>
      <c r="K207" s="693">
        <v>25.64</v>
      </c>
      <c r="L207" s="694">
        <v>82</v>
      </c>
      <c r="M207" s="692">
        <v>31</v>
      </c>
      <c r="N207" s="693">
        <v>49.161999999999999</v>
      </c>
      <c r="O207" s="688" t="s">
        <v>29</v>
      </c>
      <c r="P207" s="691">
        <v>42</v>
      </c>
      <c r="Q207" s="692">
        <v>7</v>
      </c>
      <c r="R207" s="693">
        <v>28.311</v>
      </c>
      <c r="S207" s="694">
        <v>82</v>
      </c>
      <c r="T207" s="692">
        <v>31</v>
      </c>
      <c r="U207" s="693">
        <v>37.677999999999997</v>
      </c>
      <c r="V207" s="695">
        <v>2</v>
      </c>
      <c r="W207" s="502">
        <v>1041.56</v>
      </c>
      <c r="X207" s="696">
        <v>1992</v>
      </c>
      <c r="Y207" s="688"/>
      <c r="Z207" s="697" t="s">
        <v>14</v>
      </c>
      <c r="AA207" s="695" t="s">
        <v>31</v>
      </c>
      <c r="AB207" s="698">
        <f t="shared" si="33"/>
        <v>0</v>
      </c>
      <c r="AC207" s="699">
        <f t="shared" si="37"/>
        <v>0.51</v>
      </c>
      <c r="AD207" s="698">
        <f t="shared" si="34"/>
        <v>0</v>
      </c>
      <c r="AE207" s="700">
        <f t="shared" si="35"/>
        <v>0</v>
      </c>
      <c r="AF207" s="700">
        <f t="shared" si="36"/>
        <v>0</v>
      </c>
      <c r="AG207" s="700">
        <f t="shared" si="32"/>
        <v>0</v>
      </c>
      <c r="AH207" s="701">
        <f t="shared" si="31"/>
        <v>0</v>
      </c>
      <c r="AI207" s="196">
        <v>5.0999999999999996</v>
      </c>
      <c r="AJ207" s="196">
        <v>11.83</v>
      </c>
      <c r="AK207" s="329" t="s">
        <v>609</v>
      </c>
    </row>
    <row r="208" spans="1:37" ht="12.7">
      <c r="A208" s="702" t="s">
        <v>11</v>
      </c>
      <c r="B208" s="710" t="s">
        <v>540</v>
      </c>
      <c r="C208" s="954" t="s">
        <v>670</v>
      </c>
      <c r="D208" s="837" t="s">
        <v>421</v>
      </c>
      <c r="E208" s="688" t="s">
        <v>18</v>
      </c>
      <c r="F208" s="688"/>
      <c r="G208" s="689" t="s">
        <v>281</v>
      </c>
      <c r="H208" s="690" t="s">
        <v>29</v>
      </c>
      <c r="I208" s="691">
        <v>42</v>
      </c>
      <c r="J208" s="692">
        <v>7</v>
      </c>
      <c r="K208" s="693">
        <v>28.311</v>
      </c>
      <c r="L208" s="694">
        <v>82</v>
      </c>
      <c r="M208" s="692">
        <v>31</v>
      </c>
      <c r="N208" s="693">
        <v>37.677999999999997</v>
      </c>
      <c r="O208" s="688" t="s">
        <v>32</v>
      </c>
      <c r="P208" s="691">
        <v>42</v>
      </c>
      <c r="Q208" s="692">
        <v>7</v>
      </c>
      <c r="R208" s="693">
        <v>21.68</v>
      </c>
      <c r="S208" s="694">
        <v>82</v>
      </c>
      <c r="T208" s="692">
        <v>31</v>
      </c>
      <c r="U208" s="693">
        <v>22.79</v>
      </c>
      <c r="V208" s="695">
        <v>2</v>
      </c>
      <c r="W208" s="502">
        <v>1566.12</v>
      </c>
      <c r="X208" s="696">
        <v>1992</v>
      </c>
      <c r="Y208" s="688"/>
      <c r="Z208" s="697" t="s">
        <v>30</v>
      </c>
      <c r="AA208" s="695" t="s">
        <v>31</v>
      </c>
      <c r="AB208" s="698">
        <f t="shared" si="33"/>
        <v>0</v>
      </c>
      <c r="AC208" s="699">
        <f t="shared" si="37"/>
        <v>0.51</v>
      </c>
      <c r="AD208" s="698">
        <f t="shared" si="34"/>
        <v>0</v>
      </c>
      <c r="AE208" s="700">
        <f t="shared" si="35"/>
        <v>0</v>
      </c>
      <c r="AF208" s="700">
        <f t="shared" si="36"/>
        <v>0</v>
      </c>
      <c r="AG208" s="700">
        <f t="shared" si="32"/>
        <v>0</v>
      </c>
      <c r="AH208" s="701">
        <f t="shared" si="31"/>
        <v>0</v>
      </c>
      <c r="AI208" s="196">
        <v>0.13</v>
      </c>
      <c r="AJ208" s="196">
        <v>0.56999999999999995</v>
      </c>
      <c r="AK208" s="329" t="s">
        <v>609</v>
      </c>
    </row>
    <row r="209" spans="1:37" ht="12.7">
      <c r="A209" s="203" t="s">
        <v>11</v>
      </c>
      <c r="B209" s="204" t="s">
        <v>540</v>
      </c>
      <c r="C209" s="949" t="s">
        <v>670</v>
      </c>
      <c r="D209" s="757" t="s">
        <v>421</v>
      </c>
      <c r="E209" s="769" t="s">
        <v>18</v>
      </c>
      <c r="F209" s="204"/>
      <c r="G209" s="310"/>
      <c r="H209" s="246" t="s">
        <v>32</v>
      </c>
      <c r="I209" s="206">
        <v>42</v>
      </c>
      <c r="J209" s="207">
        <v>7</v>
      </c>
      <c r="K209" s="208">
        <v>21.68</v>
      </c>
      <c r="L209" s="209">
        <v>82</v>
      </c>
      <c r="M209" s="207">
        <v>31</v>
      </c>
      <c r="N209" s="208">
        <v>22.79</v>
      </c>
      <c r="O209" s="204" t="s">
        <v>33</v>
      </c>
      <c r="P209" s="206">
        <v>42</v>
      </c>
      <c r="Q209" s="207">
        <v>7</v>
      </c>
      <c r="R209" s="208">
        <v>22.13</v>
      </c>
      <c r="S209" s="209">
        <v>82</v>
      </c>
      <c r="T209" s="207">
        <v>31</v>
      </c>
      <c r="U209" s="208">
        <v>11.186</v>
      </c>
      <c r="V209" s="210">
        <v>2</v>
      </c>
      <c r="W209" s="543">
        <v>832.74</v>
      </c>
      <c r="X209" s="211">
        <v>1992</v>
      </c>
      <c r="Y209" s="204"/>
      <c r="Z209" s="212" t="s">
        <v>30</v>
      </c>
      <c r="AA209" s="210" t="s">
        <v>31</v>
      </c>
      <c r="AB209" s="213">
        <f t="shared" si="33"/>
        <v>17820.635999999999</v>
      </c>
      <c r="AC209" s="214">
        <f t="shared" si="37"/>
        <v>0.51</v>
      </c>
      <c r="AD209" s="213">
        <f t="shared" si="34"/>
        <v>8732.11</v>
      </c>
      <c r="AE209" s="215">
        <f t="shared" si="35"/>
        <v>0</v>
      </c>
      <c r="AF209" s="216">
        <f t="shared" si="36"/>
        <v>0</v>
      </c>
      <c r="AG209" s="260">
        <f t="shared" si="32"/>
        <v>8732.11</v>
      </c>
      <c r="AH209" s="535">
        <f t="shared" si="31"/>
        <v>8732</v>
      </c>
      <c r="AI209" s="196">
        <v>6.23</v>
      </c>
      <c r="AJ209" s="196">
        <v>120.97</v>
      </c>
      <c r="AK209" s="196">
        <v>6.71</v>
      </c>
    </row>
    <row r="210" spans="1:37" ht="12.7">
      <c r="A210" s="203" t="s">
        <v>11</v>
      </c>
      <c r="B210" s="204" t="s">
        <v>540</v>
      </c>
      <c r="C210" s="949" t="s">
        <v>670</v>
      </c>
      <c r="D210" s="757" t="s">
        <v>421</v>
      </c>
      <c r="E210" s="769" t="s">
        <v>18</v>
      </c>
      <c r="F210" s="210"/>
      <c r="G210" s="310"/>
      <c r="H210" s="246" t="s">
        <v>34</v>
      </c>
      <c r="I210" s="206">
        <v>42</v>
      </c>
      <c r="J210" s="207">
        <v>6</v>
      </c>
      <c r="K210" s="208">
        <v>12.567</v>
      </c>
      <c r="L210" s="209">
        <v>82</v>
      </c>
      <c r="M210" s="207">
        <v>37</v>
      </c>
      <c r="N210" s="208">
        <v>11.355</v>
      </c>
      <c r="O210" s="204" t="s">
        <v>35</v>
      </c>
      <c r="P210" s="206">
        <v>42</v>
      </c>
      <c r="Q210" s="207">
        <v>6</v>
      </c>
      <c r="R210" s="208">
        <v>3.5880000000000001</v>
      </c>
      <c r="S210" s="209">
        <v>82</v>
      </c>
      <c r="T210" s="207">
        <v>37</v>
      </c>
      <c r="U210" s="208">
        <v>12.186999999999999</v>
      </c>
      <c r="V210" s="210">
        <v>3</v>
      </c>
      <c r="W210" s="543">
        <v>905.05</v>
      </c>
      <c r="X210" s="211">
        <v>1995</v>
      </c>
      <c r="Y210" s="204"/>
      <c r="Z210" s="212" t="s">
        <v>14</v>
      </c>
      <c r="AA210" s="210" t="s">
        <v>15</v>
      </c>
      <c r="AB210" s="213">
        <f t="shared" si="33"/>
        <v>13566.699499999999</v>
      </c>
      <c r="AC210" s="214">
        <f t="shared" si="37"/>
        <v>0.47</v>
      </c>
      <c r="AD210" s="213">
        <f t="shared" si="34"/>
        <v>7190.35</v>
      </c>
      <c r="AE210" s="215">
        <f t="shared" si="35"/>
        <v>0</v>
      </c>
      <c r="AF210" s="216">
        <f t="shared" si="36"/>
        <v>0</v>
      </c>
      <c r="AG210" s="260">
        <f t="shared" si="32"/>
        <v>7190.35</v>
      </c>
      <c r="AH210" s="535">
        <f t="shared" si="31"/>
        <v>7190</v>
      </c>
      <c r="AI210" s="196">
        <v>1.38</v>
      </c>
      <c r="AJ210" s="196">
        <v>0.031</v>
      </c>
      <c r="AK210" s="196">
        <v>1.41</v>
      </c>
    </row>
    <row r="211" spans="1:37" ht="12.7">
      <c r="A211" s="203" t="s">
        <v>11</v>
      </c>
      <c r="B211" s="204" t="s">
        <v>540</v>
      </c>
      <c r="C211" s="949" t="s">
        <v>670</v>
      </c>
      <c r="D211" s="757" t="s">
        <v>421</v>
      </c>
      <c r="E211" s="769" t="s">
        <v>18</v>
      </c>
      <c r="F211" s="210"/>
      <c r="G211" s="310"/>
      <c r="H211" s="246" t="s">
        <v>312</v>
      </c>
      <c r="I211" s="206" t="s">
        <v>8</v>
      </c>
      <c r="J211" s="207">
        <v>5</v>
      </c>
      <c r="K211" s="208">
        <v>28.960999999999999</v>
      </c>
      <c r="L211" s="209" t="s">
        <v>288</v>
      </c>
      <c r="M211" s="207">
        <v>37</v>
      </c>
      <c r="N211" s="208">
        <v>1.2490000000000001</v>
      </c>
      <c r="O211" s="204" t="s">
        <v>37</v>
      </c>
      <c r="P211" s="206">
        <v>42</v>
      </c>
      <c r="Q211" s="207">
        <v>6</v>
      </c>
      <c r="R211" s="208">
        <v>3.5880000000000001</v>
      </c>
      <c r="S211" s="209">
        <v>82</v>
      </c>
      <c r="T211" s="207">
        <v>37</v>
      </c>
      <c r="U211" s="208">
        <v>12.186999999999999</v>
      </c>
      <c r="V211" s="210">
        <v>3</v>
      </c>
      <c r="W211" s="543">
        <v>650.38</v>
      </c>
      <c r="X211" s="211">
        <v>1999</v>
      </c>
      <c r="Y211" s="204"/>
      <c r="Z211" s="212" t="s">
        <v>14</v>
      </c>
      <c r="AA211" s="210" t="s">
        <v>15</v>
      </c>
      <c r="AB211" s="213">
        <f t="shared" si="33"/>
        <v>9749.1962000000003</v>
      </c>
      <c r="AC211" s="214">
        <f t="shared" si="37"/>
        <v>0.37</v>
      </c>
      <c r="AD211" s="213">
        <f t="shared" si="34"/>
        <v>6141.99</v>
      </c>
      <c r="AE211" s="215">
        <f t="shared" si="35"/>
        <v>0</v>
      </c>
      <c r="AF211" s="216">
        <f t="shared" si="36"/>
        <v>0</v>
      </c>
      <c r="AG211" s="260">
        <f t="shared" si="32"/>
        <v>6141.99</v>
      </c>
      <c r="AH211" s="535">
        <f t="shared" si="31"/>
        <v>6141</v>
      </c>
      <c r="AI211" s="196">
        <v>1.95</v>
      </c>
      <c r="AJ211" s="196">
        <v>5.53</v>
      </c>
      <c r="AK211" s="196">
        <v>1.77</v>
      </c>
    </row>
    <row r="212" spans="1:37" ht="12.7">
      <c r="A212" s="203" t="s">
        <v>11</v>
      </c>
      <c r="B212" s="204" t="s">
        <v>540</v>
      </c>
      <c r="C212" s="949" t="s">
        <v>670</v>
      </c>
      <c r="D212" s="757" t="s">
        <v>421</v>
      </c>
      <c r="E212" s="769" t="s">
        <v>18</v>
      </c>
      <c r="F212" s="210" t="s">
        <v>548</v>
      </c>
      <c r="G212" s="310"/>
      <c r="H212" s="247" t="s">
        <v>604</v>
      </c>
      <c r="I212" s="206"/>
      <c r="J212" s="207"/>
      <c r="K212" s="208"/>
      <c r="L212" s="209"/>
      <c r="M212" s="207"/>
      <c r="N212" s="208"/>
      <c r="O212" s="325" t="s">
        <v>605</v>
      </c>
      <c r="P212" s="206"/>
      <c r="Q212" s="207"/>
      <c r="R212" s="208"/>
      <c r="S212" s="209"/>
      <c r="T212" s="207"/>
      <c r="U212" s="208"/>
      <c r="V212" s="210">
        <v>3</v>
      </c>
      <c r="W212" s="543">
        <v>1071</v>
      </c>
      <c r="X212" s="211">
        <v>2013</v>
      </c>
      <c r="Y212" s="204"/>
      <c r="Z212" s="212" t="s">
        <v>14</v>
      </c>
      <c r="AA212" s="210" t="s">
        <v>15</v>
      </c>
      <c r="AB212" s="213">
        <f t="shared" si="33"/>
        <v>16054.29</v>
      </c>
      <c r="AC212" s="214">
        <f t="shared" si="37"/>
        <v>0.08</v>
      </c>
      <c r="AD212" s="213">
        <f t="shared" si="34"/>
        <v>14769.95</v>
      </c>
      <c r="AE212" s="215">
        <f t="shared" si="35"/>
        <v>0</v>
      </c>
      <c r="AF212" s="216">
        <f t="shared" si="36"/>
        <v>0</v>
      </c>
      <c r="AG212" s="260">
        <f t="shared" si="32"/>
        <v>14769.95</v>
      </c>
      <c r="AH212" s="535">
        <f t="shared" si="31"/>
        <v>14769</v>
      </c>
      <c r="AI212" s="196">
        <v>2.33</v>
      </c>
      <c r="AJ212" s="196">
        <v>8.93</v>
      </c>
      <c r="AK212" s="196">
        <v>3.18</v>
      </c>
    </row>
    <row r="213" spans="1:37" ht="12.7">
      <c r="A213" s="203" t="s">
        <v>11</v>
      </c>
      <c r="B213" s="204" t="s">
        <v>540</v>
      </c>
      <c r="C213" s="949" t="s">
        <v>670</v>
      </c>
      <c r="D213" s="757" t="s">
        <v>421</v>
      </c>
      <c r="E213" s="769" t="s">
        <v>18</v>
      </c>
      <c r="F213" s="210"/>
      <c r="G213" s="310"/>
      <c r="H213" s="246" t="s">
        <v>313</v>
      </c>
      <c r="I213" s="206">
        <v>42</v>
      </c>
      <c r="J213" s="207">
        <v>4</v>
      </c>
      <c r="K213" s="208">
        <v>56.226999999999997</v>
      </c>
      <c r="L213" s="209">
        <v>82</v>
      </c>
      <c r="M213" s="207">
        <v>35</v>
      </c>
      <c r="N213" s="208">
        <v>17.78</v>
      </c>
      <c r="O213" s="204" t="s">
        <v>138</v>
      </c>
      <c r="P213" s="206" t="s">
        <v>8</v>
      </c>
      <c r="Q213" s="207">
        <v>4</v>
      </c>
      <c r="R213" s="208">
        <v>20.158000000000001</v>
      </c>
      <c r="S213" s="209" t="s">
        <v>288</v>
      </c>
      <c r="T213" s="207">
        <v>35</v>
      </c>
      <c r="U213" s="208">
        <v>47.238</v>
      </c>
      <c r="V213" s="210">
        <v>3</v>
      </c>
      <c r="W213" s="543">
        <v>2322.59</v>
      </c>
      <c r="X213" s="211">
        <v>1999</v>
      </c>
      <c r="Y213" s="204"/>
      <c r="Z213" s="212" t="s">
        <v>14</v>
      </c>
      <c r="AA213" s="210" t="s">
        <v>15</v>
      </c>
      <c r="AB213" s="213">
        <f t="shared" si="33"/>
        <v>34815.624100000001</v>
      </c>
      <c r="AC213" s="214">
        <f t="shared" si="37"/>
        <v>0.37</v>
      </c>
      <c r="AD213" s="213">
        <f t="shared" si="34"/>
        <v>21933.84</v>
      </c>
      <c r="AE213" s="215">
        <f t="shared" si="35"/>
        <v>0</v>
      </c>
      <c r="AF213" s="216">
        <f t="shared" si="36"/>
        <v>0</v>
      </c>
      <c r="AG213" s="260">
        <f t="shared" si="32"/>
        <v>21933.84</v>
      </c>
      <c r="AH213" s="535">
        <f t="shared" si="31"/>
        <v>21933</v>
      </c>
      <c r="AI213" s="196">
        <v>1.38</v>
      </c>
      <c r="AJ213" s="196">
        <v>2.39</v>
      </c>
      <c r="AK213" s="196">
        <v>0.35</v>
      </c>
    </row>
    <row r="214" spans="1:37" ht="12.7">
      <c r="A214" s="203" t="s">
        <v>11</v>
      </c>
      <c r="B214" s="204" t="s">
        <v>540</v>
      </c>
      <c r="C214" s="949" t="s">
        <v>670</v>
      </c>
      <c r="D214" s="757" t="s">
        <v>421</v>
      </c>
      <c r="E214" s="769" t="s">
        <v>18</v>
      </c>
      <c r="F214" s="210"/>
      <c r="G214" s="310"/>
      <c r="H214" s="246" t="s">
        <v>26</v>
      </c>
      <c r="I214" s="206" t="s">
        <v>8</v>
      </c>
      <c r="J214" s="207">
        <v>1</v>
      </c>
      <c r="K214" s="208">
        <v>36.878999999999998</v>
      </c>
      <c r="L214" s="209" t="s">
        <v>108</v>
      </c>
      <c r="M214" s="207">
        <v>33</v>
      </c>
      <c r="N214" s="208">
        <v>16.821999999999999</v>
      </c>
      <c r="O214" s="204" t="s">
        <v>63</v>
      </c>
      <c r="P214" s="206"/>
      <c r="Q214" s="207"/>
      <c r="R214" s="208"/>
      <c r="S214" s="209"/>
      <c r="T214" s="207"/>
      <c r="U214" s="208"/>
      <c r="V214" s="210">
        <v>3</v>
      </c>
      <c r="W214" s="543">
        <v>1845.07</v>
      </c>
      <c r="X214" s="211">
        <v>1999</v>
      </c>
      <c r="Y214" s="204"/>
      <c r="Z214" s="212" t="s">
        <v>60</v>
      </c>
      <c r="AA214" s="210" t="s">
        <v>15</v>
      </c>
      <c r="AB214" s="213">
        <f t="shared" si="33"/>
        <v>27657.599299999998</v>
      </c>
      <c r="AC214" s="214">
        <f t="shared" si="37"/>
        <v>0.37</v>
      </c>
      <c r="AD214" s="213">
        <f t="shared" si="34"/>
        <v>17424.29</v>
      </c>
      <c r="AE214" s="215">
        <f t="shared" si="35"/>
        <v>0</v>
      </c>
      <c r="AF214" s="216">
        <f t="shared" si="36"/>
        <v>0</v>
      </c>
      <c r="AG214" s="260">
        <f t="shared" si="32"/>
        <v>17424.29</v>
      </c>
      <c r="AH214" s="535">
        <f t="shared" si="31"/>
        <v>17424</v>
      </c>
      <c r="AI214" s="1064" t="s">
        <v>624</v>
      </c>
      <c r="AJ214" s="1062"/>
      <c r="AK214" s="1063"/>
    </row>
    <row r="215" spans="1:37" ht="12.7">
      <c r="A215" s="875" t="s">
        <v>11</v>
      </c>
      <c r="B215" s="876" t="s">
        <v>540</v>
      </c>
      <c r="C215" s="877" t="s">
        <v>670</v>
      </c>
      <c r="D215" s="878" t="s">
        <v>421</v>
      </c>
      <c r="E215" s="879" t="s">
        <v>18</v>
      </c>
      <c r="F215" s="880"/>
      <c r="G215" s="881"/>
      <c r="H215" s="940" t="s">
        <v>36</v>
      </c>
      <c r="I215" s="883">
        <v>42</v>
      </c>
      <c r="J215" s="884">
        <v>5</v>
      </c>
      <c r="K215" s="885">
        <v>19.265</v>
      </c>
      <c r="L215" s="886">
        <v>82</v>
      </c>
      <c r="M215" s="884">
        <v>37</v>
      </c>
      <c r="N215" s="885">
        <v>15.834</v>
      </c>
      <c r="O215" s="876" t="s">
        <v>37</v>
      </c>
      <c r="P215" s="883">
        <v>42</v>
      </c>
      <c r="Q215" s="884">
        <v>6</v>
      </c>
      <c r="R215" s="885">
        <v>3.5880000000000001</v>
      </c>
      <c r="S215" s="886">
        <v>82</v>
      </c>
      <c r="T215" s="884">
        <v>37</v>
      </c>
      <c r="U215" s="885">
        <v>12.186999999999999</v>
      </c>
      <c r="V215" s="880">
        <v>3</v>
      </c>
      <c r="W215" s="887">
        <v>250</v>
      </c>
      <c r="X215" s="888">
        <v>1994</v>
      </c>
      <c r="Y215" s="876"/>
      <c r="Z215" s="889" t="s">
        <v>14</v>
      </c>
      <c r="AA215" s="880" t="s">
        <v>15</v>
      </c>
      <c r="AB215" s="890">
        <f t="shared" si="33"/>
        <v>3747.50</v>
      </c>
      <c r="AC215" s="891">
        <f t="shared" si="37"/>
        <v>0.49</v>
      </c>
      <c r="AD215" s="890">
        <f t="shared" si="34"/>
        <v>1911.23</v>
      </c>
      <c r="AE215" s="892">
        <f t="shared" si="35"/>
        <v>0</v>
      </c>
      <c r="AF215" s="893">
        <f t="shared" si="36"/>
        <v>0</v>
      </c>
      <c r="AG215" s="894">
        <f t="shared" si="32"/>
        <v>1911.23</v>
      </c>
      <c r="AH215" s="895">
        <f t="shared" si="31"/>
        <v>1911</v>
      </c>
      <c r="AI215" s="1044">
        <v>1.26</v>
      </c>
      <c r="AJ215" s="1044">
        <v>1.76</v>
      </c>
      <c r="AK215" s="1044">
        <v>1.06</v>
      </c>
    </row>
    <row r="216" spans="1:37" ht="12.7">
      <c r="A216" s="942" t="s">
        <v>11</v>
      </c>
      <c r="B216" s="932" t="s">
        <v>540</v>
      </c>
      <c r="C216" s="945" t="s">
        <v>670</v>
      </c>
      <c r="D216" s="943" t="s">
        <v>421</v>
      </c>
      <c r="E216" s="921" t="s">
        <v>18</v>
      </c>
      <c r="F216" s="922"/>
      <c r="G216" s="923"/>
      <c r="H216" s="944" t="s">
        <v>37</v>
      </c>
      <c r="I216" s="925">
        <v>42</v>
      </c>
      <c r="J216" s="926">
        <v>6</v>
      </c>
      <c r="K216" s="927">
        <v>3.5880000000000001</v>
      </c>
      <c r="L216" s="928">
        <v>82</v>
      </c>
      <c r="M216" s="926">
        <v>37</v>
      </c>
      <c r="N216" s="927">
        <v>12.186999999999999</v>
      </c>
      <c r="O216" s="932" t="s">
        <v>38</v>
      </c>
      <c r="P216" s="925">
        <v>42</v>
      </c>
      <c r="Q216" s="926">
        <v>5</v>
      </c>
      <c r="R216" s="927">
        <v>37.218000000000004</v>
      </c>
      <c r="S216" s="928">
        <v>82</v>
      </c>
      <c r="T216" s="926">
        <v>37</v>
      </c>
      <c r="U216" s="927">
        <v>9.6579999999999995</v>
      </c>
      <c r="V216" s="922">
        <v>3</v>
      </c>
      <c r="W216" s="930">
        <v>2676.64</v>
      </c>
      <c r="X216" s="931">
        <v>1994</v>
      </c>
      <c r="Y216" s="932"/>
      <c r="Z216" s="933" t="s">
        <v>14</v>
      </c>
      <c r="AA216" s="922" t="s">
        <v>15</v>
      </c>
      <c r="AB216" s="934">
        <f t="shared" si="33"/>
        <v>40122.833599999998</v>
      </c>
      <c r="AC216" s="935">
        <f t="shared" si="37"/>
        <v>0.49</v>
      </c>
      <c r="AD216" s="934">
        <f t="shared" si="34"/>
        <v>20462.650000000001</v>
      </c>
      <c r="AE216" s="936">
        <f t="shared" si="35"/>
        <v>0</v>
      </c>
      <c r="AF216" s="937">
        <f t="shared" si="36"/>
        <v>0</v>
      </c>
      <c r="AG216" s="938">
        <f t="shared" si="32"/>
        <v>20462.650000000001</v>
      </c>
      <c r="AH216" s="939">
        <f t="shared" si="31"/>
        <v>20462</v>
      </c>
      <c r="AI216" s="1044"/>
      <c r="AJ216" s="1044"/>
      <c r="AK216" s="1044"/>
    </row>
    <row r="217" spans="1:37" ht="12.7">
      <c r="A217" s="203" t="s">
        <v>11</v>
      </c>
      <c r="B217" s="204" t="s">
        <v>540</v>
      </c>
      <c r="C217" s="949" t="s">
        <v>670</v>
      </c>
      <c r="D217" s="757" t="s">
        <v>421</v>
      </c>
      <c r="E217" s="779" t="s">
        <v>18</v>
      </c>
      <c r="F217" s="293"/>
      <c r="G217" s="316" t="s">
        <v>281</v>
      </c>
      <c r="H217" s="295" t="s">
        <v>39</v>
      </c>
      <c r="I217" s="296">
        <v>42</v>
      </c>
      <c r="J217" s="297">
        <v>5</v>
      </c>
      <c r="K217" s="298">
        <v>31.497</v>
      </c>
      <c r="L217" s="299">
        <v>82</v>
      </c>
      <c r="M217" s="297">
        <v>36</v>
      </c>
      <c r="N217" s="298">
        <v>11.441000000000001</v>
      </c>
      <c r="O217" s="294" t="s">
        <v>40</v>
      </c>
      <c r="P217" s="296">
        <v>42</v>
      </c>
      <c r="Q217" s="297">
        <v>5</v>
      </c>
      <c r="R217" s="298">
        <v>31.686</v>
      </c>
      <c r="S217" s="299">
        <v>82</v>
      </c>
      <c r="T217" s="297">
        <v>36</v>
      </c>
      <c r="U217" s="298">
        <v>15.776999999999999</v>
      </c>
      <c r="V217" s="293">
        <v>3</v>
      </c>
      <c r="W217" s="551">
        <v>277.77999999999997</v>
      </c>
      <c r="X217" s="301">
        <v>1995</v>
      </c>
      <c r="Y217" s="294"/>
      <c r="Z217" s="302" t="s">
        <v>14</v>
      </c>
      <c r="AA217" s="293" t="s">
        <v>15</v>
      </c>
      <c r="AB217" s="303">
        <f t="shared" si="33"/>
        <v>0</v>
      </c>
      <c r="AC217" s="304">
        <f t="shared" si="37"/>
        <v>0.47</v>
      </c>
      <c r="AD217" s="303">
        <f t="shared" si="34"/>
        <v>0</v>
      </c>
      <c r="AE217" s="305">
        <f t="shared" si="35"/>
        <v>0</v>
      </c>
      <c r="AF217" s="306">
        <f t="shared" si="36"/>
        <v>0</v>
      </c>
      <c r="AG217" s="437">
        <f t="shared" si="32"/>
        <v>0</v>
      </c>
      <c r="AH217" s="518">
        <f t="shared" si="31"/>
        <v>0</v>
      </c>
      <c r="AI217" s="197"/>
      <c r="AJ217" s="197"/>
      <c r="AK217" s="197"/>
    </row>
    <row r="218" spans="1:37" ht="12.7">
      <c r="A218" s="203" t="s">
        <v>11</v>
      </c>
      <c r="B218" s="204" t="s">
        <v>540</v>
      </c>
      <c r="C218" s="949" t="s">
        <v>670</v>
      </c>
      <c r="D218" s="757" t="s">
        <v>421</v>
      </c>
      <c r="E218" s="769" t="s">
        <v>18</v>
      </c>
      <c r="F218" s="210"/>
      <c r="G218" s="310"/>
      <c r="H218" s="246" t="s">
        <v>41</v>
      </c>
      <c r="I218" s="206">
        <v>42</v>
      </c>
      <c r="J218" s="207">
        <v>5</v>
      </c>
      <c r="K218" s="208">
        <v>17.312000000000001</v>
      </c>
      <c r="L218" s="209">
        <v>82</v>
      </c>
      <c r="M218" s="207">
        <v>36</v>
      </c>
      <c r="N218" s="208">
        <v>13.092000000000001</v>
      </c>
      <c r="O218" s="204" t="s">
        <v>42</v>
      </c>
      <c r="P218" s="206">
        <v>42</v>
      </c>
      <c r="Q218" s="207">
        <v>5</v>
      </c>
      <c r="R218" s="208">
        <v>17.138000000000002</v>
      </c>
      <c r="S218" s="209">
        <v>82</v>
      </c>
      <c r="T218" s="207">
        <v>36</v>
      </c>
      <c r="U218" s="208">
        <v>17.056000000000001</v>
      </c>
      <c r="V218" s="210">
        <v>3</v>
      </c>
      <c r="W218" s="543">
        <v>299.44</v>
      </c>
      <c r="X218" s="211">
        <v>1996</v>
      </c>
      <c r="Y218" s="204"/>
      <c r="Z218" s="212" t="s">
        <v>14</v>
      </c>
      <c r="AA218" s="210" t="s">
        <v>15</v>
      </c>
      <c r="AB218" s="213">
        <f t="shared" si="33"/>
        <v>4488.6055999999999</v>
      </c>
      <c r="AC218" s="214">
        <f t="shared" si="37"/>
        <v>0.44</v>
      </c>
      <c r="AD218" s="213">
        <f t="shared" si="34"/>
        <v>2513.62</v>
      </c>
      <c r="AE218" s="215">
        <f t="shared" si="35"/>
        <v>0</v>
      </c>
      <c r="AF218" s="216">
        <f t="shared" si="36"/>
        <v>0</v>
      </c>
      <c r="AG218" s="260">
        <f t="shared" si="32"/>
        <v>2513.62</v>
      </c>
      <c r="AH218" s="522">
        <f t="shared" si="31"/>
        <v>2513</v>
      </c>
      <c r="AI218" s="196">
        <v>1.32</v>
      </c>
      <c r="AJ218" s="196">
        <v>0.19</v>
      </c>
      <c r="AK218" s="196">
        <v>0.71</v>
      </c>
    </row>
    <row r="219" spans="1:37" ht="12.7">
      <c r="A219" s="702" t="s">
        <v>11</v>
      </c>
      <c r="B219" s="710" t="s">
        <v>540</v>
      </c>
      <c r="C219" s="954" t="s">
        <v>670</v>
      </c>
      <c r="D219" s="837" t="s">
        <v>421</v>
      </c>
      <c r="E219" s="776" t="s">
        <v>18</v>
      </c>
      <c r="F219" s="703"/>
      <c r="G219" s="717" t="s">
        <v>281</v>
      </c>
      <c r="H219" s="705" t="s">
        <v>42</v>
      </c>
      <c r="I219" s="706">
        <v>42</v>
      </c>
      <c r="J219" s="707">
        <v>5</v>
      </c>
      <c r="K219" s="708">
        <v>17.138000000000002</v>
      </c>
      <c r="L219" s="709">
        <v>82</v>
      </c>
      <c r="M219" s="707">
        <v>36</v>
      </c>
      <c r="N219" s="708">
        <v>17.056000000000001</v>
      </c>
      <c r="O219" s="710" t="s">
        <v>43</v>
      </c>
      <c r="P219" s="706">
        <v>42</v>
      </c>
      <c r="Q219" s="707">
        <v>5</v>
      </c>
      <c r="R219" s="708">
        <v>11.959</v>
      </c>
      <c r="S219" s="709">
        <v>82</v>
      </c>
      <c r="T219" s="707">
        <v>36</v>
      </c>
      <c r="U219" s="708">
        <v>17.255</v>
      </c>
      <c r="V219" s="703">
        <v>3</v>
      </c>
      <c r="W219" s="501">
        <v>524.57000000000005</v>
      </c>
      <c r="X219" s="711">
        <v>1995</v>
      </c>
      <c r="Y219" s="710"/>
      <c r="Z219" s="712" t="s">
        <v>30</v>
      </c>
      <c r="AA219" s="703" t="s">
        <v>31</v>
      </c>
      <c r="AB219" s="713">
        <f t="shared" si="33"/>
        <v>0</v>
      </c>
      <c r="AC219" s="714">
        <f t="shared" si="37"/>
        <v>0.47</v>
      </c>
      <c r="AD219" s="713">
        <f t="shared" si="34"/>
        <v>0</v>
      </c>
      <c r="AE219" s="715">
        <f t="shared" si="35"/>
        <v>0</v>
      </c>
      <c r="AF219" s="716">
        <f t="shared" si="36"/>
        <v>0</v>
      </c>
      <c r="AG219" s="700">
        <f t="shared" si="32"/>
        <v>0</v>
      </c>
      <c r="AH219" s="701">
        <f t="shared" si="31"/>
        <v>0</v>
      </c>
      <c r="AI219" s="197"/>
      <c r="AJ219" s="197"/>
      <c r="AK219" s="197"/>
    </row>
    <row r="220" spans="1:37" ht="12.7">
      <c r="A220" s="702" t="s">
        <v>11</v>
      </c>
      <c r="B220" s="710" t="s">
        <v>540</v>
      </c>
      <c r="C220" s="954" t="s">
        <v>670</v>
      </c>
      <c r="D220" s="837" t="s">
        <v>421</v>
      </c>
      <c r="E220" s="776" t="s">
        <v>18</v>
      </c>
      <c r="F220" s="703"/>
      <c r="G220" s="704" t="s">
        <v>281</v>
      </c>
      <c r="H220" s="705" t="s">
        <v>43</v>
      </c>
      <c r="I220" s="706">
        <v>42</v>
      </c>
      <c r="J220" s="707">
        <v>5</v>
      </c>
      <c r="K220" s="708">
        <v>11.959</v>
      </c>
      <c r="L220" s="709">
        <v>82</v>
      </c>
      <c r="M220" s="707">
        <v>36</v>
      </c>
      <c r="N220" s="708">
        <v>17.255</v>
      </c>
      <c r="O220" s="710" t="s">
        <v>44</v>
      </c>
      <c r="P220" s="706">
        <v>42</v>
      </c>
      <c r="Q220" s="707">
        <v>5</v>
      </c>
      <c r="R220" s="708">
        <v>12.034000000000001</v>
      </c>
      <c r="S220" s="709">
        <v>82</v>
      </c>
      <c r="T220" s="707">
        <v>36</v>
      </c>
      <c r="U220" s="708">
        <v>19.864999999999998</v>
      </c>
      <c r="V220" s="703">
        <v>3</v>
      </c>
      <c r="W220" s="501">
        <v>196.98</v>
      </c>
      <c r="X220" s="711">
        <v>1995</v>
      </c>
      <c r="Y220" s="710"/>
      <c r="Z220" s="712" t="s">
        <v>30</v>
      </c>
      <c r="AA220" s="703" t="s">
        <v>31</v>
      </c>
      <c r="AB220" s="713">
        <f t="shared" si="33"/>
        <v>0</v>
      </c>
      <c r="AC220" s="714">
        <f t="shared" si="37"/>
        <v>0.47</v>
      </c>
      <c r="AD220" s="713">
        <f t="shared" si="34"/>
        <v>0</v>
      </c>
      <c r="AE220" s="715">
        <f t="shared" si="35"/>
        <v>0</v>
      </c>
      <c r="AF220" s="716">
        <f t="shared" si="36"/>
        <v>0</v>
      </c>
      <c r="AG220" s="700">
        <f t="shared" si="32"/>
        <v>0</v>
      </c>
      <c r="AH220" s="701">
        <f t="shared" si="31"/>
        <v>0</v>
      </c>
      <c r="AI220" s="197"/>
      <c r="AJ220" s="197"/>
      <c r="AK220" s="197"/>
    </row>
    <row r="221" spans="1:37" ht="12.7">
      <c r="A221" s="875" t="s">
        <v>11</v>
      </c>
      <c r="B221" s="876" t="s">
        <v>540</v>
      </c>
      <c r="C221" s="877" t="s">
        <v>670</v>
      </c>
      <c r="D221" s="878" t="s">
        <v>421</v>
      </c>
      <c r="E221" s="879" t="s">
        <v>18</v>
      </c>
      <c r="F221" s="880"/>
      <c r="G221" s="881"/>
      <c r="H221" s="940" t="s">
        <v>45</v>
      </c>
      <c r="I221" s="883">
        <v>42</v>
      </c>
      <c r="J221" s="884">
        <v>4</v>
      </c>
      <c r="K221" s="885">
        <v>55.558999999999997</v>
      </c>
      <c r="L221" s="886">
        <v>82</v>
      </c>
      <c r="M221" s="884">
        <v>36</v>
      </c>
      <c r="N221" s="885">
        <v>25.603000000000002</v>
      </c>
      <c r="O221" s="876" t="s">
        <v>46</v>
      </c>
      <c r="P221" s="883">
        <v>42</v>
      </c>
      <c r="Q221" s="884">
        <v>4</v>
      </c>
      <c r="R221" s="885">
        <v>58.396999999999998</v>
      </c>
      <c r="S221" s="886">
        <v>82</v>
      </c>
      <c r="T221" s="884">
        <v>36</v>
      </c>
      <c r="U221" s="885">
        <v>26.206</v>
      </c>
      <c r="V221" s="880">
        <v>3</v>
      </c>
      <c r="W221" s="887">
        <v>290.91000000000003</v>
      </c>
      <c r="X221" s="888">
        <v>1995</v>
      </c>
      <c r="Y221" s="876"/>
      <c r="Z221" s="889" t="s">
        <v>14</v>
      </c>
      <c r="AA221" s="880" t="s">
        <v>15</v>
      </c>
      <c r="AB221" s="890">
        <f t="shared" si="33"/>
        <v>4360.7409000000007</v>
      </c>
      <c r="AC221" s="891">
        <f t="shared" si="37"/>
        <v>0.47</v>
      </c>
      <c r="AD221" s="890">
        <f t="shared" si="34"/>
        <v>2311.19</v>
      </c>
      <c r="AE221" s="892">
        <f t="shared" si="35"/>
        <v>0</v>
      </c>
      <c r="AF221" s="893">
        <f t="shared" si="36"/>
        <v>0</v>
      </c>
      <c r="AG221" s="894">
        <f t="shared" si="32"/>
        <v>2311.19</v>
      </c>
      <c r="AH221" s="895">
        <f t="shared" si="31"/>
        <v>2311</v>
      </c>
      <c r="AI221" s="1044">
        <v>1.82</v>
      </c>
      <c r="AJ221" s="1044">
        <v>0.44</v>
      </c>
      <c r="AK221" s="1044">
        <v>0.71</v>
      </c>
    </row>
    <row r="222" spans="1:37" ht="12.7">
      <c r="A222" s="942" t="s">
        <v>11</v>
      </c>
      <c r="B222" s="932" t="s">
        <v>540</v>
      </c>
      <c r="C222" s="945" t="s">
        <v>670</v>
      </c>
      <c r="D222" s="943" t="s">
        <v>421</v>
      </c>
      <c r="E222" s="921" t="s">
        <v>18</v>
      </c>
      <c r="F222" s="922"/>
      <c r="G222" s="923"/>
      <c r="H222" s="944" t="s">
        <v>46</v>
      </c>
      <c r="I222" s="925">
        <v>42</v>
      </c>
      <c r="J222" s="926">
        <v>4</v>
      </c>
      <c r="K222" s="927">
        <v>58.396999999999998</v>
      </c>
      <c r="L222" s="928">
        <v>82</v>
      </c>
      <c r="M222" s="926">
        <v>36</v>
      </c>
      <c r="N222" s="927">
        <v>26.206</v>
      </c>
      <c r="O222" s="932" t="s">
        <v>47</v>
      </c>
      <c r="P222" s="925">
        <v>42</v>
      </c>
      <c r="Q222" s="926">
        <v>4</v>
      </c>
      <c r="R222" s="927">
        <v>58.183999999999997</v>
      </c>
      <c r="S222" s="928">
        <v>82</v>
      </c>
      <c r="T222" s="926">
        <v>36</v>
      </c>
      <c r="U222" s="927">
        <v>17.859000000000002</v>
      </c>
      <c r="V222" s="922">
        <v>3</v>
      </c>
      <c r="W222" s="930">
        <v>562.04999999999995</v>
      </c>
      <c r="X222" s="931">
        <v>1995</v>
      </c>
      <c r="Y222" s="932"/>
      <c r="Z222" s="933" t="s">
        <v>14</v>
      </c>
      <c r="AA222" s="922" t="s">
        <v>15</v>
      </c>
      <c r="AB222" s="934">
        <f t="shared" si="33"/>
        <v>8425.1294999999991</v>
      </c>
      <c r="AC222" s="935">
        <f t="shared" si="37"/>
        <v>0.47</v>
      </c>
      <c r="AD222" s="934">
        <f t="shared" si="34"/>
        <v>4465.32</v>
      </c>
      <c r="AE222" s="936">
        <f t="shared" si="35"/>
        <v>0</v>
      </c>
      <c r="AF222" s="937">
        <f t="shared" si="36"/>
        <v>0</v>
      </c>
      <c r="AG222" s="938">
        <f t="shared" si="32"/>
        <v>4465.32</v>
      </c>
      <c r="AH222" s="939">
        <f t="shared" si="31"/>
        <v>4465</v>
      </c>
      <c r="AI222" s="1044"/>
      <c r="AJ222" s="1044"/>
      <c r="AK222" s="1044"/>
    </row>
    <row r="223" spans="1:37" ht="12.7">
      <c r="A223" s="875" t="s">
        <v>11</v>
      </c>
      <c r="B223" s="876" t="s">
        <v>540</v>
      </c>
      <c r="C223" s="877" t="s">
        <v>670</v>
      </c>
      <c r="D223" s="878" t="s">
        <v>421</v>
      </c>
      <c r="E223" s="879" t="s">
        <v>18</v>
      </c>
      <c r="F223" s="880"/>
      <c r="G223" s="881"/>
      <c r="H223" s="940" t="s">
        <v>48</v>
      </c>
      <c r="I223" s="883">
        <v>42</v>
      </c>
      <c r="J223" s="884">
        <v>4</v>
      </c>
      <c r="K223" s="885">
        <v>30.402999999999999</v>
      </c>
      <c r="L223" s="886">
        <v>82</v>
      </c>
      <c r="M223" s="884">
        <v>36</v>
      </c>
      <c r="N223" s="885">
        <v>21.971</v>
      </c>
      <c r="O223" s="876" t="s">
        <v>49</v>
      </c>
      <c r="P223" s="883">
        <v>42</v>
      </c>
      <c r="Q223" s="884">
        <v>4</v>
      </c>
      <c r="R223" s="885">
        <v>30.742999999999999</v>
      </c>
      <c r="S223" s="886">
        <v>82</v>
      </c>
      <c r="T223" s="884">
        <v>36</v>
      </c>
      <c r="U223" s="885">
        <v>28.484000000000002</v>
      </c>
      <c r="V223" s="880">
        <v>3</v>
      </c>
      <c r="W223" s="887">
        <v>492.45</v>
      </c>
      <c r="X223" s="888">
        <v>1995</v>
      </c>
      <c r="Y223" s="876"/>
      <c r="Z223" s="889" t="s">
        <v>14</v>
      </c>
      <c r="AA223" s="880" t="s">
        <v>15</v>
      </c>
      <c r="AB223" s="890">
        <f t="shared" si="33"/>
        <v>7381.8254999999999</v>
      </c>
      <c r="AC223" s="891">
        <f t="shared" si="37"/>
        <v>0.47</v>
      </c>
      <c r="AD223" s="890">
        <f t="shared" si="34"/>
        <v>3912.37</v>
      </c>
      <c r="AE223" s="892">
        <f t="shared" si="35"/>
        <v>0</v>
      </c>
      <c r="AF223" s="893">
        <f t="shared" si="36"/>
        <v>0</v>
      </c>
      <c r="AG223" s="894">
        <f t="shared" si="32"/>
        <v>3912.37</v>
      </c>
      <c r="AH223" s="895">
        <f t="shared" si="31"/>
        <v>3912</v>
      </c>
      <c r="AI223" s="1044">
        <v>1.01</v>
      </c>
      <c r="AJ223" s="1044">
        <v>1.76</v>
      </c>
      <c r="AK223" s="1044">
        <v>1.06</v>
      </c>
    </row>
    <row r="224" spans="1:37" ht="12.7">
      <c r="A224" s="942" t="s">
        <v>11</v>
      </c>
      <c r="B224" s="932" t="s">
        <v>540</v>
      </c>
      <c r="C224" s="945" t="s">
        <v>670</v>
      </c>
      <c r="D224" s="943" t="s">
        <v>421</v>
      </c>
      <c r="E224" s="921" t="s">
        <v>18</v>
      </c>
      <c r="F224" s="922"/>
      <c r="G224" s="923"/>
      <c r="H224" s="944" t="s">
        <v>49</v>
      </c>
      <c r="I224" s="925">
        <v>42</v>
      </c>
      <c r="J224" s="926">
        <v>4</v>
      </c>
      <c r="K224" s="927">
        <v>30.742999999999999</v>
      </c>
      <c r="L224" s="928">
        <v>82</v>
      </c>
      <c r="M224" s="926">
        <v>36</v>
      </c>
      <c r="N224" s="927">
        <v>28.484000000000002</v>
      </c>
      <c r="O224" s="932" t="s">
        <v>50</v>
      </c>
      <c r="P224" s="925">
        <v>42</v>
      </c>
      <c r="Q224" s="926">
        <v>4</v>
      </c>
      <c r="R224" s="927">
        <v>29.082999999999998</v>
      </c>
      <c r="S224" s="928">
        <v>82</v>
      </c>
      <c r="T224" s="926">
        <v>36</v>
      </c>
      <c r="U224" s="927">
        <v>28.474</v>
      </c>
      <c r="V224" s="922">
        <v>3</v>
      </c>
      <c r="W224" s="930">
        <v>142.22</v>
      </c>
      <c r="X224" s="931">
        <v>1995</v>
      </c>
      <c r="Y224" s="932"/>
      <c r="Z224" s="933" t="s">
        <v>14</v>
      </c>
      <c r="AA224" s="922" t="s">
        <v>15</v>
      </c>
      <c r="AB224" s="934">
        <f t="shared" si="33"/>
        <v>2131.8778000000002</v>
      </c>
      <c r="AC224" s="935">
        <f t="shared" si="37"/>
        <v>0.47</v>
      </c>
      <c r="AD224" s="934">
        <f t="shared" si="34"/>
        <v>1129.9000000000001</v>
      </c>
      <c r="AE224" s="936">
        <f t="shared" si="35"/>
        <v>0</v>
      </c>
      <c r="AF224" s="937">
        <f t="shared" si="36"/>
        <v>0</v>
      </c>
      <c r="AG224" s="938">
        <f t="shared" si="32"/>
        <v>1129.9000000000001</v>
      </c>
      <c r="AH224" s="939">
        <f t="shared" si="31"/>
        <v>1129</v>
      </c>
      <c r="AI224" s="1044"/>
      <c r="AJ224" s="1044"/>
      <c r="AK224" s="1044"/>
    </row>
    <row r="225" spans="1:37" s="122" customFormat="1" ht="12.7">
      <c r="A225" s="789" t="s">
        <v>11</v>
      </c>
      <c r="B225" s="790" t="s">
        <v>540</v>
      </c>
      <c r="C225" s="959" t="s">
        <v>670</v>
      </c>
      <c r="D225" s="792" t="s">
        <v>421</v>
      </c>
      <c r="E225" s="766" t="s">
        <v>18</v>
      </c>
      <c r="F225" s="649"/>
      <c r="G225" s="803" t="s">
        <v>281</v>
      </c>
      <c r="H225" s="684" t="s">
        <v>51</v>
      </c>
      <c r="I225" s="645">
        <v>42</v>
      </c>
      <c r="J225" s="646">
        <v>4</v>
      </c>
      <c r="K225" s="647">
        <v>47.938000000000002</v>
      </c>
      <c r="L225" s="648">
        <v>82</v>
      </c>
      <c r="M225" s="646">
        <v>36</v>
      </c>
      <c r="N225" s="647">
        <v>59.947000000000003</v>
      </c>
      <c r="O225" s="642" t="s">
        <v>52</v>
      </c>
      <c r="P225" s="645">
        <v>42</v>
      </c>
      <c r="Q225" s="646">
        <v>4</v>
      </c>
      <c r="R225" s="647">
        <v>45.436999999999998</v>
      </c>
      <c r="S225" s="648">
        <v>82</v>
      </c>
      <c r="T225" s="646">
        <v>36</v>
      </c>
      <c r="U225" s="647">
        <v>53.680999999999997</v>
      </c>
      <c r="V225" s="649">
        <v>3</v>
      </c>
      <c r="W225" s="503">
        <v>536.19000000000005</v>
      </c>
      <c r="X225" s="650">
        <v>1993</v>
      </c>
      <c r="Y225" s="642"/>
      <c r="Z225" s="651" t="s">
        <v>14</v>
      </c>
      <c r="AA225" s="649" t="s">
        <v>15</v>
      </c>
      <c r="AB225" s="652">
        <f t="shared" si="33"/>
        <v>0</v>
      </c>
      <c r="AC225" s="653">
        <f t="shared" si="37"/>
        <v>0.50</v>
      </c>
      <c r="AD225" s="652">
        <f t="shared" si="34"/>
        <v>0</v>
      </c>
      <c r="AE225" s="654">
        <f t="shared" si="35"/>
        <v>0</v>
      </c>
      <c r="AF225" s="655">
        <f t="shared" si="36"/>
        <v>0</v>
      </c>
      <c r="AG225" s="656">
        <f t="shared" si="32"/>
        <v>0</v>
      </c>
      <c r="AH225" s="657">
        <f t="shared" si="31"/>
        <v>0</v>
      </c>
      <c r="AI225" s="217"/>
      <c r="AJ225" s="217"/>
      <c r="AK225" s="217"/>
    </row>
    <row r="226" spans="1:37" s="122" customFormat="1" ht="12.7">
      <c r="A226" s="793" t="s">
        <v>11</v>
      </c>
      <c r="B226" s="794" t="s">
        <v>540</v>
      </c>
      <c r="C226" s="950" t="s">
        <v>670</v>
      </c>
      <c r="D226" s="796" t="s">
        <v>421</v>
      </c>
      <c r="E226" s="768" t="s">
        <v>18</v>
      </c>
      <c r="F226" s="676"/>
      <c r="G226" s="643" t="s">
        <v>281</v>
      </c>
      <c r="H226" s="686" t="s">
        <v>51</v>
      </c>
      <c r="I226" s="672">
        <v>42</v>
      </c>
      <c r="J226" s="673">
        <v>4</v>
      </c>
      <c r="K226" s="674">
        <v>47.938000000000002</v>
      </c>
      <c r="L226" s="675">
        <v>82</v>
      </c>
      <c r="M226" s="673">
        <v>36</v>
      </c>
      <c r="N226" s="674">
        <v>59.947000000000003</v>
      </c>
      <c r="O226" s="670" t="s">
        <v>52</v>
      </c>
      <c r="P226" s="672">
        <v>42</v>
      </c>
      <c r="Q226" s="673">
        <v>4</v>
      </c>
      <c r="R226" s="674">
        <v>45.436999999999998</v>
      </c>
      <c r="S226" s="675">
        <v>82</v>
      </c>
      <c r="T226" s="673">
        <v>36</v>
      </c>
      <c r="U226" s="674">
        <v>53.680999999999997</v>
      </c>
      <c r="V226" s="676">
        <v>3</v>
      </c>
      <c r="W226" s="505">
        <v>536.19000000000005</v>
      </c>
      <c r="X226" s="677">
        <v>1993</v>
      </c>
      <c r="Y226" s="670"/>
      <c r="Z226" s="678" t="s">
        <v>53</v>
      </c>
      <c r="AA226" s="676" t="s">
        <v>31</v>
      </c>
      <c r="AB226" s="679">
        <f t="shared" si="33"/>
        <v>0</v>
      </c>
      <c r="AC226" s="680">
        <f t="shared" si="37"/>
        <v>0.50</v>
      </c>
      <c r="AD226" s="679">
        <f t="shared" si="34"/>
        <v>0</v>
      </c>
      <c r="AE226" s="681">
        <f t="shared" si="35"/>
        <v>0</v>
      </c>
      <c r="AF226" s="682">
        <f t="shared" si="36"/>
        <v>0</v>
      </c>
      <c r="AG226" s="656">
        <f t="shared" si="32"/>
        <v>0</v>
      </c>
      <c r="AH226" s="657">
        <f t="shared" si="31"/>
        <v>0</v>
      </c>
      <c r="AI226" s="244"/>
      <c r="AJ226" s="244"/>
      <c r="AK226" s="244"/>
    </row>
    <row r="227" spans="1:37" ht="12.7">
      <c r="A227" s="875" t="s">
        <v>11</v>
      </c>
      <c r="B227" s="876" t="s">
        <v>540</v>
      </c>
      <c r="C227" s="877" t="s">
        <v>670</v>
      </c>
      <c r="D227" s="878" t="s">
        <v>421</v>
      </c>
      <c r="E227" s="879" t="s">
        <v>18</v>
      </c>
      <c r="F227" s="880"/>
      <c r="G227" s="881"/>
      <c r="H227" s="940" t="s">
        <v>54</v>
      </c>
      <c r="I227" s="883">
        <v>42</v>
      </c>
      <c r="J227" s="884">
        <v>3</v>
      </c>
      <c r="K227" s="885">
        <v>36.981999999999999</v>
      </c>
      <c r="L227" s="886">
        <v>82</v>
      </c>
      <c r="M227" s="884">
        <v>35</v>
      </c>
      <c r="N227" s="885">
        <v>36.308</v>
      </c>
      <c r="O227" s="876" t="s">
        <v>55</v>
      </c>
      <c r="P227" s="883">
        <v>42</v>
      </c>
      <c r="Q227" s="884">
        <v>3</v>
      </c>
      <c r="R227" s="885">
        <v>43.408000000000001</v>
      </c>
      <c r="S227" s="886">
        <v>82</v>
      </c>
      <c r="T227" s="884">
        <v>35</v>
      </c>
      <c r="U227" s="885">
        <v>37.911999999999999</v>
      </c>
      <c r="V227" s="880">
        <v>3</v>
      </c>
      <c r="W227" s="887">
        <v>563.67999999999995</v>
      </c>
      <c r="X227" s="888">
        <v>1994</v>
      </c>
      <c r="Y227" s="876"/>
      <c r="Z227" s="889" t="s">
        <v>14</v>
      </c>
      <c r="AA227" s="880" t="s">
        <v>15</v>
      </c>
      <c r="AB227" s="890">
        <f t="shared" si="33"/>
        <v>8449.5631999999987</v>
      </c>
      <c r="AC227" s="891">
        <f t="shared" si="37"/>
        <v>0.49</v>
      </c>
      <c r="AD227" s="890">
        <f t="shared" si="34"/>
        <v>4309.28</v>
      </c>
      <c r="AE227" s="892">
        <f t="shared" si="35"/>
        <v>0</v>
      </c>
      <c r="AF227" s="893">
        <f t="shared" si="36"/>
        <v>0</v>
      </c>
      <c r="AG227" s="894">
        <f t="shared" si="32"/>
        <v>4309.28</v>
      </c>
      <c r="AH227" s="895">
        <f t="shared" si="31"/>
        <v>4309</v>
      </c>
      <c r="AI227" s="1044">
        <v>5.66</v>
      </c>
      <c r="AJ227" s="1044">
        <v>97.87</v>
      </c>
      <c r="AK227" s="1044">
        <v>1.77</v>
      </c>
    </row>
    <row r="228" spans="1:37" ht="12.7">
      <c r="A228" s="896" t="s">
        <v>11</v>
      </c>
      <c r="B228" s="897" t="s">
        <v>540</v>
      </c>
      <c r="C228" s="898" t="s">
        <v>670</v>
      </c>
      <c r="D228" s="899" t="s">
        <v>421</v>
      </c>
      <c r="E228" s="900" t="s">
        <v>18</v>
      </c>
      <c r="F228" s="901"/>
      <c r="G228" s="902"/>
      <c r="H228" s="941" t="s">
        <v>55</v>
      </c>
      <c r="I228" s="904">
        <v>42</v>
      </c>
      <c r="J228" s="905">
        <v>3</v>
      </c>
      <c r="K228" s="906">
        <v>43.408000000000001</v>
      </c>
      <c r="L228" s="907">
        <v>82</v>
      </c>
      <c r="M228" s="905">
        <v>35</v>
      </c>
      <c r="N228" s="906">
        <v>37.911999999999999</v>
      </c>
      <c r="O228" s="897" t="s">
        <v>56</v>
      </c>
      <c r="P228" s="904">
        <v>42</v>
      </c>
      <c r="Q228" s="905">
        <v>3</v>
      </c>
      <c r="R228" s="906">
        <v>43.89</v>
      </c>
      <c r="S228" s="907">
        <v>82</v>
      </c>
      <c r="T228" s="905">
        <v>35</v>
      </c>
      <c r="U228" s="906">
        <v>39.088000000000001</v>
      </c>
      <c r="V228" s="901">
        <v>3</v>
      </c>
      <c r="W228" s="909">
        <v>101.25</v>
      </c>
      <c r="X228" s="910">
        <v>1994</v>
      </c>
      <c r="Y228" s="897"/>
      <c r="Z228" s="911" t="s">
        <v>14</v>
      </c>
      <c r="AA228" s="901" t="s">
        <v>15</v>
      </c>
      <c r="AB228" s="912">
        <f t="shared" si="33"/>
        <v>1517.7375</v>
      </c>
      <c r="AC228" s="913">
        <f t="shared" si="37"/>
        <v>0.49</v>
      </c>
      <c r="AD228" s="912">
        <f t="shared" si="34"/>
        <v>774.05</v>
      </c>
      <c r="AE228" s="914">
        <f t="shared" si="35"/>
        <v>0</v>
      </c>
      <c r="AF228" s="915">
        <f t="shared" si="36"/>
        <v>0</v>
      </c>
      <c r="AG228" s="916">
        <f t="shared" si="32"/>
        <v>774.05</v>
      </c>
      <c r="AH228" s="917">
        <f t="shared" si="31"/>
        <v>774</v>
      </c>
      <c r="AI228" s="1044"/>
      <c r="AJ228" s="1044"/>
      <c r="AK228" s="1044"/>
    </row>
    <row r="229" spans="1:37" ht="12.7">
      <c r="A229" s="896" t="s">
        <v>11</v>
      </c>
      <c r="B229" s="897" t="s">
        <v>540</v>
      </c>
      <c r="C229" s="898" t="s">
        <v>670</v>
      </c>
      <c r="D229" s="899" t="s">
        <v>421</v>
      </c>
      <c r="E229" s="900" t="s">
        <v>18</v>
      </c>
      <c r="F229" s="901"/>
      <c r="G229" s="902"/>
      <c r="H229" s="941" t="s">
        <v>56</v>
      </c>
      <c r="I229" s="904">
        <v>42</v>
      </c>
      <c r="J229" s="905">
        <v>3</v>
      </c>
      <c r="K229" s="906">
        <v>43.89</v>
      </c>
      <c r="L229" s="907">
        <v>82</v>
      </c>
      <c r="M229" s="905">
        <v>35</v>
      </c>
      <c r="N229" s="906">
        <v>39.088000000000001</v>
      </c>
      <c r="O229" s="897" t="s">
        <v>57</v>
      </c>
      <c r="P229" s="904">
        <v>42</v>
      </c>
      <c r="Q229" s="905">
        <v>3</v>
      </c>
      <c r="R229" s="906">
        <v>43.725999999999999</v>
      </c>
      <c r="S229" s="907">
        <v>82</v>
      </c>
      <c r="T229" s="905">
        <v>35</v>
      </c>
      <c r="U229" s="906">
        <v>42.427</v>
      </c>
      <c r="V229" s="901">
        <v>3</v>
      </c>
      <c r="W229" s="909">
        <v>252.46</v>
      </c>
      <c r="X229" s="910">
        <v>1994</v>
      </c>
      <c r="Y229" s="897"/>
      <c r="Z229" s="911" t="s">
        <v>14</v>
      </c>
      <c r="AA229" s="901" t="s">
        <v>15</v>
      </c>
      <c r="AB229" s="912">
        <f t="shared" si="33"/>
        <v>3784.3754000000004</v>
      </c>
      <c r="AC229" s="913">
        <f t="shared" si="38" ref="AC229:AC260">IF(X229=0,0,(VLOOKUP(X229,depreciation,2,)))</f>
        <v>0.49</v>
      </c>
      <c r="AD229" s="912">
        <f t="shared" si="34"/>
        <v>1930.03</v>
      </c>
      <c r="AE229" s="914">
        <f t="shared" si="35"/>
        <v>0</v>
      </c>
      <c r="AF229" s="915">
        <f t="shared" si="36"/>
        <v>0</v>
      </c>
      <c r="AG229" s="916">
        <f t="shared" si="32"/>
        <v>1930.03</v>
      </c>
      <c r="AH229" s="917">
        <f t="shared" si="31"/>
        <v>1930</v>
      </c>
      <c r="AI229" s="1044"/>
      <c r="AJ229" s="1044"/>
      <c r="AK229" s="1044"/>
    </row>
    <row r="230" spans="1:37" ht="12.7">
      <c r="A230" s="942" t="s">
        <v>11</v>
      </c>
      <c r="B230" s="932" t="s">
        <v>540</v>
      </c>
      <c r="C230" s="945" t="s">
        <v>670</v>
      </c>
      <c r="D230" s="943" t="s">
        <v>421</v>
      </c>
      <c r="E230" s="921" t="s">
        <v>18</v>
      </c>
      <c r="F230" s="922"/>
      <c r="G230" s="923"/>
      <c r="H230" s="944" t="s">
        <v>57</v>
      </c>
      <c r="I230" s="925">
        <v>42</v>
      </c>
      <c r="J230" s="926">
        <v>3</v>
      </c>
      <c r="K230" s="927">
        <v>43.725999999999999</v>
      </c>
      <c r="L230" s="928">
        <v>82</v>
      </c>
      <c r="M230" s="926">
        <v>35</v>
      </c>
      <c r="N230" s="927">
        <v>42.427</v>
      </c>
      <c r="O230" s="932" t="s">
        <v>58</v>
      </c>
      <c r="P230" s="925">
        <v>42</v>
      </c>
      <c r="Q230" s="926">
        <v>3</v>
      </c>
      <c r="R230" s="927">
        <v>43.387999999999998</v>
      </c>
      <c r="S230" s="928">
        <v>82</v>
      </c>
      <c r="T230" s="926">
        <v>35</v>
      </c>
      <c r="U230" s="927">
        <v>44.021999999999998</v>
      </c>
      <c r="V230" s="922">
        <v>3</v>
      </c>
      <c r="W230" s="930">
        <v>125.10</v>
      </c>
      <c r="X230" s="931">
        <v>1994</v>
      </c>
      <c r="Y230" s="932"/>
      <c r="Z230" s="933" t="s">
        <v>14</v>
      </c>
      <c r="AA230" s="922" t="s">
        <v>15</v>
      </c>
      <c r="AB230" s="934">
        <f t="shared" si="33"/>
        <v>1875.249</v>
      </c>
      <c r="AC230" s="935">
        <f t="shared" si="38"/>
        <v>0.49</v>
      </c>
      <c r="AD230" s="934">
        <f t="shared" si="34"/>
        <v>956.38</v>
      </c>
      <c r="AE230" s="936">
        <f t="shared" si="35"/>
        <v>0</v>
      </c>
      <c r="AF230" s="937">
        <f t="shared" si="36"/>
        <v>0</v>
      </c>
      <c r="AG230" s="938">
        <f t="shared" si="32"/>
        <v>956.38</v>
      </c>
      <c r="AH230" s="939">
        <f t="shared" si="31"/>
        <v>956</v>
      </c>
      <c r="AI230" s="1044"/>
      <c r="AJ230" s="1044"/>
      <c r="AK230" s="1044"/>
    </row>
    <row r="231" spans="1:37" ht="12.7">
      <c r="A231" s="203" t="s">
        <v>11</v>
      </c>
      <c r="B231" s="204" t="s">
        <v>540</v>
      </c>
      <c r="C231" s="949" t="s">
        <v>670</v>
      </c>
      <c r="D231" s="757" t="s">
        <v>421</v>
      </c>
      <c r="E231" s="779" t="s">
        <v>18</v>
      </c>
      <c r="F231" s="293"/>
      <c r="G231" s="316"/>
      <c r="H231" s="295" t="s">
        <v>64</v>
      </c>
      <c r="I231" s="296">
        <v>42</v>
      </c>
      <c r="J231" s="297">
        <v>2</v>
      </c>
      <c r="K231" s="298">
        <v>5.4720000000000004</v>
      </c>
      <c r="L231" s="299">
        <v>82</v>
      </c>
      <c r="M231" s="297">
        <v>33</v>
      </c>
      <c r="N231" s="298">
        <v>16.132000000000001</v>
      </c>
      <c r="O231" s="300" t="s">
        <v>59</v>
      </c>
      <c r="P231" s="296">
        <v>42</v>
      </c>
      <c r="Q231" s="297">
        <v>2</v>
      </c>
      <c r="R231" s="298">
        <v>10.561999999999999</v>
      </c>
      <c r="S231" s="299">
        <v>82</v>
      </c>
      <c r="T231" s="297">
        <v>33</v>
      </c>
      <c r="U231" s="298">
        <v>16.483000000000001</v>
      </c>
      <c r="V231" s="293">
        <v>3</v>
      </c>
      <c r="W231" s="551">
        <v>516.01</v>
      </c>
      <c r="X231" s="301">
        <v>1994</v>
      </c>
      <c r="Y231" s="294"/>
      <c r="Z231" s="302" t="s">
        <v>60</v>
      </c>
      <c r="AA231" s="293" t="s">
        <v>15</v>
      </c>
      <c r="AB231" s="303">
        <f t="shared" si="33"/>
        <v>7734.9898999999996</v>
      </c>
      <c r="AC231" s="304">
        <f t="shared" si="38"/>
        <v>0.49</v>
      </c>
      <c r="AD231" s="303">
        <f t="shared" si="34"/>
        <v>3944.84</v>
      </c>
      <c r="AE231" s="305">
        <f t="shared" si="35"/>
        <v>0</v>
      </c>
      <c r="AF231" s="306">
        <f t="shared" si="36"/>
        <v>0</v>
      </c>
      <c r="AG231" s="437">
        <f t="shared" si="32"/>
        <v>3944.84</v>
      </c>
      <c r="AH231" s="518">
        <f t="shared" si="31"/>
        <v>3944</v>
      </c>
      <c r="AI231" s="1064" t="s">
        <v>624</v>
      </c>
      <c r="AJ231" s="1062"/>
      <c r="AK231" s="1063"/>
    </row>
    <row r="232" spans="1:37" ht="12.7">
      <c r="A232" s="965" t="s">
        <v>11</v>
      </c>
      <c r="B232" s="966" t="s">
        <v>540</v>
      </c>
      <c r="C232" s="946" t="s">
        <v>670</v>
      </c>
      <c r="D232" s="967" t="s">
        <v>421</v>
      </c>
      <c r="E232" s="879" t="s">
        <v>18</v>
      </c>
      <c r="F232" s="880"/>
      <c r="G232" s="881" t="s">
        <v>281</v>
      </c>
      <c r="H232" s="888" t="s">
        <v>65</v>
      </c>
      <c r="I232" s="883">
        <v>42</v>
      </c>
      <c r="J232" s="884">
        <v>0</v>
      </c>
      <c r="K232" s="885">
        <v>57.17</v>
      </c>
      <c r="L232" s="886">
        <v>82</v>
      </c>
      <c r="M232" s="884">
        <v>32</v>
      </c>
      <c r="N232" s="885">
        <v>8.8339999999999996</v>
      </c>
      <c r="O232" s="951" t="s">
        <v>66</v>
      </c>
      <c r="P232" s="883">
        <v>42</v>
      </c>
      <c r="Q232" s="884">
        <v>1</v>
      </c>
      <c r="R232" s="885">
        <v>4.4219999999999997</v>
      </c>
      <c r="S232" s="886">
        <v>82</v>
      </c>
      <c r="T232" s="884">
        <v>32</v>
      </c>
      <c r="U232" s="885">
        <v>11.792</v>
      </c>
      <c r="V232" s="880">
        <v>3</v>
      </c>
      <c r="W232" s="887">
        <v>767.42</v>
      </c>
      <c r="X232" s="888">
        <v>1988</v>
      </c>
      <c r="Y232" s="876"/>
      <c r="Z232" s="889" t="s">
        <v>14</v>
      </c>
      <c r="AA232" s="880" t="s">
        <v>15</v>
      </c>
      <c r="AB232" s="890">
        <f t="shared" si="33"/>
        <v>0</v>
      </c>
      <c r="AC232" s="891">
        <f t="shared" si="38"/>
        <v>0.54</v>
      </c>
      <c r="AD232" s="890">
        <f t="shared" si="34"/>
        <v>0</v>
      </c>
      <c r="AE232" s="892">
        <f t="shared" si="35"/>
        <v>0</v>
      </c>
      <c r="AF232" s="893">
        <f t="shared" si="36"/>
        <v>0</v>
      </c>
      <c r="AG232" s="894">
        <f t="shared" si="32"/>
        <v>0</v>
      </c>
      <c r="AH232" s="895">
        <f t="shared" si="31"/>
        <v>0</v>
      </c>
      <c r="AI232" s="197"/>
      <c r="AJ232" s="197"/>
      <c r="AK232" s="197"/>
    </row>
    <row r="233" spans="1:37" ht="12.7">
      <c r="A233" s="896" t="s">
        <v>11</v>
      </c>
      <c r="B233" s="897" t="s">
        <v>540</v>
      </c>
      <c r="C233" s="898" t="s">
        <v>670</v>
      </c>
      <c r="D233" s="899" t="s">
        <v>421</v>
      </c>
      <c r="E233" s="900" t="s">
        <v>18</v>
      </c>
      <c r="F233" s="901"/>
      <c r="G233" s="902" t="s">
        <v>281</v>
      </c>
      <c r="H233" s="941" t="s">
        <v>67</v>
      </c>
      <c r="I233" s="904">
        <v>42</v>
      </c>
      <c r="J233" s="905">
        <v>1</v>
      </c>
      <c r="K233" s="906">
        <v>5.0119999999999996</v>
      </c>
      <c r="L233" s="907">
        <v>82</v>
      </c>
      <c r="M233" s="905">
        <v>32</v>
      </c>
      <c r="N233" s="906">
        <v>25.158999999999999</v>
      </c>
      <c r="O233" s="960" t="s">
        <v>68</v>
      </c>
      <c r="P233" s="904">
        <v>42</v>
      </c>
      <c r="Q233" s="905">
        <v>1</v>
      </c>
      <c r="R233" s="906">
        <v>9.0259999999999998</v>
      </c>
      <c r="S233" s="907">
        <v>82</v>
      </c>
      <c r="T233" s="905">
        <v>32</v>
      </c>
      <c r="U233" s="906">
        <v>23.919</v>
      </c>
      <c r="V233" s="901">
        <v>3</v>
      </c>
      <c r="W233" s="909">
        <v>432.95</v>
      </c>
      <c r="X233" s="910">
        <v>1994</v>
      </c>
      <c r="Y233" s="897"/>
      <c r="Z233" s="911" t="s">
        <v>14</v>
      </c>
      <c r="AA233" s="901" t="s">
        <v>15</v>
      </c>
      <c r="AB233" s="912">
        <f t="shared" si="33"/>
        <v>0</v>
      </c>
      <c r="AC233" s="913">
        <f t="shared" si="38"/>
        <v>0.49</v>
      </c>
      <c r="AD233" s="912">
        <f t="shared" si="34"/>
        <v>0</v>
      </c>
      <c r="AE233" s="914">
        <f t="shared" si="35"/>
        <v>0</v>
      </c>
      <c r="AF233" s="915">
        <f t="shared" si="36"/>
        <v>0</v>
      </c>
      <c r="AG233" s="916">
        <f t="shared" si="32"/>
        <v>0</v>
      </c>
      <c r="AH233" s="917">
        <f t="shared" si="31"/>
        <v>0</v>
      </c>
      <c r="AI233" s="197"/>
      <c r="AJ233" s="197"/>
      <c r="AK233" s="197"/>
    </row>
    <row r="234" spans="1:37" ht="12.7">
      <c r="A234" s="896" t="s">
        <v>11</v>
      </c>
      <c r="B234" s="897" t="s">
        <v>540</v>
      </c>
      <c r="C234" s="898" t="s">
        <v>670</v>
      </c>
      <c r="D234" s="899" t="s">
        <v>421</v>
      </c>
      <c r="E234" s="900" t="s">
        <v>18</v>
      </c>
      <c r="F234" s="901"/>
      <c r="G234" s="902" t="s">
        <v>281</v>
      </c>
      <c r="H234" s="941" t="s">
        <v>69</v>
      </c>
      <c r="I234" s="904">
        <v>42</v>
      </c>
      <c r="J234" s="905">
        <v>1</v>
      </c>
      <c r="K234" s="906">
        <v>20.19</v>
      </c>
      <c r="L234" s="907">
        <v>82</v>
      </c>
      <c r="M234" s="905">
        <v>32</v>
      </c>
      <c r="N234" s="906">
        <v>54.70</v>
      </c>
      <c r="O234" s="960" t="s">
        <v>70</v>
      </c>
      <c r="P234" s="904">
        <v>42</v>
      </c>
      <c r="Q234" s="905">
        <v>1</v>
      </c>
      <c r="R234" s="906">
        <v>27.811</v>
      </c>
      <c r="S234" s="907">
        <v>82</v>
      </c>
      <c r="T234" s="905">
        <v>33</v>
      </c>
      <c r="U234" s="906">
        <v>4.1139999999999999</v>
      </c>
      <c r="V234" s="901">
        <v>3</v>
      </c>
      <c r="W234" s="909">
        <v>1048.98</v>
      </c>
      <c r="X234" s="910">
        <v>1985</v>
      </c>
      <c r="Y234" s="897"/>
      <c r="Z234" s="911" t="s">
        <v>71</v>
      </c>
      <c r="AA234" s="901" t="s">
        <v>31</v>
      </c>
      <c r="AB234" s="912">
        <f t="shared" si="33"/>
        <v>0</v>
      </c>
      <c r="AC234" s="913">
        <f t="shared" si="38"/>
        <v>0.56000000000000005</v>
      </c>
      <c r="AD234" s="912">
        <f t="shared" si="34"/>
        <v>0</v>
      </c>
      <c r="AE234" s="914">
        <f t="shared" si="35"/>
        <v>0</v>
      </c>
      <c r="AF234" s="915">
        <f t="shared" si="36"/>
        <v>0</v>
      </c>
      <c r="AG234" s="916">
        <f t="shared" si="32"/>
        <v>0</v>
      </c>
      <c r="AH234" s="917">
        <f t="shared" si="31"/>
        <v>0</v>
      </c>
      <c r="AI234" s="197"/>
      <c r="AJ234" s="197"/>
      <c r="AK234" s="197"/>
    </row>
    <row r="235" spans="1:37" ht="12.7">
      <c r="A235" s="896" t="s">
        <v>11</v>
      </c>
      <c r="B235" s="897" t="s">
        <v>540</v>
      </c>
      <c r="C235" s="898" t="s">
        <v>670</v>
      </c>
      <c r="D235" s="899" t="s">
        <v>421</v>
      </c>
      <c r="E235" s="900" t="s">
        <v>18</v>
      </c>
      <c r="F235" s="901"/>
      <c r="G235" s="902" t="s">
        <v>281</v>
      </c>
      <c r="H235" s="941" t="s">
        <v>70</v>
      </c>
      <c r="I235" s="904">
        <v>42</v>
      </c>
      <c r="J235" s="905">
        <v>1</v>
      </c>
      <c r="K235" s="906">
        <v>27.811</v>
      </c>
      <c r="L235" s="907">
        <v>82</v>
      </c>
      <c r="M235" s="905">
        <v>33</v>
      </c>
      <c r="N235" s="906">
        <v>4.1139999999999999</v>
      </c>
      <c r="O235" s="960" t="s">
        <v>72</v>
      </c>
      <c r="P235" s="904">
        <v>42</v>
      </c>
      <c r="Q235" s="905">
        <v>1</v>
      </c>
      <c r="R235" s="906">
        <v>38.564</v>
      </c>
      <c r="S235" s="907">
        <v>82</v>
      </c>
      <c r="T235" s="905">
        <v>33</v>
      </c>
      <c r="U235" s="906">
        <v>15.801</v>
      </c>
      <c r="V235" s="901">
        <v>3</v>
      </c>
      <c r="W235" s="909">
        <v>1401.25</v>
      </c>
      <c r="X235" s="910">
        <v>1985</v>
      </c>
      <c r="Y235" s="897"/>
      <c r="Z235" s="911" t="s">
        <v>71</v>
      </c>
      <c r="AA235" s="901" t="s">
        <v>31</v>
      </c>
      <c r="AB235" s="912">
        <f t="shared" si="33"/>
        <v>0</v>
      </c>
      <c r="AC235" s="913">
        <f t="shared" si="38"/>
        <v>0.56000000000000005</v>
      </c>
      <c r="AD235" s="912">
        <f t="shared" si="34"/>
        <v>0</v>
      </c>
      <c r="AE235" s="914">
        <f t="shared" si="35"/>
        <v>0</v>
      </c>
      <c r="AF235" s="915">
        <f t="shared" si="36"/>
        <v>0</v>
      </c>
      <c r="AG235" s="916">
        <f t="shared" si="32"/>
        <v>0</v>
      </c>
      <c r="AH235" s="917">
        <f t="shared" si="31"/>
        <v>0</v>
      </c>
      <c r="AI235" s="197"/>
      <c r="AJ235" s="197"/>
      <c r="AK235" s="197"/>
    </row>
    <row r="236" spans="1:37" ht="12.7">
      <c r="A236" s="942" t="s">
        <v>11</v>
      </c>
      <c r="B236" s="932" t="s">
        <v>540</v>
      </c>
      <c r="C236" s="945" t="s">
        <v>670</v>
      </c>
      <c r="D236" s="943" t="s">
        <v>421</v>
      </c>
      <c r="E236" s="921" t="s">
        <v>18</v>
      </c>
      <c r="F236" s="922"/>
      <c r="G236" s="923" t="s">
        <v>281</v>
      </c>
      <c r="H236" s="944" t="s">
        <v>70</v>
      </c>
      <c r="I236" s="925">
        <v>42</v>
      </c>
      <c r="J236" s="926">
        <v>1</v>
      </c>
      <c r="K236" s="927">
        <v>27.811</v>
      </c>
      <c r="L236" s="928">
        <v>82</v>
      </c>
      <c r="M236" s="926">
        <v>33</v>
      </c>
      <c r="N236" s="927">
        <v>4.1139999999999999</v>
      </c>
      <c r="O236" s="952" t="s">
        <v>26</v>
      </c>
      <c r="P236" s="925">
        <v>42</v>
      </c>
      <c r="Q236" s="926">
        <v>1</v>
      </c>
      <c r="R236" s="927">
        <v>36.878999999999998</v>
      </c>
      <c r="S236" s="928">
        <v>82</v>
      </c>
      <c r="T236" s="926">
        <v>33</v>
      </c>
      <c r="U236" s="927">
        <v>16.821999999999999</v>
      </c>
      <c r="V236" s="922">
        <v>3</v>
      </c>
      <c r="W236" s="930">
        <v>1327.79</v>
      </c>
      <c r="X236" s="931">
        <v>1985</v>
      </c>
      <c r="Y236" s="932"/>
      <c r="Z236" s="933" t="s">
        <v>71</v>
      </c>
      <c r="AA236" s="922" t="s">
        <v>31</v>
      </c>
      <c r="AB236" s="934">
        <f t="shared" si="33"/>
        <v>0</v>
      </c>
      <c r="AC236" s="935">
        <f t="shared" si="38"/>
        <v>0.56000000000000005</v>
      </c>
      <c r="AD236" s="934">
        <f t="shared" si="34"/>
        <v>0</v>
      </c>
      <c r="AE236" s="936">
        <f t="shared" si="35"/>
        <v>0</v>
      </c>
      <c r="AF236" s="937">
        <f t="shared" si="36"/>
        <v>0</v>
      </c>
      <c r="AG236" s="938">
        <f t="shared" si="32"/>
        <v>0</v>
      </c>
      <c r="AH236" s="939">
        <f t="shared" si="31"/>
        <v>0</v>
      </c>
      <c r="AI236" s="197"/>
      <c r="AJ236" s="197"/>
      <c r="AK236" s="197"/>
    </row>
    <row r="237" spans="1:37" ht="12.7">
      <c r="A237" s="203" t="s">
        <v>11</v>
      </c>
      <c r="B237" s="204" t="s">
        <v>540</v>
      </c>
      <c r="C237" s="949" t="s">
        <v>670</v>
      </c>
      <c r="D237" s="757" t="s">
        <v>421</v>
      </c>
      <c r="E237" s="769" t="s">
        <v>18</v>
      </c>
      <c r="F237" s="210"/>
      <c r="G237" s="310"/>
      <c r="H237" s="246" t="s">
        <v>73</v>
      </c>
      <c r="I237" s="206">
        <v>42</v>
      </c>
      <c r="J237" s="207">
        <v>7</v>
      </c>
      <c r="K237" s="208">
        <v>49.209000000000003</v>
      </c>
      <c r="L237" s="209">
        <v>82</v>
      </c>
      <c r="M237" s="207">
        <v>32</v>
      </c>
      <c r="N237" s="208">
        <v>12.792999999999999</v>
      </c>
      <c r="O237" s="204" t="s">
        <v>74</v>
      </c>
      <c r="P237" s="206">
        <v>42</v>
      </c>
      <c r="Q237" s="207">
        <v>7</v>
      </c>
      <c r="R237" s="208">
        <v>39.034999999999997</v>
      </c>
      <c r="S237" s="209">
        <v>82</v>
      </c>
      <c r="T237" s="207">
        <v>32</v>
      </c>
      <c r="U237" s="208">
        <v>51.652999999999999</v>
      </c>
      <c r="V237" s="210">
        <v>3</v>
      </c>
      <c r="W237" s="543">
        <v>3104.53</v>
      </c>
      <c r="X237" s="211">
        <v>1993</v>
      </c>
      <c r="Y237" s="204"/>
      <c r="Z237" s="212" t="s">
        <v>14</v>
      </c>
      <c r="AA237" s="210" t="s">
        <v>15</v>
      </c>
      <c r="AB237" s="213">
        <f t="shared" si="33"/>
        <v>46536.904700000006</v>
      </c>
      <c r="AC237" s="214">
        <f t="shared" si="38"/>
        <v>0.50</v>
      </c>
      <c r="AD237" s="213">
        <f t="shared" si="34"/>
        <v>23268.45</v>
      </c>
      <c r="AE237" s="215">
        <f t="shared" si="35"/>
        <v>0</v>
      </c>
      <c r="AF237" s="216">
        <f t="shared" si="36"/>
        <v>0</v>
      </c>
      <c r="AG237" s="260">
        <f t="shared" si="32"/>
        <v>23268.45</v>
      </c>
      <c r="AH237" s="535">
        <f t="shared" si="31"/>
        <v>23268</v>
      </c>
      <c r="AI237" s="198">
        <v>2.33</v>
      </c>
      <c r="AJ237" s="198">
        <v>13.46</v>
      </c>
      <c r="AK237" s="198">
        <v>3.53</v>
      </c>
    </row>
    <row r="238" spans="1:37" ht="12.7">
      <c r="A238" s="203" t="s">
        <v>11</v>
      </c>
      <c r="B238" s="204" t="s">
        <v>540</v>
      </c>
      <c r="C238" s="949" t="s">
        <v>670</v>
      </c>
      <c r="D238" s="757" t="s">
        <v>421</v>
      </c>
      <c r="E238" s="769" t="s">
        <v>18</v>
      </c>
      <c r="F238" s="204"/>
      <c r="G238" s="310"/>
      <c r="H238" s="246" t="s">
        <v>74</v>
      </c>
      <c r="I238" s="206">
        <v>42</v>
      </c>
      <c r="J238" s="207">
        <v>7</v>
      </c>
      <c r="K238" s="208">
        <v>39.034999999999997</v>
      </c>
      <c r="L238" s="209">
        <v>82</v>
      </c>
      <c r="M238" s="207">
        <v>31</v>
      </c>
      <c r="N238" s="208">
        <v>51.652999999999999</v>
      </c>
      <c r="O238" s="204" t="s">
        <v>33</v>
      </c>
      <c r="P238" s="206">
        <v>42</v>
      </c>
      <c r="Q238" s="207">
        <v>7</v>
      </c>
      <c r="R238" s="208">
        <v>22.13</v>
      </c>
      <c r="S238" s="209">
        <v>82</v>
      </c>
      <c r="T238" s="207">
        <v>31</v>
      </c>
      <c r="U238" s="208">
        <v>11.186</v>
      </c>
      <c r="V238" s="210">
        <v>3</v>
      </c>
      <c r="W238" s="543">
        <v>4274.32</v>
      </c>
      <c r="X238" s="211">
        <v>1993</v>
      </c>
      <c r="Y238" s="204"/>
      <c r="Z238" s="212" t="s">
        <v>14</v>
      </c>
      <c r="AA238" s="210" t="s">
        <v>15</v>
      </c>
      <c r="AB238" s="213">
        <f t="shared" si="33"/>
        <v>64072.056799999998</v>
      </c>
      <c r="AC238" s="214">
        <f t="shared" si="38"/>
        <v>0.50</v>
      </c>
      <c r="AD238" s="213">
        <f t="shared" si="34"/>
        <v>32036.03</v>
      </c>
      <c r="AE238" s="215">
        <f t="shared" si="35"/>
        <v>0</v>
      </c>
      <c r="AF238" s="216">
        <f t="shared" si="36"/>
        <v>0</v>
      </c>
      <c r="AG238" s="260">
        <f t="shared" si="32"/>
        <v>32036.03</v>
      </c>
      <c r="AH238" s="535">
        <f t="shared" si="31"/>
        <v>32036</v>
      </c>
      <c r="AI238" s="198">
        <v>2.83</v>
      </c>
      <c r="AJ238" s="202" t="s">
        <v>613</v>
      </c>
      <c r="AK238" s="198">
        <v>2.83</v>
      </c>
    </row>
    <row r="239" spans="1:37" ht="12.7">
      <c r="A239" s="203" t="s">
        <v>11</v>
      </c>
      <c r="B239" s="204" t="s">
        <v>540</v>
      </c>
      <c r="C239" s="949" t="s">
        <v>670</v>
      </c>
      <c r="D239" s="757" t="s">
        <v>421</v>
      </c>
      <c r="E239" s="769" t="s">
        <v>18</v>
      </c>
      <c r="F239" s="204"/>
      <c r="G239" s="310"/>
      <c r="H239" s="246" t="s">
        <v>33</v>
      </c>
      <c r="I239" s="206">
        <v>42</v>
      </c>
      <c r="J239" s="207">
        <v>7</v>
      </c>
      <c r="K239" s="208">
        <v>22.13</v>
      </c>
      <c r="L239" s="209">
        <v>82</v>
      </c>
      <c r="M239" s="207">
        <v>31</v>
      </c>
      <c r="N239" s="208">
        <v>11.186</v>
      </c>
      <c r="O239" s="204" t="s">
        <v>76</v>
      </c>
      <c r="P239" s="206">
        <v>42</v>
      </c>
      <c r="Q239" s="207">
        <v>7</v>
      </c>
      <c r="R239" s="208">
        <v>11</v>
      </c>
      <c r="S239" s="209">
        <v>82</v>
      </c>
      <c r="T239" s="207">
        <v>30</v>
      </c>
      <c r="U239" s="208">
        <v>58.326000000000001</v>
      </c>
      <c r="V239" s="210">
        <v>3</v>
      </c>
      <c r="W239" s="543">
        <v>2303.9499999999998</v>
      </c>
      <c r="X239" s="211">
        <v>1990</v>
      </c>
      <c r="Y239" s="204"/>
      <c r="Z239" s="212" t="s">
        <v>14</v>
      </c>
      <c r="AA239" s="210" t="s">
        <v>15</v>
      </c>
      <c r="AB239" s="213">
        <f t="shared" si="33"/>
        <v>34536.210500000001</v>
      </c>
      <c r="AC239" s="214">
        <f t="shared" si="38"/>
        <v>0.52</v>
      </c>
      <c r="AD239" s="213">
        <f t="shared" si="34"/>
        <v>16577.38</v>
      </c>
      <c r="AE239" s="215">
        <f t="shared" si="35"/>
        <v>0</v>
      </c>
      <c r="AF239" s="216">
        <f t="shared" si="36"/>
        <v>0</v>
      </c>
      <c r="AG239" s="260">
        <f t="shared" si="32"/>
        <v>16577.38</v>
      </c>
      <c r="AH239" s="535">
        <f t="shared" si="31"/>
        <v>16577</v>
      </c>
      <c r="AI239" s="198">
        <v>0.38</v>
      </c>
      <c r="AJ239" s="198">
        <v>3.40</v>
      </c>
      <c r="AK239" s="198">
        <v>3.88</v>
      </c>
    </row>
    <row r="240" spans="1:37" s="99" customFormat="1" ht="12.7">
      <c r="A240" s="961" t="s">
        <v>11</v>
      </c>
      <c r="B240" s="962" t="s">
        <v>540</v>
      </c>
      <c r="C240" s="949" t="s">
        <v>670</v>
      </c>
      <c r="D240" s="963" t="s">
        <v>421</v>
      </c>
      <c r="E240" s="769" t="s">
        <v>18</v>
      </c>
      <c r="F240" s="204"/>
      <c r="G240" s="310" t="s">
        <v>281</v>
      </c>
      <c r="H240" s="246" t="s">
        <v>77</v>
      </c>
      <c r="I240" s="206">
        <v>42</v>
      </c>
      <c r="J240" s="207">
        <v>7</v>
      </c>
      <c r="K240" s="208">
        <v>20.673999999999999</v>
      </c>
      <c r="L240" s="209">
        <v>82</v>
      </c>
      <c r="M240" s="207">
        <v>30</v>
      </c>
      <c r="N240" s="208">
        <v>45.161999999999999</v>
      </c>
      <c r="O240" s="204" t="s">
        <v>78</v>
      </c>
      <c r="P240" s="206">
        <v>42</v>
      </c>
      <c r="Q240" s="207">
        <v>7</v>
      </c>
      <c r="R240" s="208">
        <v>14.804</v>
      </c>
      <c r="S240" s="209">
        <v>82</v>
      </c>
      <c r="T240" s="207">
        <v>30</v>
      </c>
      <c r="U240" s="208">
        <v>45.331000000000003</v>
      </c>
      <c r="V240" s="210">
        <v>3</v>
      </c>
      <c r="W240" s="543">
        <v>577.55999999999995</v>
      </c>
      <c r="X240" s="211">
        <v>1990</v>
      </c>
      <c r="Y240" s="204"/>
      <c r="Z240" s="212" t="s">
        <v>14</v>
      </c>
      <c r="AA240" s="210" t="s">
        <v>15</v>
      </c>
      <c r="AB240" s="213">
        <f t="shared" si="33"/>
        <v>0</v>
      </c>
      <c r="AC240" s="214">
        <f t="shared" si="38"/>
        <v>0.52</v>
      </c>
      <c r="AD240" s="213">
        <f t="shared" si="34"/>
        <v>0</v>
      </c>
      <c r="AE240" s="215">
        <f t="shared" si="35"/>
        <v>0</v>
      </c>
      <c r="AF240" s="216">
        <f t="shared" si="36"/>
        <v>0</v>
      </c>
      <c r="AG240" s="260">
        <f t="shared" si="32"/>
        <v>0</v>
      </c>
      <c r="AH240" s="535">
        <f t="shared" si="31"/>
        <v>0</v>
      </c>
      <c r="AI240" s="197"/>
      <c r="AJ240" s="197"/>
      <c r="AK240" s="197"/>
    </row>
    <row r="241" spans="1:37" ht="12.7">
      <c r="A241" s="203" t="s">
        <v>11</v>
      </c>
      <c r="B241" s="204" t="s">
        <v>540</v>
      </c>
      <c r="C241" s="949" t="s">
        <v>670</v>
      </c>
      <c r="D241" s="757" t="s">
        <v>421</v>
      </c>
      <c r="E241" s="769" t="s">
        <v>18</v>
      </c>
      <c r="F241" s="204"/>
      <c r="G241" s="310"/>
      <c r="H241" s="246" t="s">
        <v>79</v>
      </c>
      <c r="I241" s="206">
        <v>42</v>
      </c>
      <c r="J241" s="207">
        <v>7</v>
      </c>
      <c r="K241" s="208">
        <v>5.1379999999999999</v>
      </c>
      <c r="L241" s="209">
        <v>82</v>
      </c>
      <c r="M241" s="207">
        <v>30</v>
      </c>
      <c r="N241" s="208">
        <v>33.39</v>
      </c>
      <c r="O241" s="204" t="s">
        <v>80</v>
      </c>
      <c r="P241" s="206">
        <v>42</v>
      </c>
      <c r="Q241" s="207">
        <v>7</v>
      </c>
      <c r="R241" s="208">
        <v>9.8610000000000007</v>
      </c>
      <c r="S241" s="209">
        <v>82</v>
      </c>
      <c r="T241" s="207">
        <v>30</v>
      </c>
      <c r="U241" s="208">
        <v>33.700000000000003</v>
      </c>
      <c r="V241" s="210">
        <v>3</v>
      </c>
      <c r="W241" s="543">
        <v>478.74</v>
      </c>
      <c r="X241" s="211">
        <v>1990</v>
      </c>
      <c r="Y241" s="204"/>
      <c r="Z241" s="212" t="s">
        <v>14</v>
      </c>
      <c r="AA241" s="210" t="s">
        <v>15</v>
      </c>
      <c r="AB241" s="213">
        <f t="shared" si="33"/>
        <v>7176.3126000000002</v>
      </c>
      <c r="AC241" s="214">
        <f t="shared" si="38"/>
        <v>0.52</v>
      </c>
      <c r="AD241" s="213">
        <f t="shared" si="34"/>
        <v>3444.63</v>
      </c>
      <c r="AE241" s="215">
        <f t="shared" si="35"/>
        <v>0</v>
      </c>
      <c r="AF241" s="216">
        <f t="shared" si="36"/>
        <v>0</v>
      </c>
      <c r="AG241" s="260">
        <f t="shared" si="32"/>
        <v>3444.63</v>
      </c>
      <c r="AH241" s="535">
        <f t="shared" si="31"/>
        <v>3444</v>
      </c>
      <c r="AI241" s="278">
        <v>3.08</v>
      </c>
      <c r="AJ241" s="278">
        <v>12.52</v>
      </c>
      <c r="AK241" s="278">
        <v>3.53</v>
      </c>
    </row>
    <row r="242" spans="1:37" ht="12.7">
      <c r="A242" s="875" t="s">
        <v>11</v>
      </c>
      <c r="B242" s="876" t="s">
        <v>540</v>
      </c>
      <c r="C242" s="877" t="s">
        <v>670</v>
      </c>
      <c r="D242" s="878" t="s">
        <v>421</v>
      </c>
      <c r="E242" s="879" t="s">
        <v>18</v>
      </c>
      <c r="F242" s="876"/>
      <c r="G242" s="881"/>
      <c r="H242" s="940" t="s">
        <v>81</v>
      </c>
      <c r="I242" s="883">
        <v>42</v>
      </c>
      <c r="J242" s="884">
        <v>7</v>
      </c>
      <c r="K242" s="885">
        <v>13.898</v>
      </c>
      <c r="L242" s="886">
        <v>82</v>
      </c>
      <c r="M242" s="884">
        <v>30</v>
      </c>
      <c r="N242" s="885">
        <v>18.317</v>
      </c>
      <c r="O242" s="876" t="s">
        <v>84</v>
      </c>
      <c r="P242" s="883">
        <v>42</v>
      </c>
      <c r="Q242" s="884">
        <v>7</v>
      </c>
      <c r="R242" s="885">
        <v>9.2330000000000005</v>
      </c>
      <c r="S242" s="886">
        <v>82</v>
      </c>
      <c r="T242" s="884">
        <v>30</v>
      </c>
      <c r="U242" s="885">
        <v>14.24</v>
      </c>
      <c r="V242" s="880">
        <v>3</v>
      </c>
      <c r="W242" s="964">
        <v>710.33</v>
      </c>
      <c r="X242" s="888">
        <v>1998</v>
      </c>
      <c r="Y242" s="876"/>
      <c r="Z242" s="889" t="s">
        <v>82</v>
      </c>
      <c r="AA242" s="880" t="s">
        <v>15</v>
      </c>
      <c r="AB242" s="890">
        <f t="shared" si="33"/>
        <v>10647.8467</v>
      </c>
      <c r="AC242" s="891">
        <f t="shared" si="38"/>
        <v>0.40</v>
      </c>
      <c r="AD242" s="890">
        <f t="shared" si="34"/>
        <v>6388.71</v>
      </c>
      <c r="AE242" s="892">
        <f t="shared" si="35"/>
        <v>0</v>
      </c>
      <c r="AF242" s="893">
        <f t="shared" si="36"/>
        <v>0</v>
      </c>
      <c r="AG242" s="894">
        <f t="shared" si="32"/>
        <v>6388.71</v>
      </c>
      <c r="AH242" s="895">
        <f t="shared" si="31"/>
        <v>6388</v>
      </c>
      <c r="AI242" s="1044">
        <v>5.03</v>
      </c>
      <c r="AJ242" s="1044">
        <v>7.67</v>
      </c>
      <c r="AK242" s="1044">
        <v>0.71</v>
      </c>
    </row>
    <row r="243" spans="1:37" ht="12.7">
      <c r="A243" s="942" t="s">
        <v>11</v>
      </c>
      <c r="B243" s="932" t="s">
        <v>540</v>
      </c>
      <c r="C243" s="945" t="s">
        <v>670</v>
      </c>
      <c r="D243" s="943" t="s">
        <v>421</v>
      </c>
      <c r="E243" s="921" t="s">
        <v>18</v>
      </c>
      <c r="F243" s="932"/>
      <c r="G243" s="923"/>
      <c r="H243" s="944" t="s">
        <v>83</v>
      </c>
      <c r="I243" s="925">
        <v>42</v>
      </c>
      <c r="J243" s="926">
        <v>7</v>
      </c>
      <c r="K243" s="927">
        <v>6.2969999999999997</v>
      </c>
      <c r="L243" s="928">
        <v>82</v>
      </c>
      <c r="M243" s="926">
        <v>30</v>
      </c>
      <c r="N243" s="927">
        <v>14.486000000000001</v>
      </c>
      <c r="O243" s="932" t="s">
        <v>84</v>
      </c>
      <c r="P243" s="925">
        <v>42</v>
      </c>
      <c r="Q243" s="926">
        <v>7</v>
      </c>
      <c r="R243" s="927">
        <v>9.2330000000000005</v>
      </c>
      <c r="S243" s="928">
        <v>82</v>
      </c>
      <c r="T243" s="926">
        <v>30</v>
      </c>
      <c r="U243" s="927">
        <v>14.24</v>
      </c>
      <c r="V243" s="922">
        <v>3</v>
      </c>
      <c r="W243" s="930">
        <v>297.83</v>
      </c>
      <c r="X243" s="931">
        <v>1993</v>
      </c>
      <c r="Y243" s="932"/>
      <c r="Z243" s="933" t="s">
        <v>14</v>
      </c>
      <c r="AA243" s="922" t="s">
        <v>15</v>
      </c>
      <c r="AB243" s="934">
        <f t="shared" si="33"/>
        <v>4464.4717000000001</v>
      </c>
      <c r="AC243" s="935">
        <f t="shared" si="38"/>
        <v>0.50</v>
      </c>
      <c r="AD243" s="934">
        <f t="shared" si="34"/>
        <v>2232.2399999999998</v>
      </c>
      <c r="AE243" s="936">
        <f t="shared" si="35"/>
        <v>0</v>
      </c>
      <c r="AF243" s="937">
        <f t="shared" si="36"/>
        <v>0</v>
      </c>
      <c r="AG243" s="938">
        <f t="shared" si="32"/>
        <v>2232.2399999999998</v>
      </c>
      <c r="AH243" s="939">
        <f t="shared" si="31"/>
        <v>2232</v>
      </c>
      <c r="AI243" s="1044"/>
      <c r="AJ243" s="1044"/>
      <c r="AK243" s="1044"/>
    </row>
    <row r="244" spans="1:37" ht="12.7">
      <c r="A244" s="203" t="s">
        <v>11</v>
      </c>
      <c r="B244" s="204" t="s">
        <v>540</v>
      </c>
      <c r="C244" s="949" t="s">
        <v>670</v>
      </c>
      <c r="D244" s="757" t="s">
        <v>421</v>
      </c>
      <c r="E244" s="779" t="s">
        <v>18</v>
      </c>
      <c r="F244" s="294"/>
      <c r="G244" s="316" t="s">
        <v>281</v>
      </c>
      <c r="H244" s="295" t="s">
        <v>85</v>
      </c>
      <c r="I244" s="296">
        <v>42</v>
      </c>
      <c r="J244" s="297">
        <v>6</v>
      </c>
      <c r="K244" s="298">
        <v>59.298999999999999</v>
      </c>
      <c r="L244" s="299">
        <v>82</v>
      </c>
      <c r="M244" s="297">
        <v>29</v>
      </c>
      <c r="N244" s="298">
        <v>24.611999999999998</v>
      </c>
      <c r="O244" s="294" t="s">
        <v>86</v>
      </c>
      <c r="P244" s="296">
        <v>42</v>
      </c>
      <c r="Q244" s="297">
        <v>6</v>
      </c>
      <c r="R244" s="298">
        <v>58.064</v>
      </c>
      <c r="S244" s="299">
        <v>82</v>
      </c>
      <c r="T244" s="297">
        <v>29</v>
      </c>
      <c r="U244" s="298">
        <v>25.881</v>
      </c>
      <c r="V244" s="293">
        <v>3</v>
      </c>
      <c r="W244" s="551">
        <v>157.44999999999999</v>
      </c>
      <c r="X244" s="301">
        <v>1990</v>
      </c>
      <c r="Y244" s="294"/>
      <c r="Z244" s="302" t="s">
        <v>14</v>
      </c>
      <c r="AA244" s="293" t="s">
        <v>15</v>
      </c>
      <c r="AB244" s="303">
        <f t="shared" si="33"/>
        <v>0</v>
      </c>
      <c r="AC244" s="304">
        <f t="shared" si="38"/>
        <v>0.52</v>
      </c>
      <c r="AD244" s="303">
        <f t="shared" si="34"/>
        <v>0</v>
      </c>
      <c r="AE244" s="305">
        <f t="shared" si="35"/>
        <v>0</v>
      </c>
      <c r="AF244" s="306">
        <f t="shared" si="36"/>
        <v>0</v>
      </c>
      <c r="AG244" s="437">
        <f t="shared" si="32"/>
        <v>0</v>
      </c>
      <c r="AH244" s="518">
        <f t="shared" si="31"/>
        <v>0</v>
      </c>
      <c r="AI244" s="197"/>
      <c r="AJ244" s="197"/>
      <c r="AK244" s="197"/>
    </row>
    <row r="245" spans="1:37" ht="12.7">
      <c r="A245" s="203" t="s">
        <v>11</v>
      </c>
      <c r="B245" s="204" t="s">
        <v>540</v>
      </c>
      <c r="C245" s="949" t="s">
        <v>670</v>
      </c>
      <c r="D245" s="757" t="s">
        <v>421</v>
      </c>
      <c r="E245" s="769" t="s">
        <v>18</v>
      </c>
      <c r="F245" s="204"/>
      <c r="G245" s="310" t="s">
        <v>281</v>
      </c>
      <c r="H245" s="246" t="s">
        <v>87</v>
      </c>
      <c r="I245" s="206">
        <v>42</v>
      </c>
      <c r="J245" s="207">
        <v>6</v>
      </c>
      <c r="K245" s="208">
        <v>52.710999999999999</v>
      </c>
      <c r="L245" s="209">
        <v>82</v>
      </c>
      <c r="M245" s="207">
        <v>29</v>
      </c>
      <c r="N245" s="208">
        <v>9.11</v>
      </c>
      <c r="O245" s="204" t="s">
        <v>88</v>
      </c>
      <c r="P245" s="206">
        <v>42</v>
      </c>
      <c r="Q245" s="207">
        <v>6</v>
      </c>
      <c r="R245" s="208">
        <v>51.067</v>
      </c>
      <c r="S245" s="209">
        <v>82</v>
      </c>
      <c r="T245" s="207">
        <v>29</v>
      </c>
      <c r="U245" s="208">
        <v>10.395</v>
      </c>
      <c r="V245" s="210">
        <v>3</v>
      </c>
      <c r="W245" s="543">
        <v>192.59</v>
      </c>
      <c r="X245" s="211">
        <v>1990</v>
      </c>
      <c r="Y245" s="204"/>
      <c r="Z245" s="212" t="s">
        <v>14</v>
      </c>
      <c r="AA245" s="210" t="s">
        <v>15</v>
      </c>
      <c r="AB245" s="213">
        <f t="shared" si="33"/>
        <v>0</v>
      </c>
      <c r="AC245" s="214">
        <f t="shared" si="38"/>
        <v>0.52</v>
      </c>
      <c r="AD245" s="213">
        <f t="shared" si="34"/>
        <v>0</v>
      </c>
      <c r="AE245" s="215">
        <f t="shared" si="35"/>
        <v>0</v>
      </c>
      <c r="AF245" s="216">
        <f t="shared" si="36"/>
        <v>0</v>
      </c>
      <c r="AG245" s="260">
        <f t="shared" si="32"/>
        <v>0</v>
      </c>
      <c r="AH245" s="522">
        <f t="shared" si="31"/>
        <v>0</v>
      </c>
      <c r="AI245" s="197"/>
      <c r="AJ245" s="197"/>
      <c r="AK245" s="197"/>
    </row>
    <row r="246" spans="1:37" ht="12.7">
      <c r="A246" s="203" t="s">
        <v>11</v>
      </c>
      <c r="B246" s="204" t="s">
        <v>540</v>
      </c>
      <c r="C246" s="949" t="s">
        <v>670</v>
      </c>
      <c r="D246" s="757" t="s">
        <v>421</v>
      </c>
      <c r="E246" s="769" t="s">
        <v>18</v>
      </c>
      <c r="F246" s="204"/>
      <c r="G246" s="310" t="s">
        <v>281</v>
      </c>
      <c r="H246" s="246" t="s">
        <v>89</v>
      </c>
      <c r="I246" s="206">
        <v>42</v>
      </c>
      <c r="J246" s="207">
        <v>6</v>
      </c>
      <c r="K246" s="208">
        <v>48.329000000000001</v>
      </c>
      <c r="L246" s="209">
        <v>82</v>
      </c>
      <c r="M246" s="207">
        <v>28</v>
      </c>
      <c r="N246" s="208">
        <v>55.850999999999999</v>
      </c>
      <c r="O246" s="204" t="s">
        <v>90</v>
      </c>
      <c r="P246" s="206">
        <v>42</v>
      </c>
      <c r="Q246" s="207">
        <v>6</v>
      </c>
      <c r="R246" s="208">
        <v>46.815</v>
      </c>
      <c r="S246" s="209">
        <v>82</v>
      </c>
      <c r="T246" s="207">
        <v>28</v>
      </c>
      <c r="U246" s="208">
        <v>57.323999999999998</v>
      </c>
      <c r="V246" s="210">
        <v>3</v>
      </c>
      <c r="W246" s="543">
        <v>189.27</v>
      </c>
      <c r="X246" s="211">
        <v>1990</v>
      </c>
      <c r="Y246" s="204"/>
      <c r="Z246" s="212" t="s">
        <v>14</v>
      </c>
      <c r="AA246" s="210" t="s">
        <v>15</v>
      </c>
      <c r="AB246" s="213">
        <f t="shared" si="33"/>
        <v>0</v>
      </c>
      <c r="AC246" s="214">
        <f t="shared" si="38"/>
        <v>0.52</v>
      </c>
      <c r="AD246" s="213">
        <f t="shared" si="34"/>
        <v>0</v>
      </c>
      <c r="AE246" s="215">
        <f t="shared" si="35"/>
        <v>0</v>
      </c>
      <c r="AF246" s="216">
        <f t="shared" si="36"/>
        <v>0</v>
      </c>
      <c r="AG246" s="260">
        <f t="shared" si="32"/>
        <v>0</v>
      </c>
      <c r="AH246" s="522">
        <f t="shared" si="39" ref="AH246:AH309">ROUNDDOWN(AG246,0)</f>
        <v>0</v>
      </c>
      <c r="AI246" s="197"/>
      <c r="AJ246" s="197"/>
      <c r="AK246" s="197"/>
    </row>
    <row r="247" spans="1:37" s="122" customFormat="1" ht="12.7">
      <c r="A247" s="990" t="s">
        <v>11</v>
      </c>
      <c r="B247" s="991" t="s">
        <v>540</v>
      </c>
      <c r="C247" s="877" t="s">
        <v>670</v>
      </c>
      <c r="D247" s="992" t="s">
        <v>421</v>
      </c>
      <c r="E247" s="993" t="s">
        <v>18</v>
      </c>
      <c r="F247" s="991"/>
      <c r="G247" s="994"/>
      <c r="H247" s="995" t="s">
        <v>6</v>
      </c>
      <c r="I247" s="996">
        <v>42</v>
      </c>
      <c r="J247" s="997">
        <v>6</v>
      </c>
      <c r="K247" s="998">
        <v>53.575</v>
      </c>
      <c r="L247" s="999">
        <v>82</v>
      </c>
      <c r="M247" s="997">
        <v>27</v>
      </c>
      <c r="N247" s="998">
        <v>40.695</v>
      </c>
      <c r="O247" s="991" t="s">
        <v>91</v>
      </c>
      <c r="P247" s="996">
        <v>42</v>
      </c>
      <c r="Q247" s="997">
        <v>6</v>
      </c>
      <c r="R247" s="998">
        <v>39.14</v>
      </c>
      <c r="S247" s="999">
        <v>82</v>
      </c>
      <c r="T247" s="997">
        <v>28</v>
      </c>
      <c r="U247" s="998">
        <v>26.62</v>
      </c>
      <c r="V247" s="1000">
        <v>3</v>
      </c>
      <c r="W247" s="887">
        <v>3757.74</v>
      </c>
      <c r="X247" s="1001">
        <v>1990</v>
      </c>
      <c r="Y247" s="991"/>
      <c r="Z247" s="1002" t="s">
        <v>53</v>
      </c>
      <c r="AA247" s="1000" t="s">
        <v>31</v>
      </c>
      <c r="AB247" s="1003">
        <f t="shared" si="33"/>
        <v>115137.15359999999</v>
      </c>
      <c r="AC247" s="1004">
        <f t="shared" si="38"/>
        <v>0.52</v>
      </c>
      <c r="AD247" s="1003">
        <f t="shared" si="34"/>
        <v>55265.83</v>
      </c>
      <c r="AE247" s="1005">
        <f t="shared" si="35"/>
        <v>0</v>
      </c>
      <c r="AF247" s="1006">
        <f t="shared" si="36"/>
        <v>0</v>
      </c>
      <c r="AG247" s="984">
        <f t="shared" si="40" ref="AG247:AG310">AD247-AE247-AF247</f>
        <v>55265.83</v>
      </c>
      <c r="AH247" s="985">
        <f t="shared" si="39"/>
        <v>55265</v>
      </c>
      <c r="AI247" s="1058" t="s">
        <v>624</v>
      </c>
      <c r="AJ247" s="1059"/>
      <c r="AK247" s="1060"/>
    </row>
    <row r="248" spans="1:37" s="122" customFormat="1" ht="12.7">
      <c r="A248" s="1007" t="s">
        <v>11</v>
      </c>
      <c r="B248" s="1008" t="s">
        <v>540</v>
      </c>
      <c r="C248" s="898" t="s">
        <v>670</v>
      </c>
      <c r="D248" s="1009" t="s">
        <v>421</v>
      </c>
      <c r="E248" s="1010" t="s">
        <v>18</v>
      </c>
      <c r="F248" s="1008"/>
      <c r="G248" s="1011"/>
      <c r="H248" s="1012" t="s">
        <v>91</v>
      </c>
      <c r="I248" s="1013">
        <v>42</v>
      </c>
      <c r="J248" s="1014">
        <v>6</v>
      </c>
      <c r="K248" s="1015">
        <v>39.14</v>
      </c>
      <c r="L248" s="1016">
        <v>82</v>
      </c>
      <c r="M248" s="1014">
        <v>28</v>
      </c>
      <c r="N248" s="1015">
        <v>26.62</v>
      </c>
      <c r="O248" s="1008" t="s">
        <v>92</v>
      </c>
      <c r="P248" s="1013">
        <v>42</v>
      </c>
      <c r="Q248" s="1014">
        <v>6</v>
      </c>
      <c r="R248" s="1015">
        <v>39.93</v>
      </c>
      <c r="S248" s="1016">
        <v>82</v>
      </c>
      <c r="T248" s="1014">
        <v>28</v>
      </c>
      <c r="U248" s="1015">
        <v>32.521000000000001</v>
      </c>
      <c r="V248" s="1017">
        <v>3</v>
      </c>
      <c r="W248" s="909">
        <v>451.97</v>
      </c>
      <c r="X248" s="1018">
        <v>1990</v>
      </c>
      <c r="Y248" s="1008"/>
      <c r="Z248" s="1019" t="s">
        <v>53</v>
      </c>
      <c r="AA248" s="1017" t="s">
        <v>31</v>
      </c>
      <c r="AB248" s="1020">
        <f t="shared" si="33"/>
        <v>13848.3608</v>
      </c>
      <c r="AC248" s="1021">
        <f t="shared" si="38"/>
        <v>0.52</v>
      </c>
      <c r="AD248" s="1020">
        <f t="shared" si="34"/>
        <v>6647.21</v>
      </c>
      <c r="AE248" s="1022">
        <f t="shared" si="35"/>
        <v>0</v>
      </c>
      <c r="AF248" s="1023">
        <f t="shared" si="36"/>
        <v>0</v>
      </c>
      <c r="AG248" s="986">
        <f t="shared" si="40"/>
        <v>6647.21</v>
      </c>
      <c r="AH248" s="987">
        <f t="shared" si="39"/>
        <v>6647</v>
      </c>
      <c r="AI248" s="1058"/>
      <c r="AJ248" s="1059"/>
      <c r="AK248" s="1060"/>
    </row>
    <row r="249" spans="1:37" s="122" customFormat="1" ht="12.7">
      <c r="A249" s="1024" t="s">
        <v>11</v>
      </c>
      <c r="B249" s="1025" t="s">
        <v>540</v>
      </c>
      <c r="C249" s="945" t="s">
        <v>670</v>
      </c>
      <c r="D249" s="1026" t="s">
        <v>421</v>
      </c>
      <c r="E249" s="1027" t="s">
        <v>18</v>
      </c>
      <c r="F249" s="1025"/>
      <c r="G249" s="1028"/>
      <c r="H249" s="1029" t="s">
        <v>6</v>
      </c>
      <c r="I249" s="1030">
        <v>42</v>
      </c>
      <c r="J249" s="1031">
        <v>6</v>
      </c>
      <c r="K249" s="1032">
        <v>49.076999999999998</v>
      </c>
      <c r="L249" s="1033">
        <v>82</v>
      </c>
      <c r="M249" s="1031">
        <v>27</v>
      </c>
      <c r="N249" s="1032">
        <v>42.067999999999998</v>
      </c>
      <c r="O249" s="1025" t="s">
        <v>93</v>
      </c>
      <c r="P249" s="1030">
        <v>42</v>
      </c>
      <c r="Q249" s="1031">
        <v>6</v>
      </c>
      <c r="R249" s="1032">
        <v>38.731999999999999</v>
      </c>
      <c r="S249" s="1033">
        <v>82</v>
      </c>
      <c r="T249" s="1031">
        <v>28</v>
      </c>
      <c r="U249" s="1032">
        <v>26.542999999999999</v>
      </c>
      <c r="V249" s="1034">
        <v>3</v>
      </c>
      <c r="W249" s="930">
        <v>3512.40</v>
      </c>
      <c r="X249" s="1035">
        <v>1990</v>
      </c>
      <c r="Y249" s="1025"/>
      <c r="Z249" s="1036" t="s">
        <v>60</v>
      </c>
      <c r="AA249" s="1034" t="s">
        <v>31</v>
      </c>
      <c r="AB249" s="1037">
        <f t="shared" si="33"/>
        <v>107619.936</v>
      </c>
      <c r="AC249" s="1038">
        <f t="shared" si="38"/>
        <v>0.52</v>
      </c>
      <c r="AD249" s="1037">
        <f t="shared" si="34"/>
        <v>51657.57</v>
      </c>
      <c r="AE249" s="1039">
        <f t="shared" si="35"/>
        <v>0</v>
      </c>
      <c r="AF249" s="1040">
        <f t="shared" si="36"/>
        <v>0</v>
      </c>
      <c r="AG249" s="988">
        <f t="shared" si="40"/>
        <v>51657.57</v>
      </c>
      <c r="AH249" s="989">
        <f t="shared" si="39"/>
        <v>51657</v>
      </c>
      <c r="AI249" s="1058"/>
      <c r="AJ249" s="1059"/>
      <c r="AK249" s="1060"/>
    </row>
    <row r="250" spans="1:37" s="122" customFormat="1" ht="12.7">
      <c r="A250" s="801" t="s">
        <v>11</v>
      </c>
      <c r="B250" s="231" t="s">
        <v>540</v>
      </c>
      <c r="C250" s="874" t="s">
        <v>670</v>
      </c>
      <c r="D250" s="802" t="s">
        <v>421</v>
      </c>
      <c r="E250" s="968" t="s">
        <v>18</v>
      </c>
      <c r="F250" s="969"/>
      <c r="G250" s="970"/>
      <c r="H250" s="971" t="s">
        <v>290</v>
      </c>
      <c r="I250" s="972"/>
      <c r="J250" s="973"/>
      <c r="K250" s="974"/>
      <c r="L250" s="975"/>
      <c r="M250" s="973"/>
      <c r="N250" s="974"/>
      <c r="O250" s="969" t="s">
        <v>62</v>
      </c>
      <c r="P250" s="972"/>
      <c r="Q250" s="973"/>
      <c r="R250" s="974"/>
      <c r="S250" s="975"/>
      <c r="T250" s="973"/>
      <c r="U250" s="974"/>
      <c r="V250" s="976">
        <v>3</v>
      </c>
      <c r="W250" s="551">
        <v>3818.04</v>
      </c>
      <c r="X250" s="977">
        <v>1993</v>
      </c>
      <c r="Y250" s="969"/>
      <c r="Z250" s="978" t="s">
        <v>60</v>
      </c>
      <c r="AA250" s="976" t="s">
        <v>31</v>
      </c>
      <c r="AB250" s="979">
        <f t="shared" si="33"/>
        <v>116984.74559999999</v>
      </c>
      <c r="AC250" s="980">
        <f t="shared" si="38"/>
        <v>0.50</v>
      </c>
      <c r="AD250" s="979">
        <f t="shared" si="34"/>
        <v>58492.37</v>
      </c>
      <c r="AE250" s="981">
        <f t="shared" si="35"/>
        <v>0</v>
      </c>
      <c r="AF250" s="982">
        <f t="shared" si="36"/>
        <v>0</v>
      </c>
      <c r="AG250" s="822">
        <f t="shared" si="40"/>
        <v>58492.37</v>
      </c>
      <c r="AH250" s="983">
        <f t="shared" si="39"/>
        <v>58492</v>
      </c>
      <c r="AI250" s="1065">
        <v>0.88</v>
      </c>
      <c r="AJ250" s="1065">
        <v>6.35</v>
      </c>
      <c r="AK250" s="1065">
        <v>2.4700000000000002</v>
      </c>
    </row>
    <row r="251" spans="1:37" s="122" customFormat="1" ht="12.7">
      <c r="A251" s="108" t="s">
        <v>11</v>
      </c>
      <c r="B251" s="109" t="s">
        <v>540</v>
      </c>
      <c r="C251" s="467" t="s">
        <v>670</v>
      </c>
      <c r="D251" s="319" t="s">
        <v>421</v>
      </c>
      <c r="E251" s="777" t="s">
        <v>18</v>
      </c>
      <c r="F251" s="331"/>
      <c r="G251" s="332"/>
      <c r="H251" s="333" t="s">
        <v>290</v>
      </c>
      <c r="I251" s="334"/>
      <c r="J251" s="335"/>
      <c r="K251" s="336"/>
      <c r="L251" s="337"/>
      <c r="M251" s="335"/>
      <c r="N251" s="336"/>
      <c r="O251" s="331" t="s">
        <v>64</v>
      </c>
      <c r="P251" s="334">
        <v>42</v>
      </c>
      <c r="Q251" s="335">
        <v>2</v>
      </c>
      <c r="R251" s="336">
        <v>5.4720000000000004</v>
      </c>
      <c r="S251" s="337">
        <v>82</v>
      </c>
      <c r="T251" s="335">
        <v>33</v>
      </c>
      <c r="U251" s="336">
        <v>16.132000000000001</v>
      </c>
      <c r="V251" s="338">
        <v>3</v>
      </c>
      <c r="W251" s="543">
        <v>2249.37</v>
      </c>
      <c r="X251" s="339">
        <v>1994</v>
      </c>
      <c r="Y251" s="331"/>
      <c r="Z251" s="340" t="s">
        <v>60</v>
      </c>
      <c r="AA251" s="338" t="s">
        <v>31</v>
      </c>
      <c r="AB251" s="341">
        <f t="shared" si="33"/>
        <v>68920.696800000005</v>
      </c>
      <c r="AC251" s="342">
        <f t="shared" si="38"/>
        <v>0.49</v>
      </c>
      <c r="AD251" s="341">
        <f t="shared" si="34"/>
        <v>35149.56</v>
      </c>
      <c r="AE251" s="343">
        <f t="shared" si="35"/>
        <v>0</v>
      </c>
      <c r="AF251" s="344">
        <f t="shared" si="36"/>
        <v>0</v>
      </c>
      <c r="AG251" s="492">
        <f t="shared" si="40"/>
        <v>35149.56</v>
      </c>
      <c r="AH251" s="525">
        <f t="shared" si="39"/>
        <v>35149</v>
      </c>
      <c r="AI251" s="1065"/>
      <c r="AJ251" s="1065"/>
      <c r="AK251" s="1065"/>
    </row>
    <row r="252" spans="1:37" s="122" customFormat="1" ht="12.7">
      <c r="A252" s="108" t="s">
        <v>11</v>
      </c>
      <c r="B252" s="109" t="s">
        <v>540</v>
      </c>
      <c r="C252" s="467" t="s">
        <v>670</v>
      </c>
      <c r="D252" s="319" t="s">
        <v>421</v>
      </c>
      <c r="E252" s="777" t="s">
        <v>18</v>
      </c>
      <c r="F252" s="331"/>
      <c r="G252" s="332"/>
      <c r="H252" s="333" t="s">
        <v>301</v>
      </c>
      <c r="I252" s="334"/>
      <c r="J252" s="335"/>
      <c r="K252" s="336"/>
      <c r="L252" s="337"/>
      <c r="M252" s="335"/>
      <c r="N252" s="336"/>
      <c r="O252" s="331" t="s">
        <v>179</v>
      </c>
      <c r="P252" s="334"/>
      <c r="Q252" s="335"/>
      <c r="R252" s="336"/>
      <c r="S252" s="337"/>
      <c r="T252" s="335"/>
      <c r="U252" s="336"/>
      <c r="V252" s="338">
        <v>3</v>
      </c>
      <c r="W252" s="543">
        <v>401.78</v>
      </c>
      <c r="X252" s="339">
        <v>1998</v>
      </c>
      <c r="Y252" s="331"/>
      <c r="Z252" s="340" t="s">
        <v>14</v>
      </c>
      <c r="AA252" s="338" t="s">
        <v>15</v>
      </c>
      <c r="AB252" s="341">
        <f t="shared" si="33"/>
        <v>6022.6821999999993</v>
      </c>
      <c r="AC252" s="342">
        <f t="shared" si="38"/>
        <v>0.40</v>
      </c>
      <c r="AD252" s="341">
        <f t="shared" si="34"/>
        <v>3613.61</v>
      </c>
      <c r="AE252" s="343">
        <f t="shared" si="35"/>
        <v>0</v>
      </c>
      <c r="AF252" s="344">
        <f t="shared" si="36"/>
        <v>0</v>
      </c>
      <c r="AG252" s="492">
        <f t="shared" si="40"/>
        <v>3613.61</v>
      </c>
      <c r="AH252" s="525">
        <f t="shared" si="39"/>
        <v>3613</v>
      </c>
      <c r="AI252" s="199">
        <v>4.05</v>
      </c>
      <c r="AJ252" s="199">
        <v>3.15</v>
      </c>
      <c r="AK252" s="199">
        <v>19.07</v>
      </c>
    </row>
    <row r="253" spans="1:37" s="122" customFormat="1" ht="12.7">
      <c r="A253" s="108" t="s">
        <v>11</v>
      </c>
      <c r="B253" s="109" t="s">
        <v>540</v>
      </c>
      <c r="C253" s="467" t="s">
        <v>670</v>
      </c>
      <c r="D253" s="319" t="s">
        <v>421</v>
      </c>
      <c r="E253" s="769" t="s">
        <v>18</v>
      </c>
      <c r="F253" s="204"/>
      <c r="G253" s="310" t="s">
        <v>281</v>
      </c>
      <c r="H253" s="246" t="s">
        <v>302</v>
      </c>
      <c r="I253" s="206"/>
      <c r="J253" s="207"/>
      <c r="K253" s="208"/>
      <c r="L253" s="209"/>
      <c r="M253" s="207"/>
      <c r="N253" s="208"/>
      <c r="O253" s="204" t="s">
        <v>69</v>
      </c>
      <c r="P253" s="206"/>
      <c r="Q253" s="207"/>
      <c r="R253" s="208"/>
      <c r="S253" s="209"/>
      <c r="T253" s="207"/>
      <c r="U253" s="208"/>
      <c r="V253" s="210">
        <v>3</v>
      </c>
      <c r="W253" s="543">
        <v>909.09</v>
      </c>
      <c r="X253" s="211">
        <v>1998</v>
      </c>
      <c r="Y253" s="204"/>
      <c r="Z253" s="212" t="s">
        <v>14</v>
      </c>
      <c r="AA253" s="210" t="s">
        <v>15</v>
      </c>
      <c r="AB253" s="213">
        <f t="shared" si="33"/>
        <v>0</v>
      </c>
      <c r="AC253" s="214">
        <f t="shared" si="38"/>
        <v>0.40</v>
      </c>
      <c r="AD253" s="213">
        <f t="shared" si="34"/>
        <v>0</v>
      </c>
      <c r="AE253" s="215">
        <f t="shared" si="35"/>
        <v>0</v>
      </c>
      <c r="AF253" s="216">
        <f t="shared" si="36"/>
        <v>0</v>
      </c>
      <c r="AG253" s="260">
        <f t="shared" si="40"/>
        <v>0</v>
      </c>
      <c r="AH253" s="522">
        <f t="shared" si="39"/>
        <v>0</v>
      </c>
      <c r="AI253" s="197"/>
      <c r="AJ253" s="197"/>
      <c r="AK253" s="197"/>
    </row>
    <row r="254" spans="1:37" s="122" customFormat="1" ht="12.7">
      <c r="A254" s="108" t="s">
        <v>11</v>
      </c>
      <c r="B254" s="109" t="s">
        <v>540</v>
      </c>
      <c r="C254" s="467" t="s">
        <v>670</v>
      </c>
      <c r="D254" s="319" t="s">
        <v>421</v>
      </c>
      <c r="E254" s="777" t="s">
        <v>18</v>
      </c>
      <c r="F254" s="331"/>
      <c r="G254" s="332"/>
      <c r="H254" s="333" t="s">
        <v>303</v>
      </c>
      <c r="I254" s="334">
        <v>42</v>
      </c>
      <c r="J254" s="335">
        <v>5</v>
      </c>
      <c r="K254" s="336">
        <v>2.1960000000000002</v>
      </c>
      <c r="L254" s="337">
        <v>82</v>
      </c>
      <c r="M254" s="335">
        <v>35</v>
      </c>
      <c r="N254" s="336">
        <v>42.975999999999999</v>
      </c>
      <c r="O254" s="331" t="s">
        <v>138</v>
      </c>
      <c r="P254" s="334">
        <v>42</v>
      </c>
      <c r="Q254" s="335">
        <v>4</v>
      </c>
      <c r="R254" s="336">
        <v>20.158000000000001</v>
      </c>
      <c r="S254" s="337">
        <v>82</v>
      </c>
      <c r="T254" s="335">
        <v>35</v>
      </c>
      <c r="U254" s="336">
        <v>47.238</v>
      </c>
      <c r="V254" s="338">
        <v>3</v>
      </c>
      <c r="W254" s="543">
        <v>2694.34</v>
      </c>
      <c r="X254" s="339">
        <v>1998</v>
      </c>
      <c r="Y254" s="331"/>
      <c r="Z254" s="340" t="s">
        <v>14</v>
      </c>
      <c r="AA254" s="338" t="s">
        <v>15</v>
      </c>
      <c r="AB254" s="341">
        <f t="shared" si="33"/>
        <v>40388.156600000002</v>
      </c>
      <c r="AC254" s="342">
        <f t="shared" si="38"/>
        <v>0.40</v>
      </c>
      <c r="AD254" s="341">
        <f t="shared" si="34"/>
        <v>24232.89</v>
      </c>
      <c r="AE254" s="343">
        <f t="shared" si="35"/>
        <v>0</v>
      </c>
      <c r="AF254" s="344">
        <f t="shared" si="36"/>
        <v>0</v>
      </c>
      <c r="AG254" s="492">
        <f t="shared" si="40"/>
        <v>24232.89</v>
      </c>
      <c r="AH254" s="525">
        <f t="shared" si="39"/>
        <v>24232</v>
      </c>
      <c r="AI254" s="199">
        <v>2.89</v>
      </c>
      <c r="AJ254" s="199">
        <v>5.16</v>
      </c>
      <c r="AK254" s="199">
        <v>7.06</v>
      </c>
    </row>
    <row r="255" spans="1:37" s="122" customFormat="1" ht="12.7">
      <c r="A255" s="108" t="s">
        <v>11</v>
      </c>
      <c r="B255" s="109" t="s">
        <v>540</v>
      </c>
      <c r="C255" s="467" t="s">
        <v>670</v>
      </c>
      <c r="D255" s="319" t="s">
        <v>421</v>
      </c>
      <c r="E255" s="777" t="s">
        <v>18</v>
      </c>
      <c r="F255" s="331"/>
      <c r="G255" s="332"/>
      <c r="H255" s="333" t="s">
        <v>93</v>
      </c>
      <c r="I255" s="334">
        <v>42</v>
      </c>
      <c r="J255" s="335">
        <v>6</v>
      </c>
      <c r="K255" s="336">
        <v>38.731999999999999</v>
      </c>
      <c r="L255" s="337">
        <v>82</v>
      </c>
      <c r="M255" s="335">
        <v>28</v>
      </c>
      <c r="N255" s="336">
        <v>26.542999999999999</v>
      </c>
      <c r="O255" s="331" t="s">
        <v>92</v>
      </c>
      <c r="P255" s="334">
        <v>42</v>
      </c>
      <c r="Q255" s="335">
        <v>6</v>
      </c>
      <c r="R255" s="336">
        <v>39.93</v>
      </c>
      <c r="S255" s="337">
        <v>82</v>
      </c>
      <c r="T255" s="335">
        <v>28</v>
      </c>
      <c r="U255" s="336">
        <v>32.521000000000001</v>
      </c>
      <c r="V255" s="338">
        <v>3</v>
      </c>
      <c r="W255" s="543">
        <v>466.70</v>
      </c>
      <c r="X255" s="339">
        <v>1990</v>
      </c>
      <c r="Y255" s="331"/>
      <c r="Z255" s="340" t="s">
        <v>60</v>
      </c>
      <c r="AA255" s="338" t="s">
        <v>31</v>
      </c>
      <c r="AB255" s="341">
        <f t="shared" si="33"/>
        <v>14299.688</v>
      </c>
      <c r="AC255" s="342">
        <f t="shared" si="38"/>
        <v>0.52</v>
      </c>
      <c r="AD255" s="341">
        <f t="shared" si="34"/>
        <v>6863.85</v>
      </c>
      <c r="AE255" s="343">
        <f t="shared" si="35"/>
        <v>0</v>
      </c>
      <c r="AF255" s="344">
        <f t="shared" si="36"/>
        <v>0</v>
      </c>
      <c r="AG255" s="492">
        <f t="shared" si="40"/>
        <v>6863.85</v>
      </c>
      <c r="AH255" s="525">
        <f t="shared" si="39"/>
        <v>6863</v>
      </c>
      <c r="AI255" s="1058" t="s">
        <v>624</v>
      </c>
      <c r="AJ255" s="1059"/>
      <c r="AK255" s="1060"/>
    </row>
    <row r="256" spans="1:37" ht="12.7">
      <c r="A256" s="47" t="s">
        <v>11</v>
      </c>
      <c r="B256" s="23" t="s">
        <v>540</v>
      </c>
      <c r="C256" s="467" t="s">
        <v>670</v>
      </c>
      <c r="D256" s="139" t="s">
        <v>421</v>
      </c>
      <c r="E256" s="769" t="s">
        <v>18</v>
      </c>
      <c r="F256" s="204"/>
      <c r="G256" s="310"/>
      <c r="H256" s="246" t="s">
        <v>94</v>
      </c>
      <c r="I256" s="206">
        <v>42</v>
      </c>
      <c r="J256" s="207">
        <v>6</v>
      </c>
      <c r="K256" s="208">
        <v>38</v>
      </c>
      <c r="L256" s="209">
        <v>82</v>
      </c>
      <c r="M256" s="207">
        <v>28</v>
      </c>
      <c r="N256" s="208">
        <v>7</v>
      </c>
      <c r="O256" s="204" t="s">
        <v>95</v>
      </c>
      <c r="P256" s="206">
        <v>42</v>
      </c>
      <c r="Q256" s="207">
        <v>6</v>
      </c>
      <c r="R256" s="208">
        <v>38.444000000000003</v>
      </c>
      <c r="S256" s="209">
        <v>82</v>
      </c>
      <c r="T256" s="207">
        <v>28</v>
      </c>
      <c r="U256" s="208">
        <v>6.855</v>
      </c>
      <c r="V256" s="210">
        <v>3</v>
      </c>
      <c r="W256" s="543">
        <v>15.70</v>
      </c>
      <c r="X256" s="211">
        <v>1995</v>
      </c>
      <c r="Y256" s="204"/>
      <c r="Z256" s="212" t="s">
        <v>14</v>
      </c>
      <c r="AA256" s="210" t="s">
        <v>15</v>
      </c>
      <c r="AB256" s="213">
        <f t="shared" si="33"/>
        <v>235.34299999999999</v>
      </c>
      <c r="AC256" s="214">
        <f t="shared" si="38"/>
        <v>0.47</v>
      </c>
      <c r="AD256" s="213">
        <f t="shared" si="34"/>
        <v>124.73</v>
      </c>
      <c r="AE256" s="215">
        <f t="shared" si="35"/>
        <v>0</v>
      </c>
      <c r="AF256" s="216">
        <f t="shared" si="36"/>
        <v>0</v>
      </c>
      <c r="AG256" s="260">
        <f t="shared" si="40"/>
        <v>124.73</v>
      </c>
      <c r="AH256" s="522">
        <f t="shared" si="39"/>
        <v>124</v>
      </c>
      <c r="AI256" s="1044">
        <v>5.66</v>
      </c>
      <c r="AJ256" s="1044">
        <v>12.33</v>
      </c>
      <c r="AK256" s="1044">
        <v>7.42</v>
      </c>
    </row>
    <row r="257" spans="1:37" ht="12.7">
      <c r="A257" s="47" t="s">
        <v>11</v>
      </c>
      <c r="B257" s="23" t="s">
        <v>540</v>
      </c>
      <c r="C257" s="467" t="s">
        <v>670</v>
      </c>
      <c r="D257" s="139" t="s">
        <v>421</v>
      </c>
      <c r="E257" s="769" t="s">
        <v>18</v>
      </c>
      <c r="F257" s="204"/>
      <c r="G257" s="310"/>
      <c r="H257" s="246" t="s">
        <v>95</v>
      </c>
      <c r="I257" s="206">
        <v>42</v>
      </c>
      <c r="J257" s="207">
        <v>6</v>
      </c>
      <c r="K257" s="208">
        <v>38.444000000000003</v>
      </c>
      <c r="L257" s="209">
        <v>82</v>
      </c>
      <c r="M257" s="207">
        <v>28</v>
      </c>
      <c r="N257" s="208">
        <v>6.855</v>
      </c>
      <c r="O257" s="204" t="s">
        <v>96</v>
      </c>
      <c r="P257" s="206">
        <v>42</v>
      </c>
      <c r="Q257" s="207">
        <v>6</v>
      </c>
      <c r="R257" s="208">
        <v>41.957999999999998</v>
      </c>
      <c r="S257" s="209">
        <v>82</v>
      </c>
      <c r="T257" s="207">
        <v>28</v>
      </c>
      <c r="U257" s="208">
        <v>6.4790000000000001</v>
      </c>
      <c r="V257" s="210">
        <v>3</v>
      </c>
      <c r="W257" s="543">
        <v>227.29</v>
      </c>
      <c r="X257" s="211">
        <v>1995</v>
      </c>
      <c r="Y257" s="204"/>
      <c r="Z257" s="212" t="s">
        <v>14</v>
      </c>
      <c r="AA257" s="210" t="s">
        <v>15</v>
      </c>
      <c r="AB257" s="213">
        <f t="shared" si="33"/>
        <v>3407.0771</v>
      </c>
      <c r="AC257" s="214">
        <f t="shared" si="38"/>
        <v>0.47</v>
      </c>
      <c r="AD257" s="213">
        <f t="shared" si="34"/>
        <v>1805.75</v>
      </c>
      <c r="AE257" s="215">
        <f t="shared" si="35"/>
        <v>0</v>
      </c>
      <c r="AF257" s="216">
        <f t="shared" si="36"/>
        <v>0</v>
      </c>
      <c r="AG257" s="260">
        <f t="shared" si="40"/>
        <v>1805.75</v>
      </c>
      <c r="AH257" s="522">
        <f t="shared" si="39"/>
        <v>1805</v>
      </c>
      <c r="AI257" s="1044"/>
      <c r="AJ257" s="1044"/>
      <c r="AK257" s="1044"/>
    </row>
    <row r="258" spans="1:37" ht="12.7">
      <c r="A258" s="47" t="s">
        <v>11</v>
      </c>
      <c r="B258" s="23" t="s">
        <v>540</v>
      </c>
      <c r="C258" s="467" t="s">
        <v>670</v>
      </c>
      <c r="D258" s="139" t="s">
        <v>421</v>
      </c>
      <c r="E258" s="769" t="s">
        <v>18</v>
      </c>
      <c r="F258" s="204"/>
      <c r="G258" s="310"/>
      <c r="H258" s="246" t="s">
        <v>96</v>
      </c>
      <c r="I258" s="206">
        <v>42</v>
      </c>
      <c r="J258" s="207">
        <v>6</v>
      </c>
      <c r="K258" s="208">
        <v>41.957999999999998</v>
      </c>
      <c r="L258" s="209">
        <v>82</v>
      </c>
      <c r="M258" s="207">
        <v>28</v>
      </c>
      <c r="N258" s="208">
        <v>6.4790000000000001</v>
      </c>
      <c r="O258" s="204" t="s">
        <v>97</v>
      </c>
      <c r="P258" s="206">
        <v>42</v>
      </c>
      <c r="Q258" s="207">
        <v>6</v>
      </c>
      <c r="R258" s="208">
        <v>44.006</v>
      </c>
      <c r="S258" s="209">
        <v>82</v>
      </c>
      <c r="T258" s="207">
        <v>28</v>
      </c>
      <c r="U258" s="208">
        <v>7.7080000000000002</v>
      </c>
      <c r="V258" s="210">
        <v>3</v>
      </c>
      <c r="W258" s="543">
        <v>241.06</v>
      </c>
      <c r="X258" s="211">
        <v>1995</v>
      </c>
      <c r="Y258" s="204"/>
      <c r="Z258" s="212" t="s">
        <v>14</v>
      </c>
      <c r="AA258" s="210" t="s">
        <v>15</v>
      </c>
      <c r="AB258" s="213">
        <f t="shared" si="33"/>
        <v>3613.4893999999999</v>
      </c>
      <c r="AC258" s="214">
        <f t="shared" si="38"/>
        <v>0.47</v>
      </c>
      <c r="AD258" s="213">
        <f t="shared" si="34"/>
        <v>1915.15</v>
      </c>
      <c r="AE258" s="215">
        <f t="shared" si="35"/>
        <v>0</v>
      </c>
      <c r="AF258" s="216">
        <f t="shared" si="36"/>
        <v>0</v>
      </c>
      <c r="AG258" s="260">
        <f t="shared" si="40"/>
        <v>1915.15</v>
      </c>
      <c r="AH258" s="522">
        <f t="shared" si="39"/>
        <v>1915</v>
      </c>
      <c r="AI258" s="1044"/>
      <c r="AJ258" s="1044"/>
      <c r="AK258" s="1044"/>
    </row>
    <row r="259" spans="1:37" ht="12.7">
      <c r="A259" s="47" t="s">
        <v>11</v>
      </c>
      <c r="B259" s="23" t="s">
        <v>540</v>
      </c>
      <c r="C259" s="467" t="s">
        <v>670</v>
      </c>
      <c r="D259" s="139" t="s">
        <v>421</v>
      </c>
      <c r="E259" s="769" t="s">
        <v>18</v>
      </c>
      <c r="F259" s="204"/>
      <c r="G259" s="310"/>
      <c r="H259" s="246" t="s">
        <v>97</v>
      </c>
      <c r="I259" s="206">
        <v>42</v>
      </c>
      <c r="J259" s="207">
        <v>6</v>
      </c>
      <c r="K259" s="208">
        <v>44.006</v>
      </c>
      <c r="L259" s="209">
        <v>82</v>
      </c>
      <c r="M259" s="207">
        <v>28</v>
      </c>
      <c r="N259" s="208">
        <v>7.7080000000000002</v>
      </c>
      <c r="O259" s="204" t="s">
        <v>98</v>
      </c>
      <c r="P259" s="206">
        <v>42</v>
      </c>
      <c r="Q259" s="207">
        <v>6</v>
      </c>
      <c r="R259" s="208">
        <v>39.64</v>
      </c>
      <c r="S259" s="209">
        <v>82</v>
      </c>
      <c r="T259" s="207">
        <v>28</v>
      </c>
      <c r="U259" s="208">
        <v>26.841999999999999</v>
      </c>
      <c r="V259" s="210">
        <v>3</v>
      </c>
      <c r="W259" s="543">
        <v>1678.56</v>
      </c>
      <c r="X259" s="211">
        <v>1995</v>
      </c>
      <c r="Y259" s="204"/>
      <c r="Z259" s="212" t="s">
        <v>14</v>
      </c>
      <c r="AA259" s="210" t="s">
        <v>15</v>
      </c>
      <c r="AB259" s="213">
        <f t="shared" si="41" ref="AB259:AB322">IF(G259="ABAND",0,(IF(AA259="steel",VLOOKUP(V259,steelrates,2,FALSE)*W259,VLOOKUP(V259,plasticrates,2,FALSE)*W259)))</f>
        <v>25161.614399999999</v>
      </c>
      <c r="AC259" s="214">
        <f t="shared" si="38"/>
        <v>0.47</v>
      </c>
      <c r="AD259" s="213">
        <f t="shared" si="42" ref="AD259:AD322">ROUND(+AB259-(+AB259*AC259),2)</f>
        <v>13335.66</v>
      </c>
      <c r="AE259" s="215">
        <f t="shared" si="43" ref="AE259:AE322">(IF(Y259="LOOP",AD259*0.25,0))</f>
        <v>0</v>
      </c>
      <c r="AF259" s="216">
        <f t="shared" si="44" ref="AF259:AF322">(IF(G259="SUSP",AD259*0.2,0))</f>
        <v>0</v>
      </c>
      <c r="AG259" s="260">
        <f t="shared" si="40"/>
        <v>13335.66</v>
      </c>
      <c r="AH259" s="522">
        <f t="shared" si="39"/>
        <v>13335</v>
      </c>
      <c r="AI259" s="1061" t="s">
        <v>624</v>
      </c>
      <c r="AJ259" s="1062"/>
      <c r="AK259" s="1063"/>
    </row>
    <row r="260" spans="1:37" ht="12.7">
      <c r="A260" s="47" t="s">
        <v>11</v>
      </c>
      <c r="B260" s="23" t="s">
        <v>540</v>
      </c>
      <c r="C260" s="467" t="s">
        <v>670</v>
      </c>
      <c r="D260" s="139" t="s">
        <v>421</v>
      </c>
      <c r="E260" s="769" t="s">
        <v>18</v>
      </c>
      <c r="F260" s="204"/>
      <c r="G260" s="310"/>
      <c r="H260" s="246" t="s">
        <v>98</v>
      </c>
      <c r="I260" s="206">
        <v>42</v>
      </c>
      <c r="J260" s="207">
        <v>6</v>
      </c>
      <c r="K260" s="208">
        <v>39.64</v>
      </c>
      <c r="L260" s="209">
        <v>82</v>
      </c>
      <c r="M260" s="207">
        <v>28</v>
      </c>
      <c r="N260" s="208">
        <v>26.841999999999999</v>
      </c>
      <c r="O260" s="204" t="s">
        <v>92</v>
      </c>
      <c r="P260" s="206">
        <v>42</v>
      </c>
      <c r="Q260" s="207">
        <v>6</v>
      </c>
      <c r="R260" s="208">
        <v>39.93</v>
      </c>
      <c r="S260" s="209">
        <v>82</v>
      </c>
      <c r="T260" s="207">
        <v>28</v>
      </c>
      <c r="U260" s="208">
        <v>32.521000000000001</v>
      </c>
      <c r="V260" s="210">
        <v>3</v>
      </c>
      <c r="W260" s="543">
        <v>880.38</v>
      </c>
      <c r="X260" s="211">
        <v>1995</v>
      </c>
      <c r="Y260" s="204"/>
      <c r="Z260" s="212" t="s">
        <v>14</v>
      </c>
      <c r="AA260" s="338" t="s">
        <v>608</v>
      </c>
      <c r="AB260" s="213">
        <f t="shared" si="41"/>
        <v>13196.896199999999</v>
      </c>
      <c r="AC260" s="214">
        <f t="shared" si="38"/>
        <v>0.47</v>
      </c>
      <c r="AD260" s="213">
        <f t="shared" si="42"/>
        <v>6994.35</v>
      </c>
      <c r="AE260" s="215">
        <f t="shared" si="43"/>
        <v>0</v>
      </c>
      <c r="AF260" s="216">
        <f t="shared" si="44"/>
        <v>0</v>
      </c>
      <c r="AG260" s="260">
        <f t="shared" si="40"/>
        <v>6994.35</v>
      </c>
      <c r="AH260" s="522">
        <f t="shared" si="39"/>
        <v>6994</v>
      </c>
      <c r="AI260" s="1061"/>
      <c r="AJ260" s="1062"/>
      <c r="AK260" s="1063"/>
    </row>
    <row r="261" spans="1:37" ht="12.7">
      <c r="A261" s="748" t="s">
        <v>11</v>
      </c>
      <c r="B261" s="641" t="s">
        <v>540</v>
      </c>
      <c r="C261" s="683" t="s">
        <v>670</v>
      </c>
      <c r="D261" s="687" t="s">
        <v>421</v>
      </c>
      <c r="E261" s="776" t="s">
        <v>18</v>
      </c>
      <c r="F261" s="710"/>
      <c r="G261" s="717" t="s">
        <v>281</v>
      </c>
      <c r="H261" s="705" t="s">
        <v>310</v>
      </c>
      <c r="I261" s="706" t="s">
        <v>8</v>
      </c>
      <c r="J261" s="718" t="s">
        <v>547</v>
      </c>
      <c r="K261" s="708">
        <v>49.613999999999997</v>
      </c>
      <c r="L261" s="709" t="s">
        <v>288</v>
      </c>
      <c r="M261" s="707">
        <v>32</v>
      </c>
      <c r="N261" s="708">
        <v>18.398</v>
      </c>
      <c r="O261" s="710" t="s">
        <v>311</v>
      </c>
      <c r="P261" s="706"/>
      <c r="Q261" s="707"/>
      <c r="R261" s="708"/>
      <c r="S261" s="709"/>
      <c r="T261" s="707"/>
      <c r="U261" s="708"/>
      <c r="V261" s="703">
        <v>3</v>
      </c>
      <c r="W261" s="501">
        <v>2387.83</v>
      </c>
      <c r="X261" s="711">
        <v>1998</v>
      </c>
      <c r="Y261" s="710"/>
      <c r="Z261" s="712" t="s">
        <v>14</v>
      </c>
      <c r="AA261" s="703" t="s">
        <v>15</v>
      </c>
      <c r="AB261" s="713">
        <f t="shared" si="41"/>
        <v>0</v>
      </c>
      <c r="AC261" s="714">
        <f t="shared" si="45" ref="AC261:AC292">IF(X261=0,0,(VLOOKUP(X261,depreciation,2,)))</f>
        <v>0.40</v>
      </c>
      <c r="AD261" s="713">
        <f t="shared" si="42"/>
        <v>0</v>
      </c>
      <c r="AE261" s="715">
        <f t="shared" si="43"/>
        <v>0</v>
      </c>
      <c r="AF261" s="716">
        <f t="shared" si="44"/>
        <v>0</v>
      </c>
      <c r="AG261" s="700">
        <f t="shared" si="40"/>
        <v>0</v>
      </c>
      <c r="AH261" s="701">
        <f t="shared" si="39"/>
        <v>0</v>
      </c>
      <c r="AI261" s="198">
        <v>3.77</v>
      </c>
      <c r="AJ261" s="198">
        <v>176.13</v>
      </c>
      <c r="AK261" s="198">
        <v>3.53</v>
      </c>
    </row>
    <row r="262" spans="1:37" ht="12.7">
      <c r="A262" s="47" t="s">
        <v>11</v>
      </c>
      <c r="B262" s="23" t="s">
        <v>540</v>
      </c>
      <c r="C262" s="467" t="s">
        <v>670</v>
      </c>
      <c r="D262" s="139" t="s">
        <v>421</v>
      </c>
      <c r="E262" s="769" t="s">
        <v>18</v>
      </c>
      <c r="F262" s="204"/>
      <c r="G262" s="310"/>
      <c r="H262" s="246" t="s">
        <v>309</v>
      </c>
      <c r="I262" s="206">
        <v>42</v>
      </c>
      <c r="J262" s="207">
        <v>8</v>
      </c>
      <c r="K262" s="208">
        <v>47.595</v>
      </c>
      <c r="L262" s="209">
        <v>82</v>
      </c>
      <c r="M262" s="207">
        <v>28</v>
      </c>
      <c r="N262" s="208">
        <v>10.281000000000001</v>
      </c>
      <c r="O262" s="204" t="s">
        <v>99</v>
      </c>
      <c r="P262" s="206">
        <v>42</v>
      </c>
      <c r="Q262" s="207">
        <v>8</v>
      </c>
      <c r="R262" s="208">
        <v>26.305</v>
      </c>
      <c r="S262" s="209">
        <v>82</v>
      </c>
      <c r="T262" s="207">
        <v>27</v>
      </c>
      <c r="U262" s="208">
        <v>48.485</v>
      </c>
      <c r="V262" s="210">
        <v>3</v>
      </c>
      <c r="W262" s="543">
        <v>3720.78</v>
      </c>
      <c r="X262" s="211">
        <v>1998</v>
      </c>
      <c r="Y262" s="204"/>
      <c r="Z262" s="212" t="s">
        <v>14</v>
      </c>
      <c r="AA262" s="210" t="s">
        <v>15</v>
      </c>
      <c r="AB262" s="213">
        <f t="shared" si="41"/>
        <v>55774.492200000001</v>
      </c>
      <c r="AC262" s="214">
        <f t="shared" si="45"/>
        <v>0.40</v>
      </c>
      <c r="AD262" s="213">
        <f t="shared" si="42"/>
        <v>33464.699999999997</v>
      </c>
      <c r="AE262" s="215">
        <f t="shared" si="43"/>
        <v>0</v>
      </c>
      <c r="AF262" s="216">
        <f t="shared" si="44"/>
        <v>0</v>
      </c>
      <c r="AG262" s="260">
        <f t="shared" si="40"/>
        <v>33464.699999999997</v>
      </c>
      <c r="AH262" s="522">
        <f t="shared" si="39"/>
        <v>33464</v>
      </c>
      <c r="AI262" s="198">
        <v>7.99</v>
      </c>
      <c r="AJ262" s="198">
        <v>245.14</v>
      </c>
      <c r="AK262" s="198">
        <v>11.65</v>
      </c>
    </row>
    <row r="263" spans="1:37" ht="12.7">
      <c r="A263" s="47" t="s">
        <v>11</v>
      </c>
      <c r="B263" s="23" t="s">
        <v>540</v>
      </c>
      <c r="C263" s="467" t="s">
        <v>670</v>
      </c>
      <c r="D263" s="139" t="s">
        <v>421</v>
      </c>
      <c r="E263" s="769" t="s">
        <v>18</v>
      </c>
      <c r="F263" s="204"/>
      <c r="G263" s="310"/>
      <c r="H263" s="246" t="s">
        <v>99</v>
      </c>
      <c r="I263" s="206">
        <v>42</v>
      </c>
      <c r="J263" s="207">
        <v>8</v>
      </c>
      <c r="K263" s="208">
        <v>27.710999999999999</v>
      </c>
      <c r="L263" s="209">
        <v>82</v>
      </c>
      <c r="M263" s="207">
        <v>27</v>
      </c>
      <c r="N263" s="208">
        <v>47.527000000000001</v>
      </c>
      <c r="O263" s="204" t="s">
        <v>100</v>
      </c>
      <c r="P263" s="206">
        <v>42</v>
      </c>
      <c r="Q263" s="207">
        <v>8</v>
      </c>
      <c r="R263" s="208">
        <v>26.305</v>
      </c>
      <c r="S263" s="209">
        <v>82</v>
      </c>
      <c r="T263" s="207">
        <v>27</v>
      </c>
      <c r="U263" s="208">
        <v>48.485</v>
      </c>
      <c r="V263" s="210">
        <v>3</v>
      </c>
      <c r="W263" s="543">
        <v>159.61000000000001</v>
      </c>
      <c r="X263" s="211">
        <v>1992</v>
      </c>
      <c r="Y263" s="204"/>
      <c r="Z263" s="212" t="s">
        <v>14</v>
      </c>
      <c r="AA263" s="210" t="s">
        <v>15</v>
      </c>
      <c r="AB263" s="213">
        <f t="shared" si="41"/>
        <v>2392.5539000000003</v>
      </c>
      <c r="AC263" s="214">
        <f t="shared" si="45"/>
        <v>0.51</v>
      </c>
      <c r="AD263" s="213">
        <f t="shared" si="42"/>
        <v>1172.3499999999999</v>
      </c>
      <c r="AE263" s="215">
        <f t="shared" si="43"/>
        <v>0</v>
      </c>
      <c r="AF263" s="216">
        <f t="shared" si="44"/>
        <v>0</v>
      </c>
      <c r="AG263" s="260">
        <f t="shared" si="40"/>
        <v>1172.3499999999999</v>
      </c>
      <c r="AH263" s="522">
        <f t="shared" si="39"/>
        <v>1172</v>
      </c>
      <c r="AI263" s="1044">
        <v>2.14</v>
      </c>
      <c r="AJ263" s="1044">
        <v>11.20</v>
      </c>
      <c r="AK263" s="1044">
        <v>1.41</v>
      </c>
    </row>
    <row r="264" spans="1:37" ht="12.7">
      <c r="A264" s="47" t="s">
        <v>11</v>
      </c>
      <c r="B264" s="23" t="s">
        <v>540</v>
      </c>
      <c r="C264" s="467" t="s">
        <v>670</v>
      </c>
      <c r="D264" s="139" t="s">
        <v>421</v>
      </c>
      <c r="E264" s="769" t="s">
        <v>18</v>
      </c>
      <c r="F264" s="204"/>
      <c r="G264" s="310"/>
      <c r="H264" s="246" t="s">
        <v>100</v>
      </c>
      <c r="I264" s="206">
        <v>42</v>
      </c>
      <c r="J264" s="207">
        <v>8</v>
      </c>
      <c r="K264" s="208">
        <v>26.305</v>
      </c>
      <c r="L264" s="209">
        <v>82</v>
      </c>
      <c r="M264" s="207">
        <v>27</v>
      </c>
      <c r="N264" s="208">
        <v>48.485</v>
      </c>
      <c r="O264" s="204" t="s">
        <v>101</v>
      </c>
      <c r="P264" s="206">
        <v>42</v>
      </c>
      <c r="Q264" s="207">
        <v>8</v>
      </c>
      <c r="R264" s="208">
        <v>20.562000000000001</v>
      </c>
      <c r="S264" s="209">
        <v>82</v>
      </c>
      <c r="T264" s="207">
        <v>27</v>
      </c>
      <c r="U264" s="208">
        <v>40.281999999999996</v>
      </c>
      <c r="V264" s="210">
        <v>3</v>
      </c>
      <c r="W264" s="543">
        <v>848.59</v>
      </c>
      <c r="X264" s="211">
        <v>1992</v>
      </c>
      <c r="Y264" s="204"/>
      <c r="Z264" s="212" t="s">
        <v>14</v>
      </c>
      <c r="AA264" s="210" t="s">
        <v>15</v>
      </c>
      <c r="AB264" s="213">
        <f t="shared" si="41"/>
        <v>12720.364100000001</v>
      </c>
      <c r="AC264" s="214">
        <f t="shared" si="45"/>
        <v>0.51</v>
      </c>
      <c r="AD264" s="213">
        <f t="shared" si="42"/>
        <v>6232.98</v>
      </c>
      <c r="AE264" s="215">
        <f t="shared" si="43"/>
        <v>0</v>
      </c>
      <c r="AF264" s="216">
        <f t="shared" si="44"/>
        <v>0</v>
      </c>
      <c r="AG264" s="260">
        <f t="shared" si="40"/>
        <v>6232.98</v>
      </c>
      <c r="AH264" s="522">
        <f t="shared" si="39"/>
        <v>6232</v>
      </c>
      <c r="AI264" s="1044"/>
      <c r="AJ264" s="1044"/>
      <c r="AK264" s="1044"/>
    </row>
    <row r="265" spans="1:37" ht="12.7">
      <c r="A265" s="47" t="s">
        <v>11</v>
      </c>
      <c r="B265" s="23" t="s">
        <v>540</v>
      </c>
      <c r="C265" s="467" t="s">
        <v>670</v>
      </c>
      <c r="D265" s="139" t="s">
        <v>421</v>
      </c>
      <c r="E265" s="769" t="s">
        <v>18</v>
      </c>
      <c r="F265" s="204"/>
      <c r="G265" s="310"/>
      <c r="H265" s="246" t="s">
        <v>101</v>
      </c>
      <c r="I265" s="206">
        <v>42</v>
      </c>
      <c r="J265" s="207">
        <v>8</v>
      </c>
      <c r="K265" s="208">
        <v>20.562000000000001</v>
      </c>
      <c r="L265" s="209">
        <v>82</v>
      </c>
      <c r="M265" s="207">
        <v>27</v>
      </c>
      <c r="N265" s="208">
        <v>40.281999999999996</v>
      </c>
      <c r="O265" s="204" t="s">
        <v>6</v>
      </c>
      <c r="P265" s="206">
        <v>42</v>
      </c>
      <c r="Q265" s="207">
        <v>8</v>
      </c>
      <c r="R265" s="208">
        <v>20.338999999999999</v>
      </c>
      <c r="S265" s="209">
        <v>82</v>
      </c>
      <c r="T265" s="207">
        <v>27</v>
      </c>
      <c r="U265" s="208">
        <v>35.412999999999997</v>
      </c>
      <c r="V265" s="210">
        <v>3</v>
      </c>
      <c r="W265" s="543">
        <v>205.26</v>
      </c>
      <c r="X265" s="211">
        <v>1992</v>
      </c>
      <c r="Y265" s="204"/>
      <c r="Z265" s="212" t="s">
        <v>14</v>
      </c>
      <c r="AA265" s="210" t="s">
        <v>15</v>
      </c>
      <c r="AB265" s="213">
        <f t="shared" si="41"/>
        <v>3076.8474000000001</v>
      </c>
      <c r="AC265" s="214">
        <f t="shared" si="45"/>
        <v>0.51</v>
      </c>
      <c r="AD265" s="213">
        <f t="shared" si="42"/>
        <v>1507.66</v>
      </c>
      <c r="AE265" s="215">
        <f t="shared" si="43"/>
        <v>0</v>
      </c>
      <c r="AF265" s="216">
        <f t="shared" si="44"/>
        <v>0</v>
      </c>
      <c r="AG265" s="260">
        <f t="shared" si="40"/>
        <v>1507.66</v>
      </c>
      <c r="AH265" s="522">
        <f t="shared" si="39"/>
        <v>1507</v>
      </c>
      <c r="AI265" s="1044"/>
      <c r="AJ265" s="1044"/>
      <c r="AK265" s="1044"/>
    </row>
    <row r="266" spans="1:37" ht="12.7">
      <c r="A266" s="47" t="s">
        <v>11</v>
      </c>
      <c r="B266" s="23" t="s">
        <v>540</v>
      </c>
      <c r="C266" s="467" t="s">
        <v>670</v>
      </c>
      <c r="D266" s="139" t="s">
        <v>421</v>
      </c>
      <c r="E266" s="769" t="s">
        <v>18</v>
      </c>
      <c r="F266" s="210"/>
      <c r="G266" s="310" t="s">
        <v>281</v>
      </c>
      <c r="H266" s="246" t="s">
        <v>102</v>
      </c>
      <c r="I266" s="206">
        <v>42</v>
      </c>
      <c r="J266" s="207">
        <v>1</v>
      </c>
      <c r="K266" s="208">
        <v>12.644</v>
      </c>
      <c r="L266" s="209">
        <v>82</v>
      </c>
      <c r="M266" s="207">
        <v>32</v>
      </c>
      <c r="N266" s="208">
        <v>37.790999999999997</v>
      </c>
      <c r="O266" s="323" t="s">
        <v>103</v>
      </c>
      <c r="P266" s="206">
        <v>42</v>
      </c>
      <c r="Q266" s="207">
        <v>1</v>
      </c>
      <c r="R266" s="208">
        <v>9.5690000000000008</v>
      </c>
      <c r="S266" s="209">
        <v>82</v>
      </c>
      <c r="T266" s="207">
        <v>32</v>
      </c>
      <c r="U266" s="208">
        <v>37.606999999999999</v>
      </c>
      <c r="V266" s="210">
        <v>3</v>
      </c>
      <c r="W266" s="543">
        <v>241.66</v>
      </c>
      <c r="X266" s="211">
        <v>1996</v>
      </c>
      <c r="Y266" s="204"/>
      <c r="Z266" s="212" t="s">
        <v>14</v>
      </c>
      <c r="AA266" s="210" t="s">
        <v>15</v>
      </c>
      <c r="AB266" s="213">
        <f t="shared" si="41"/>
        <v>0</v>
      </c>
      <c r="AC266" s="214">
        <f t="shared" si="45"/>
        <v>0.44</v>
      </c>
      <c r="AD266" s="213">
        <f t="shared" si="42"/>
        <v>0</v>
      </c>
      <c r="AE266" s="215">
        <f t="shared" si="43"/>
        <v>0</v>
      </c>
      <c r="AF266" s="216">
        <f t="shared" si="44"/>
        <v>0</v>
      </c>
      <c r="AG266" s="260">
        <f t="shared" si="40"/>
        <v>0</v>
      </c>
      <c r="AH266" s="522">
        <f t="shared" si="39"/>
        <v>0</v>
      </c>
      <c r="AI266" s="197"/>
      <c r="AJ266" s="197"/>
      <c r="AK266" s="197"/>
    </row>
    <row r="267" spans="1:37" ht="12.7">
      <c r="A267" s="748" t="s">
        <v>11</v>
      </c>
      <c r="B267" s="641" t="s">
        <v>540</v>
      </c>
      <c r="C267" s="683" t="s">
        <v>670</v>
      </c>
      <c r="D267" s="687" t="s">
        <v>421</v>
      </c>
      <c r="E267" s="776" t="s">
        <v>18</v>
      </c>
      <c r="F267" s="703"/>
      <c r="G267" s="717" t="s">
        <v>281</v>
      </c>
      <c r="H267" s="705" t="s">
        <v>69</v>
      </c>
      <c r="I267" s="706">
        <v>42</v>
      </c>
      <c r="J267" s="707">
        <v>1</v>
      </c>
      <c r="K267" s="708">
        <v>20.19</v>
      </c>
      <c r="L267" s="709">
        <v>82</v>
      </c>
      <c r="M267" s="707">
        <v>32</v>
      </c>
      <c r="N267" s="708">
        <v>54.70</v>
      </c>
      <c r="O267" s="719" t="s">
        <v>104</v>
      </c>
      <c r="P267" s="706">
        <v>42</v>
      </c>
      <c r="Q267" s="707">
        <v>1</v>
      </c>
      <c r="R267" s="708">
        <v>21.295</v>
      </c>
      <c r="S267" s="709">
        <v>82</v>
      </c>
      <c r="T267" s="707">
        <v>32</v>
      </c>
      <c r="U267" s="708">
        <v>53.533999999999999</v>
      </c>
      <c r="V267" s="703">
        <v>3</v>
      </c>
      <c r="W267" s="501">
        <v>38.06</v>
      </c>
      <c r="X267" s="711">
        <v>1994</v>
      </c>
      <c r="Y267" s="710"/>
      <c r="Z267" s="712" t="s">
        <v>14</v>
      </c>
      <c r="AA267" s="703" t="s">
        <v>15</v>
      </c>
      <c r="AB267" s="713">
        <f t="shared" si="41"/>
        <v>0</v>
      </c>
      <c r="AC267" s="714">
        <f t="shared" si="45"/>
        <v>0.49</v>
      </c>
      <c r="AD267" s="713">
        <f t="shared" si="42"/>
        <v>0</v>
      </c>
      <c r="AE267" s="715">
        <f t="shared" si="43"/>
        <v>0</v>
      </c>
      <c r="AF267" s="716">
        <f t="shared" si="44"/>
        <v>0</v>
      </c>
      <c r="AG267" s="700">
        <f t="shared" si="40"/>
        <v>0</v>
      </c>
      <c r="AH267" s="701">
        <f t="shared" si="39"/>
        <v>0</v>
      </c>
      <c r="AI267" s="197"/>
      <c r="AJ267" s="197"/>
      <c r="AK267" s="197"/>
    </row>
    <row r="268" spans="1:37" ht="12.7">
      <c r="A268" s="748" t="s">
        <v>11</v>
      </c>
      <c r="B268" s="641" t="s">
        <v>540</v>
      </c>
      <c r="C268" s="683" t="s">
        <v>670</v>
      </c>
      <c r="D268" s="687" t="s">
        <v>421</v>
      </c>
      <c r="E268" s="776" t="s">
        <v>18</v>
      </c>
      <c r="F268" s="703"/>
      <c r="G268" s="717" t="s">
        <v>281</v>
      </c>
      <c r="H268" s="705" t="s">
        <v>68</v>
      </c>
      <c r="I268" s="706">
        <v>42</v>
      </c>
      <c r="J268" s="707">
        <v>1</v>
      </c>
      <c r="K268" s="708">
        <v>9.0259999999999998</v>
      </c>
      <c r="L268" s="709">
        <v>82</v>
      </c>
      <c r="M268" s="707">
        <v>32</v>
      </c>
      <c r="N268" s="708">
        <v>23.919</v>
      </c>
      <c r="O268" s="719" t="s">
        <v>105</v>
      </c>
      <c r="P268" s="706">
        <v>42</v>
      </c>
      <c r="Q268" s="707">
        <v>1</v>
      </c>
      <c r="R268" s="708">
        <v>9.6869999999999994</v>
      </c>
      <c r="S268" s="709">
        <v>82</v>
      </c>
      <c r="T268" s="707">
        <v>32</v>
      </c>
      <c r="U268" s="708">
        <v>38.767000000000003</v>
      </c>
      <c r="V268" s="703">
        <v>3</v>
      </c>
      <c r="W268" s="501">
        <v>1145.1600000000001</v>
      </c>
      <c r="X268" s="711">
        <v>1994</v>
      </c>
      <c r="Y268" s="710"/>
      <c r="Z268" s="712" t="s">
        <v>14</v>
      </c>
      <c r="AA268" s="703" t="s">
        <v>15</v>
      </c>
      <c r="AB268" s="713">
        <f t="shared" si="41"/>
        <v>0</v>
      </c>
      <c r="AC268" s="714">
        <f t="shared" si="45"/>
        <v>0.49</v>
      </c>
      <c r="AD268" s="713">
        <f t="shared" si="42"/>
        <v>0</v>
      </c>
      <c r="AE268" s="715">
        <f t="shared" si="43"/>
        <v>0</v>
      </c>
      <c r="AF268" s="716">
        <f t="shared" si="44"/>
        <v>0</v>
      </c>
      <c r="AG268" s="700">
        <f t="shared" si="40"/>
        <v>0</v>
      </c>
      <c r="AH268" s="701">
        <f t="shared" si="39"/>
        <v>0</v>
      </c>
      <c r="AI268" s="197"/>
      <c r="AJ268" s="197"/>
      <c r="AK268" s="197"/>
    </row>
    <row r="269" spans="1:37" ht="12.7">
      <c r="A269" s="748" t="s">
        <v>11</v>
      </c>
      <c r="B269" s="641" t="s">
        <v>540</v>
      </c>
      <c r="C269" s="683" t="s">
        <v>670</v>
      </c>
      <c r="D269" s="687" t="s">
        <v>421</v>
      </c>
      <c r="E269" s="776" t="s">
        <v>18</v>
      </c>
      <c r="F269" s="703"/>
      <c r="G269" s="717" t="s">
        <v>281</v>
      </c>
      <c r="H269" s="705" t="s">
        <v>105</v>
      </c>
      <c r="I269" s="706">
        <v>42</v>
      </c>
      <c r="J269" s="707">
        <v>1</v>
      </c>
      <c r="K269" s="708">
        <v>9.6869999999999994</v>
      </c>
      <c r="L269" s="709">
        <v>82</v>
      </c>
      <c r="M269" s="707">
        <v>32</v>
      </c>
      <c r="N269" s="708">
        <v>38.767000000000003</v>
      </c>
      <c r="O269" s="719" t="s">
        <v>104</v>
      </c>
      <c r="P269" s="706">
        <v>42</v>
      </c>
      <c r="Q269" s="707">
        <v>1</v>
      </c>
      <c r="R269" s="708">
        <v>21.295</v>
      </c>
      <c r="S269" s="709">
        <v>82</v>
      </c>
      <c r="T269" s="707">
        <v>32</v>
      </c>
      <c r="U269" s="708">
        <v>53.533999999999999</v>
      </c>
      <c r="V269" s="703">
        <v>3</v>
      </c>
      <c r="W269" s="501">
        <v>1538.81</v>
      </c>
      <c r="X269" s="711">
        <v>1994</v>
      </c>
      <c r="Y269" s="710"/>
      <c r="Z269" s="712" t="s">
        <v>14</v>
      </c>
      <c r="AA269" s="703" t="s">
        <v>15</v>
      </c>
      <c r="AB269" s="713">
        <f t="shared" si="41"/>
        <v>0</v>
      </c>
      <c r="AC269" s="714">
        <f t="shared" si="45"/>
        <v>0.49</v>
      </c>
      <c r="AD269" s="713">
        <f t="shared" si="42"/>
        <v>0</v>
      </c>
      <c r="AE269" s="715">
        <f t="shared" si="43"/>
        <v>0</v>
      </c>
      <c r="AF269" s="716">
        <f t="shared" si="44"/>
        <v>0</v>
      </c>
      <c r="AG269" s="700">
        <f t="shared" si="40"/>
        <v>0</v>
      </c>
      <c r="AH269" s="701">
        <f t="shared" si="39"/>
        <v>0</v>
      </c>
      <c r="AI269" s="197"/>
      <c r="AJ269" s="197"/>
      <c r="AK269" s="197"/>
    </row>
    <row r="270" spans="1:37" ht="12.7">
      <c r="A270" s="47" t="s">
        <v>11</v>
      </c>
      <c r="B270" s="23" t="s">
        <v>540</v>
      </c>
      <c r="C270" s="467" t="s">
        <v>670</v>
      </c>
      <c r="D270" s="139" t="s">
        <v>421</v>
      </c>
      <c r="E270" s="770" t="s">
        <v>18</v>
      </c>
      <c r="F270" s="223"/>
      <c r="G270" s="311"/>
      <c r="H270" s="292" t="s">
        <v>299</v>
      </c>
      <c r="I270" s="219" t="s">
        <v>8</v>
      </c>
      <c r="J270" s="220">
        <v>6</v>
      </c>
      <c r="K270" s="221">
        <v>43.66</v>
      </c>
      <c r="L270" s="222" t="s">
        <v>288</v>
      </c>
      <c r="M270" s="220">
        <v>27</v>
      </c>
      <c r="N270" s="221">
        <v>53.23</v>
      </c>
      <c r="O270" s="326" t="s">
        <v>95</v>
      </c>
      <c r="P270" s="219">
        <v>42</v>
      </c>
      <c r="Q270" s="220">
        <v>6</v>
      </c>
      <c r="R270" s="221">
        <v>38.444000000000003</v>
      </c>
      <c r="S270" s="222">
        <v>82</v>
      </c>
      <c r="T270" s="220">
        <v>28</v>
      </c>
      <c r="U270" s="221">
        <v>6.855</v>
      </c>
      <c r="V270" s="223">
        <v>4</v>
      </c>
      <c r="W270" s="544">
        <v>1331.98</v>
      </c>
      <c r="X270" s="224">
        <v>1998</v>
      </c>
      <c r="Y270" s="218"/>
      <c r="Z270" s="225" t="s">
        <v>14</v>
      </c>
      <c r="AA270" s="223" t="s">
        <v>15</v>
      </c>
      <c r="AB270" s="226">
        <f t="shared" si="41"/>
        <v>24055.558799999999</v>
      </c>
      <c r="AC270" s="227">
        <f t="shared" si="45"/>
        <v>0.40</v>
      </c>
      <c r="AD270" s="226">
        <f t="shared" si="42"/>
        <v>14433.34</v>
      </c>
      <c r="AE270" s="228">
        <f t="shared" si="43"/>
        <v>0</v>
      </c>
      <c r="AF270" s="229">
        <f t="shared" si="44"/>
        <v>0</v>
      </c>
      <c r="AG270" s="423">
        <f t="shared" si="40"/>
        <v>14433.34</v>
      </c>
      <c r="AH270" s="516">
        <f t="shared" si="39"/>
        <v>14433</v>
      </c>
      <c r="AI270" s="278">
        <v>5.66</v>
      </c>
      <c r="AJ270" s="278">
        <v>12.33</v>
      </c>
      <c r="AK270" s="278">
        <v>7.42</v>
      </c>
    </row>
    <row r="271" spans="1:37" ht="12.7">
      <c r="A271" s="47" t="s">
        <v>11</v>
      </c>
      <c r="B271" s="23" t="s">
        <v>540</v>
      </c>
      <c r="C271" s="467" t="s">
        <v>670</v>
      </c>
      <c r="D271" s="139" t="s">
        <v>421</v>
      </c>
      <c r="E271" s="769" t="s">
        <v>18</v>
      </c>
      <c r="F271" s="210"/>
      <c r="G271" s="310"/>
      <c r="H271" s="246" t="s">
        <v>6</v>
      </c>
      <c r="I271" s="206" t="s">
        <v>8</v>
      </c>
      <c r="J271" s="207" t="s">
        <v>106</v>
      </c>
      <c r="K271" s="208" t="s">
        <v>107</v>
      </c>
      <c r="L271" s="209" t="s">
        <v>108</v>
      </c>
      <c r="M271" s="207" t="s">
        <v>109</v>
      </c>
      <c r="N271" s="208" t="s">
        <v>110</v>
      </c>
      <c r="O271" s="204" t="s">
        <v>111</v>
      </c>
      <c r="P271" s="206">
        <v>42</v>
      </c>
      <c r="Q271" s="207">
        <v>5</v>
      </c>
      <c r="R271" s="208">
        <v>58.722000000000001</v>
      </c>
      <c r="S271" s="209">
        <v>82</v>
      </c>
      <c r="T271" s="207">
        <v>38</v>
      </c>
      <c r="U271" s="208">
        <v>22.099</v>
      </c>
      <c r="V271" s="210">
        <v>4</v>
      </c>
      <c r="W271" s="543">
        <v>371.36</v>
      </c>
      <c r="X271" s="211">
        <v>1995</v>
      </c>
      <c r="Y271" s="204"/>
      <c r="Z271" s="212" t="s">
        <v>14</v>
      </c>
      <c r="AA271" s="210" t="s">
        <v>15</v>
      </c>
      <c r="AB271" s="213">
        <f t="shared" si="41"/>
        <v>6706.7615999999998</v>
      </c>
      <c r="AC271" s="214">
        <f t="shared" si="45"/>
        <v>0.47</v>
      </c>
      <c r="AD271" s="213">
        <f t="shared" si="42"/>
        <v>3554.58</v>
      </c>
      <c r="AE271" s="215">
        <f t="shared" si="43"/>
        <v>0</v>
      </c>
      <c r="AF271" s="216">
        <f t="shared" si="44"/>
        <v>0</v>
      </c>
      <c r="AG271" s="260">
        <f t="shared" si="40"/>
        <v>3554.58</v>
      </c>
      <c r="AH271" s="522">
        <f t="shared" si="39"/>
        <v>3554</v>
      </c>
      <c r="AI271" s="1044">
        <v>2.2599999999999998</v>
      </c>
      <c r="AJ271" s="1044">
        <v>1.45</v>
      </c>
      <c r="AK271" s="1044">
        <v>2.4700000000000002</v>
      </c>
    </row>
    <row r="272" spans="1:37" ht="12.7">
      <c r="A272" s="47" t="s">
        <v>11</v>
      </c>
      <c r="B272" s="23" t="s">
        <v>540</v>
      </c>
      <c r="C272" s="467" t="s">
        <v>670</v>
      </c>
      <c r="D272" s="139" t="s">
        <v>421</v>
      </c>
      <c r="E272" s="769" t="s">
        <v>18</v>
      </c>
      <c r="F272" s="210"/>
      <c r="G272" s="310"/>
      <c r="H272" s="246" t="s">
        <v>111</v>
      </c>
      <c r="I272" s="206">
        <v>42</v>
      </c>
      <c r="J272" s="207">
        <v>5</v>
      </c>
      <c r="K272" s="208">
        <v>58.722000000000001</v>
      </c>
      <c r="L272" s="209">
        <v>82</v>
      </c>
      <c r="M272" s="207">
        <v>38</v>
      </c>
      <c r="N272" s="208">
        <v>22.099</v>
      </c>
      <c r="O272" s="204" t="s">
        <v>112</v>
      </c>
      <c r="P272" s="206">
        <v>42</v>
      </c>
      <c r="Q272" s="207">
        <v>5</v>
      </c>
      <c r="R272" s="208">
        <v>58.845999999999997</v>
      </c>
      <c r="S272" s="209">
        <v>82</v>
      </c>
      <c r="T272" s="207">
        <v>38</v>
      </c>
      <c r="U272" s="208">
        <v>13.464</v>
      </c>
      <c r="V272" s="210">
        <v>4</v>
      </c>
      <c r="W272" s="543">
        <v>605.91</v>
      </c>
      <c r="X272" s="211">
        <v>1995</v>
      </c>
      <c r="Y272" s="204"/>
      <c r="Z272" s="212" t="s">
        <v>14</v>
      </c>
      <c r="AA272" s="210" t="s">
        <v>15</v>
      </c>
      <c r="AB272" s="213">
        <f t="shared" si="41"/>
        <v>10942.734599999998</v>
      </c>
      <c r="AC272" s="214">
        <f t="shared" si="45"/>
        <v>0.47</v>
      </c>
      <c r="AD272" s="213">
        <f t="shared" si="42"/>
        <v>5799.65</v>
      </c>
      <c r="AE272" s="215">
        <f t="shared" si="43"/>
        <v>0</v>
      </c>
      <c r="AF272" s="216">
        <f t="shared" si="44"/>
        <v>0</v>
      </c>
      <c r="AG272" s="260">
        <f t="shared" si="40"/>
        <v>5799.65</v>
      </c>
      <c r="AH272" s="522">
        <f t="shared" si="39"/>
        <v>5799</v>
      </c>
      <c r="AI272" s="1044"/>
      <c r="AJ272" s="1044"/>
      <c r="AK272" s="1044"/>
    </row>
    <row r="273" spans="1:37" ht="12.7">
      <c r="A273" s="47" t="s">
        <v>11</v>
      </c>
      <c r="B273" s="23" t="s">
        <v>540</v>
      </c>
      <c r="C273" s="467" t="s">
        <v>670</v>
      </c>
      <c r="D273" s="139" t="s">
        <v>421</v>
      </c>
      <c r="E273" s="769" t="s">
        <v>18</v>
      </c>
      <c r="F273" s="210"/>
      <c r="G273" s="310"/>
      <c r="H273" s="246" t="s">
        <v>113</v>
      </c>
      <c r="I273" s="206">
        <v>42</v>
      </c>
      <c r="J273" s="207">
        <v>5</v>
      </c>
      <c r="K273" s="208">
        <v>48.122999999999998</v>
      </c>
      <c r="L273" s="209">
        <v>82</v>
      </c>
      <c r="M273" s="207">
        <v>38</v>
      </c>
      <c r="N273" s="208">
        <v>14.582000000000001</v>
      </c>
      <c r="O273" s="204" t="s">
        <v>114</v>
      </c>
      <c r="P273" s="206">
        <v>42</v>
      </c>
      <c r="Q273" s="207">
        <v>6</v>
      </c>
      <c r="R273" s="208">
        <v>5.775</v>
      </c>
      <c r="S273" s="209">
        <v>82</v>
      </c>
      <c r="T273" s="207">
        <v>38</v>
      </c>
      <c r="U273" s="208">
        <v>12.833</v>
      </c>
      <c r="V273" s="210">
        <v>3</v>
      </c>
      <c r="W273" s="543">
        <v>1167.80</v>
      </c>
      <c r="X273" s="211">
        <v>1998</v>
      </c>
      <c r="Y273" s="204"/>
      <c r="Z273" s="212" t="s">
        <v>14</v>
      </c>
      <c r="AA273" s="210" t="s">
        <v>15</v>
      </c>
      <c r="AB273" s="213">
        <f t="shared" si="41"/>
        <v>17505.322</v>
      </c>
      <c r="AC273" s="214">
        <f t="shared" si="45"/>
        <v>0.40</v>
      </c>
      <c r="AD273" s="213">
        <f t="shared" si="42"/>
        <v>10503.19</v>
      </c>
      <c r="AE273" s="215">
        <f t="shared" si="43"/>
        <v>0</v>
      </c>
      <c r="AF273" s="216">
        <f t="shared" si="44"/>
        <v>0</v>
      </c>
      <c r="AG273" s="260">
        <f t="shared" si="40"/>
        <v>10503.19</v>
      </c>
      <c r="AH273" s="522">
        <f t="shared" si="39"/>
        <v>10503</v>
      </c>
      <c r="AI273" s="1044"/>
      <c r="AJ273" s="1044"/>
      <c r="AK273" s="1044"/>
    </row>
    <row r="274" spans="1:37" ht="12.7">
      <c r="A274" s="47" t="s">
        <v>11</v>
      </c>
      <c r="B274" s="23" t="s">
        <v>540</v>
      </c>
      <c r="C274" s="467" t="s">
        <v>670</v>
      </c>
      <c r="D274" s="139" t="s">
        <v>421</v>
      </c>
      <c r="E274" s="769" t="s">
        <v>18</v>
      </c>
      <c r="F274" s="210"/>
      <c r="G274" s="310"/>
      <c r="H274" s="246" t="s">
        <v>114</v>
      </c>
      <c r="I274" s="206">
        <v>42</v>
      </c>
      <c r="J274" s="207">
        <v>6</v>
      </c>
      <c r="K274" s="208">
        <v>5.775</v>
      </c>
      <c r="L274" s="209">
        <v>82</v>
      </c>
      <c r="M274" s="207">
        <v>38</v>
      </c>
      <c r="N274" s="208">
        <v>12.833</v>
      </c>
      <c r="O274" s="204" t="s">
        <v>115</v>
      </c>
      <c r="P274" s="206">
        <v>42</v>
      </c>
      <c r="Q274" s="207">
        <v>6</v>
      </c>
      <c r="R274" s="208">
        <v>2.2610000000000001</v>
      </c>
      <c r="S274" s="209">
        <v>82</v>
      </c>
      <c r="T274" s="207">
        <v>36</v>
      </c>
      <c r="U274" s="208">
        <v>34.017000000000003</v>
      </c>
      <c r="V274" s="210">
        <v>4</v>
      </c>
      <c r="W274" s="543">
        <v>8119.63</v>
      </c>
      <c r="X274" s="211">
        <v>1995</v>
      </c>
      <c r="Y274" s="204"/>
      <c r="Z274" s="212" t="s">
        <v>14</v>
      </c>
      <c r="AA274" s="210" t="s">
        <v>15</v>
      </c>
      <c r="AB274" s="213">
        <f t="shared" si="41"/>
        <v>146640.5178</v>
      </c>
      <c r="AC274" s="214">
        <f t="shared" si="45"/>
        <v>0.47</v>
      </c>
      <c r="AD274" s="213">
        <f t="shared" si="42"/>
        <v>77719.47</v>
      </c>
      <c r="AE274" s="215">
        <f t="shared" si="43"/>
        <v>0</v>
      </c>
      <c r="AF274" s="216">
        <f t="shared" si="44"/>
        <v>0</v>
      </c>
      <c r="AG274" s="260">
        <f t="shared" si="40"/>
        <v>77719.47</v>
      </c>
      <c r="AH274" s="522">
        <f t="shared" si="39"/>
        <v>77719</v>
      </c>
      <c r="AI274" s="1044"/>
      <c r="AJ274" s="1044"/>
      <c r="AK274" s="1044"/>
    </row>
    <row r="275" spans="1:37" ht="12.7">
      <c r="A275" s="47" t="s">
        <v>11</v>
      </c>
      <c r="B275" s="23" t="s">
        <v>540</v>
      </c>
      <c r="C275" s="467" t="s">
        <v>670</v>
      </c>
      <c r="D275" s="139" t="s">
        <v>421</v>
      </c>
      <c r="E275" s="769" t="s">
        <v>18</v>
      </c>
      <c r="F275" s="210"/>
      <c r="G275" s="310"/>
      <c r="H275" s="246" t="s">
        <v>115</v>
      </c>
      <c r="I275" s="206">
        <v>42</v>
      </c>
      <c r="J275" s="207">
        <v>6</v>
      </c>
      <c r="K275" s="208">
        <v>2.2610000000000001</v>
      </c>
      <c r="L275" s="209">
        <v>82</v>
      </c>
      <c r="M275" s="207">
        <v>36</v>
      </c>
      <c r="N275" s="208">
        <v>34.017000000000003</v>
      </c>
      <c r="O275" s="204" t="s">
        <v>116</v>
      </c>
      <c r="P275" s="206">
        <v>42</v>
      </c>
      <c r="Q275" s="207">
        <v>5</v>
      </c>
      <c r="R275" s="208">
        <v>36.363</v>
      </c>
      <c r="S275" s="209">
        <v>82</v>
      </c>
      <c r="T275" s="207">
        <v>36</v>
      </c>
      <c r="U275" s="208">
        <v>35.517000000000003</v>
      </c>
      <c r="V275" s="210">
        <v>4</v>
      </c>
      <c r="W275" s="543">
        <v>2652.22</v>
      </c>
      <c r="X275" s="211">
        <v>1995</v>
      </c>
      <c r="Y275" s="204"/>
      <c r="Z275" s="212" t="s">
        <v>14</v>
      </c>
      <c r="AA275" s="210" t="s">
        <v>15</v>
      </c>
      <c r="AB275" s="213">
        <f t="shared" si="41"/>
        <v>47899.093199999996</v>
      </c>
      <c r="AC275" s="214">
        <f t="shared" si="45"/>
        <v>0.47</v>
      </c>
      <c r="AD275" s="213">
        <f t="shared" si="42"/>
        <v>25386.52</v>
      </c>
      <c r="AE275" s="215">
        <f t="shared" si="43"/>
        <v>0</v>
      </c>
      <c r="AF275" s="216">
        <f t="shared" si="44"/>
        <v>0</v>
      </c>
      <c r="AG275" s="260">
        <f t="shared" si="40"/>
        <v>25386.52</v>
      </c>
      <c r="AH275" s="522">
        <f t="shared" si="39"/>
        <v>25386</v>
      </c>
      <c r="AI275" s="1044">
        <v>2.52</v>
      </c>
      <c r="AJ275" s="1044">
        <v>13.96</v>
      </c>
      <c r="AK275" s="1044">
        <v>1.41</v>
      </c>
    </row>
    <row r="276" spans="1:37" ht="12.7">
      <c r="A276" s="47" t="s">
        <v>11</v>
      </c>
      <c r="B276" s="23" t="s">
        <v>540</v>
      </c>
      <c r="C276" s="467" t="s">
        <v>670</v>
      </c>
      <c r="D276" s="139" t="s">
        <v>421</v>
      </c>
      <c r="E276" s="769" t="s">
        <v>18</v>
      </c>
      <c r="F276" s="210"/>
      <c r="G276" s="310"/>
      <c r="H276" s="246" t="s">
        <v>117</v>
      </c>
      <c r="I276" s="206">
        <v>42</v>
      </c>
      <c r="J276" s="207">
        <v>5</v>
      </c>
      <c r="K276" s="208">
        <v>56.792000000000002</v>
      </c>
      <c r="L276" s="209">
        <v>82</v>
      </c>
      <c r="M276" s="207">
        <v>36</v>
      </c>
      <c r="N276" s="208">
        <v>35.707999999999998</v>
      </c>
      <c r="O276" s="204" t="s">
        <v>118</v>
      </c>
      <c r="P276" s="206">
        <v>42</v>
      </c>
      <c r="Q276" s="207">
        <v>5</v>
      </c>
      <c r="R276" s="208">
        <v>56.804000000000002</v>
      </c>
      <c r="S276" s="209">
        <v>82</v>
      </c>
      <c r="T276" s="207">
        <v>36</v>
      </c>
      <c r="U276" s="208">
        <v>34.19</v>
      </c>
      <c r="V276" s="210">
        <v>3</v>
      </c>
      <c r="W276" s="543">
        <v>134.41</v>
      </c>
      <c r="X276" s="211">
        <v>1995</v>
      </c>
      <c r="Y276" s="204"/>
      <c r="Z276" s="212" t="s">
        <v>14</v>
      </c>
      <c r="AA276" s="210" t="s">
        <v>15</v>
      </c>
      <c r="AB276" s="213">
        <f t="shared" si="41"/>
        <v>2014.8059000000001</v>
      </c>
      <c r="AC276" s="214">
        <f t="shared" si="45"/>
        <v>0.47</v>
      </c>
      <c r="AD276" s="213">
        <f t="shared" si="42"/>
        <v>1067.8499999999999</v>
      </c>
      <c r="AE276" s="215">
        <f t="shared" si="43"/>
        <v>0</v>
      </c>
      <c r="AF276" s="216">
        <f t="shared" si="44"/>
        <v>0</v>
      </c>
      <c r="AG276" s="260">
        <f t="shared" si="40"/>
        <v>1067.8499999999999</v>
      </c>
      <c r="AH276" s="522">
        <f t="shared" si="39"/>
        <v>1067</v>
      </c>
      <c r="AI276" s="1044"/>
      <c r="AJ276" s="1044"/>
      <c r="AK276" s="1044"/>
    </row>
    <row r="277" spans="1:37" ht="12.7">
      <c r="A277" s="47" t="s">
        <v>11</v>
      </c>
      <c r="B277" s="23" t="s">
        <v>540</v>
      </c>
      <c r="C277" s="467" t="s">
        <v>670</v>
      </c>
      <c r="D277" s="139" t="s">
        <v>421</v>
      </c>
      <c r="E277" s="769" t="s">
        <v>18</v>
      </c>
      <c r="F277" s="210"/>
      <c r="G277" s="310"/>
      <c r="H277" s="246" t="s">
        <v>119</v>
      </c>
      <c r="I277" s="206">
        <v>42</v>
      </c>
      <c r="J277" s="207">
        <v>6</v>
      </c>
      <c r="K277" s="208">
        <v>20.095</v>
      </c>
      <c r="L277" s="209">
        <v>82</v>
      </c>
      <c r="M277" s="207">
        <v>37</v>
      </c>
      <c r="N277" s="208">
        <v>26.81</v>
      </c>
      <c r="O277" s="204" t="s">
        <v>120</v>
      </c>
      <c r="P277" s="206">
        <v>42</v>
      </c>
      <c r="Q277" s="207">
        <v>6</v>
      </c>
      <c r="R277" s="208">
        <v>15.933999999999999</v>
      </c>
      <c r="S277" s="209">
        <v>82</v>
      </c>
      <c r="T277" s="207">
        <v>37</v>
      </c>
      <c r="U277" s="208">
        <v>27.126000000000001</v>
      </c>
      <c r="V277" s="210">
        <v>4</v>
      </c>
      <c r="W277" s="543">
        <v>310.98</v>
      </c>
      <c r="X277" s="211">
        <v>1996</v>
      </c>
      <c r="Y277" s="204"/>
      <c r="Z277" s="212" t="s">
        <v>14</v>
      </c>
      <c r="AA277" s="210" t="s">
        <v>15</v>
      </c>
      <c r="AB277" s="213">
        <f t="shared" si="41"/>
        <v>5616.2987999999996</v>
      </c>
      <c r="AC277" s="214">
        <f t="shared" si="45"/>
        <v>0.44</v>
      </c>
      <c r="AD277" s="213">
        <f t="shared" si="42"/>
        <v>3145.13</v>
      </c>
      <c r="AE277" s="215">
        <f t="shared" si="43"/>
        <v>0</v>
      </c>
      <c r="AF277" s="216">
        <f t="shared" si="44"/>
        <v>0</v>
      </c>
      <c r="AG277" s="260">
        <f t="shared" si="40"/>
        <v>3145.13</v>
      </c>
      <c r="AH277" s="522">
        <f t="shared" si="39"/>
        <v>3145</v>
      </c>
      <c r="AI277" s="1044">
        <v>1.57</v>
      </c>
      <c r="AJ277" s="1044">
        <v>0.25</v>
      </c>
      <c r="AK277" s="1045" t="s">
        <v>613</v>
      </c>
    </row>
    <row r="278" spans="1:37" ht="12.7">
      <c r="A278" s="47" t="s">
        <v>11</v>
      </c>
      <c r="B278" s="23" t="s">
        <v>540</v>
      </c>
      <c r="C278" s="467" t="s">
        <v>670</v>
      </c>
      <c r="D278" s="139" t="s">
        <v>421</v>
      </c>
      <c r="E278" s="769" t="s">
        <v>18</v>
      </c>
      <c r="F278" s="210"/>
      <c r="G278" s="310"/>
      <c r="H278" s="246" t="s">
        <v>120</v>
      </c>
      <c r="I278" s="206">
        <v>42</v>
      </c>
      <c r="J278" s="207">
        <v>6</v>
      </c>
      <c r="K278" s="208">
        <v>15.933999999999999</v>
      </c>
      <c r="L278" s="209">
        <v>82</v>
      </c>
      <c r="M278" s="207">
        <v>37</v>
      </c>
      <c r="N278" s="208">
        <v>27.126000000000001</v>
      </c>
      <c r="O278" s="204" t="s">
        <v>121</v>
      </c>
      <c r="P278" s="206">
        <v>42</v>
      </c>
      <c r="Q278" s="207">
        <v>6</v>
      </c>
      <c r="R278" s="208">
        <v>15.423999999999999</v>
      </c>
      <c r="S278" s="209">
        <v>82</v>
      </c>
      <c r="T278" s="207">
        <v>37</v>
      </c>
      <c r="U278" s="208">
        <v>11.366</v>
      </c>
      <c r="V278" s="210">
        <v>4</v>
      </c>
      <c r="W278" s="543">
        <v>1290.6600000000001</v>
      </c>
      <c r="X278" s="211">
        <v>1996</v>
      </c>
      <c r="Y278" s="204"/>
      <c r="Z278" s="212" t="s">
        <v>14</v>
      </c>
      <c r="AA278" s="210" t="s">
        <v>15</v>
      </c>
      <c r="AB278" s="213">
        <f t="shared" si="41"/>
        <v>23309.319599999999</v>
      </c>
      <c r="AC278" s="214">
        <f t="shared" si="45"/>
        <v>0.44</v>
      </c>
      <c r="AD278" s="213">
        <f t="shared" si="42"/>
        <v>13053.22</v>
      </c>
      <c r="AE278" s="215">
        <f t="shared" si="43"/>
        <v>0</v>
      </c>
      <c r="AF278" s="216">
        <f t="shared" si="44"/>
        <v>0</v>
      </c>
      <c r="AG278" s="260">
        <f t="shared" si="40"/>
        <v>13053.22</v>
      </c>
      <c r="AH278" s="522">
        <f t="shared" si="39"/>
        <v>13053</v>
      </c>
      <c r="AI278" s="1044"/>
      <c r="AJ278" s="1044"/>
      <c r="AK278" s="1044"/>
    </row>
    <row r="279" spans="1:37" ht="12.7">
      <c r="A279" s="47" t="s">
        <v>11</v>
      </c>
      <c r="B279" s="23" t="s">
        <v>540</v>
      </c>
      <c r="C279" s="467" t="s">
        <v>670</v>
      </c>
      <c r="D279" s="139" t="s">
        <v>421</v>
      </c>
      <c r="E279" s="769" t="s">
        <v>18</v>
      </c>
      <c r="F279" s="210"/>
      <c r="G279" s="310"/>
      <c r="H279" s="246" t="s">
        <v>121</v>
      </c>
      <c r="I279" s="206">
        <v>42</v>
      </c>
      <c r="J279" s="207">
        <v>6</v>
      </c>
      <c r="K279" s="208">
        <v>15.423999999999999</v>
      </c>
      <c r="L279" s="209">
        <v>82</v>
      </c>
      <c r="M279" s="207">
        <v>37</v>
      </c>
      <c r="N279" s="208">
        <v>11.366</v>
      </c>
      <c r="O279" s="204" t="s">
        <v>34</v>
      </c>
      <c r="P279" s="206">
        <v>42</v>
      </c>
      <c r="Q279" s="207">
        <v>6</v>
      </c>
      <c r="R279" s="208">
        <v>12.567</v>
      </c>
      <c r="S279" s="209">
        <v>82</v>
      </c>
      <c r="T279" s="207">
        <v>37</v>
      </c>
      <c r="U279" s="208">
        <v>11.355</v>
      </c>
      <c r="V279" s="210">
        <v>4</v>
      </c>
      <c r="W279" s="543">
        <v>254.63</v>
      </c>
      <c r="X279" s="211">
        <v>1995</v>
      </c>
      <c r="Y279" s="204"/>
      <c r="Z279" s="212" t="s">
        <v>14</v>
      </c>
      <c r="AA279" s="210" t="s">
        <v>15</v>
      </c>
      <c r="AB279" s="213">
        <f t="shared" si="41"/>
        <v>4598.6178</v>
      </c>
      <c r="AC279" s="214">
        <f t="shared" si="45"/>
        <v>0.47</v>
      </c>
      <c r="AD279" s="213">
        <f t="shared" si="42"/>
        <v>2437.27</v>
      </c>
      <c r="AE279" s="215">
        <f t="shared" si="43"/>
        <v>0</v>
      </c>
      <c r="AF279" s="216">
        <f t="shared" si="44"/>
        <v>0</v>
      </c>
      <c r="AG279" s="260">
        <f t="shared" si="40"/>
        <v>2437.27</v>
      </c>
      <c r="AH279" s="522">
        <f t="shared" si="39"/>
        <v>2437</v>
      </c>
      <c r="AI279" s="198">
        <v>1.01</v>
      </c>
      <c r="AJ279" s="198">
        <v>1.45</v>
      </c>
      <c r="AK279" s="198">
        <v>2.4700000000000002</v>
      </c>
    </row>
    <row r="280" spans="1:37" ht="12.7">
      <c r="A280" s="47" t="s">
        <v>11</v>
      </c>
      <c r="B280" s="23" t="s">
        <v>540</v>
      </c>
      <c r="C280" s="467" t="s">
        <v>670</v>
      </c>
      <c r="D280" s="139" t="s">
        <v>421</v>
      </c>
      <c r="E280" s="770" t="s">
        <v>18</v>
      </c>
      <c r="F280" s="223"/>
      <c r="G280" s="311"/>
      <c r="H280" s="292" t="s">
        <v>122</v>
      </c>
      <c r="I280" s="219">
        <v>42</v>
      </c>
      <c r="J280" s="220">
        <v>6</v>
      </c>
      <c r="K280" s="221">
        <v>15.737</v>
      </c>
      <c r="L280" s="222">
        <v>82</v>
      </c>
      <c r="M280" s="220">
        <v>37</v>
      </c>
      <c r="N280" s="221">
        <v>0.235</v>
      </c>
      <c r="O280" s="218" t="s">
        <v>123</v>
      </c>
      <c r="P280" s="219">
        <v>42</v>
      </c>
      <c r="Q280" s="220">
        <v>6</v>
      </c>
      <c r="R280" s="221">
        <v>3.1320000000000001</v>
      </c>
      <c r="S280" s="222">
        <v>82</v>
      </c>
      <c r="T280" s="220">
        <v>36</v>
      </c>
      <c r="U280" s="221">
        <v>59.896999999999998</v>
      </c>
      <c r="V280" s="223">
        <v>3</v>
      </c>
      <c r="W280" s="544">
        <v>1152.07</v>
      </c>
      <c r="X280" s="224">
        <v>1995</v>
      </c>
      <c r="Y280" s="218"/>
      <c r="Z280" s="225" t="s">
        <v>14</v>
      </c>
      <c r="AA280" s="223" t="s">
        <v>15</v>
      </c>
      <c r="AB280" s="226">
        <f t="shared" si="41"/>
        <v>17269.529299999998</v>
      </c>
      <c r="AC280" s="227">
        <f t="shared" si="45"/>
        <v>0.47</v>
      </c>
      <c r="AD280" s="226">
        <f t="shared" si="42"/>
        <v>9152.85</v>
      </c>
      <c r="AE280" s="228">
        <f t="shared" si="43"/>
        <v>0</v>
      </c>
      <c r="AF280" s="229">
        <f t="shared" si="44"/>
        <v>0</v>
      </c>
      <c r="AG280" s="423">
        <f t="shared" si="40"/>
        <v>9152.85</v>
      </c>
      <c r="AH280" s="516">
        <f t="shared" si="39"/>
        <v>9152</v>
      </c>
      <c r="AI280" s="278">
        <v>12.90</v>
      </c>
      <c r="AJ280" s="278">
        <v>18.56</v>
      </c>
      <c r="AK280" s="278">
        <v>9.18</v>
      </c>
    </row>
    <row r="281" spans="1:37" ht="12.7">
      <c r="A281" s="748" t="s">
        <v>11</v>
      </c>
      <c r="B281" s="641" t="s">
        <v>540</v>
      </c>
      <c r="C281" s="683" t="s">
        <v>670</v>
      </c>
      <c r="D281" s="687" t="s">
        <v>421</v>
      </c>
      <c r="E281" s="776" t="s">
        <v>18</v>
      </c>
      <c r="F281" s="703"/>
      <c r="G281" s="643" t="s">
        <v>281</v>
      </c>
      <c r="H281" s="705" t="s">
        <v>124</v>
      </c>
      <c r="I281" s="706">
        <v>42</v>
      </c>
      <c r="J281" s="707">
        <v>5</v>
      </c>
      <c r="K281" s="708">
        <v>39.972999999999999</v>
      </c>
      <c r="L281" s="709">
        <v>82</v>
      </c>
      <c r="M281" s="707">
        <v>37</v>
      </c>
      <c r="N281" s="708">
        <v>41.779000000000003</v>
      </c>
      <c r="O281" s="710" t="s">
        <v>125</v>
      </c>
      <c r="P281" s="706">
        <v>42</v>
      </c>
      <c r="Q281" s="707">
        <v>5</v>
      </c>
      <c r="R281" s="708">
        <v>38.231000000000002</v>
      </c>
      <c r="S281" s="709">
        <v>82</v>
      </c>
      <c r="T281" s="707">
        <v>37</v>
      </c>
      <c r="U281" s="708">
        <v>33.939</v>
      </c>
      <c r="V281" s="703">
        <v>4</v>
      </c>
      <c r="W281" s="501">
        <v>714.31</v>
      </c>
      <c r="X281" s="711">
        <v>1996</v>
      </c>
      <c r="Y281" s="710"/>
      <c r="Z281" s="712" t="s">
        <v>14</v>
      </c>
      <c r="AA281" s="703" t="s">
        <v>15</v>
      </c>
      <c r="AB281" s="713">
        <f t="shared" si="41"/>
        <v>0</v>
      </c>
      <c r="AC281" s="714">
        <f t="shared" si="45"/>
        <v>0.44</v>
      </c>
      <c r="AD281" s="713">
        <f t="shared" si="42"/>
        <v>0</v>
      </c>
      <c r="AE281" s="715">
        <f t="shared" si="43"/>
        <v>0</v>
      </c>
      <c r="AF281" s="716">
        <f t="shared" si="44"/>
        <v>0</v>
      </c>
      <c r="AG281" s="700">
        <f t="shared" si="40"/>
        <v>0</v>
      </c>
      <c r="AH281" s="701">
        <f t="shared" si="39"/>
        <v>0</v>
      </c>
      <c r="AI281" s="197"/>
      <c r="AJ281" s="197"/>
      <c r="AK281" s="197"/>
    </row>
    <row r="282" spans="1:37" ht="12.7">
      <c r="A282" s="47" t="s">
        <v>11</v>
      </c>
      <c r="B282" s="23" t="s">
        <v>540</v>
      </c>
      <c r="C282" s="467" t="s">
        <v>670</v>
      </c>
      <c r="D282" s="139" t="s">
        <v>421</v>
      </c>
      <c r="E282" s="412" t="s">
        <v>18</v>
      </c>
      <c r="F282" s="405"/>
      <c r="G282" s="406"/>
      <c r="H282" s="407" t="s">
        <v>125</v>
      </c>
      <c r="I282" s="408">
        <v>42</v>
      </c>
      <c r="J282" s="409">
        <v>5</v>
      </c>
      <c r="K282" s="410">
        <v>38.231000000000002</v>
      </c>
      <c r="L282" s="411">
        <v>82</v>
      </c>
      <c r="M282" s="409">
        <v>37</v>
      </c>
      <c r="N282" s="410">
        <v>33.939</v>
      </c>
      <c r="O282" s="412" t="s">
        <v>126</v>
      </c>
      <c r="P282" s="408">
        <v>42</v>
      </c>
      <c r="Q282" s="409">
        <v>5</v>
      </c>
      <c r="R282" s="410">
        <v>37.790999999999997</v>
      </c>
      <c r="S282" s="411">
        <v>82</v>
      </c>
      <c r="T282" s="409">
        <v>37</v>
      </c>
      <c r="U282" s="410">
        <v>24.005</v>
      </c>
      <c r="V282" s="405">
        <v>4</v>
      </c>
      <c r="W282" s="548">
        <v>1084.94</v>
      </c>
      <c r="X282" s="413">
        <v>1996</v>
      </c>
      <c r="Y282" s="412"/>
      <c r="Z282" s="414" t="s">
        <v>14</v>
      </c>
      <c r="AA282" s="405" t="s">
        <v>15</v>
      </c>
      <c r="AB282" s="415">
        <f t="shared" si="41"/>
        <v>19594.0164</v>
      </c>
      <c r="AC282" s="416">
        <f t="shared" si="45"/>
        <v>0.44</v>
      </c>
      <c r="AD282" s="415">
        <f t="shared" si="42"/>
        <v>10972.65</v>
      </c>
      <c r="AE282" s="417">
        <f t="shared" si="43"/>
        <v>0</v>
      </c>
      <c r="AF282" s="418">
        <f t="shared" si="44"/>
        <v>0</v>
      </c>
      <c r="AG282" s="418">
        <f t="shared" si="40"/>
        <v>10972.65</v>
      </c>
      <c r="AH282" s="519">
        <f t="shared" si="39"/>
        <v>10972</v>
      </c>
      <c r="AI282" s="1044">
        <v>15.79</v>
      </c>
      <c r="AJ282" s="1044">
        <v>42.96</v>
      </c>
      <c r="AK282" s="1044">
        <v>15.83</v>
      </c>
    </row>
    <row r="283" spans="1:37" ht="12.7">
      <c r="A283" s="47" t="s">
        <v>11</v>
      </c>
      <c r="B283" s="23" t="s">
        <v>540</v>
      </c>
      <c r="C283" s="467" t="s">
        <v>670</v>
      </c>
      <c r="D283" s="139" t="s">
        <v>421</v>
      </c>
      <c r="E283" s="123" t="s">
        <v>18</v>
      </c>
      <c r="F283" s="419"/>
      <c r="G283" s="317"/>
      <c r="H283" s="132" t="s">
        <v>126</v>
      </c>
      <c r="I283" s="125">
        <v>42</v>
      </c>
      <c r="J283" s="126">
        <v>5</v>
      </c>
      <c r="K283" s="127">
        <v>38</v>
      </c>
      <c r="L283" s="128">
        <v>82</v>
      </c>
      <c r="M283" s="126">
        <v>37</v>
      </c>
      <c r="N283" s="127">
        <v>22</v>
      </c>
      <c r="O283" s="123" t="s">
        <v>414</v>
      </c>
      <c r="P283" s="125">
        <v>42</v>
      </c>
      <c r="Q283" s="126">
        <v>5</v>
      </c>
      <c r="R283" s="127">
        <v>44</v>
      </c>
      <c r="S283" s="128">
        <v>82</v>
      </c>
      <c r="T283" s="126">
        <v>37</v>
      </c>
      <c r="U283" s="127">
        <v>12</v>
      </c>
      <c r="V283" s="419">
        <v>3</v>
      </c>
      <c r="W283" s="131">
        <v>1376.60</v>
      </c>
      <c r="X283" s="420">
        <v>2002</v>
      </c>
      <c r="Y283" s="123"/>
      <c r="Z283" s="421" t="s">
        <v>14</v>
      </c>
      <c r="AA283" s="419" t="s">
        <v>15</v>
      </c>
      <c r="AB283" s="422">
        <f t="shared" si="41"/>
        <v>20635.234</v>
      </c>
      <c r="AC283" s="135">
        <f t="shared" si="45"/>
        <v>0.30</v>
      </c>
      <c r="AD283" s="422">
        <f t="shared" si="42"/>
        <v>14444.66</v>
      </c>
      <c r="AE283" s="423">
        <f t="shared" si="43"/>
        <v>0</v>
      </c>
      <c r="AF283" s="424">
        <f t="shared" si="44"/>
        <v>0</v>
      </c>
      <c r="AG283" s="424">
        <f t="shared" si="40"/>
        <v>14444.66</v>
      </c>
      <c r="AH283" s="520">
        <f t="shared" si="39"/>
        <v>14444</v>
      </c>
      <c r="AI283" s="1044"/>
      <c r="AJ283" s="1044"/>
      <c r="AK283" s="1044"/>
    </row>
    <row r="284" spans="1:37" ht="12.7">
      <c r="A284" s="47" t="s">
        <v>11</v>
      </c>
      <c r="B284" s="23" t="s">
        <v>540</v>
      </c>
      <c r="C284" s="467" t="s">
        <v>670</v>
      </c>
      <c r="D284" s="139" t="s">
        <v>421</v>
      </c>
      <c r="E284" s="432" t="s">
        <v>18</v>
      </c>
      <c r="F284" s="425"/>
      <c r="G284" s="426"/>
      <c r="H284" s="427" t="s">
        <v>126</v>
      </c>
      <c r="I284" s="428">
        <v>42</v>
      </c>
      <c r="J284" s="429">
        <v>5</v>
      </c>
      <c r="K284" s="430">
        <v>37.790999999999997</v>
      </c>
      <c r="L284" s="431">
        <v>82</v>
      </c>
      <c r="M284" s="429">
        <v>37</v>
      </c>
      <c r="N284" s="430">
        <v>24.005</v>
      </c>
      <c r="O284" s="432" t="s">
        <v>127</v>
      </c>
      <c r="P284" s="428">
        <v>42</v>
      </c>
      <c r="Q284" s="429">
        <v>5</v>
      </c>
      <c r="R284" s="430">
        <v>37.630000000000003</v>
      </c>
      <c r="S284" s="431">
        <v>82</v>
      </c>
      <c r="T284" s="429">
        <v>37</v>
      </c>
      <c r="U284" s="430">
        <v>9.685</v>
      </c>
      <c r="V284" s="425">
        <v>4</v>
      </c>
      <c r="W284" s="549">
        <v>1079.99</v>
      </c>
      <c r="X284" s="433">
        <v>1993</v>
      </c>
      <c r="Y284" s="432"/>
      <c r="Z284" s="434" t="s">
        <v>14</v>
      </c>
      <c r="AA284" s="425" t="s">
        <v>15</v>
      </c>
      <c r="AB284" s="435">
        <f t="shared" si="41"/>
        <v>19504.6194</v>
      </c>
      <c r="AC284" s="436">
        <f t="shared" si="45"/>
        <v>0.50</v>
      </c>
      <c r="AD284" s="435">
        <f t="shared" si="42"/>
        <v>9752.31</v>
      </c>
      <c r="AE284" s="437">
        <f t="shared" si="43"/>
        <v>0</v>
      </c>
      <c r="AF284" s="438">
        <f t="shared" si="44"/>
        <v>0</v>
      </c>
      <c r="AG284" s="438">
        <f t="shared" si="40"/>
        <v>9752.31</v>
      </c>
      <c r="AH284" s="521">
        <f t="shared" si="39"/>
        <v>9752</v>
      </c>
      <c r="AI284" s="1044"/>
      <c r="AJ284" s="1044"/>
      <c r="AK284" s="1044"/>
    </row>
    <row r="285" spans="1:37" ht="12.7">
      <c r="A285" s="47" t="s">
        <v>11</v>
      </c>
      <c r="B285" s="23" t="s">
        <v>540</v>
      </c>
      <c r="C285" s="467" t="s">
        <v>670</v>
      </c>
      <c r="D285" s="139" t="s">
        <v>421</v>
      </c>
      <c r="E285" s="778" t="s">
        <v>18</v>
      </c>
      <c r="F285" s="248"/>
      <c r="G285" s="315"/>
      <c r="H285" s="291" t="s">
        <v>127</v>
      </c>
      <c r="I285" s="250">
        <v>42</v>
      </c>
      <c r="J285" s="251">
        <v>5</v>
      </c>
      <c r="K285" s="252">
        <v>37.630000000000003</v>
      </c>
      <c r="L285" s="253">
        <v>82</v>
      </c>
      <c r="M285" s="251">
        <v>37</v>
      </c>
      <c r="N285" s="252">
        <v>9.685</v>
      </c>
      <c r="O285" s="249" t="s">
        <v>38</v>
      </c>
      <c r="P285" s="250">
        <v>42</v>
      </c>
      <c r="Q285" s="251">
        <v>5</v>
      </c>
      <c r="R285" s="252">
        <v>37.218000000000004</v>
      </c>
      <c r="S285" s="253">
        <v>82</v>
      </c>
      <c r="T285" s="251">
        <v>37</v>
      </c>
      <c r="U285" s="252">
        <v>9.6579999999999995</v>
      </c>
      <c r="V285" s="248">
        <v>4</v>
      </c>
      <c r="W285" s="550">
        <v>44.87</v>
      </c>
      <c r="X285" s="254">
        <v>1995</v>
      </c>
      <c r="Y285" s="249"/>
      <c r="Z285" s="255" t="s">
        <v>14</v>
      </c>
      <c r="AA285" s="248" t="s">
        <v>15</v>
      </c>
      <c r="AB285" s="256">
        <f t="shared" si="41"/>
        <v>810.35219999999993</v>
      </c>
      <c r="AC285" s="257">
        <f t="shared" si="45"/>
        <v>0.47</v>
      </c>
      <c r="AD285" s="256">
        <f t="shared" si="42"/>
        <v>429.49</v>
      </c>
      <c r="AE285" s="258">
        <f t="shared" si="43"/>
        <v>0</v>
      </c>
      <c r="AF285" s="401">
        <f t="shared" si="44"/>
        <v>0</v>
      </c>
      <c r="AG285" s="418">
        <f t="shared" si="40"/>
        <v>429.49</v>
      </c>
      <c r="AH285" s="519">
        <f t="shared" si="39"/>
        <v>429</v>
      </c>
      <c r="AI285" s="1044">
        <v>0.31</v>
      </c>
      <c r="AJ285" s="1044">
        <v>1.20</v>
      </c>
      <c r="AK285" s="1045" t="s">
        <v>613</v>
      </c>
    </row>
    <row r="286" spans="1:37" ht="12.7">
      <c r="A286" s="47" t="s">
        <v>11</v>
      </c>
      <c r="B286" s="23" t="s">
        <v>540</v>
      </c>
      <c r="C286" s="467" t="s">
        <v>670</v>
      </c>
      <c r="D286" s="139" t="s">
        <v>421</v>
      </c>
      <c r="E286" s="770" t="s">
        <v>18</v>
      </c>
      <c r="F286" s="223"/>
      <c r="G286" s="311"/>
      <c r="H286" s="292" t="s">
        <v>38</v>
      </c>
      <c r="I286" s="219">
        <v>42</v>
      </c>
      <c r="J286" s="220">
        <v>5</v>
      </c>
      <c r="K286" s="221">
        <v>37.218000000000004</v>
      </c>
      <c r="L286" s="222">
        <v>82</v>
      </c>
      <c r="M286" s="220">
        <v>37</v>
      </c>
      <c r="N286" s="221">
        <v>9.6579999999999995</v>
      </c>
      <c r="O286" s="218" t="s">
        <v>128</v>
      </c>
      <c r="P286" s="219">
        <v>42</v>
      </c>
      <c r="Q286" s="220">
        <v>5</v>
      </c>
      <c r="R286" s="221">
        <v>36.298000000000002</v>
      </c>
      <c r="S286" s="222">
        <v>82</v>
      </c>
      <c r="T286" s="220">
        <v>36</v>
      </c>
      <c r="U286" s="221">
        <v>15.491</v>
      </c>
      <c r="V286" s="223">
        <v>4</v>
      </c>
      <c r="W286" s="544">
        <v>3980.82</v>
      </c>
      <c r="X286" s="224">
        <v>1995</v>
      </c>
      <c r="Y286" s="218"/>
      <c r="Z286" s="225" t="s">
        <v>14</v>
      </c>
      <c r="AA286" s="223" t="s">
        <v>15</v>
      </c>
      <c r="AB286" s="226">
        <f t="shared" si="41"/>
        <v>71893.609199999992</v>
      </c>
      <c r="AC286" s="227">
        <f t="shared" si="45"/>
        <v>0.47</v>
      </c>
      <c r="AD286" s="226">
        <f t="shared" si="42"/>
        <v>38103.61</v>
      </c>
      <c r="AE286" s="228">
        <f t="shared" si="43"/>
        <v>0</v>
      </c>
      <c r="AF286" s="404">
        <f t="shared" si="44"/>
        <v>0</v>
      </c>
      <c r="AG286" s="424">
        <f t="shared" si="40"/>
        <v>38103.61</v>
      </c>
      <c r="AH286" s="520">
        <f t="shared" si="39"/>
        <v>38103</v>
      </c>
      <c r="AI286" s="1044"/>
      <c r="AJ286" s="1044"/>
      <c r="AK286" s="1044"/>
    </row>
    <row r="287" spans="1:37" ht="12.7">
      <c r="A287" s="47" t="s">
        <v>11</v>
      </c>
      <c r="B287" s="23" t="s">
        <v>540</v>
      </c>
      <c r="C287" s="467" t="s">
        <v>670</v>
      </c>
      <c r="D287" s="139" t="s">
        <v>421</v>
      </c>
      <c r="E287" s="779" t="s">
        <v>18</v>
      </c>
      <c r="F287" s="293"/>
      <c r="G287" s="316"/>
      <c r="H287" s="295" t="s">
        <v>128</v>
      </c>
      <c r="I287" s="296">
        <v>42</v>
      </c>
      <c r="J287" s="297">
        <v>5</v>
      </c>
      <c r="K287" s="298">
        <v>36.298000000000002</v>
      </c>
      <c r="L287" s="299">
        <v>82</v>
      </c>
      <c r="M287" s="297">
        <v>36</v>
      </c>
      <c r="N287" s="298">
        <v>15.491</v>
      </c>
      <c r="O287" s="294" t="s">
        <v>129</v>
      </c>
      <c r="P287" s="296">
        <v>42</v>
      </c>
      <c r="Q287" s="297">
        <v>4</v>
      </c>
      <c r="R287" s="298">
        <v>31.756</v>
      </c>
      <c r="S287" s="299">
        <v>82</v>
      </c>
      <c r="T287" s="297">
        <v>36</v>
      </c>
      <c r="U287" s="298">
        <v>19.501999999999999</v>
      </c>
      <c r="V287" s="293">
        <v>4</v>
      </c>
      <c r="W287" s="551">
        <v>6502.65</v>
      </c>
      <c r="X287" s="301">
        <v>1995</v>
      </c>
      <c r="Y287" s="294"/>
      <c r="Z287" s="302" t="s">
        <v>14</v>
      </c>
      <c r="AA287" s="293" t="s">
        <v>15</v>
      </c>
      <c r="AB287" s="303">
        <f t="shared" si="41"/>
        <v>117437.85899999998</v>
      </c>
      <c r="AC287" s="304">
        <f t="shared" si="45"/>
        <v>0.47</v>
      </c>
      <c r="AD287" s="303">
        <f t="shared" si="42"/>
        <v>62242.07</v>
      </c>
      <c r="AE287" s="305">
        <f t="shared" si="43"/>
        <v>0</v>
      </c>
      <c r="AF287" s="402">
        <f t="shared" si="44"/>
        <v>0</v>
      </c>
      <c r="AG287" s="438">
        <f t="shared" si="40"/>
        <v>62242.07</v>
      </c>
      <c r="AH287" s="521">
        <f t="shared" si="39"/>
        <v>62242</v>
      </c>
      <c r="AI287" s="1044"/>
      <c r="AJ287" s="1044"/>
      <c r="AK287" s="1044"/>
    </row>
    <row r="288" spans="1:37" ht="12.7">
      <c r="A288" s="47" t="s">
        <v>11</v>
      </c>
      <c r="B288" s="23" t="s">
        <v>540</v>
      </c>
      <c r="C288" s="467" t="s">
        <v>670</v>
      </c>
      <c r="D288" s="139" t="s">
        <v>421</v>
      </c>
      <c r="E288" s="778" t="s">
        <v>18</v>
      </c>
      <c r="F288" s="248"/>
      <c r="G288" s="315"/>
      <c r="H288" s="291" t="s">
        <v>41</v>
      </c>
      <c r="I288" s="250">
        <v>42</v>
      </c>
      <c r="J288" s="251">
        <v>5</v>
      </c>
      <c r="K288" s="252">
        <v>17.312000000000001</v>
      </c>
      <c r="L288" s="253">
        <v>82</v>
      </c>
      <c r="M288" s="251">
        <v>36</v>
      </c>
      <c r="N288" s="252">
        <v>13.092000000000001</v>
      </c>
      <c r="O288" s="249" t="s">
        <v>130</v>
      </c>
      <c r="P288" s="250">
        <v>42</v>
      </c>
      <c r="Q288" s="251">
        <v>5</v>
      </c>
      <c r="R288" s="252">
        <v>17.402000000000001</v>
      </c>
      <c r="S288" s="253">
        <v>82</v>
      </c>
      <c r="T288" s="251">
        <v>36</v>
      </c>
      <c r="U288" s="252">
        <v>16.665</v>
      </c>
      <c r="V288" s="248">
        <v>4</v>
      </c>
      <c r="W288" s="550">
        <v>269.62</v>
      </c>
      <c r="X288" s="254">
        <v>1996</v>
      </c>
      <c r="Y288" s="249"/>
      <c r="Z288" s="255" t="s">
        <v>14</v>
      </c>
      <c r="AA288" s="248" t="s">
        <v>15</v>
      </c>
      <c r="AB288" s="256">
        <f t="shared" si="41"/>
        <v>4869.3371999999999</v>
      </c>
      <c r="AC288" s="257">
        <f t="shared" si="45"/>
        <v>0.44</v>
      </c>
      <c r="AD288" s="256">
        <f t="shared" si="42"/>
        <v>2726.83</v>
      </c>
      <c r="AE288" s="258">
        <f t="shared" si="43"/>
        <v>0</v>
      </c>
      <c r="AF288" s="401">
        <f t="shared" si="44"/>
        <v>0</v>
      </c>
      <c r="AG288" s="418">
        <f t="shared" si="40"/>
        <v>2726.83</v>
      </c>
      <c r="AH288" s="519">
        <f t="shared" si="39"/>
        <v>2726</v>
      </c>
      <c r="AI288" s="1044">
        <v>1.32</v>
      </c>
      <c r="AJ288" s="1044">
        <v>0.19</v>
      </c>
      <c r="AK288" s="1044">
        <v>0.71</v>
      </c>
    </row>
    <row r="289" spans="1:37" ht="12.7">
      <c r="A289" s="47" t="s">
        <v>11</v>
      </c>
      <c r="B289" s="23" t="s">
        <v>540</v>
      </c>
      <c r="C289" s="467" t="s">
        <v>670</v>
      </c>
      <c r="D289" s="139" t="s">
        <v>421</v>
      </c>
      <c r="E289" s="779" t="s">
        <v>18</v>
      </c>
      <c r="F289" s="293"/>
      <c r="G289" s="316"/>
      <c r="H289" s="295" t="s">
        <v>41</v>
      </c>
      <c r="I289" s="296">
        <v>42</v>
      </c>
      <c r="J289" s="297">
        <v>5</v>
      </c>
      <c r="K289" s="298">
        <v>17.312000000000001</v>
      </c>
      <c r="L289" s="299">
        <v>82</v>
      </c>
      <c r="M289" s="297">
        <v>36</v>
      </c>
      <c r="N289" s="298">
        <v>13.092000000000001</v>
      </c>
      <c r="O289" s="294" t="s">
        <v>131</v>
      </c>
      <c r="P289" s="296">
        <v>42</v>
      </c>
      <c r="Q289" s="297">
        <v>5</v>
      </c>
      <c r="R289" s="298">
        <v>16.841999999999999</v>
      </c>
      <c r="S289" s="299">
        <v>82</v>
      </c>
      <c r="T289" s="297">
        <v>36</v>
      </c>
      <c r="U289" s="298">
        <v>16.70</v>
      </c>
      <c r="V289" s="293">
        <v>4</v>
      </c>
      <c r="W289" s="551">
        <v>276.20999999999998</v>
      </c>
      <c r="X289" s="301">
        <v>1996</v>
      </c>
      <c r="Y289" s="294"/>
      <c r="Z289" s="302" t="s">
        <v>14</v>
      </c>
      <c r="AA289" s="293" t="s">
        <v>15</v>
      </c>
      <c r="AB289" s="303">
        <f t="shared" si="41"/>
        <v>4988.3525999999993</v>
      </c>
      <c r="AC289" s="304">
        <f t="shared" si="45"/>
        <v>0.44</v>
      </c>
      <c r="AD289" s="303">
        <f t="shared" si="42"/>
        <v>2793.48</v>
      </c>
      <c r="AE289" s="305">
        <f t="shared" si="43"/>
        <v>0</v>
      </c>
      <c r="AF289" s="402">
        <f t="shared" si="44"/>
        <v>0</v>
      </c>
      <c r="AG289" s="438">
        <f t="shared" si="40"/>
        <v>2793.48</v>
      </c>
      <c r="AH289" s="521">
        <f t="shared" si="39"/>
        <v>2793</v>
      </c>
      <c r="AI289" s="1044"/>
      <c r="AJ289" s="1044"/>
      <c r="AK289" s="1044"/>
    </row>
    <row r="290" spans="1:37" ht="12.7">
      <c r="A290" s="47" t="s">
        <v>11</v>
      </c>
      <c r="B290" s="23" t="s">
        <v>540</v>
      </c>
      <c r="C290" s="467" t="s">
        <v>670</v>
      </c>
      <c r="D290" s="139" t="s">
        <v>421</v>
      </c>
      <c r="E290" s="778" t="s">
        <v>18</v>
      </c>
      <c r="F290" s="248"/>
      <c r="G290" s="315"/>
      <c r="H290" s="291" t="s">
        <v>132</v>
      </c>
      <c r="I290" s="250">
        <v>42</v>
      </c>
      <c r="J290" s="251">
        <v>4</v>
      </c>
      <c r="K290" s="252">
        <v>52.610999999999997</v>
      </c>
      <c r="L290" s="253">
        <v>82</v>
      </c>
      <c r="M290" s="251">
        <v>36</v>
      </c>
      <c r="N290" s="252">
        <v>13.859</v>
      </c>
      <c r="O290" s="249" t="s">
        <v>133</v>
      </c>
      <c r="P290" s="250">
        <v>42</v>
      </c>
      <c r="Q290" s="251">
        <v>4</v>
      </c>
      <c r="R290" s="252">
        <v>52.728999999999999</v>
      </c>
      <c r="S290" s="253">
        <v>82</v>
      </c>
      <c r="T290" s="251">
        <v>36</v>
      </c>
      <c r="U290" s="252">
        <v>18.198</v>
      </c>
      <c r="V290" s="248">
        <v>4</v>
      </c>
      <c r="W290" s="550">
        <v>327.45999999999998</v>
      </c>
      <c r="X290" s="254">
        <v>1996</v>
      </c>
      <c r="Y290" s="249"/>
      <c r="Z290" s="255" t="s">
        <v>14</v>
      </c>
      <c r="AA290" s="248" t="s">
        <v>15</v>
      </c>
      <c r="AB290" s="256">
        <f t="shared" si="41"/>
        <v>5913.9275999999991</v>
      </c>
      <c r="AC290" s="257">
        <f t="shared" si="45"/>
        <v>0.44</v>
      </c>
      <c r="AD290" s="256">
        <f t="shared" si="42"/>
        <v>3311.80</v>
      </c>
      <c r="AE290" s="258">
        <f t="shared" si="43"/>
        <v>0</v>
      </c>
      <c r="AF290" s="401">
        <f t="shared" si="44"/>
        <v>0</v>
      </c>
      <c r="AG290" s="418">
        <f t="shared" si="40"/>
        <v>3311.80</v>
      </c>
      <c r="AH290" s="519">
        <f t="shared" si="39"/>
        <v>3311</v>
      </c>
      <c r="AI290" s="1044">
        <v>6.48</v>
      </c>
      <c r="AJ290" s="1044">
        <v>7.61</v>
      </c>
      <c r="AK290" s="1044">
        <v>8.1199999999999992</v>
      </c>
    </row>
    <row r="291" spans="1:37" ht="12.7">
      <c r="A291" s="47" t="s">
        <v>11</v>
      </c>
      <c r="B291" s="23" t="s">
        <v>540</v>
      </c>
      <c r="C291" s="467" t="s">
        <v>670</v>
      </c>
      <c r="D291" s="139" t="s">
        <v>421</v>
      </c>
      <c r="E291" s="770" t="s">
        <v>18</v>
      </c>
      <c r="F291" s="223"/>
      <c r="G291" s="311"/>
      <c r="H291" s="292" t="s">
        <v>129</v>
      </c>
      <c r="I291" s="219">
        <v>42</v>
      </c>
      <c r="J291" s="220">
        <v>4</v>
      </c>
      <c r="K291" s="221">
        <v>31.756</v>
      </c>
      <c r="L291" s="222">
        <v>82</v>
      </c>
      <c r="M291" s="220">
        <v>36</v>
      </c>
      <c r="N291" s="221">
        <v>19.501999999999999</v>
      </c>
      <c r="O291" s="218" t="s">
        <v>134</v>
      </c>
      <c r="P291" s="219">
        <v>42</v>
      </c>
      <c r="Q291" s="220">
        <v>4</v>
      </c>
      <c r="R291" s="221">
        <v>31.832999999999998</v>
      </c>
      <c r="S291" s="222">
        <v>82</v>
      </c>
      <c r="T291" s="220">
        <v>36</v>
      </c>
      <c r="U291" s="221">
        <v>21.907</v>
      </c>
      <c r="V291" s="223">
        <v>4</v>
      </c>
      <c r="W291" s="544">
        <v>143.63</v>
      </c>
      <c r="X291" s="224">
        <v>1995</v>
      </c>
      <c r="Y291" s="218"/>
      <c r="Z291" s="225" t="s">
        <v>14</v>
      </c>
      <c r="AA291" s="223" t="s">
        <v>15</v>
      </c>
      <c r="AB291" s="226">
        <f t="shared" si="41"/>
        <v>2593.9577999999997</v>
      </c>
      <c r="AC291" s="227">
        <f t="shared" si="45"/>
        <v>0.47</v>
      </c>
      <c r="AD291" s="226">
        <f t="shared" si="42"/>
        <v>1374.80</v>
      </c>
      <c r="AE291" s="228">
        <f t="shared" si="43"/>
        <v>0</v>
      </c>
      <c r="AF291" s="404">
        <f t="shared" si="44"/>
        <v>0</v>
      </c>
      <c r="AG291" s="424">
        <f t="shared" si="40"/>
        <v>1374.80</v>
      </c>
      <c r="AH291" s="520">
        <f t="shared" si="39"/>
        <v>1374</v>
      </c>
      <c r="AI291" s="1044"/>
      <c r="AJ291" s="1044"/>
      <c r="AK291" s="1044"/>
    </row>
    <row r="292" spans="1:37" ht="12.7">
      <c r="A292" s="47" t="s">
        <v>11</v>
      </c>
      <c r="B292" s="23" t="s">
        <v>540</v>
      </c>
      <c r="C292" s="467" t="s">
        <v>670</v>
      </c>
      <c r="D292" s="139" t="s">
        <v>421</v>
      </c>
      <c r="E292" s="779" t="s">
        <v>18</v>
      </c>
      <c r="F292" s="293"/>
      <c r="G292" s="316"/>
      <c r="H292" s="295" t="s">
        <v>418</v>
      </c>
      <c r="I292" s="296">
        <v>42</v>
      </c>
      <c r="J292" s="297">
        <v>4</v>
      </c>
      <c r="K292" s="298">
        <v>31</v>
      </c>
      <c r="L292" s="299">
        <v>82</v>
      </c>
      <c r="M292" s="297">
        <v>36</v>
      </c>
      <c r="N292" s="298">
        <v>14</v>
      </c>
      <c r="O292" s="294" t="s">
        <v>419</v>
      </c>
      <c r="P292" s="296">
        <v>42</v>
      </c>
      <c r="Q292" s="297">
        <v>4</v>
      </c>
      <c r="R292" s="298">
        <v>32</v>
      </c>
      <c r="S292" s="299">
        <v>82</v>
      </c>
      <c r="T292" s="297">
        <v>36</v>
      </c>
      <c r="U292" s="298">
        <v>24</v>
      </c>
      <c r="V292" s="293">
        <v>4</v>
      </c>
      <c r="W292" s="551">
        <v>143.63</v>
      </c>
      <c r="X292" s="301">
        <v>2002</v>
      </c>
      <c r="Y292" s="294"/>
      <c r="Z292" s="302" t="s">
        <v>14</v>
      </c>
      <c r="AA292" s="293" t="s">
        <v>15</v>
      </c>
      <c r="AB292" s="303">
        <f t="shared" si="41"/>
        <v>2593.9577999999997</v>
      </c>
      <c r="AC292" s="304">
        <f t="shared" si="45"/>
        <v>0.30</v>
      </c>
      <c r="AD292" s="303">
        <f t="shared" si="42"/>
        <v>1815.77</v>
      </c>
      <c r="AE292" s="305">
        <f t="shared" si="43"/>
        <v>0</v>
      </c>
      <c r="AF292" s="402">
        <f t="shared" si="44"/>
        <v>0</v>
      </c>
      <c r="AG292" s="438">
        <f t="shared" si="40"/>
        <v>1815.77</v>
      </c>
      <c r="AH292" s="521">
        <f t="shared" si="39"/>
        <v>1815</v>
      </c>
      <c r="AI292" s="1044"/>
      <c r="AJ292" s="1044"/>
      <c r="AK292" s="1044"/>
    </row>
    <row r="293" spans="1:37" s="122" customFormat="1" ht="12.7">
      <c r="A293" s="748" t="s">
        <v>11</v>
      </c>
      <c r="B293" s="641" t="s">
        <v>540</v>
      </c>
      <c r="C293" s="683" t="s">
        <v>670</v>
      </c>
      <c r="D293" s="687" t="s">
        <v>421</v>
      </c>
      <c r="E293" s="776" t="s">
        <v>18</v>
      </c>
      <c r="F293" s="703"/>
      <c r="G293" s="643" t="s">
        <v>281</v>
      </c>
      <c r="H293" s="705" t="s">
        <v>135</v>
      </c>
      <c r="I293" s="706">
        <v>42</v>
      </c>
      <c r="J293" s="707">
        <v>4</v>
      </c>
      <c r="K293" s="708">
        <v>59.167000000000002</v>
      </c>
      <c r="L293" s="709">
        <v>82</v>
      </c>
      <c r="M293" s="707">
        <v>37</v>
      </c>
      <c r="N293" s="708">
        <v>6.524</v>
      </c>
      <c r="O293" s="710" t="s">
        <v>136</v>
      </c>
      <c r="P293" s="706">
        <v>42</v>
      </c>
      <c r="Q293" s="707">
        <v>4</v>
      </c>
      <c r="R293" s="708">
        <v>48.195</v>
      </c>
      <c r="S293" s="709">
        <v>82</v>
      </c>
      <c r="T293" s="707">
        <v>37</v>
      </c>
      <c r="U293" s="708">
        <v>7.2939999999999996</v>
      </c>
      <c r="V293" s="703">
        <v>4</v>
      </c>
      <c r="W293" s="501">
        <v>1027.06</v>
      </c>
      <c r="X293" s="711">
        <v>1996</v>
      </c>
      <c r="Y293" s="710"/>
      <c r="Z293" s="712" t="s">
        <v>14</v>
      </c>
      <c r="AA293" s="703" t="s">
        <v>15</v>
      </c>
      <c r="AB293" s="713">
        <f t="shared" si="41"/>
        <v>0</v>
      </c>
      <c r="AC293" s="714">
        <f t="shared" si="46" ref="AC293:AC324">IF(X293=0,0,(VLOOKUP(X293,depreciation,2,)))</f>
        <v>0.44</v>
      </c>
      <c r="AD293" s="713">
        <f t="shared" si="42"/>
        <v>0</v>
      </c>
      <c r="AE293" s="715">
        <f t="shared" si="43"/>
        <v>0</v>
      </c>
      <c r="AF293" s="716">
        <f t="shared" si="44"/>
        <v>0</v>
      </c>
      <c r="AG293" s="700">
        <f t="shared" si="40"/>
        <v>0</v>
      </c>
      <c r="AH293" s="701">
        <f t="shared" si="39"/>
        <v>0</v>
      </c>
      <c r="AI293" s="197"/>
      <c r="AJ293" s="197"/>
      <c r="AK293" s="197"/>
    </row>
    <row r="294" spans="1:37" s="122" customFormat="1" ht="12.7">
      <c r="A294" s="748" t="s">
        <v>11</v>
      </c>
      <c r="B294" s="641" t="s">
        <v>540</v>
      </c>
      <c r="C294" s="683" t="s">
        <v>670</v>
      </c>
      <c r="D294" s="687" t="s">
        <v>421</v>
      </c>
      <c r="E294" s="776" t="s">
        <v>18</v>
      </c>
      <c r="F294" s="703"/>
      <c r="G294" s="643" t="s">
        <v>281</v>
      </c>
      <c r="H294" s="705" t="s">
        <v>136</v>
      </c>
      <c r="I294" s="706">
        <v>42</v>
      </c>
      <c r="J294" s="707">
        <v>4</v>
      </c>
      <c r="K294" s="708">
        <v>48.195</v>
      </c>
      <c r="L294" s="709">
        <v>82</v>
      </c>
      <c r="M294" s="707">
        <v>37</v>
      </c>
      <c r="N294" s="708">
        <v>7.2939999999999996</v>
      </c>
      <c r="O294" s="710" t="s">
        <v>51</v>
      </c>
      <c r="P294" s="706">
        <v>42</v>
      </c>
      <c r="Q294" s="707">
        <v>4</v>
      </c>
      <c r="R294" s="708">
        <v>47.938000000000002</v>
      </c>
      <c r="S294" s="709">
        <v>82</v>
      </c>
      <c r="T294" s="707">
        <v>36</v>
      </c>
      <c r="U294" s="708">
        <v>59.947000000000003</v>
      </c>
      <c r="V294" s="703">
        <v>4</v>
      </c>
      <c r="W294" s="501">
        <v>554.76</v>
      </c>
      <c r="X294" s="711">
        <v>1996</v>
      </c>
      <c r="Y294" s="710"/>
      <c r="Z294" s="712" t="s">
        <v>14</v>
      </c>
      <c r="AA294" s="703" t="s">
        <v>15</v>
      </c>
      <c r="AB294" s="713">
        <f t="shared" si="41"/>
        <v>0</v>
      </c>
      <c r="AC294" s="714">
        <f t="shared" si="46"/>
        <v>0.44</v>
      </c>
      <c r="AD294" s="713">
        <f t="shared" si="42"/>
        <v>0</v>
      </c>
      <c r="AE294" s="715">
        <f t="shared" si="43"/>
        <v>0</v>
      </c>
      <c r="AF294" s="716">
        <f t="shared" si="44"/>
        <v>0</v>
      </c>
      <c r="AG294" s="700">
        <f t="shared" si="40"/>
        <v>0</v>
      </c>
      <c r="AH294" s="701">
        <f t="shared" si="39"/>
        <v>0</v>
      </c>
      <c r="AI294" s="197"/>
      <c r="AJ294" s="197"/>
      <c r="AK294" s="197"/>
    </row>
    <row r="295" spans="1:37" ht="12.7">
      <c r="A295" s="47" t="s">
        <v>11</v>
      </c>
      <c r="B295" s="23" t="s">
        <v>540</v>
      </c>
      <c r="C295" s="467" t="s">
        <v>670</v>
      </c>
      <c r="D295" s="139" t="s">
        <v>421</v>
      </c>
      <c r="E295" s="769" t="s">
        <v>18</v>
      </c>
      <c r="F295" s="210"/>
      <c r="G295" s="310"/>
      <c r="H295" s="246" t="s">
        <v>134</v>
      </c>
      <c r="I295" s="206">
        <v>42</v>
      </c>
      <c r="J295" s="207">
        <v>4</v>
      </c>
      <c r="K295" s="208">
        <v>31.832999999999998</v>
      </c>
      <c r="L295" s="209">
        <v>82</v>
      </c>
      <c r="M295" s="207">
        <v>36</v>
      </c>
      <c r="N295" s="208">
        <v>21.907</v>
      </c>
      <c r="O295" s="204" t="s">
        <v>137</v>
      </c>
      <c r="P295" s="206">
        <v>42</v>
      </c>
      <c r="Q295" s="207">
        <v>4</v>
      </c>
      <c r="R295" s="208">
        <v>21.004000000000001</v>
      </c>
      <c r="S295" s="209">
        <v>82</v>
      </c>
      <c r="T295" s="207">
        <v>36</v>
      </c>
      <c r="U295" s="208">
        <v>22.388999999999999</v>
      </c>
      <c r="V295" s="210">
        <v>4</v>
      </c>
      <c r="W295" s="543">
        <v>1096.98</v>
      </c>
      <c r="X295" s="211">
        <v>1995</v>
      </c>
      <c r="Y295" s="204"/>
      <c r="Z295" s="212" t="s">
        <v>14</v>
      </c>
      <c r="AA295" s="210" t="s">
        <v>15</v>
      </c>
      <c r="AB295" s="213">
        <f t="shared" si="41"/>
        <v>19811.4588</v>
      </c>
      <c r="AC295" s="214">
        <f t="shared" si="46"/>
        <v>0.47</v>
      </c>
      <c r="AD295" s="213">
        <f t="shared" si="42"/>
        <v>10500.07</v>
      </c>
      <c r="AE295" s="215">
        <f t="shared" si="43"/>
        <v>0</v>
      </c>
      <c r="AF295" s="216">
        <f t="shared" si="44"/>
        <v>0</v>
      </c>
      <c r="AG295" s="260">
        <f t="shared" si="40"/>
        <v>10500.07</v>
      </c>
      <c r="AH295" s="522">
        <f t="shared" si="39"/>
        <v>10500</v>
      </c>
      <c r="AI295" s="198">
        <v>1.01</v>
      </c>
      <c r="AJ295" s="198">
        <v>1.76</v>
      </c>
      <c r="AK295" s="198">
        <v>1.06</v>
      </c>
    </row>
    <row r="296" spans="1:37" ht="12.7">
      <c r="A296" s="47" t="s">
        <v>11</v>
      </c>
      <c r="B296" s="23" t="s">
        <v>540</v>
      </c>
      <c r="C296" s="467" t="s">
        <v>670</v>
      </c>
      <c r="D296" s="139" t="s">
        <v>421</v>
      </c>
      <c r="E296" s="769" t="s">
        <v>18</v>
      </c>
      <c r="F296" s="210"/>
      <c r="G296" s="310"/>
      <c r="H296" s="246" t="s">
        <v>138</v>
      </c>
      <c r="I296" s="206">
        <v>42</v>
      </c>
      <c r="J296" s="207">
        <v>4</v>
      </c>
      <c r="K296" s="208">
        <v>20.158000000000001</v>
      </c>
      <c r="L296" s="209">
        <v>82</v>
      </c>
      <c r="M296" s="207">
        <v>35</v>
      </c>
      <c r="N296" s="208">
        <v>47.238</v>
      </c>
      <c r="O296" s="204" t="s">
        <v>139</v>
      </c>
      <c r="P296" s="206">
        <v>42</v>
      </c>
      <c r="Q296" s="207">
        <v>4</v>
      </c>
      <c r="R296" s="208">
        <v>23.952999999999999</v>
      </c>
      <c r="S296" s="209">
        <v>82</v>
      </c>
      <c r="T296" s="207">
        <v>35</v>
      </c>
      <c r="U296" s="208">
        <v>31.876000000000001</v>
      </c>
      <c r="V296" s="210">
        <v>4</v>
      </c>
      <c r="W296" s="543">
        <v>2169.77</v>
      </c>
      <c r="X296" s="211">
        <v>1996</v>
      </c>
      <c r="Y296" s="204"/>
      <c r="Z296" s="212" t="s">
        <v>14</v>
      </c>
      <c r="AA296" s="210" t="s">
        <v>15</v>
      </c>
      <c r="AB296" s="213">
        <f t="shared" si="41"/>
        <v>39186.046199999997</v>
      </c>
      <c r="AC296" s="214">
        <f t="shared" si="46"/>
        <v>0.44</v>
      </c>
      <c r="AD296" s="213">
        <f t="shared" si="42"/>
        <v>21944.19</v>
      </c>
      <c r="AE296" s="215">
        <f t="shared" si="43"/>
        <v>0</v>
      </c>
      <c r="AF296" s="216">
        <f t="shared" si="44"/>
        <v>0</v>
      </c>
      <c r="AG296" s="260">
        <f t="shared" si="40"/>
        <v>21944.19</v>
      </c>
      <c r="AH296" s="522">
        <f t="shared" si="39"/>
        <v>21944</v>
      </c>
      <c r="AI296" s="198">
        <v>1.70</v>
      </c>
      <c r="AJ296" s="198">
        <v>2.96</v>
      </c>
      <c r="AK296" s="198">
        <v>0.71</v>
      </c>
    </row>
    <row r="297" spans="1:37" ht="12.7">
      <c r="A297" s="47" t="s">
        <v>11</v>
      </c>
      <c r="B297" s="23" t="s">
        <v>540</v>
      </c>
      <c r="C297" s="467" t="s">
        <v>670</v>
      </c>
      <c r="D297" s="139" t="s">
        <v>421</v>
      </c>
      <c r="E297" s="778" t="s">
        <v>18</v>
      </c>
      <c r="F297" s="248"/>
      <c r="G297" s="315"/>
      <c r="H297" s="291" t="s">
        <v>140</v>
      </c>
      <c r="I297" s="250">
        <v>42</v>
      </c>
      <c r="J297" s="251">
        <v>3</v>
      </c>
      <c r="K297" s="252">
        <v>1.2629999999999999</v>
      </c>
      <c r="L297" s="253">
        <v>82</v>
      </c>
      <c r="M297" s="251">
        <v>34</v>
      </c>
      <c r="N297" s="252">
        <v>44.225999999999999</v>
      </c>
      <c r="O297" s="249" t="s">
        <v>141</v>
      </c>
      <c r="P297" s="250">
        <v>42</v>
      </c>
      <c r="Q297" s="251">
        <v>3</v>
      </c>
      <c r="R297" s="252">
        <v>0.65300000000000002</v>
      </c>
      <c r="S297" s="253">
        <v>82</v>
      </c>
      <c r="T297" s="251">
        <v>34</v>
      </c>
      <c r="U297" s="252">
        <v>37.19</v>
      </c>
      <c r="V297" s="248">
        <v>4</v>
      </c>
      <c r="W297" s="550">
        <v>213.46</v>
      </c>
      <c r="X297" s="254">
        <v>1994</v>
      </c>
      <c r="Y297" s="249"/>
      <c r="Z297" s="255" t="s">
        <v>14</v>
      </c>
      <c r="AA297" s="248" t="s">
        <v>15</v>
      </c>
      <c r="AB297" s="256">
        <f t="shared" si="41"/>
        <v>3855.0875999999998</v>
      </c>
      <c r="AC297" s="257">
        <f t="shared" si="46"/>
        <v>0.49</v>
      </c>
      <c r="AD297" s="256">
        <f t="shared" si="42"/>
        <v>1966.09</v>
      </c>
      <c r="AE297" s="258">
        <f t="shared" si="43"/>
        <v>0</v>
      </c>
      <c r="AF297" s="401">
        <f t="shared" si="44"/>
        <v>0</v>
      </c>
      <c r="AG297" s="418">
        <f t="shared" si="40"/>
        <v>1966.09</v>
      </c>
      <c r="AH297" s="519">
        <f t="shared" si="39"/>
        <v>1966</v>
      </c>
      <c r="AI297" s="1044">
        <v>4.72</v>
      </c>
      <c r="AJ297" s="1044">
        <v>5.60</v>
      </c>
      <c r="AK297" s="1044">
        <v>4.9400000000000004</v>
      </c>
    </row>
    <row r="298" spans="1:37" ht="12.7">
      <c r="A298" s="47" t="s">
        <v>11</v>
      </c>
      <c r="B298" s="23" t="s">
        <v>540</v>
      </c>
      <c r="C298" s="467" t="s">
        <v>670</v>
      </c>
      <c r="D298" s="139" t="s">
        <v>421</v>
      </c>
      <c r="E298" s="779" t="s">
        <v>18</v>
      </c>
      <c r="F298" s="293"/>
      <c r="G298" s="316"/>
      <c r="H298" s="295" t="s">
        <v>141</v>
      </c>
      <c r="I298" s="296">
        <v>42</v>
      </c>
      <c r="J298" s="297">
        <v>3</v>
      </c>
      <c r="K298" s="298">
        <v>0.65300000000000002</v>
      </c>
      <c r="L298" s="299">
        <v>82</v>
      </c>
      <c r="M298" s="297">
        <v>34</v>
      </c>
      <c r="N298" s="298">
        <v>37.19</v>
      </c>
      <c r="O298" s="294" t="s">
        <v>142</v>
      </c>
      <c r="P298" s="296">
        <v>42</v>
      </c>
      <c r="Q298" s="297">
        <v>3</v>
      </c>
      <c r="R298" s="298">
        <v>0.65700000000000003</v>
      </c>
      <c r="S298" s="299">
        <v>82</v>
      </c>
      <c r="T298" s="297">
        <v>34</v>
      </c>
      <c r="U298" s="298">
        <v>28.045999999999999</v>
      </c>
      <c r="V298" s="293">
        <v>4</v>
      </c>
      <c r="W298" s="551">
        <v>560.34</v>
      </c>
      <c r="X298" s="301">
        <v>1994</v>
      </c>
      <c r="Y298" s="294"/>
      <c r="Z298" s="302" t="s">
        <v>14</v>
      </c>
      <c r="AA298" s="293" t="s">
        <v>15</v>
      </c>
      <c r="AB298" s="303">
        <f t="shared" si="41"/>
        <v>10119.740400000001</v>
      </c>
      <c r="AC298" s="304">
        <f t="shared" si="46"/>
        <v>0.49</v>
      </c>
      <c r="AD298" s="303">
        <f t="shared" si="42"/>
        <v>5161.07</v>
      </c>
      <c r="AE298" s="305">
        <f t="shared" si="43"/>
        <v>0</v>
      </c>
      <c r="AF298" s="402">
        <f t="shared" si="44"/>
        <v>0</v>
      </c>
      <c r="AG298" s="438">
        <f t="shared" si="40"/>
        <v>5161.07</v>
      </c>
      <c r="AH298" s="521">
        <f t="shared" si="39"/>
        <v>5161</v>
      </c>
      <c r="AI298" s="1044"/>
      <c r="AJ298" s="1044"/>
      <c r="AK298" s="1044"/>
    </row>
    <row r="299" spans="1:37" ht="12.7">
      <c r="A299" s="47" t="s">
        <v>11</v>
      </c>
      <c r="B299" s="23" t="s">
        <v>540</v>
      </c>
      <c r="C299" s="467" t="s">
        <v>670</v>
      </c>
      <c r="D299" s="139" t="s">
        <v>421</v>
      </c>
      <c r="E299" s="778" t="s">
        <v>18</v>
      </c>
      <c r="F299" s="248"/>
      <c r="G299" s="315"/>
      <c r="H299" s="291" t="s">
        <v>143</v>
      </c>
      <c r="I299" s="250">
        <v>42</v>
      </c>
      <c r="J299" s="251">
        <v>2</v>
      </c>
      <c r="K299" s="252">
        <v>52.285</v>
      </c>
      <c r="L299" s="253">
        <v>82</v>
      </c>
      <c r="M299" s="251">
        <v>34</v>
      </c>
      <c r="N299" s="252">
        <v>33.625</v>
      </c>
      <c r="O299" s="249" t="s">
        <v>144</v>
      </c>
      <c r="P299" s="250">
        <v>42</v>
      </c>
      <c r="Q299" s="251">
        <v>2</v>
      </c>
      <c r="R299" s="252">
        <v>51.463999999999999</v>
      </c>
      <c r="S299" s="253">
        <v>82</v>
      </c>
      <c r="T299" s="251">
        <v>34</v>
      </c>
      <c r="U299" s="252">
        <v>31.902999999999999</v>
      </c>
      <c r="V299" s="248">
        <v>4</v>
      </c>
      <c r="W299" s="550">
        <v>154.27000000000001</v>
      </c>
      <c r="X299" s="254">
        <v>1996</v>
      </c>
      <c r="Y299" s="249"/>
      <c r="Z299" s="255" t="s">
        <v>14</v>
      </c>
      <c r="AA299" s="248" t="s">
        <v>15</v>
      </c>
      <c r="AB299" s="256">
        <f t="shared" si="41"/>
        <v>2786.1161999999999</v>
      </c>
      <c r="AC299" s="257">
        <f t="shared" si="46"/>
        <v>0.44</v>
      </c>
      <c r="AD299" s="256">
        <f t="shared" si="42"/>
        <v>1560.23</v>
      </c>
      <c r="AE299" s="258">
        <f t="shared" si="43"/>
        <v>0</v>
      </c>
      <c r="AF299" s="401">
        <f t="shared" si="44"/>
        <v>0</v>
      </c>
      <c r="AG299" s="418">
        <f t="shared" si="40"/>
        <v>1560.23</v>
      </c>
      <c r="AH299" s="519">
        <f t="shared" si="39"/>
        <v>1560</v>
      </c>
      <c r="AI299" s="1044">
        <v>1.38</v>
      </c>
      <c r="AJ299" s="1044">
        <v>1.76</v>
      </c>
      <c r="AK299" s="1044">
        <v>2.12</v>
      </c>
    </row>
    <row r="300" spans="1:37" ht="12.7">
      <c r="A300" s="47" t="s">
        <v>11</v>
      </c>
      <c r="B300" s="23" t="s">
        <v>540</v>
      </c>
      <c r="C300" s="467" t="s">
        <v>670</v>
      </c>
      <c r="D300" s="139" t="s">
        <v>421</v>
      </c>
      <c r="E300" s="770" t="s">
        <v>18</v>
      </c>
      <c r="F300" s="223"/>
      <c r="G300" s="311"/>
      <c r="H300" s="292" t="s">
        <v>144</v>
      </c>
      <c r="I300" s="219">
        <v>42</v>
      </c>
      <c r="J300" s="220">
        <v>2</v>
      </c>
      <c r="K300" s="221">
        <v>51.463999999999999</v>
      </c>
      <c r="L300" s="222">
        <v>82</v>
      </c>
      <c r="M300" s="220">
        <v>34</v>
      </c>
      <c r="N300" s="221">
        <v>31.902999999999999</v>
      </c>
      <c r="O300" s="218" t="s">
        <v>145</v>
      </c>
      <c r="P300" s="219">
        <v>42</v>
      </c>
      <c r="Q300" s="220">
        <v>3</v>
      </c>
      <c r="R300" s="221">
        <v>0.66400000000000003</v>
      </c>
      <c r="S300" s="222">
        <v>82</v>
      </c>
      <c r="T300" s="220">
        <v>34</v>
      </c>
      <c r="U300" s="221">
        <v>31.321000000000002</v>
      </c>
      <c r="V300" s="223">
        <v>4</v>
      </c>
      <c r="W300" s="544">
        <v>932.48</v>
      </c>
      <c r="X300" s="224">
        <v>1996</v>
      </c>
      <c r="Y300" s="218"/>
      <c r="Z300" s="225" t="s">
        <v>14</v>
      </c>
      <c r="AA300" s="223" t="s">
        <v>15</v>
      </c>
      <c r="AB300" s="226">
        <f t="shared" si="41"/>
        <v>16840.588799999998</v>
      </c>
      <c r="AC300" s="227">
        <f t="shared" si="46"/>
        <v>0.44</v>
      </c>
      <c r="AD300" s="226">
        <f t="shared" si="42"/>
        <v>9430.73</v>
      </c>
      <c r="AE300" s="228">
        <f t="shared" si="43"/>
        <v>0</v>
      </c>
      <c r="AF300" s="404">
        <f t="shared" si="44"/>
        <v>0</v>
      </c>
      <c r="AG300" s="424">
        <f t="shared" si="40"/>
        <v>9430.73</v>
      </c>
      <c r="AH300" s="520">
        <f t="shared" si="39"/>
        <v>9430</v>
      </c>
      <c r="AI300" s="1044"/>
      <c r="AJ300" s="1044"/>
      <c r="AK300" s="1044"/>
    </row>
    <row r="301" spans="1:37" ht="12.7">
      <c r="A301" s="47" t="s">
        <v>11</v>
      </c>
      <c r="B301" s="23" t="s">
        <v>540</v>
      </c>
      <c r="C301" s="467" t="s">
        <v>670</v>
      </c>
      <c r="D301" s="139" t="s">
        <v>421</v>
      </c>
      <c r="E301" s="770" t="s">
        <v>18</v>
      </c>
      <c r="F301" s="223"/>
      <c r="G301" s="311"/>
      <c r="H301" s="292" t="s">
        <v>142</v>
      </c>
      <c r="I301" s="219">
        <v>42</v>
      </c>
      <c r="J301" s="220">
        <v>3</v>
      </c>
      <c r="K301" s="221">
        <v>0.65700000000000003</v>
      </c>
      <c r="L301" s="222">
        <v>82</v>
      </c>
      <c r="M301" s="220">
        <v>34</v>
      </c>
      <c r="N301" s="221">
        <v>28.045999999999999</v>
      </c>
      <c r="O301" s="218" t="s">
        <v>146</v>
      </c>
      <c r="P301" s="219">
        <v>42</v>
      </c>
      <c r="Q301" s="220">
        <v>2</v>
      </c>
      <c r="R301" s="221">
        <v>51.838999999999999</v>
      </c>
      <c r="S301" s="222">
        <v>82</v>
      </c>
      <c r="T301" s="220">
        <v>34</v>
      </c>
      <c r="U301" s="221">
        <v>19.829000000000001</v>
      </c>
      <c r="V301" s="223">
        <v>4</v>
      </c>
      <c r="W301" s="544">
        <v>1762.41</v>
      </c>
      <c r="X301" s="224">
        <v>1994</v>
      </c>
      <c r="Y301" s="218"/>
      <c r="Z301" s="225" t="s">
        <v>14</v>
      </c>
      <c r="AA301" s="223" t="s">
        <v>15</v>
      </c>
      <c r="AB301" s="226">
        <f t="shared" si="41"/>
        <v>31829.124599999999</v>
      </c>
      <c r="AC301" s="227">
        <f t="shared" si="46"/>
        <v>0.49</v>
      </c>
      <c r="AD301" s="226">
        <f t="shared" si="42"/>
        <v>16232.85</v>
      </c>
      <c r="AE301" s="228">
        <f t="shared" si="43"/>
        <v>0</v>
      </c>
      <c r="AF301" s="404">
        <f t="shared" si="44"/>
        <v>0</v>
      </c>
      <c r="AG301" s="424">
        <f t="shared" si="40"/>
        <v>16232.85</v>
      </c>
      <c r="AH301" s="520">
        <f t="shared" si="39"/>
        <v>16232</v>
      </c>
      <c r="AI301" s="1044"/>
      <c r="AJ301" s="1044"/>
      <c r="AK301" s="1044"/>
    </row>
    <row r="302" spans="1:37" ht="12.7">
      <c r="A302" s="47" t="s">
        <v>11</v>
      </c>
      <c r="B302" s="23" t="s">
        <v>540</v>
      </c>
      <c r="C302" s="467" t="s">
        <v>670</v>
      </c>
      <c r="D302" s="139" t="s">
        <v>421</v>
      </c>
      <c r="E302" s="779" t="s">
        <v>18</v>
      </c>
      <c r="F302" s="293"/>
      <c r="G302" s="316"/>
      <c r="H302" s="295" t="s">
        <v>146</v>
      </c>
      <c r="I302" s="296">
        <v>42</v>
      </c>
      <c r="J302" s="297">
        <v>2</v>
      </c>
      <c r="K302" s="298">
        <v>51.838999999999999</v>
      </c>
      <c r="L302" s="299">
        <v>82</v>
      </c>
      <c r="M302" s="297">
        <v>34</v>
      </c>
      <c r="N302" s="298">
        <v>19.829000000000001</v>
      </c>
      <c r="O302" s="300" t="s">
        <v>147</v>
      </c>
      <c r="P302" s="296">
        <v>42</v>
      </c>
      <c r="Q302" s="297">
        <v>2</v>
      </c>
      <c r="R302" s="298">
        <v>40.073999999999998</v>
      </c>
      <c r="S302" s="299">
        <v>82</v>
      </c>
      <c r="T302" s="297">
        <v>34</v>
      </c>
      <c r="U302" s="298">
        <v>19.779</v>
      </c>
      <c r="V302" s="293">
        <v>4</v>
      </c>
      <c r="W302" s="551">
        <v>1137.5899999999999</v>
      </c>
      <c r="X302" s="301">
        <v>1994</v>
      </c>
      <c r="Y302" s="294"/>
      <c r="Z302" s="302" t="s">
        <v>14</v>
      </c>
      <c r="AA302" s="293" t="s">
        <v>15</v>
      </c>
      <c r="AB302" s="303">
        <f t="shared" si="41"/>
        <v>20544.875399999997</v>
      </c>
      <c r="AC302" s="304">
        <f t="shared" si="46"/>
        <v>0.49</v>
      </c>
      <c r="AD302" s="303">
        <f t="shared" si="42"/>
        <v>10477.89</v>
      </c>
      <c r="AE302" s="305">
        <f t="shared" si="43"/>
        <v>0</v>
      </c>
      <c r="AF302" s="402">
        <f t="shared" si="44"/>
        <v>0</v>
      </c>
      <c r="AG302" s="438">
        <f t="shared" si="40"/>
        <v>10477.89</v>
      </c>
      <c r="AH302" s="521">
        <f t="shared" si="39"/>
        <v>10477</v>
      </c>
      <c r="AI302" s="1044"/>
      <c r="AJ302" s="1044"/>
      <c r="AK302" s="1044"/>
    </row>
    <row r="303" spans="1:37" ht="12.7">
      <c r="A303" s="47" t="s">
        <v>11</v>
      </c>
      <c r="B303" s="23" t="s">
        <v>540</v>
      </c>
      <c r="C303" s="467" t="s">
        <v>670</v>
      </c>
      <c r="D303" s="139" t="s">
        <v>421</v>
      </c>
      <c r="E303" s="778" t="s">
        <v>18</v>
      </c>
      <c r="F303" s="248"/>
      <c r="G303" s="315"/>
      <c r="H303" s="291" t="s">
        <v>147</v>
      </c>
      <c r="I303" s="250">
        <v>42</v>
      </c>
      <c r="J303" s="251">
        <v>2</v>
      </c>
      <c r="K303" s="252">
        <v>40.073999999999998</v>
      </c>
      <c r="L303" s="253">
        <v>82</v>
      </c>
      <c r="M303" s="251">
        <v>34</v>
      </c>
      <c r="N303" s="252">
        <v>19.779</v>
      </c>
      <c r="O303" s="403" t="s">
        <v>148</v>
      </c>
      <c r="P303" s="250">
        <v>42</v>
      </c>
      <c r="Q303" s="251">
        <v>2</v>
      </c>
      <c r="R303" s="252">
        <v>31.471</v>
      </c>
      <c r="S303" s="253">
        <v>82</v>
      </c>
      <c r="T303" s="251">
        <v>34</v>
      </c>
      <c r="U303" s="252">
        <v>8.2129999999999992</v>
      </c>
      <c r="V303" s="248">
        <v>4</v>
      </c>
      <c r="W303" s="550">
        <v>1235.47</v>
      </c>
      <c r="X303" s="254">
        <v>1994</v>
      </c>
      <c r="Y303" s="249"/>
      <c r="Z303" s="255" t="s">
        <v>14</v>
      </c>
      <c r="AA303" s="248" t="s">
        <v>15</v>
      </c>
      <c r="AB303" s="256">
        <f t="shared" si="41"/>
        <v>22312.588199999998</v>
      </c>
      <c r="AC303" s="257">
        <f t="shared" si="46"/>
        <v>0.49</v>
      </c>
      <c r="AD303" s="256">
        <f t="shared" si="42"/>
        <v>11379.42</v>
      </c>
      <c r="AE303" s="258">
        <f t="shared" si="43"/>
        <v>0</v>
      </c>
      <c r="AF303" s="401">
        <f t="shared" si="44"/>
        <v>0</v>
      </c>
      <c r="AG303" s="418">
        <f t="shared" si="40"/>
        <v>11379.42</v>
      </c>
      <c r="AH303" s="519">
        <f t="shared" si="39"/>
        <v>11379</v>
      </c>
      <c r="AI303" s="1044">
        <v>2.33</v>
      </c>
      <c r="AJ303" s="1044">
        <v>0.75</v>
      </c>
      <c r="AK303" s="1044">
        <v>0.35</v>
      </c>
    </row>
    <row r="304" spans="1:37" ht="12.7">
      <c r="A304" s="47" t="s">
        <v>11</v>
      </c>
      <c r="B304" s="23" t="s">
        <v>540</v>
      </c>
      <c r="C304" s="467" t="s">
        <v>670</v>
      </c>
      <c r="D304" s="139" t="s">
        <v>421</v>
      </c>
      <c r="E304" s="770" t="s">
        <v>18</v>
      </c>
      <c r="F304" s="223"/>
      <c r="G304" s="311"/>
      <c r="H304" s="292" t="s">
        <v>148</v>
      </c>
      <c r="I304" s="219">
        <v>42</v>
      </c>
      <c r="J304" s="220">
        <v>2</v>
      </c>
      <c r="K304" s="221">
        <v>31.471</v>
      </c>
      <c r="L304" s="222">
        <v>82</v>
      </c>
      <c r="M304" s="220">
        <v>34</v>
      </c>
      <c r="N304" s="221">
        <v>8.2129999999999992</v>
      </c>
      <c r="O304" s="326" t="s">
        <v>149</v>
      </c>
      <c r="P304" s="219">
        <v>42</v>
      </c>
      <c r="Q304" s="220">
        <v>2</v>
      </c>
      <c r="R304" s="221">
        <v>25.255</v>
      </c>
      <c r="S304" s="222">
        <v>82</v>
      </c>
      <c r="T304" s="220">
        <v>34</v>
      </c>
      <c r="U304" s="221">
        <v>4.819</v>
      </c>
      <c r="V304" s="223">
        <v>4</v>
      </c>
      <c r="W304" s="544">
        <v>679.46</v>
      </c>
      <c r="X304" s="224">
        <v>1994</v>
      </c>
      <c r="Y304" s="218"/>
      <c r="Z304" s="225" t="s">
        <v>14</v>
      </c>
      <c r="AA304" s="223" t="s">
        <v>15</v>
      </c>
      <c r="AB304" s="226">
        <f t="shared" si="41"/>
        <v>12271.0476</v>
      </c>
      <c r="AC304" s="227">
        <f t="shared" si="46"/>
        <v>0.49</v>
      </c>
      <c r="AD304" s="226">
        <f t="shared" si="42"/>
        <v>6258.23</v>
      </c>
      <c r="AE304" s="228">
        <f t="shared" si="43"/>
        <v>0</v>
      </c>
      <c r="AF304" s="404">
        <f t="shared" si="44"/>
        <v>0</v>
      </c>
      <c r="AG304" s="424">
        <f t="shared" si="40"/>
        <v>6258.23</v>
      </c>
      <c r="AH304" s="520">
        <f t="shared" si="39"/>
        <v>6258</v>
      </c>
      <c r="AI304" s="1044"/>
      <c r="AJ304" s="1044"/>
      <c r="AK304" s="1044"/>
    </row>
    <row r="305" spans="1:37" ht="12.7">
      <c r="A305" s="47" t="s">
        <v>11</v>
      </c>
      <c r="B305" s="23" t="s">
        <v>540</v>
      </c>
      <c r="C305" s="467" t="s">
        <v>670</v>
      </c>
      <c r="D305" s="139" t="s">
        <v>421</v>
      </c>
      <c r="E305" s="770" t="s">
        <v>18</v>
      </c>
      <c r="F305" s="223"/>
      <c r="G305" s="311"/>
      <c r="H305" s="292" t="s">
        <v>149</v>
      </c>
      <c r="I305" s="219">
        <v>42</v>
      </c>
      <c r="J305" s="220">
        <v>2</v>
      </c>
      <c r="K305" s="221">
        <v>25.255</v>
      </c>
      <c r="L305" s="222">
        <v>82</v>
      </c>
      <c r="M305" s="220">
        <v>34</v>
      </c>
      <c r="N305" s="221">
        <v>4.819</v>
      </c>
      <c r="O305" s="326" t="s">
        <v>150</v>
      </c>
      <c r="P305" s="219">
        <v>42</v>
      </c>
      <c r="Q305" s="220">
        <v>2</v>
      </c>
      <c r="R305" s="221">
        <v>23.585999999999999</v>
      </c>
      <c r="S305" s="222">
        <v>82</v>
      </c>
      <c r="T305" s="220">
        <v>34</v>
      </c>
      <c r="U305" s="221">
        <v>1.948</v>
      </c>
      <c r="V305" s="223">
        <v>4</v>
      </c>
      <c r="W305" s="544">
        <v>286.30</v>
      </c>
      <c r="X305" s="224">
        <v>1994</v>
      </c>
      <c r="Y305" s="218"/>
      <c r="Z305" s="225" t="s">
        <v>14</v>
      </c>
      <c r="AA305" s="223" t="s">
        <v>15</v>
      </c>
      <c r="AB305" s="226">
        <f t="shared" si="41"/>
        <v>5170.5779999999995</v>
      </c>
      <c r="AC305" s="227">
        <f t="shared" si="46"/>
        <v>0.49</v>
      </c>
      <c r="AD305" s="226">
        <f t="shared" si="42"/>
        <v>2636.99</v>
      </c>
      <c r="AE305" s="228">
        <f t="shared" si="43"/>
        <v>0</v>
      </c>
      <c r="AF305" s="404">
        <f t="shared" si="44"/>
        <v>0</v>
      </c>
      <c r="AG305" s="424">
        <f t="shared" si="40"/>
        <v>2636.99</v>
      </c>
      <c r="AH305" s="520">
        <f t="shared" si="39"/>
        <v>2636</v>
      </c>
      <c r="AI305" s="1044"/>
      <c r="AJ305" s="1044"/>
      <c r="AK305" s="1044"/>
    </row>
    <row r="306" spans="1:37" ht="12.7">
      <c r="A306" s="47" t="s">
        <v>11</v>
      </c>
      <c r="B306" s="23" t="s">
        <v>540</v>
      </c>
      <c r="C306" s="467" t="s">
        <v>670</v>
      </c>
      <c r="D306" s="139" t="s">
        <v>421</v>
      </c>
      <c r="E306" s="779" t="s">
        <v>18</v>
      </c>
      <c r="F306" s="293"/>
      <c r="G306" s="316"/>
      <c r="H306" s="295" t="s">
        <v>150</v>
      </c>
      <c r="I306" s="296">
        <v>42</v>
      </c>
      <c r="J306" s="297">
        <v>2</v>
      </c>
      <c r="K306" s="298">
        <v>23.585999999999999</v>
      </c>
      <c r="L306" s="299">
        <v>82</v>
      </c>
      <c r="M306" s="297">
        <v>34</v>
      </c>
      <c r="N306" s="298">
        <v>1.948</v>
      </c>
      <c r="O306" s="300" t="s">
        <v>151</v>
      </c>
      <c r="P306" s="296">
        <v>42</v>
      </c>
      <c r="Q306" s="297">
        <v>2</v>
      </c>
      <c r="R306" s="298">
        <v>13.12</v>
      </c>
      <c r="S306" s="299">
        <v>82</v>
      </c>
      <c r="T306" s="297">
        <v>33</v>
      </c>
      <c r="U306" s="298">
        <v>54.835</v>
      </c>
      <c r="V306" s="293">
        <v>4</v>
      </c>
      <c r="W306" s="551">
        <v>1187.8599999999999</v>
      </c>
      <c r="X306" s="301">
        <v>1994</v>
      </c>
      <c r="Y306" s="294"/>
      <c r="Z306" s="302" t="s">
        <v>14</v>
      </c>
      <c r="AA306" s="293" t="s">
        <v>15</v>
      </c>
      <c r="AB306" s="303">
        <f t="shared" si="41"/>
        <v>21452.751599999996</v>
      </c>
      <c r="AC306" s="304">
        <f t="shared" si="46"/>
        <v>0.49</v>
      </c>
      <c r="AD306" s="303">
        <f t="shared" si="42"/>
        <v>10940.90</v>
      </c>
      <c r="AE306" s="305">
        <f t="shared" si="43"/>
        <v>0</v>
      </c>
      <c r="AF306" s="402">
        <f t="shared" si="44"/>
        <v>0</v>
      </c>
      <c r="AG306" s="438">
        <f t="shared" si="40"/>
        <v>10940.90</v>
      </c>
      <c r="AH306" s="521">
        <f t="shared" si="39"/>
        <v>10940</v>
      </c>
      <c r="AI306" s="1044"/>
      <c r="AJ306" s="1044"/>
      <c r="AK306" s="1044"/>
    </row>
    <row r="307" spans="1:37" ht="12.7">
      <c r="A307" s="47" t="s">
        <v>11</v>
      </c>
      <c r="B307" s="23" t="s">
        <v>540</v>
      </c>
      <c r="C307" s="467" t="s">
        <v>670</v>
      </c>
      <c r="D307" s="139" t="s">
        <v>421</v>
      </c>
      <c r="E307" s="769" t="s">
        <v>18</v>
      </c>
      <c r="F307" s="210"/>
      <c r="G307" s="310"/>
      <c r="H307" s="246" t="s">
        <v>151</v>
      </c>
      <c r="I307" s="206">
        <v>42</v>
      </c>
      <c r="J307" s="207">
        <v>2</v>
      </c>
      <c r="K307" s="208">
        <v>13.12</v>
      </c>
      <c r="L307" s="209">
        <v>82</v>
      </c>
      <c r="M307" s="207">
        <v>33</v>
      </c>
      <c r="N307" s="208">
        <v>54.835</v>
      </c>
      <c r="O307" s="323" t="s">
        <v>25</v>
      </c>
      <c r="P307" s="206">
        <v>42</v>
      </c>
      <c r="Q307" s="207">
        <v>2</v>
      </c>
      <c r="R307" s="208">
        <v>11.923</v>
      </c>
      <c r="S307" s="209">
        <v>82</v>
      </c>
      <c r="T307" s="207">
        <v>33</v>
      </c>
      <c r="U307" s="208">
        <v>42.790999999999997</v>
      </c>
      <c r="V307" s="210">
        <v>4</v>
      </c>
      <c r="W307" s="543">
        <v>1003.64</v>
      </c>
      <c r="X307" s="211">
        <v>1994</v>
      </c>
      <c r="Y307" s="204"/>
      <c r="Z307" s="212" t="s">
        <v>14</v>
      </c>
      <c r="AA307" s="210" t="s">
        <v>15</v>
      </c>
      <c r="AB307" s="213">
        <f t="shared" si="41"/>
        <v>18125.738399999998</v>
      </c>
      <c r="AC307" s="214">
        <f t="shared" si="46"/>
        <v>0.49</v>
      </c>
      <c r="AD307" s="213">
        <f t="shared" si="42"/>
        <v>9244.1299999999992</v>
      </c>
      <c r="AE307" s="215">
        <f t="shared" si="43"/>
        <v>0</v>
      </c>
      <c r="AF307" s="216">
        <f t="shared" si="44"/>
        <v>0</v>
      </c>
      <c r="AG307" s="260">
        <f t="shared" si="40"/>
        <v>9244.1299999999992</v>
      </c>
      <c r="AH307" s="522">
        <f t="shared" si="39"/>
        <v>9244</v>
      </c>
      <c r="AI307" s="198">
        <v>2.77</v>
      </c>
      <c r="AJ307" s="198">
        <v>16.48</v>
      </c>
      <c r="AK307" s="198">
        <v>1.41</v>
      </c>
    </row>
    <row r="308" spans="1:37" ht="12.7">
      <c r="A308" s="47" t="s">
        <v>11</v>
      </c>
      <c r="B308" s="23" t="s">
        <v>540</v>
      </c>
      <c r="C308" s="467" t="s">
        <v>670</v>
      </c>
      <c r="D308" s="139" t="s">
        <v>421</v>
      </c>
      <c r="E308" s="778" t="s">
        <v>18</v>
      </c>
      <c r="F308" s="248"/>
      <c r="G308" s="315"/>
      <c r="H308" s="291" t="s">
        <v>25</v>
      </c>
      <c r="I308" s="250">
        <v>42</v>
      </c>
      <c r="J308" s="251">
        <v>2</v>
      </c>
      <c r="K308" s="252">
        <v>11.923</v>
      </c>
      <c r="L308" s="253">
        <v>82</v>
      </c>
      <c r="M308" s="251">
        <v>33</v>
      </c>
      <c r="N308" s="252">
        <v>42.790999999999997</v>
      </c>
      <c r="O308" s="403" t="s">
        <v>152</v>
      </c>
      <c r="P308" s="250">
        <v>42</v>
      </c>
      <c r="Q308" s="251">
        <v>2</v>
      </c>
      <c r="R308" s="252">
        <v>12.314</v>
      </c>
      <c r="S308" s="253">
        <v>82</v>
      </c>
      <c r="T308" s="251">
        <v>33</v>
      </c>
      <c r="U308" s="252">
        <v>40.957999999999998</v>
      </c>
      <c r="V308" s="248">
        <v>4</v>
      </c>
      <c r="W308" s="550">
        <v>143.90</v>
      </c>
      <c r="X308" s="254">
        <v>1994</v>
      </c>
      <c r="Y308" s="249"/>
      <c r="Z308" s="255" t="s">
        <v>14</v>
      </c>
      <c r="AA308" s="248" t="s">
        <v>15</v>
      </c>
      <c r="AB308" s="256">
        <f t="shared" si="41"/>
        <v>2598.8339999999998</v>
      </c>
      <c r="AC308" s="257">
        <f t="shared" si="46"/>
        <v>0.49</v>
      </c>
      <c r="AD308" s="256">
        <f t="shared" si="42"/>
        <v>1325.41</v>
      </c>
      <c r="AE308" s="258">
        <f t="shared" si="43"/>
        <v>0</v>
      </c>
      <c r="AF308" s="401">
        <f t="shared" si="44"/>
        <v>0</v>
      </c>
      <c r="AG308" s="418">
        <f t="shared" si="40"/>
        <v>1325.41</v>
      </c>
      <c r="AH308" s="519">
        <f t="shared" si="39"/>
        <v>1325</v>
      </c>
      <c r="AI308" s="1044">
        <v>0.88</v>
      </c>
      <c r="AJ308" s="1044">
        <v>6.35</v>
      </c>
      <c r="AK308" s="1044">
        <v>2.4700000000000002</v>
      </c>
    </row>
    <row r="309" spans="1:37" ht="12.7">
      <c r="A309" s="47" t="s">
        <v>11</v>
      </c>
      <c r="B309" s="23" t="s">
        <v>540</v>
      </c>
      <c r="C309" s="467" t="s">
        <v>670</v>
      </c>
      <c r="D309" s="139" t="s">
        <v>421</v>
      </c>
      <c r="E309" s="770" t="s">
        <v>18</v>
      </c>
      <c r="F309" s="223"/>
      <c r="G309" s="311"/>
      <c r="H309" s="292" t="s">
        <v>152</v>
      </c>
      <c r="I309" s="219">
        <v>42</v>
      </c>
      <c r="J309" s="220">
        <v>2</v>
      </c>
      <c r="K309" s="221">
        <v>12.314</v>
      </c>
      <c r="L309" s="222">
        <v>82</v>
      </c>
      <c r="M309" s="220">
        <v>33</v>
      </c>
      <c r="N309" s="221">
        <v>40.957999999999998</v>
      </c>
      <c r="O309" s="326" t="s">
        <v>153</v>
      </c>
      <c r="P309" s="219">
        <v>42</v>
      </c>
      <c r="Q309" s="220">
        <v>2</v>
      </c>
      <c r="R309" s="221">
        <v>14.833</v>
      </c>
      <c r="S309" s="222">
        <v>82</v>
      </c>
      <c r="T309" s="220">
        <v>33</v>
      </c>
      <c r="U309" s="221">
        <v>38.046999999999997</v>
      </c>
      <c r="V309" s="223">
        <v>4</v>
      </c>
      <c r="W309" s="544">
        <v>336.61</v>
      </c>
      <c r="X309" s="224">
        <v>1994</v>
      </c>
      <c r="Y309" s="218"/>
      <c r="Z309" s="225" t="s">
        <v>14</v>
      </c>
      <c r="AA309" s="223" t="s">
        <v>15</v>
      </c>
      <c r="AB309" s="226">
        <f t="shared" si="41"/>
        <v>6079.1765999999998</v>
      </c>
      <c r="AC309" s="227">
        <f t="shared" si="46"/>
        <v>0.49</v>
      </c>
      <c r="AD309" s="226">
        <f t="shared" si="42"/>
        <v>3100.38</v>
      </c>
      <c r="AE309" s="228">
        <f t="shared" si="43"/>
        <v>0</v>
      </c>
      <c r="AF309" s="404">
        <f t="shared" si="44"/>
        <v>0</v>
      </c>
      <c r="AG309" s="424">
        <f t="shared" si="40"/>
        <v>3100.38</v>
      </c>
      <c r="AH309" s="520">
        <f t="shared" si="39"/>
        <v>3100</v>
      </c>
      <c r="AI309" s="1044"/>
      <c r="AJ309" s="1044"/>
      <c r="AK309" s="1044"/>
    </row>
    <row r="310" spans="1:37" ht="12.7">
      <c r="A310" s="47" t="s">
        <v>11</v>
      </c>
      <c r="B310" s="23" t="s">
        <v>540</v>
      </c>
      <c r="C310" s="467" t="s">
        <v>670</v>
      </c>
      <c r="D310" s="139" t="s">
        <v>421</v>
      </c>
      <c r="E310" s="770" t="s">
        <v>18</v>
      </c>
      <c r="F310" s="223"/>
      <c r="G310" s="311"/>
      <c r="H310" s="292" t="s">
        <v>155</v>
      </c>
      <c r="I310" s="219">
        <v>42</v>
      </c>
      <c r="J310" s="220">
        <v>2</v>
      </c>
      <c r="K310" s="221">
        <v>18.235</v>
      </c>
      <c r="L310" s="222">
        <v>82</v>
      </c>
      <c r="M310" s="220">
        <v>33</v>
      </c>
      <c r="N310" s="221">
        <v>40.445</v>
      </c>
      <c r="O310" s="326" t="s">
        <v>156</v>
      </c>
      <c r="P310" s="219">
        <v>42</v>
      </c>
      <c r="Q310" s="220">
        <v>2</v>
      </c>
      <c r="R310" s="221">
        <v>16.45</v>
      </c>
      <c r="S310" s="222">
        <v>82</v>
      </c>
      <c r="T310" s="220">
        <v>33</v>
      </c>
      <c r="U310" s="221">
        <v>39.822000000000003</v>
      </c>
      <c r="V310" s="223">
        <v>4</v>
      </c>
      <c r="W310" s="544">
        <v>186.75</v>
      </c>
      <c r="X310" s="224">
        <v>1994</v>
      </c>
      <c r="Y310" s="218"/>
      <c r="Z310" s="225" t="s">
        <v>14</v>
      </c>
      <c r="AA310" s="223" t="s">
        <v>15</v>
      </c>
      <c r="AB310" s="226">
        <f t="shared" si="41"/>
        <v>3372.7049999999999</v>
      </c>
      <c r="AC310" s="227">
        <f t="shared" si="46"/>
        <v>0.49</v>
      </c>
      <c r="AD310" s="226">
        <f t="shared" si="42"/>
        <v>1720.08</v>
      </c>
      <c r="AE310" s="228">
        <f t="shared" si="43"/>
        <v>0</v>
      </c>
      <c r="AF310" s="404">
        <f t="shared" si="44"/>
        <v>0</v>
      </c>
      <c r="AG310" s="424">
        <f t="shared" si="40"/>
        <v>1720.08</v>
      </c>
      <c r="AH310" s="520">
        <f t="shared" si="47" ref="AH310:AH367">ROUNDDOWN(AG310,0)</f>
        <v>1720</v>
      </c>
      <c r="AI310" s="1044"/>
      <c r="AJ310" s="1044"/>
      <c r="AK310" s="1044"/>
    </row>
    <row r="311" spans="1:37" ht="12.7">
      <c r="A311" s="47" t="s">
        <v>11</v>
      </c>
      <c r="B311" s="23" t="s">
        <v>540</v>
      </c>
      <c r="C311" s="467" t="s">
        <v>670</v>
      </c>
      <c r="D311" s="139" t="s">
        <v>421</v>
      </c>
      <c r="E311" s="770" t="s">
        <v>18</v>
      </c>
      <c r="F311" s="223"/>
      <c r="G311" s="311"/>
      <c r="H311" s="292" t="s">
        <v>156</v>
      </c>
      <c r="I311" s="219">
        <v>42</v>
      </c>
      <c r="J311" s="220">
        <v>2</v>
      </c>
      <c r="K311" s="221">
        <v>16.45</v>
      </c>
      <c r="L311" s="222">
        <v>82</v>
      </c>
      <c r="M311" s="220">
        <v>33</v>
      </c>
      <c r="N311" s="221">
        <v>39.822000000000003</v>
      </c>
      <c r="O311" s="326" t="s">
        <v>153</v>
      </c>
      <c r="P311" s="219">
        <v>42</v>
      </c>
      <c r="Q311" s="220">
        <v>2</v>
      </c>
      <c r="R311" s="221">
        <v>14.833</v>
      </c>
      <c r="S311" s="222">
        <v>82</v>
      </c>
      <c r="T311" s="220">
        <v>33</v>
      </c>
      <c r="U311" s="221">
        <v>38.046999999999997</v>
      </c>
      <c r="V311" s="223">
        <v>4</v>
      </c>
      <c r="W311" s="544">
        <v>211.52</v>
      </c>
      <c r="X311" s="224">
        <v>1994</v>
      </c>
      <c r="Y311" s="218"/>
      <c r="Z311" s="225" t="s">
        <v>14</v>
      </c>
      <c r="AA311" s="223" t="s">
        <v>15</v>
      </c>
      <c r="AB311" s="226">
        <f t="shared" si="41"/>
        <v>3820.0511999999999</v>
      </c>
      <c r="AC311" s="227">
        <f t="shared" si="46"/>
        <v>0.49</v>
      </c>
      <c r="AD311" s="226">
        <f t="shared" si="42"/>
        <v>1948.23</v>
      </c>
      <c r="AE311" s="228">
        <f t="shared" si="43"/>
        <v>0</v>
      </c>
      <c r="AF311" s="404">
        <f t="shared" si="44"/>
        <v>0</v>
      </c>
      <c r="AG311" s="424">
        <f t="shared" si="48" ref="AG311:AG373">AD311-AE311-AF311</f>
        <v>1948.23</v>
      </c>
      <c r="AH311" s="520">
        <f t="shared" si="47"/>
        <v>1948</v>
      </c>
      <c r="AI311" s="1044"/>
      <c r="AJ311" s="1044"/>
      <c r="AK311" s="1044"/>
    </row>
    <row r="312" spans="1:37" ht="12.7">
      <c r="A312" s="47" t="s">
        <v>11</v>
      </c>
      <c r="B312" s="23" t="s">
        <v>540</v>
      </c>
      <c r="C312" s="467" t="s">
        <v>670</v>
      </c>
      <c r="D312" s="139" t="s">
        <v>421</v>
      </c>
      <c r="E312" s="770" t="s">
        <v>18</v>
      </c>
      <c r="F312" s="223"/>
      <c r="G312" s="311"/>
      <c r="H312" s="292" t="s">
        <v>153</v>
      </c>
      <c r="I312" s="219">
        <v>42</v>
      </c>
      <c r="J312" s="220">
        <v>2</v>
      </c>
      <c r="K312" s="221">
        <v>14.833</v>
      </c>
      <c r="L312" s="222">
        <v>82</v>
      </c>
      <c r="M312" s="220">
        <v>33</v>
      </c>
      <c r="N312" s="221">
        <v>38.046999999999997</v>
      </c>
      <c r="O312" s="326" t="s">
        <v>157</v>
      </c>
      <c r="P312" s="219">
        <v>42</v>
      </c>
      <c r="Q312" s="220">
        <v>2</v>
      </c>
      <c r="R312" s="221">
        <v>15.779</v>
      </c>
      <c r="S312" s="222">
        <v>82</v>
      </c>
      <c r="T312" s="220">
        <v>33</v>
      </c>
      <c r="U312" s="221">
        <v>36.438000000000002</v>
      </c>
      <c r="V312" s="223">
        <v>4</v>
      </c>
      <c r="W312" s="544">
        <v>154.66</v>
      </c>
      <c r="X312" s="224">
        <v>1994</v>
      </c>
      <c r="Y312" s="218"/>
      <c r="Z312" s="225" t="s">
        <v>14</v>
      </c>
      <c r="AA312" s="223" t="s">
        <v>15</v>
      </c>
      <c r="AB312" s="226">
        <f t="shared" si="41"/>
        <v>2793.1596</v>
      </c>
      <c r="AC312" s="227">
        <f t="shared" si="46"/>
        <v>0.49</v>
      </c>
      <c r="AD312" s="226">
        <f t="shared" si="42"/>
        <v>1424.51</v>
      </c>
      <c r="AE312" s="228">
        <f t="shared" si="43"/>
        <v>0</v>
      </c>
      <c r="AF312" s="404">
        <f t="shared" si="44"/>
        <v>0</v>
      </c>
      <c r="AG312" s="424">
        <f t="shared" si="48"/>
        <v>1424.51</v>
      </c>
      <c r="AH312" s="520">
        <f t="shared" si="47"/>
        <v>1424</v>
      </c>
      <c r="AI312" s="1044"/>
      <c r="AJ312" s="1044"/>
      <c r="AK312" s="1044"/>
    </row>
    <row r="313" spans="1:37" ht="12.7">
      <c r="A313" s="47" t="s">
        <v>11</v>
      </c>
      <c r="B313" s="23" t="s">
        <v>540</v>
      </c>
      <c r="C313" s="467" t="s">
        <v>670</v>
      </c>
      <c r="D313" s="139" t="s">
        <v>421</v>
      </c>
      <c r="E313" s="779" t="s">
        <v>18</v>
      </c>
      <c r="F313" s="293"/>
      <c r="G313" s="316"/>
      <c r="H313" s="295" t="s">
        <v>157</v>
      </c>
      <c r="I313" s="296">
        <v>42</v>
      </c>
      <c r="J313" s="297">
        <v>2</v>
      </c>
      <c r="K313" s="298">
        <v>15.779</v>
      </c>
      <c r="L313" s="299">
        <v>82</v>
      </c>
      <c r="M313" s="297">
        <v>33</v>
      </c>
      <c r="N313" s="298">
        <v>36.438000000000002</v>
      </c>
      <c r="O313" s="300" t="s">
        <v>61</v>
      </c>
      <c r="P313" s="296">
        <v>42</v>
      </c>
      <c r="Q313" s="297">
        <v>2</v>
      </c>
      <c r="R313" s="298">
        <v>16.849</v>
      </c>
      <c r="S313" s="299">
        <v>82</v>
      </c>
      <c r="T313" s="297">
        <v>33</v>
      </c>
      <c r="U313" s="298">
        <v>31.955</v>
      </c>
      <c r="V313" s="293">
        <v>4</v>
      </c>
      <c r="W313" s="551">
        <v>355.28</v>
      </c>
      <c r="X313" s="301">
        <v>1994</v>
      </c>
      <c r="Y313" s="294"/>
      <c r="Z313" s="302" t="s">
        <v>14</v>
      </c>
      <c r="AA313" s="293" t="s">
        <v>15</v>
      </c>
      <c r="AB313" s="303">
        <f t="shared" si="41"/>
        <v>6416.3567999999987</v>
      </c>
      <c r="AC313" s="304">
        <f t="shared" si="46"/>
        <v>0.49</v>
      </c>
      <c r="AD313" s="303">
        <f t="shared" si="42"/>
        <v>3272.34</v>
      </c>
      <c r="AE313" s="305">
        <f t="shared" si="43"/>
        <v>0</v>
      </c>
      <c r="AF313" s="402">
        <f t="shared" si="44"/>
        <v>0</v>
      </c>
      <c r="AG313" s="438">
        <f t="shared" si="48"/>
        <v>3272.34</v>
      </c>
      <c r="AH313" s="521">
        <f t="shared" si="47"/>
        <v>3272</v>
      </c>
      <c r="AI313" s="1044"/>
      <c r="AJ313" s="1044"/>
      <c r="AK313" s="1044"/>
    </row>
    <row r="314" spans="1:37" ht="12.7">
      <c r="A314" s="47" t="s">
        <v>11</v>
      </c>
      <c r="B314" s="23" t="s">
        <v>540</v>
      </c>
      <c r="C314" s="467" t="s">
        <v>670</v>
      </c>
      <c r="D314" s="139" t="s">
        <v>421</v>
      </c>
      <c r="E314" s="778" t="s">
        <v>18</v>
      </c>
      <c r="F314" s="248"/>
      <c r="G314" s="315"/>
      <c r="H314" s="291" t="s">
        <v>104</v>
      </c>
      <c r="I314" s="250">
        <v>42</v>
      </c>
      <c r="J314" s="251">
        <v>1</v>
      </c>
      <c r="K314" s="252">
        <v>21.295</v>
      </c>
      <c r="L314" s="253">
        <v>82</v>
      </c>
      <c r="M314" s="251">
        <v>32</v>
      </c>
      <c r="N314" s="252">
        <v>53.533999999999999</v>
      </c>
      <c r="O314" s="403" t="s">
        <v>158</v>
      </c>
      <c r="P314" s="250">
        <v>42</v>
      </c>
      <c r="Q314" s="251">
        <v>1</v>
      </c>
      <c r="R314" s="252">
        <v>30.106000000000002</v>
      </c>
      <c r="S314" s="253">
        <v>82</v>
      </c>
      <c r="T314" s="251">
        <v>33</v>
      </c>
      <c r="U314" s="252">
        <v>4.8620000000000001</v>
      </c>
      <c r="V314" s="248">
        <v>4</v>
      </c>
      <c r="W314" s="550">
        <v>1243.67</v>
      </c>
      <c r="X314" s="254">
        <v>1994</v>
      </c>
      <c r="Y314" s="249"/>
      <c r="Z314" s="255" t="s">
        <v>14</v>
      </c>
      <c r="AA314" s="248" t="s">
        <v>15</v>
      </c>
      <c r="AB314" s="256">
        <f t="shared" si="41"/>
        <v>22460.680199999999</v>
      </c>
      <c r="AC314" s="257">
        <f t="shared" si="46"/>
        <v>0.49</v>
      </c>
      <c r="AD314" s="256">
        <f t="shared" si="42"/>
        <v>11454.95</v>
      </c>
      <c r="AE314" s="258">
        <f t="shared" si="43"/>
        <v>0</v>
      </c>
      <c r="AF314" s="401">
        <f t="shared" si="44"/>
        <v>0</v>
      </c>
      <c r="AG314" s="417">
        <f t="shared" si="48"/>
        <v>11454.95</v>
      </c>
      <c r="AH314" s="517">
        <f t="shared" si="47"/>
        <v>11454</v>
      </c>
      <c r="AI314" s="1064" t="s">
        <v>624</v>
      </c>
      <c r="AJ314" s="1062"/>
      <c r="AK314" s="1063"/>
    </row>
    <row r="315" spans="1:37" ht="12.7">
      <c r="A315" s="47" t="s">
        <v>11</v>
      </c>
      <c r="B315" s="23" t="s">
        <v>540</v>
      </c>
      <c r="C315" s="467" t="s">
        <v>670</v>
      </c>
      <c r="D315" s="139" t="s">
        <v>421</v>
      </c>
      <c r="E315" s="770" t="s">
        <v>18</v>
      </c>
      <c r="F315" s="223"/>
      <c r="G315" s="311"/>
      <c r="H315" s="292" t="s">
        <v>158</v>
      </c>
      <c r="I315" s="219">
        <v>42</v>
      </c>
      <c r="J315" s="220">
        <v>1</v>
      </c>
      <c r="K315" s="221">
        <v>30.106000000000002</v>
      </c>
      <c r="L315" s="222">
        <v>82</v>
      </c>
      <c r="M315" s="220">
        <v>33</v>
      </c>
      <c r="N315" s="221">
        <v>4.8620000000000001</v>
      </c>
      <c r="O315" s="326" t="s">
        <v>27</v>
      </c>
      <c r="P315" s="219">
        <v>42</v>
      </c>
      <c r="Q315" s="220">
        <v>1</v>
      </c>
      <c r="R315" s="221">
        <v>35.680999999999997</v>
      </c>
      <c r="S315" s="222">
        <v>82</v>
      </c>
      <c r="T315" s="220">
        <v>33</v>
      </c>
      <c r="U315" s="221">
        <v>17.093</v>
      </c>
      <c r="V315" s="223">
        <v>4</v>
      </c>
      <c r="W315" s="544">
        <v>1035.45</v>
      </c>
      <c r="X315" s="224">
        <v>1994</v>
      </c>
      <c r="Y315" s="218"/>
      <c r="Z315" s="225" t="s">
        <v>14</v>
      </c>
      <c r="AA315" s="223" t="s">
        <v>15</v>
      </c>
      <c r="AB315" s="226">
        <f t="shared" si="41"/>
        <v>18700.226999999999</v>
      </c>
      <c r="AC315" s="227">
        <f t="shared" si="46"/>
        <v>0.49</v>
      </c>
      <c r="AD315" s="226">
        <f t="shared" si="42"/>
        <v>9537.1200000000008</v>
      </c>
      <c r="AE315" s="228">
        <f t="shared" si="43"/>
        <v>0</v>
      </c>
      <c r="AF315" s="404">
        <f t="shared" si="44"/>
        <v>0</v>
      </c>
      <c r="AG315" s="423">
        <f t="shared" si="48"/>
        <v>9537.1200000000008</v>
      </c>
      <c r="AH315" s="516">
        <f t="shared" si="47"/>
        <v>9537</v>
      </c>
      <c r="AI315" s="1061"/>
      <c r="AJ315" s="1062"/>
      <c r="AK315" s="1063"/>
    </row>
    <row r="316" spans="1:37" ht="12.7">
      <c r="A316" s="47" t="s">
        <v>11</v>
      </c>
      <c r="B316" s="23" t="s">
        <v>540</v>
      </c>
      <c r="C316" s="467" t="s">
        <v>670</v>
      </c>
      <c r="D316" s="139" t="s">
        <v>421</v>
      </c>
      <c r="E316" s="770" t="s">
        <v>18</v>
      </c>
      <c r="F316" s="223"/>
      <c r="G316" s="311"/>
      <c r="H316" s="292" t="s">
        <v>27</v>
      </c>
      <c r="I316" s="219">
        <v>42</v>
      </c>
      <c r="J316" s="220">
        <v>1</v>
      </c>
      <c r="K316" s="221">
        <v>35.680999999999997</v>
      </c>
      <c r="L316" s="222">
        <v>82</v>
      </c>
      <c r="M316" s="220">
        <v>33</v>
      </c>
      <c r="N316" s="221">
        <v>17.093</v>
      </c>
      <c r="O316" s="326" t="s">
        <v>159</v>
      </c>
      <c r="P316" s="219">
        <v>42</v>
      </c>
      <c r="Q316" s="220">
        <v>1</v>
      </c>
      <c r="R316" s="221">
        <v>36.526000000000003</v>
      </c>
      <c r="S316" s="222">
        <v>82</v>
      </c>
      <c r="T316" s="220">
        <v>33</v>
      </c>
      <c r="U316" s="221">
        <v>22.805</v>
      </c>
      <c r="V316" s="223">
        <v>4</v>
      </c>
      <c r="W316" s="544">
        <v>439.60</v>
      </c>
      <c r="X316" s="224">
        <v>1994</v>
      </c>
      <c r="Y316" s="218"/>
      <c r="Z316" s="225" t="s">
        <v>14</v>
      </c>
      <c r="AA316" s="223" t="s">
        <v>15</v>
      </c>
      <c r="AB316" s="226">
        <f t="shared" si="41"/>
        <v>7939.1759999999995</v>
      </c>
      <c r="AC316" s="227">
        <f t="shared" si="46"/>
        <v>0.49</v>
      </c>
      <c r="AD316" s="226">
        <f t="shared" si="42"/>
        <v>4048.98</v>
      </c>
      <c r="AE316" s="228">
        <f t="shared" si="43"/>
        <v>0</v>
      </c>
      <c r="AF316" s="404">
        <f t="shared" si="44"/>
        <v>0</v>
      </c>
      <c r="AG316" s="423">
        <f t="shared" si="48"/>
        <v>4048.98</v>
      </c>
      <c r="AH316" s="516">
        <f t="shared" si="47"/>
        <v>4048</v>
      </c>
      <c r="AI316" s="1061"/>
      <c r="AJ316" s="1062"/>
      <c r="AK316" s="1063"/>
    </row>
    <row r="317" spans="1:37" ht="12.7">
      <c r="A317" s="47" t="s">
        <v>11</v>
      </c>
      <c r="B317" s="23" t="s">
        <v>540</v>
      </c>
      <c r="C317" s="467" t="s">
        <v>670</v>
      </c>
      <c r="D317" s="139" t="s">
        <v>421</v>
      </c>
      <c r="E317" s="770" t="s">
        <v>18</v>
      </c>
      <c r="F317" s="223"/>
      <c r="G317" s="311"/>
      <c r="H317" s="292" t="s">
        <v>159</v>
      </c>
      <c r="I317" s="219">
        <v>42</v>
      </c>
      <c r="J317" s="220">
        <v>1</v>
      </c>
      <c r="K317" s="221">
        <v>36.526000000000003</v>
      </c>
      <c r="L317" s="222">
        <v>82</v>
      </c>
      <c r="M317" s="220">
        <v>33</v>
      </c>
      <c r="N317" s="221">
        <v>22.805</v>
      </c>
      <c r="O317" s="326" t="s">
        <v>160</v>
      </c>
      <c r="P317" s="219">
        <v>42</v>
      </c>
      <c r="Q317" s="220">
        <v>1</v>
      </c>
      <c r="R317" s="221">
        <v>38.368000000000002</v>
      </c>
      <c r="S317" s="222">
        <v>82</v>
      </c>
      <c r="T317" s="220">
        <v>33</v>
      </c>
      <c r="U317" s="221">
        <v>24.599</v>
      </c>
      <c r="V317" s="223">
        <v>4</v>
      </c>
      <c r="W317" s="544">
        <v>239.36</v>
      </c>
      <c r="X317" s="224">
        <v>1994</v>
      </c>
      <c r="Y317" s="218"/>
      <c r="Z317" s="225" t="s">
        <v>14</v>
      </c>
      <c r="AA317" s="223" t="s">
        <v>15</v>
      </c>
      <c r="AB317" s="226">
        <f t="shared" si="41"/>
        <v>4322.8415999999997</v>
      </c>
      <c r="AC317" s="227">
        <f t="shared" si="46"/>
        <v>0.49</v>
      </c>
      <c r="AD317" s="226">
        <f t="shared" si="42"/>
        <v>2204.65</v>
      </c>
      <c r="AE317" s="228">
        <f t="shared" si="43"/>
        <v>0</v>
      </c>
      <c r="AF317" s="404">
        <f t="shared" si="44"/>
        <v>0</v>
      </c>
      <c r="AG317" s="423">
        <f t="shared" si="48"/>
        <v>2204.65</v>
      </c>
      <c r="AH317" s="516">
        <f t="shared" si="47"/>
        <v>2204</v>
      </c>
      <c r="AI317" s="1061"/>
      <c r="AJ317" s="1062"/>
      <c r="AK317" s="1063"/>
    </row>
    <row r="318" spans="1:37" ht="12.7">
      <c r="A318" s="47" t="s">
        <v>11</v>
      </c>
      <c r="B318" s="23" t="s">
        <v>540</v>
      </c>
      <c r="C318" s="467" t="s">
        <v>670</v>
      </c>
      <c r="D318" s="139" t="s">
        <v>421</v>
      </c>
      <c r="E318" s="770" t="s">
        <v>18</v>
      </c>
      <c r="F318" s="223"/>
      <c r="G318" s="311"/>
      <c r="H318" s="292" t="s">
        <v>160</v>
      </c>
      <c r="I318" s="219">
        <v>42</v>
      </c>
      <c r="J318" s="220">
        <v>1</v>
      </c>
      <c r="K318" s="221">
        <v>38.368000000000002</v>
      </c>
      <c r="L318" s="222">
        <v>82</v>
      </c>
      <c r="M318" s="220">
        <v>33</v>
      </c>
      <c r="N318" s="221">
        <v>24.599</v>
      </c>
      <c r="O318" s="326" t="s">
        <v>161</v>
      </c>
      <c r="P318" s="219">
        <v>42</v>
      </c>
      <c r="Q318" s="220">
        <v>2</v>
      </c>
      <c r="R318" s="221">
        <v>16.989999999999998</v>
      </c>
      <c r="S318" s="222">
        <v>82</v>
      </c>
      <c r="T318" s="220">
        <v>33</v>
      </c>
      <c r="U318" s="221">
        <v>21.494</v>
      </c>
      <c r="V318" s="223">
        <v>4</v>
      </c>
      <c r="W318" s="544">
        <v>4150.03</v>
      </c>
      <c r="X318" s="224">
        <v>1994</v>
      </c>
      <c r="Y318" s="218"/>
      <c r="Z318" s="225" t="s">
        <v>14</v>
      </c>
      <c r="AA318" s="223" t="s">
        <v>15</v>
      </c>
      <c r="AB318" s="226">
        <f t="shared" si="41"/>
        <v>74949.541799999992</v>
      </c>
      <c r="AC318" s="227">
        <f t="shared" si="46"/>
        <v>0.49</v>
      </c>
      <c r="AD318" s="226">
        <f t="shared" si="42"/>
        <v>38224.269999999997</v>
      </c>
      <c r="AE318" s="228">
        <f t="shared" si="43"/>
        <v>0</v>
      </c>
      <c r="AF318" s="404">
        <f t="shared" si="44"/>
        <v>0</v>
      </c>
      <c r="AG318" s="423">
        <f t="shared" si="48"/>
        <v>38224.269999999997</v>
      </c>
      <c r="AH318" s="516">
        <f t="shared" si="47"/>
        <v>38224</v>
      </c>
      <c r="AI318" s="1061"/>
      <c r="AJ318" s="1062"/>
      <c r="AK318" s="1063"/>
    </row>
    <row r="319" spans="1:37" ht="12.7">
      <c r="A319" s="47" t="s">
        <v>11</v>
      </c>
      <c r="B319" s="23" t="s">
        <v>540</v>
      </c>
      <c r="C319" s="467" t="s">
        <v>670</v>
      </c>
      <c r="D319" s="139" t="s">
        <v>421</v>
      </c>
      <c r="E319" s="779" t="s">
        <v>18</v>
      </c>
      <c r="F319" s="293"/>
      <c r="G319" s="316"/>
      <c r="H319" s="295" t="s">
        <v>161</v>
      </c>
      <c r="I319" s="296">
        <v>42</v>
      </c>
      <c r="J319" s="297">
        <v>2</v>
      </c>
      <c r="K319" s="298">
        <v>16.989999999999998</v>
      </c>
      <c r="L319" s="299">
        <v>82</v>
      </c>
      <c r="M319" s="297">
        <v>33</v>
      </c>
      <c r="N319" s="298">
        <v>21.494</v>
      </c>
      <c r="O319" s="300" t="s">
        <v>61</v>
      </c>
      <c r="P319" s="296">
        <v>42</v>
      </c>
      <c r="Q319" s="297">
        <v>2</v>
      </c>
      <c r="R319" s="298">
        <v>16.849</v>
      </c>
      <c r="S319" s="299">
        <v>82</v>
      </c>
      <c r="T319" s="297">
        <v>33</v>
      </c>
      <c r="U319" s="298">
        <v>31.955</v>
      </c>
      <c r="V319" s="293">
        <v>4</v>
      </c>
      <c r="W319" s="551">
        <v>648.39</v>
      </c>
      <c r="X319" s="301">
        <v>1994</v>
      </c>
      <c r="Y319" s="294"/>
      <c r="Z319" s="302" t="s">
        <v>14</v>
      </c>
      <c r="AA319" s="293" t="s">
        <v>15</v>
      </c>
      <c r="AB319" s="303">
        <f t="shared" si="41"/>
        <v>11709.9234</v>
      </c>
      <c r="AC319" s="304">
        <f t="shared" si="46"/>
        <v>0.49</v>
      </c>
      <c r="AD319" s="303">
        <f t="shared" si="42"/>
        <v>5972.06</v>
      </c>
      <c r="AE319" s="305">
        <f t="shared" si="43"/>
        <v>0</v>
      </c>
      <c r="AF319" s="402">
        <f t="shared" si="44"/>
        <v>0</v>
      </c>
      <c r="AG319" s="437">
        <f t="shared" si="48"/>
        <v>5972.06</v>
      </c>
      <c r="AH319" s="518">
        <f t="shared" si="47"/>
        <v>5972</v>
      </c>
      <c r="AI319" s="1061"/>
      <c r="AJ319" s="1062"/>
      <c r="AK319" s="1063"/>
    </row>
    <row r="320" spans="1:37" ht="12.7">
      <c r="A320" s="47" t="s">
        <v>11</v>
      </c>
      <c r="B320" s="23" t="s">
        <v>540</v>
      </c>
      <c r="C320" s="467" t="s">
        <v>670</v>
      </c>
      <c r="D320" s="139" t="s">
        <v>421</v>
      </c>
      <c r="E320" s="769" t="s">
        <v>18</v>
      </c>
      <c r="F320" s="204"/>
      <c r="G320" s="310"/>
      <c r="H320" s="246" t="s">
        <v>33</v>
      </c>
      <c r="I320" s="206">
        <v>42</v>
      </c>
      <c r="J320" s="207">
        <v>7</v>
      </c>
      <c r="K320" s="208">
        <v>22.13</v>
      </c>
      <c r="L320" s="209">
        <v>82</v>
      </c>
      <c r="M320" s="207">
        <v>31</v>
      </c>
      <c r="N320" s="208">
        <v>11.186</v>
      </c>
      <c r="O320" s="204" t="s">
        <v>162</v>
      </c>
      <c r="P320" s="206">
        <v>42</v>
      </c>
      <c r="Q320" s="207">
        <v>7</v>
      </c>
      <c r="R320" s="208">
        <v>23.148</v>
      </c>
      <c r="S320" s="209">
        <v>82</v>
      </c>
      <c r="T320" s="207">
        <v>30</v>
      </c>
      <c r="U320" s="208">
        <v>57.775</v>
      </c>
      <c r="V320" s="210">
        <v>4</v>
      </c>
      <c r="W320" s="543">
        <v>1096.3599999999999</v>
      </c>
      <c r="X320" s="211">
        <v>1990</v>
      </c>
      <c r="Y320" s="204"/>
      <c r="Z320" s="212" t="s">
        <v>14</v>
      </c>
      <c r="AA320" s="210" t="s">
        <v>15</v>
      </c>
      <c r="AB320" s="213">
        <f t="shared" si="41"/>
        <v>19800.261599999998</v>
      </c>
      <c r="AC320" s="214">
        <f t="shared" si="46"/>
        <v>0.52</v>
      </c>
      <c r="AD320" s="213">
        <f t="shared" si="42"/>
        <v>9504.1299999999992</v>
      </c>
      <c r="AE320" s="215">
        <f t="shared" si="43"/>
        <v>0</v>
      </c>
      <c r="AF320" s="216">
        <f t="shared" si="44"/>
        <v>0</v>
      </c>
      <c r="AG320" s="260">
        <f t="shared" si="48"/>
        <v>9504.1299999999992</v>
      </c>
      <c r="AH320" s="522">
        <f t="shared" si="47"/>
        <v>9504</v>
      </c>
      <c r="AI320" s="198">
        <v>0.38</v>
      </c>
      <c r="AJ320" s="198">
        <v>3.40</v>
      </c>
      <c r="AK320" s="198">
        <v>3.88</v>
      </c>
    </row>
    <row r="321" spans="1:37" ht="12.7">
      <c r="A321" s="47" t="s">
        <v>11</v>
      </c>
      <c r="B321" s="23" t="s">
        <v>540</v>
      </c>
      <c r="C321" s="467" t="s">
        <v>670</v>
      </c>
      <c r="D321" s="139" t="s">
        <v>421</v>
      </c>
      <c r="E321" s="778" t="s">
        <v>18</v>
      </c>
      <c r="F321" s="249"/>
      <c r="G321" s="315"/>
      <c r="H321" s="291" t="s">
        <v>162</v>
      </c>
      <c r="I321" s="250">
        <v>42</v>
      </c>
      <c r="J321" s="251">
        <v>7</v>
      </c>
      <c r="K321" s="252">
        <v>23.148</v>
      </c>
      <c r="L321" s="253">
        <v>82</v>
      </c>
      <c r="M321" s="251">
        <v>30</v>
      </c>
      <c r="N321" s="252">
        <v>57.775</v>
      </c>
      <c r="O321" s="249" t="s">
        <v>75</v>
      </c>
      <c r="P321" s="250">
        <v>42</v>
      </c>
      <c r="Q321" s="251">
        <v>7</v>
      </c>
      <c r="R321" s="252">
        <v>16.186</v>
      </c>
      <c r="S321" s="253">
        <v>82</v>
      </c>
      <c r="T321" s="251">
        <v>30</v>
      </c>
      <c r="U321" s="252">
        <v>58.095999999999997</v>
      </c>
      <c r="V321" s="248">
        <v>4</v>
      </c>
      <c r="W321" s="550">
        <v>705.28</v>
      </c>
      <c r="X321" s="254">
        <v>1990</v>
      </c>
      <c r="Y321" s="249"/>
      <c r="Z321" s="255" t="s">
        <v>14</v>
      </c>
      <c r="AA321" s="248" t="s">
        <v>15</v>
      </c>
      <c r="AB321" s="256">
        <f t="shared" si="41"/>
        <v>12737.356799999998</v>
      </c>
      <c r="AC321" s="257">
        <f t="shared" si="46"/>
        <v>0.52</v>
      </c>
      <c r="AD321" s="256">
        <f t="shared" si="42"/>
        <v>6113.93</v>
      </c>
      <c r="AE321" s="258">
        <f t="shared" si="43"/>
        <v>0</v>
      </c>
      <c r="AF321" s="401">
        <f t="shared" si="44"/>
        <v>0</v>
      </c>
      <c r="AG321" s="418">
        <f t="shared" si="48"/>
        <v>6113.93</v>
      </c>
      <c r="AH321" s="519">
        <f t="shared" si="47"/>
        <v>6113</v>
      </c>
      <c r="AI321" s="1044">
        <v>2.64</v>
      </c>
      <c r="AJ321" s="1044">
        <v>27.30</v>
      </c>
      <c r="AK321" s="1044">
        <v>10.59</v>
      </c>
    </row>
    <row r="322" spans="1:37" ht="12.7">
      <c r="A322" s="47" t="s">
        <v>11</v>
      </c>
      <c r="B322" s="23" t="s">
        <v>540</v>
      </c>
      <c r="C322" s="467" t="s">
        <v>670</v>
      </c>
      <c r="D322" s="139" t="s">
        <v>421</v>
      </c>
      <c r="E322" s="779" t="s">
        <v>18</v>
      </c>
      <c r="F322" s="294"/>
      <c r="G322" s="316"/>
      <c r="H322" s="295" t="s">
        <v>75</v>
      </c>
      <c r="I322" s="296">
        <v>42</v>
      </c>
      <c r="J322" s="297">
        <v>7</v>
      </c>
      <c r="K322" s="298">
        <v>16.186</v>
      </c>
      <c r="L322" s="299">
        <v>82</v>
      </c>
      <c r="M322" s="297">
        <v>30</v>
      </c>
      <c r="N322" s="298">
        <v>58.095999999999997</v>
      </c>
      <c r="O322" s="294" t="s">
        <v>163</v>
      </c>
      <c r="P322" s="296">
        <v>42</v>
      </c>
      <c r="Q322" s="297">
        <v>7</v>
      </c>
      <c r="R322" s="298">
        <v>12.106999999999999</v>
      </c>
      <c r="S322" s="299">
        <v>82</v>
      </c>
      <c r="T322" s="297">
        <v>30</v>
      </c>
      <c r="U322" s="298">
        <v>57.598999999999997</v>
      </c>
      <c r="V322" s="293">
        <v>4</v>
      </c>
      <c r="W322" s="551">
        <v>459.81</v>
      </c>
      <c r="X322" s="301">
        <v>1990</v>
      </c>
      <c r="Y322" s="294"/>
      <c r="Z322" s="302" t="s">
        <v>14</v>
      </c>
      <c r="AA322" s="293" t="s">
        <v>15</v>
      </c>
      <c r="AB322" s="303">
        <f t="shared" si="41"/>
        <v>8304.1685999999991</v>
      </c>
      <c r="AC322" s="304">
        <f t="shared" si="46"/>
        <v>0.52</v>
      </c>
      <c r="AD322" s="303">
        <f t="shared" si="42"/>
        <v>3986</v>
      </c>
      <c r="AE322" s="305">
        <f t="shared" si="43"/>
        <v>0</v>
      </c>
      <c r="AF322" s="402">
        <f t="shared" si="44"/>
        <v>0</v>
      </c>
      <c r="AG322" s="438">
        <f t="shared" si="48"/>
        <v>3986</v>
      </c>
      <c r="AH322" s="521">
        <f t="shared" si="47"/>
        <v>3986</v>
      </c>
      <c r="AI322" s="1044"/>
      <c r="AJ322" s="1044"/>
      <c r="AK322" s="1044"/>
    </row>
    <row r="323" spans="1:37" s="99" customFormat="1" ht="12.7">
      <c r="A323" s="97" t="s">
        <v>11</v>
      </c>
      <c r="B323" s="98" t="s">
        <v>540</v>
      </c>
      <c r="C323" s="467" t="s">
        <v>670</v>
      </c>
      <c r="D323" s="330" t="s">
        <v>421</v>
      </c>
      <c r="E323" s="769" t="s">
        <v>18</v>
      </c>
      <c r="F323" s="204"/>
      <c r="G323" s="310" t="s">
        <v>281</v>
      </c>
      <c r="H323" s="246" t="s">
        <v>163</v>
      </c>
      <c r="I323" s="206">
        <v>42</v>
      </c>
      <c r="J323" s="207">
        <v>7</v>
      </c>
      <c r="K323" s="208">
        <v>12.106999999999999</v>
      </c>
      <c r="L323" s="209">
        <v>82</v>
      </c>
      <c r="M323" s="207">
        <v>30</v>
      </c>
      <c r="N323" s="208">
        <v>57.598999999999997</v>
      </c>
      <c r="O323" s="204" t="s">
        <v>164</v>
      </c>
      <c r="P323" s="206">
        <v>42</v>
      </c>
      <c r="Q323" s="207">
        <v>7</v>
      </c>
      <c r="R323" s="208">
        <v>11.615</v>
      </c>
      <c r="S323" s="209">
        <v>82</v>
      </c>
      <c r="T323" s="207">
        <v>30</v>
      </c>
      <c r="U323" s="208">
        <v>46.015999999999998</v>
      </c>
      <c r="V323" s="210">
        <v>4</v>
      </c>
      <c r="W323" s="543">
        <v>883.75</v>
      </c>
      <c r="X323" s="211">
        <v>1990</v>
      </c>
      <c r="Y323" s="204"/>
      <c r="Z323" s="212" t="s">
        <v>14</v>
      </c>
      <c r="AA323" s="210" t="s">
        <v>15</v>
      </c>
      <c r="AB323" s="213">
        <f t="shared" si="49" ref="AB323:AB371">IF(G323="ABAND",0,(IF(AA323="steel",VLOOKUP(V323,steelrates,2,FALSE)*W323,VLOOKUP(V323,plasticrates,2,FALSE)*W323)))</f>
        <v>0</v>
      </c>
      <c r="AC323" s="214">
        <f t="shared" si="46"/>
        <v>0.52</v>
      </c>
      <c r="AD323" s="213">
        <f t="shared" si="50" ref="AD323:AD386">ROUND(+AB323-(+AB323*AC323),2)</f>
        <v>0</v>
      </c>
      <c r="AE323" s="215">
        <f t="shared" si="51" ref="AE323:AE386">(IF(Y323="LOOP",AD323*0.25,0))</f>
        <v>0</v>
      </c>
      <c r="AF323" s="216">
        <f t="shared" si="52" ref="AF323:AF386">(IF(G323="SUSP",AD323*0.2,0))</f>
        <v>0</v>
      </c>
      <c r="AG323" s="260">
        <f t="shared" si="48"/>
        <v>0</v>
      </c>
      <c r="AH323" s="522">
        <f t="shared" si="47"/>
        <v>0</v>
      </c>
      <c r="AI323" s="197"/>
      <c r="AJ323" s="197"/>
      <c r="AK323" s="197"/>
    </row>
    <row r="324" spans="1:37" ht="12.7">
      <c r="A324" s="47" t="s">
        <v>11</v>
      </c>
      <c r="B324" s="23" t="s">
        <v>540</v>
      </c>
      <c r="C324" s="467" t="s">
        <v>670</v>
      </c>
      <c r="D324" s="139" t="s">
        <v>421</v>
      </c>
      <c r="E324" s="769" t="s">
        <v>18</v>
      </c>
      <c r="F324" s="204"/>
      <c r="G324" s="310"/>
      <c r="H324" s="246" t="s">
        <v>78</v>
      </c>
      <c r="I324" s="206">
        <v>42</v>
      </c>
      <c r="J324" s="207">
        <v>7</v>
      </c>
      <c r="K324" s="208">
        <v>14.804</v>
      </c>
      <c r="L324" s="209">
        <v>82</v>
      </c>
      <c r="M324" s="207">
        <v>30</v>
      </c>
      <c r="N324" s="208">
        <v>45.331000000000003</v>
      </c>
      <c r="O324" s="204" t="s">
        <v>165</v>
      </c>
      <c r="P324" s="206">
        <v>42</v>
      </c>
      <c r="Q324" s="207">
        <v>7</v>
      </c>
      <c r="R324" s="208">
        <v>10.263</v>
      </c>
      <c r="S324" s="209">
        <v>82</v>
      </c>
      <c r="T324" s="207">
        <v>30</v>
      </c>
      <c r="U324" s="208">
        <v>46.151000000000003</v>
      </c>
      <c r="V324" s="210">
        <v>4</v>
      </c>
      <c r="W324" s="543">
        <v>474.10</v>
      </c>
      <c r="X324" s="211">
        <v>1990</v>
      </c>
      <c r="Y324" s="204"/>
      <c r="Z324" s="212" t="s">
        <v>14</v>
      </c>
      <c r="AA324" s="210" t="s">
        <v>15</v>
      </c>
      <c r="AB324" s="213">
        <f t="shared" si="49"/>
        <v>8562.2459999999992</v>
      </c>
      <c r="AC324" s="214">
        <f t="shared" si="46"/>
        <v>0.52</v>
      </c>
      <c r="AD324" s="213">
        <f t="shared" si="50"/>
        <v>4109.88</v>
      </c>
      <c r="AE324" s="215">
        <f t="shared" si="51"/>
        <v>0</v>
      </c>
      <c r="AF324" s="216">
        <f t="shared" si="52"/>
        <v>0</v>
      </c>
      <c r="AG324" s="260">
        <f t="shared" si="48"/>
        <v>4109.88</v>
      </c>
      <c r="AH324" s="522">
        <f t="shared" si="47"/>
        <v>4109</v>
      </c>
      <c r="AI324" s="1061" t="s">
        <v>624</v>
      </c>
      <c r="AJ324" s="1062"/>
      <c r="AK324" s="1063"/>
    </row>
    <row r="325" spans="1:37" ht="12.7">
      <c r="A325" s="47" t="s">
        <v>11</v>
      </c>
      <c r="B325" s="23" t="s">
        <v>540</v>
      </c>
      <c r="C325" s="467" t="s">
        <v>670</v>
      </c>
      <c r="D325" s="139" t="s">
        <v>421</v>
      </c>
      <c r="E325" s="773" t="s">
        <v>18</v>
      </c>
      <c r="F325" s="150"/>
      <c r="G325" s="182" t="s">
        <v>281</v>
      </c>
      <c r="H325" s="560" t="s">
        <v>78</v>
      </c>
      <c r="I325" s="556">
        <v>42</v>
      </c>
      <c r="J325" s="557">
        <v>7</v>
      </c>
      <c r="K325" s="558">
        <v>15</v>
      </c>
      <c r="L325" s="559">
        <v>82</v>
      </c>
      <c r="M325" s="557">
        <v>30</v>
      </c>
      <c r="N325" s="558">
        <v>44</v>
      </c>
      <c r="O325" s="150" t="s">
        <v>417</v>
      </c>
      <c r="P325" s="556">
        <v>42</v>
      </c>
      <c r="Q325" s="557">
        <v>7</v>
      </c>
      <c r="R325" s="558">
        <v>21</v>
      </c>
      <c r="S325" s="559">
        <v>82</v>
      </c>
      <c r="T325" s="557">
        <v>30</v>
      </c>
      <c r="U325" s="558">
        <v>46</v>
      </c>
      <c r="V325" s="151">
        <v>4</v>
      </c>
      <c r="W325" s="542">
        <v>613</v>
      </c>
      <c r="X325" s="152">
        <v>2002</v>
      </c>
      <c r="Y325" s="150"/>
      <c r="Z325" s="153" t="s">
        <v>14</v>
      </c>
      <c r="AA325" s="151" t="s">
        <v>15</v>
      </c>
      <c r="AB325" s="154">
        <f t="shared" si="49"/>
        <v>0</v>
      </c>
      <c r="AC325" s="155">
        <f t="shared" si="53" ref="AC325:AC356">IF(X325=0,0,(VLOOKUP(X325,depreciation,2,)))</f>
        <v>0.30</v>
      </c>
      <c r="AD325" s="154">
        <f t="shared" si="50"/>
        <v>0</v>
      </c>
      <c r="AE325" s="156">
        <f t="shared" si="51"/>
        <v>0</v>
      </c>
      <c r="AF325" s="186">
        <f t="shared" si="52"/>
        <v>0</v>
      </c>
      <c r="AG325" s="423">
        <f t="shared" si="48"/>
        <v>0</v>
      </c>
      <c r="AH325" s="516">
        <f t="shared" si="47"/>
        <v>0</v>
      </c>
      <c r="AI325" s="217"/>
      <c r="AJ325" s="217"/>
      <c r="AK325" s="217"/>
    </row>
    <row r="326" spans="1:37" ht="12.7">
      <c r="A326" s="47" t="s">
        <v>11</v>
      </c>
      <c r="B326" s="23" t="s">
        <v>540</v>
      </c>
      <c r="C326" s="467" t="s">
        <v>670</v>
      </c>
      <c r="D326" s="139" t="s">
        <v>421</v>
      </c>
      <c r="E326" s="760" t="s">
        <v>18</v>
      </c>
      <c r="F326" s="23"/>
      <c r="G326" s="138"/>
      <c r="H326" s="37" t="s">
        <v>165</v>
      </c>
      <c r="I326" s="33">
        <v>42</v>
      </c>
      <c r="J326" s="34">
        <v>7</v>
      </c>
      <c r="K326" s="35">
        <v>10.263</v>
      </c>
      <c r="L326" s="22">
        <v>82</v>
      </c>
      <c r="M326" s="34">
        <v>30</v>
      </c>
      <c r="N326" s="35">
        <v>46.151000000000003</v>
      </c>
      <c r="O326" s="23" t="s">
        <v>166</v>
      </c>
      <c r="P326" s="33">
        <v>42</v>
      </c>
      <c r="Q326" s="34">
        <v>7</v>
      </c>
      <c r="R326" s="35">
        <v>8.1790000000000003</v>
      </c>
      <c r="S326" s="22">
        <v>82</v>
      </c>
      <c r="T326" s="34">
        <v>29</v>
      </c>
      <c r="U326" s="35">
        <v>41.643000000000001</v>
      </c>
      <c r="V326" s="25">
        <v>4</v>
      </c>
      <c r="W326" s="538">
        <v>4946.24</v>
      </c>
      <c r="X326" s="45">
        <v>1990</v>
      </c>
      <c r="Y326" s="23"/>
      <c r="Z326" s="46" t="s">
        <v>14</v>
      </c>
      <c r="AA326" s="25" t="s">
        <v>15</v>
      </c>
      <c r="AB326" s="39">
        <f t="shared" si="49"/>
        <v>89329.094399999987</v>
      </c>
      <c r="AC326" s="40">
        <f t="shared" si="53"/>
        <v>0.52</v>
      </c>
      <c r="AD326" s="39">
        <f t="shared" si="50"/>
        <v>42877.97</v>
      </c>
      <c r="AE326" s="79">
        <f t="shared" si="51"/>
        <v>0</v>
      </c>
      <c r="AF326" s="185">
        <f t="shared" si="52"/>
        <v>0</v>
      </c>
      <c r="AG326" s="423">
        <f t="shared" si="48"/>
        <v>42877.97</v>
      </c>
      <c r="AH326" s="516">
        <f t="shared" si="47"/>
        <v>42877</v>
      </c>
      <c r="AI326" s="1068" t="s">
        <v>624</v>
      </c>
      <c r="AJ326" s="1050"/>
      <c r="AK326" s="1051"/>
    </row>
    <row r="327" spans="1:37" ht="12.7">
      <c r="A327" s="47" t="s">
        <v>11</v>
      </c>
      <c r="B327" s="23" t="s">
        <v>540</v>
      </c>
      <c r="C327" s="467" t="s">
        <v>670</v>
      </c>
      <c r="D327" s="139" t="s">
        <v>421</v>
      </c>
      <c r="E327" s="760" t="s">
        <v>18</v>
      </c>
      <c r="F327" s="23"/>
      <c r="G327" s="138"/>
      <c r="H327" s="37" t="s">
        <v>166</v>
      </c>
      <c r="I327" s="33">
        <v>42</v>
      </c>
      <c r="J327" s="34">
        <v>7</v>
      </c>
      <c r="K327" s="35">
        <v>8.1790000000000003</v>
      </c>
      <c r="L327" s="22">
        <v>82</v>
      </c>
      <c r="M327" s="34">
        <v>29</v>
      </c>
      <c r="N327" s="35">
        <v>41.643000000000001</v>
      </c>
      <c r="O327" s="23" t="s">
        <v>167</v>
      </c>
      <c r="P327" s="33">
        <v>42</v>
      </c>
      <c r="Q327" s="34">
        <v>7</v>
      </c>
      <c r="R327" s="35">
        <v>1.516</v>
      </c>
      <c r="S327" s="22">
        <v>82</v>
      </c>
      <c r="T327" s="34">
        <v>29</v>
      </c>
      <c r="U327" s="35">
        <v>43.908000000000001</v>
      </c>
      <c r="V327" s="25">
        <v>4</v>
      </c>
      <c r="W327" s="538">
        <v>760.71</v>
      </c>
      <c r="X327" s="45">
        <v>1990</v>
      </c>
      <c r="Y327" s="23"/>
      <c r="Z327" s="46" t="s">
        <v>14</v>
      </c>
      <c r="AA327" s="25" t="s">
        <v>15</v>
      </c>
      <c r="AB327" s="39">
        <f t="shared" si="49"/>
        <v>13738.4226</v>
      </c>
      <c r="AC327" s="40">
        <f t="shared" si="53"/>
        <v>0.52</v>
      </c>
      <c r="AD327" s="39">
        <f t="shared" si="50"/>
        <v>6594.44</v>
      </c>
      <c r="AE327" s="79">
        <f t="shared" si="51"/>
        <v>0</v>
      </c>
      <c r="AF327" s="185">
        <f t="shared" si="52"/>
        <v>0</v>
      </c>
      <c r="AG327" s="423">
        <f t="shared" si="48"/>
        <v>6594.44</v>
      </c>
      <c r="AH327" s="516">
        <f t="shared" si="47"/>
        <v>6594</v>
      </c>
      <c r="AI327" s="1055"/>
      <c r="AJ327" s="1056"/>
      <c r="AK327" s="1057"/>
    </row>
    <row r="328" spans="1:37" s="122" customFormat="1" ht="12.7">
      <c r="A328" s="566" t="s">
        <v>11</v>
      </c>
      <c r="B328" s="567" t="s">
        <v>540</v>
      </c>
      <c r="C328" s="624" t="s">
        <v>670</v>
      </c>
      <c r="D328" s="729" t="s">
        <v>421</v>
      </c>
      <c r="E328" s="765" t="s">
        <v>18</v>
      </c>
      <c r="F328" s="570" t="s">
        <v>674</v>
      </c>
      <c r="G328" s="608" t="s">
        <v>281</v>
      </c>
      <c r="H328" s="625" t="s">
        <v>167</v>
      </c>
      <c r="I328" s="590">
        <v>42</v>
      </c>
      <c r="J328" s="591">
        <v>7</v>
      </c>
      <c r="K328" s="592">
        <v>1.516</v>
      </c>
      <c r="L328" s="593">
        <v>82</v>
      </c>
      <c r="M328" s="591">
        <v>29</v>
      </c>
      <c r="N328" s="592">
        <v>43.908000000000001</v>
      </c>
      <c r="O328" s="567" t="s">
        <v>85</v>
      </c>
      <c r="P328" s="590">
        <v>42</v>
      </c>
      <c r="Q328" s="591">
        <v>6</v>
      </c>
      <c r="R328" s="592">
        <v>59.298999999999999</v>
      </c>
      <c r="S328" s="593">
        <v>82</v>
      </c>
      <c r="T328" s="591">
        <v>29</v>
      </c>
      <c r="U328" s="592">
        <v>24.611999999999998</v>
      </c>
      <c r="V328" s="570">
        <v>4</v>
      </c>
      <c r="W328" s="598">
        <v>1383.50</v>
      </c>
      <c r="X328" s="599">
        <v>1990</v>
      </c>
      <c r="Y328" s="567"/>
      <c r="Z328" s="600" t="s">
        <v>14</v>
      </c>
      <c r="AA328" s="570" t="s">
        <v>15</v>
      </c>
      <c r="AB328" s="601"/>
      <c r="AC328" s="602">
        <f t="shared" si="53"/>
        <v>0.52</v>
      </c>
      <c r="AD328" s="601">
        <f t="shared" si="50"/>
        <v>0</v>
      </c>
      <c r="AE328" s="603">
        <f t="shared" si="51"/>
        <v>0</v>
      </c>
      <c r="AF328" s="604">
        <f t="shared" si="52"/>
        <v>0</v>
      </c>
      <c r="AG328" s="588">
        <f t="shared" si="48"/>
        <v>0</v>
      </c>
      <c r="AH328" s="589">
        <f t="shared" si="47"/>
        <v>0</v>
      </c>
      <c r="AI328" s="197"/>
      <c r="AJ328" s="197"/>
      <c r="AK328" s="197"/>
    </row>
    <row r="329" spans="1:37" s="122" customFormat="1" ht="12.7">
      <c r="A329" s="566" t="s">
        <v>11</v>
      </c>
      <c r="B329" s="567" t="s">
        <v>540</v>
      </c>
      <c r="C329" s="624" t="s">
        <v>670</v>
      </c>
      <c r="D329" s="729" t="s">
        <v>421</v>
      </c>
      <c r="E329" s="765" t="s">
        <v>18</v>
      </c>
      <c r="F329" s="570" t="s">
        <v>674</v>
      </c>
      <c r="G329" s="608" t="s">
        <v>281</v>
      </c>
      <c r="H329" s="625" t="s">
        <v>167</v>
      </c>
      <c r="I329" s="590">
        <v>42</v>
      </c>
      <c r="J329" s="591">
        <v>7</v>
      </c>
      <c r="K329" s="592">
        <v>1.516</v>
      </c>
      <c r="L329" s="593">
        <v>82</v>
      </c>
      <c r="M329" s="591">
        <v>29</v>
      </c>
      <c r="N329" s="592">
        <v>43.908000000000001</v>
      </c>
      <c r="O329" s="567" t="s">
        <v>85</v>
      </c>
      <c r="P329" s="590">
        <v>42</v>
      </c>
      <c r="Q329" s="591">
        <v>6</v>
      </c>
      <c r="R329" s="592">
        <v>59.298999999999999</v>
      </c>
      <c r="S329" s="593">
        <v>82</v>
      </c>
      <c r="T329" s="591">
        <v>29</v>
      </c>
      <c r="U329" s="592">
        <v>24.611999999999998</v>
      </c>
      <c r="V329" s="570">
        <v>4</v>
      </c>
      <c r="W329" s="598">
        <v>1383.50</v>
      </c>
      <c r="X329" s="599">
        <v>1990</v>
      </c>
      <c r="Y329" s="567"/>
      <c r="Z329" s="600" t="s">
        <v>14</v>
      </c>
      <c r="AA329" s="570" t="s">
        <v>15</v>
      </c>
      <c r="AB329" s="601"/>
      <c r="AC329" s="602">
        <f t="shared" si="53"/>
        <v>0.52</v>
      </c>
      <c r="AD329" s="601">
        <f t="shared" si="50"/>
        <v>0</v>
      </c>
      <c r="AE329" s="603">
        <f t="shared" si="51"/>
        <v>0</v>
      </c>
      <c r="AF329" s="604">
        <f t="shared" si="52"/>
        <v>0</v>
      </c>
      <c r="AG329" s="588">
        <f t="shared" si="48"/>
        <v>0</v>
      </c>
      <c r="AH329" s="589">
        <f t="shared" si="47"/>
        <v>0</v>
      </c>
      <c r="AI329" s="197"/>
      <c r="AJ329" s="197"/>
      <c r="AK329" s="197"/>
    </row>
    <row r="330" spans="1:37" ht="12.7">
      <c r="A330" s="47" t="s">
        <v>11</v>
      </c>
      <c r="B330" s="23" t="s">
        <v>540</v>
      </c>
      <c r="C330" s="467" t="s">
        <v>670</v>
      </c>
      <c r="D330" s="139" t="s">
        <v>421</v>
      </c>
      <c r="E330" s="760" t="s">
        <v>18</v>
      </c>
      <c r="F330" s="23"/>
      <c r="G330" s="138"/>
      <c r="H330" s="37" t="s">
        <v>85</v>
      </c>
      <c r="I330" s="33">
        <v>42</v>
      </c>
      <c r="J330" s="34">
        <v>6</v>
      </c>
      <c r="K330" s="35">
        <v>59.298999999999999</v>
      </c>
      <c r="L330" s="22">
        <v>82</v>
      </c>
      <c r="M330" s="34">
        <v>29</v>
      </c>
      <c r="N330" s="35">
        <v>24.611999999999998</v>
      </c>
      <c r="O330" s="23" t="s">
        <v>87</v>
      </c>
      <c r="P330" s="33">
        <v>42</v>
      </c>
      <c r="Q330" s="34">
        <v>6</v>
      </c>
      <c r="R330" s="35">
        <v>52.710999999999999</v>
      </c>
      <c r="S330" s="22">
        <v>82</v>
      </c>
      <c r="T330" s="34">
        <v>29</v>
      </c>
      <c r="U330" s="35">
        <v>9.11</v>
      </c>
      <c r="V330" s="25">
        <v>4</v>
      </c>
      <c r="W330" s="538">
        <v>11368.40</v>
      </c>
      <c r="X330" s="45">
        <v>1990</v>
      </c>
      <c r="Y330" s="23"/>
      <c r="Z330" s="46" t="s">
        <v>14</v>
      </c>
      <c r="AA330" s="25" t="s">
        <v>15</v>
      </c>
      <c r="AB330" s="39">
        <f t="shared" si="49"/>
        <v>205313.30399999997</v>
      </c>
      <c r="AC330" s="40">
        <f t="shared" si="53"/>
        <v>0.52</v>
      </c>
      <c r="AD330" s="39">
        <f t="shared" si="50"/>
        <v>98550.39</v>
      </c>
      <c r="AE330" s="79">
        <f t="shared" si="51"/>
        <v>0</v>
      </c>
      <c r="AF330" s="185">
        <f t="shared" si="52"/>
        <v>0</v>
      </c>
      <c r="AG330" s="423">
        <f t="shared" si="48"/>
        <v>98550.39</v>
      </c>
      <c r="AH330" s="516">
        <f t="shared" si="47"/>
        <v>98550</v>
      </c>
      <c r="AI330" s="1068" t="s">
        <v>624</v>
      </c>
      <c r="AJ330" s="1050"/>
      <c r="AK330" s="1051"/>
    </row>
    <row r="331" spans="1:37" ht="12.7">
      <c r="A331" s="47" t="s">
        <v>11</v>
      </c>
      <c r="B331" s="23" t="s">
        <v>540</v>
      </c>
      <c r="C331" s="467" t="s">
        <v>670</v>
      </c>
      <c r="D331" s="139" t="s">
        <v>421</v>
      </c>
      <c r="E331" s="760" t="s">
        <v>18</v>
      </c>
      <c r="F331" s="23"/>
      <c r="G331" s="138"/>
      <c r="H331" s="37" t="s">
        <v>85</v>
      </c>
      <c r="I331" s="33">
        <v>42</v>
      </c>
      <c r="J331" s="34">
        <v>6</v>
      </c>
      <c r="K331" s="35">
        <v>59.298999999999999</v>
      </c>
      <c r="L331" s="22">
        <v>82</v>
      </c>
      <c r="M331" s="34">
        <v>29</v>
      </c>
      <c r="N331" s="35">
        <v>24.611999999999998</v>
      </c>
      <c r="O331" s="23" t="s">
        <v>87</v>
      </c>
      <c r="P331" s="33">
        <v>42</v>
      </c>
      <c r="Q331" s="34">
        <v>6</v>
      </c>
      <c r="R331" s="35">
        <v>52.710999999999999</v>
      </c>
      <c r="S331" s="22">
        <v>82</v>
      </c>
      <c r="T331" s="34">
        <v>29</v>
      </c>
      <c r="U331" s="35">
        <v>9.11</v>
      </c>
      <c r="V331" s="25">
        <v>4</v>
      </c>
      <c r="W331" s="538">
        <v>1368.40</v>
      </c>
      <c r="X331" s="45">
        <v>1990</v>
      </c>
      <c r="Y331" s="23"/>
      <c r="Z331" s="46" t="s">
        <v>14</v>
      </c>
      <c r="AA331" s="25" t="s">
        <v>15</v>
      </c>
      <c r="AB331" s="39">
        <f t="shared" si="49"/>
        <v>24713.304</v>
      </c>
      <c r="AC331" s="40">
        <f t="shared" si="53"/>
        <v>0.52</v>
      </c>
      <c r="AD331" s="39">
        <f t="shared" si="50"/>
        <v>11862.39</v>
      </c>
      <c r="AE331" s="79">
        <f t="shared" si="51"/>
        <v>0</v>
      </c>
      <c r="AF331" s="185">
        <f t="shared" si="52"/>
        <v>0</v>
      </c>
      <c r="AG331" s="423">
        <f t="shared" si="48"/>
        <v>11862.39</v>
      </c>
      <c r="AH331" s="516">
        <f t="shared" si="47"/>
        <v>11862</v>
      </c>
      <c r="AI331" s="1052"/>
      <c r="AJ331" s="1053"/>
      <c r="AK331" s="1054"/>
    </row>
    <row r="332" spans="1:37" ht="12.7">
      <c r="A332" s="47" t="s">
        <v>11</v>
      </c>
      <c r="B332" s="23" t="s">
        <v>540</v>
      </c>
      <c r="C332" s="467" t="s">
        <v>670</v>
      </c>
      <c r="D332" s="139" t="s">
        <v>421</v>
      </c>
      <c r="E332" s="760" t="s">
        <v>18</v>
      </c>
      <c r="F332" s="23"/>
      <c r="G332" s="138"/>
      <c r="H332" s="37" t="s">
        <v>87</v>
      </c>
      <c r="I332" s="33">
        <v>42</v>
      </c>
      <c r="J332" s="34">
        <v>6</v>
      </c>
      <c r="K332" s="35">
        <v>52.710999999999999</v>
      </c>
      <c r="L332" s="22">
        <v>82</v>
      </c>
      <c r="M332" s="34">
        <v>29</v>
      </c>
      <c r="N332" s="35">
        <v>9.11</v>
      </c>
      <c r="O332" s="23" t="s">
        <v>168</v>
      </c>
      <c r="P332" s="33">
        <v>42</v>
      </c>
      <c r="Q332" s="34">
        <v>6</v>
      </c>
      <c r="R332" s="35">
        <v>47.485</v>
      </c>
      <c r="S332" s="22">
        <v>82</v>
      </c>
      <c r="T332" s="34">
        <v>29</v>
      </c>
      <c r="U332" s="35">
        <v>4.68</v>
      </c>
      <c r="V332" s="25">
        <v>4</v>
      </c>
      <c r="W332" s="538">
        <v>522.50</v>
      </c>
      <c r="X332" s="45">
        <v>1990</v>
      </c>
      <c r="Y332" s="23"/>
      <c r="Z332" s="46" t="s">
        <v>14</v>
      </c>
      <c r="AA332" s="25" t="s">
        <v>15</v>
      </c>
      <c r="AB332" s="39">
        <f t="shared" si="49"/>
        <v>9436.3499999999985</v>
      </c>
      <c r="AC332" s="40">
        <f t="shared" si="53"/>
        <v>0.52</v>
      </c>
      <c r="AD332" s="39">
        <f t="shared" si="50"/>
        <v>4529.45</v>
      </c>
      <c r="AE332" s="79">
        <f t="shared" si="51"/>
        <v>0</v>
      </c>
      <c r="AF332" s="185">
        <f t="shared" si="52"/>
        <v>0</v>
      </c>
      <c r="AG332" s="423">
        <f t="shared" si="48"/>
        <v>4529.45</v>
      </c>
      <c r="AH332" s="516">
        <f t="shared" si="47"/>
        <v>4529</v>
      </c>
      <c r="AI332" s="1052"/>
      <c r="AJ332" s="1053"/>
      <c r="AK332" s="1054"/>
    </row>
    <row r="333" spans="1:37" ht="12.7">
      <c r="A333" s="47" t="s">
        <v>11</v>
      </c>
      <c r="B333" s="23" t="s">
        <v>540</v>
      </c>
      <c r="C333" s="467" t="s">
        <v>670</v>
      </c>
      <c r="D333" s="139" t="s">
        <v>421</v>
      </c>
      <c r="E333" s="760" t="s">
        <v>18</v>
      </c>
      <c r="F333" s="23"/>
      <c r="G333" s="138"/>
      <c r="H333" s="37" t="s">
        <v>87</v>
      </c>
      <c r="I333" s="33">
        <v>42</v>
      </c>
      <c r="J333" s="34">
        <v>6</v>
      </c>
      <c r="K333" s="35">
        <v>52.710999999999999</v>
      </c>
      <c r="L333" s="22">
        <v>82</v>
      </c>
      <c r="M333" s="34">
        <v>29</v>
      </c>
      <c r="N333" s="35">
        <v>9.11</v>
      </c>
      <c r="O333" s="23" t="s">
        <v>168</v>
      </c>
      <c r="P333" s="33">
        <v>42</v>
      </c>
      <c r="Q333" s="34">
        <v>6</v>
      </c>
      <c r="R333" s="35">
        <v>47.485</v>
      </c>
      <c r="S333" s="22">
        <v>82</v>
      </c>
      <c r="T333" s="34">
        <v>29</v>
      </c>
      <c r="U333" s="35">
        <v>4.68</v>
      </c>
      <c r="V333" s="25">
        <v>4</v>
      </c>
      <c r="W333" s="538">
        <v>522.50</v>
      </c>
      <c r="X333" s="45">
        <v>1990</v>
      </c>
      <c r="Y333" s="23"/>
      <c r="Z333" s="46" t="s">
        <v>14</v>
      </c>
      <c r="AA333" s="25" t="s">
        <v>15</v>
      </c>
      <c r="AB333" s="39">
        <f t="shared" si="49"/>
        <v>9436.3499999999985</v>
      </c>
      <c r="AC333" s="40">
        <f t="shared" si="53"/>
        <v>0.52</v>
      </c>
      <c r="AD333" s="39">
        <f t="shared" si="50"/>
        <v>4529.45</v>
      </c>
      <c r="AE333" s="79">
        <f t="shared" si="51"/>
        <v>0</v>
      </c>
      <c r="AF333" s="185">
        <f t="shared" si="52"/>
        <v>0</v>
      </c>
      <c r="AG333" s="423">
        <f t="shared" si="48"/>
        <v>4529.45</v>
      </c>
      <c r="AH333" s="516">
        <f t="shared" si="47"/>
        <v>4529</v>
      </c>
      <c r="AI333" s="1052"/>
      <c r="AJ333" s="1053"/>
      <c r="AK333" s="1054"/>
    </row>
    <row r="334" spans="1:37" ht="12.7">
      <c r="A334" s="47" t="s">
        <v>11</v>
      </c>
      <c r="B334" s="23" t="s">
        <v>540</v>
      </c>
      <c r="C334" s="467" t="s">
        <v>670</v>
      </c>
      <c r="D334" s="139" t="s">
        <v>421</v>
      </c>
      <c r="E334" s="760" t="s">
        <v>18</v>
      </c>
      <c r="F334" s="23"/>
      <c r="G334" s="138"/>
      <c r="H334" s="37" t="s">
        <v>168</v>
      </c>
      <c r="I334" s="33">
        <v>42</v>
      </c>
      <c r="J334" s="34">
        <v>6</v>
      </c>
      <c r="K334" s="35">
        <v>47.485</v>
      </c>
      <c r="L334" s="22">
        <v>82</v>
      </c>
      <c r="M334" s="34">
        <v>29</v>
      </c>
      <c r="N334" s="35">
        <v>4.68</v>
      </c>
      <c r="O334" s="23" t="s">
        <v>89</v>
      </c>
      <c r="P334" s="33">
        <v>42</v>
      </c>
      <c r="Q334" s="34">
        <v>6</v>
      </c>
      <c r="R334" s="35">
        <v>48.329000000000001</v>
      </c>
      <c r="S334" s="22">
        <v>82</v>
      </c>
      <c r="T334" s="34">
        <v>28</v>
      </c>
      <c r="U334" s="35">
        <v>55.850999999999999</v>
      </c>
      <c r="V334" s="25">
        <v>4</v>
      </c>
      <c r="W334" s="538">
        <v>558.10</v>
      </c>
      <c r="X334" s="45">
        <v>1990</v>
      </c>
      <c r="Y334" s="23"/>
      <c r="Z334" s="46" t="s">
        <v>14</v>
      </c>
      <c r="AA334" s="25" t="s">
        <v>15</v>
      </c>
      <c r="AB334" s="39">
        <f t="shared" si="49"/>
        <v>10079.286</v>
      </c>
      <c r="AC334" s="40">
        <f t="shared" si="53"/>
        <v>0.52</v>
      </c>
      <c r="AD334" s="39">
        <f t="shared" si="50"/>
        <v>4838.0600000000004</v>
      </c>
      <c r="AE334" s="79">
        <f t="shared" si="51"/>
        <v>0</v>
      </c>
      <c r="AF334" s="185">
        <f t="shared" si="52"/>
        <v>0</v>
      </c>
      <c r="AG334" s="423">
        <f t="shared" si="48"/>
        <v>4838.0600000000004</v>
      </c>
      <c r="AH334" s="516">
        <f t="shared" si="47"/>
        <v>4838</v>
      </c>
      <c r="AI334" s="1052"/>
      <c r="AJ334" s="1053"/>
      <c r="AK334" s="1054"/>
    </row>
    <row r="335" spans="1:37" ht="12.7">
      <c r="A335" s="47" t="s">
        <v>11</v>
      </c>
      <c r="B335" s="23" t="s">
        <v>540</v>
      </c>
      <c r="C335" s="467" t="s">
        <v>670</v>
      </c>
      <c r="D335" s="139" t="s">
        <v>421</v>
      </c>
      <c r="E335" s="760" t="s">
        <v>18</v>
      </c>
      <c r="F335" s="23"/>
      <c r="G335" s="138"/>
      <c r="H335" s="37" t="s">
        <v>168</v>
      </c>
      <c r="I335" s="33">
        <v>42</v>
      </c>
      <c r="J335" s="34">
        <v>6</v>
      </c>
      <c r="K335" s="35">
        <v>47.485</v>
      </c>
      <c r="L335" s="22">
        <v>82</v>
      </c>
      <c r="M335" s="34">
        <v>29</v>
      </c>
      <c r="N335" s="35">
        <v>4.68</v>
      </c>
      <c r="O335" s="23" t="s">
        <v>89</v>
      </c>
      <c r="P335" s="33">
        <v>42</v>
      </c>
      <c r="Q335" s="34">
        <v>6</v>
      </c>
      <c r="R335" s="35">
        <v>48.329000000000001</v>
      </c>
      <c r="S335" s="22">
        <v>82</v>
      </c>
      <c r="T335" s="34">
        <v>28</v>
      </c>
      <c r="U335" s="35">
        <v>55.850999999999999</v>
      </c>
      <c r="V335" s="25">
        <v>4</v>
      </c>
      <c r="W335" s="538">
        <v>558.10</v>
      </c>
      <c r="X335" s="45">
        <v>1990</v>
      </c>
      <c r="Y335" s="23"/>
      <c r="Z335" s="46" t="s">
        <v>14</v>
      </c>
      <c r="AA335" s="25" t="s">
        <v>15</v>
      </c>
      <c r="AB335" s="39">
        <f t="shared" si="49"/>
        <v>10079.286</v>
      </c>
      <c r="AC335" s="40">
        <f t="shared" si="53"/>
        <v>0.52</v>
      </c>
      <c r="AD335" s="39">
        <f t="shared" si="50"/>
        <v>4838.0600000000004</v>
      </c>
      <c r="AE335" s="79">
        <f t="shared" si="51"/>
        <v>0</v>
      </c>
      <c r="AF335" s="185">
        <f t="shared" si="52"/>
        <v>0</v>
      </c>
      <c r="AG335" s="423">
        <f t="shared" si="48"/>
        <v>4838.0600000000004</v>
      </c>
      <c r="AH335" s="516">
        <f t="shared" si="47"/>
        <v>4838</v>
      </c>
      <c r="AI335" s="1052"/>
      <c r="AJ335" s="1053"/>
      <c r="AK335" s="1054"/>
    </row>
    <row r="336" spans="1:37" ht="12.7">
      <c r="A336" s="47" t="s">
        <v>11</v>
      </c>
      <c r="B336" s="23" t="s">
        <v>540</v>
      </c>
      <c r="C336" s="467" t="s">
        <v>670</v>
      </c>
      <c r="D336" s="139" t="s">
        <v>421</v>
      </c>
      <c r="E336" s="760" t="s">
        <v>18</v>
      </c>
      <c r="F336" s="23"/>
      <c r="G336" s="138"/>
      <c r="H336" s="37" t="s">
        <v>89</v>
      </c>
      <c r="I336" s="33">
        <v>42</v>
      </c>
      <c r="J336" s="34">
        <v>6</v>
      </c>
      <c r="K336" s="35">
        <v>48.329000000000001</v>
      </c>
      <c r="L336" s="22">
        <v>82</v>
      </c>
      <c r="M336" s="34">
        <v>28</v>
      </c>
      <c r="N336" s="35">
        <v>55.850999999999999</v>
      </c>
      <c r="O336" s="23" t="s">
        <v>169</v>
      </c>
      <c r="P336" s="33">
        <v>42</v>
      </c>
      <c r="Q336" s="34">
        <v>6</v>
      </c>
      <c r="R336" s="35">
        <v>47.48</v>
      </c>
      <c r="S336" s="22">
        <v>82</v>
      </c>
      <c r="T336" s="34">
        <v>28</v>
      </c>
      <c r="U336" s="35">
        <v>54.082000000000001</v>
      </c>
      <c r="V336" s="25">
        <v>4</v>
      </c>
      <c r="W336" s="538">
        <v>265</v>
      </c>
      <c r="X336" s="45">
        <v>1990</v>
      </c>
      <c r="Y336" s="23"/>
      <c r="Z336" s="46" t="s">
        <v>14</v>
      </c>
      <c r="AA336" s="25" t="s">
        <v>15</v>
      </c>
      <c r="AB336" s="39">
        <f t="shared" si="49"/>
        <v>4785.8999999999996</v>
      </c>
      <c r="AC336" s="40">
        <f t="shared" si="53"/>
        <v>0.52</v>
      </c>
      <c r="AD336" s="39">
        <f t="shared" si="50"/>
        <v>2297.23</v>
      </c>
      <c r="AE336" s="79">
        <f t="shared" si="51"/>
        <v>0</v>
      </c>
      <c r="AF336" s="185">
        <f t="shared" si="52"/>
        <v>0</v>
      </c>
      <c r="AG336" s="423">
        <f t="shared" si="48"/>
        <v>2297.23</v>
      </c>
      <c r="AH336" s="516">
        <f t="shared" si="47"/>
        <v>2297</v>
      </c>
      <c r="AI336" s="1052"/>
      <c r="AJ336" s="1053"/>
      <c r="AK336" s="1054"/>
    </row>
    <row r="337" spans="1:37" ht="12.7">
      <c r="A337" s="47" t="s">
        <v>11</v>
      </c>
      <c r="B337" s="23" t="s">
        <v>540</v>
      </c>
      <c r="C337" s="467" t="s">
        <v>670</v>
      </c>
      <c r="D337" s="139" t="s">
        <v>421</v>
      </c>
      <c r="E337" s="760" t="s">
        <v>18</v>
      </c>
      <c r="F337" s="23"/>
      <c r="G337" s="138"/>
      <c r="H337" s="37" t="s">
        <v>89</v>
      </c>
      <c r="I337" s="33">
        <v>42</v>
      </c>
      <c r="J337" s="34">
        <v>6</v>
      </c>
      <c r="K337" s="35">
        <v>48.329000000000001</v>
      </c>
      <c r="L337" s="22">
        <v>82</v>
      </c>
      <c r="M337" s="34">
        <v>28</v>
      </c>
      <c r="N337" s="35">
        <v>55.850999999999999</v>
      </c>
      <c r="O337" s="23" t="s">
        <v>169</v>
      </c>
      <c r="P337" s="33">
        <v>42</v>
      </c>
      <c r="Q337" s="34">
        <v>6</v>
      </c>
      <c r="R337" s="35">
        <v>47.48</v>
      </c>
      <c r="S337" s="22">
        <v>82</v>
      </c>
      <c r="T337" s="34">
        <v>28</v>
      </c>
      <c r="U337" s="35">
        <v>54.082000000000001</v>
      </c>
      <c r="V337" s="25">
        <v>4</v>
      </c>
      <c r="W337" s="538">
        <v>265</v>
      </c>
      <c r="X337" s="45">
        <v>1990</v>
      </c>
      <c r="Y337" s="23"/>
      <c r="Z337" s="46" t="s">
        <v>14</v>
      </c>
      <c r="AA337" s="25" t="s">
        <v>15</v>
      </c>
      <c r="AB337" s="39">
        <f t="shared" si="49"/>
        <v>4785.8999999999996</v>
      </c>
      <c r="AC337" s="40">
        <f t="shared" si="53"/>
        <v>0.52</v>
      </c>
      <c r="AD337" s="39">
        <f t="shared" si="50"/>
        <v>2297.23</v>
      </c>
      <c r="AE337" s="79">
        <f t="shared" si="51"/>
        <v>0</v>
      </c>
      <c r="AF337" s="185">
        <f t="shared" si="52"/>
        <v>0</v>
      </c>
      <c r="AG337" s="423">
        <f t="shared" si="48"/>
        <v>2297.23</v>
      </c>
      <c r="AH337" s="516">
        <f t="shared" si="47"/>
        <v>2297</v>
      </c>
      <c r="AI337" s="1052"/>
      <c r="AJ337" s="1053"/>
      <c r="AK337" s="1054"/>
    </row>
    <row r="338" spans="1:37" ht="12.7">
      <c r="A338" s="47" t="s">
        <v>11</v>
      </c>
      <c r="B338" s="23" t="s">
        <v>540</v>
      </c>
      <c r="C338" s="467" t="s">
        <v>670</v>
      </c>
      <c r="D338" s="139" t="s">
        <v>421</v>
      </c>
      <c r="E338" s="760" t="s">
        <v>18</v>
      </c>
      <c r="F338" s="23"/>
      <c r="G338" s="138"/>
      <c r="H338" s="37" t="s">
        <v>169</v>
      </c>
      <c r="I338" s="33">
        <v>42</v>
      </c>
      <c r="J338" s="34">
        <v>6</v>
      </c>
      <c r="K338" s="35">
        <v>47.48</v>
      </c>
      <c r="L338" s="22">
        <v>82</v>
      </c>
      <c r="M338" s="34">
        <v>28</v>
      </c>
      <c r="N338" s="35">
        <v>54.082000000000001</v>
      </c>
      <c r="O338" s="23" t="s">
        <v>170</v>
      </c>
      <c r="P338" s="33">
        <v>42</v>
      </c>
      <c r="Q338" s="34">
        <v>6</v>
      </c>
      <c r="R338" s="35">
        <v>41.84</v>
      </c>
      <c r="S338" s="22">
        <v>82</v>
      </c>
      <c r="T338" s="34">
        <v>28</v>
      </c>
      <c r="U338" s="35">
        <v>45.072000000000003</v>
      </c>
      <c r="V338" s="25">
        <v>4</v>
      </c>
      <c r="W338" s="538">
        <v>1155</v>
      </c>
      <c r="X338" s="45">
        <v>1990</v>
      </c>
      <c r="Y338" s="23"/>
      <c r="Z338" s="46" t="s">
        <v>14</v>
      </c>
      <c r="AA338" s="25" t="s">
        <v>15</v>
      </c>
      <c r="AB338" s="39">
        <f t="shared" si="49"/>
        <v>20859.30</v>
      </c>
      <c r="AC338" s="40">
        <f t="shared" si="53"/>
        <v>0.52</v>
      </c>
      <c r="AD338" s="39">
        <f t="shared" si="50"/>
        <v>10012.459999999999</v>
      </c>
      <c r="AE338" s="79">
        <f t="shared" si="51"/>
        <v>0</v>
      </c>
      <c r="AF338" s="185">
        <f t="shared" si="52"/>
        <v>0</v>
      </c>
      <c r="AG338" s="423">
        <f t="shared" si="48"/>
        <v>10012.459999999999</v>
      </c>
      <c r="AH338" s="516">
        <f t="shared" si="47"/>
        <v>10012</v>
      </c>
      <c r="AI338" s="1052"/>
      <c r="AJ338" s="1053"/>
      <c r="AK338" s="1054"/>
    </row>
    <row r="339" spans="1:37" ht="12.7">
      <c r="A339" s="47" t="s">
        <v>11</v>
      </c>
      <c r="B339" s="23" t="s">
        <v>540</v>
      </c>
      <c r="C339" s="467" t="s">
        <v>670</v>
      </c>
      <c r="D339" s="139" t="s">
        <v>421</v>
      </c>
      <c r="E339" s="760" t="s">
        <v>18</v>
      </c>
      <c r="F339" s="23"/>
      <c r="G339" s="138"/>
      <c r="H339" s="37" t="s">
        <v>169</v>
      </c>
      <c r="I339" s="33">
        <v>42</v>
      </c>
      <c r="J339" s="34">
        <v>6</v>
      </c>
      <c r="K339" s="35">
        <v>47.48</v>
      </c>
      <c r="L339" s="22">
        <v>82</v>
      </c>
      <c r="M339" s="34">
        <v>28</v>
      </c>
      <c r="N339" s="35">
        <v>54.082000000000001</v>
      </c>
      <c r="O339" s="23" t="s">
        <v>170</v>
      </c>
      <c r="P339" s="33">
        <v>42</v>
      </c>
      <c r="Q339" s="34">
        <v>6</v>
      </c>
      <c r="R339" s="35">
        <v>41.84</v>
      </c>
      <c r="S339" s="22">
        <v>82</v>
      </c>
      <c r="T339" s="34">
        <v>28</v>
      </c>
      <c r="U339" s="35">
        <v>45.072000000000003</v>
      </c>
      <c r="V339" s="25">
        <v>4</v>
      </c>
      <c r="W339" s="538">
        <v>1155</v>
      </c>
      <c r="X339" s="45">
        <v>1990</v>
      </c>
      <c r="Y339" s="23"/>
      <c r="Z339" s="46" t="s">
        <v>14</v>
      </c>
      <c r="AA339" s="25" t="s">
        <v>15</v>
      </c>
      <c r="AB339" s="39">
        <f t="shared" si="49"/>
        <v>20859.30</v>
      </c>
      <c r="AC339" s="40">
        <f t="shared" si="53"/>
        <v>0.52</v>
      </c>
      <c r="AD339" s="39">
        <f t="shared" si="50"/>
        <v>10012.459999999999</v>
      </c>
      <c r="AE339" s="79">
        <f t="shared" si="51"/>
        <v>0</v>
      </c>
      <c r="AF339" s="185">
        <f t="shared" si="52"/>
        <v>0</v>
      </c>
      <c r="AG339" s="423">
        <f t="shared" si="48"/>
        <v>10012.459999999999</v>
      </c>
      <c r="AH339" s="516">
        <f t="shared" si="47"/>
        <v>10012</v>
      </c>
      <c r="AI339" s="1055"/>
      <c r="AJ339" s="1056"/>
      <c r="AK339" s="1057"/>
    </row>
    <row r="340" spans="1:37" s="122" customFormat="1" ht="12.7">
      <c r="A340" s="566" t="s">
        <v>11</v>
      </c>
      <c r="B340" s="567" t="s">
        <v>540</v>
      </c>
      <c r="C340" s="624" t="s">
        <v>670</v>
      </c>
      <c r="D340" s="729" t="s">
        <v>421</v>
      </c>
      <c r="E340" s="765" t="s">
        <v>18</v>
      </c>
      <c r="F340" s="570" t="s">
        <v>674</v>
      </c>
      <c r="G340" s="608" t="s">
        <v>281</v>
      </c>
      <c r="H340" s="625" t="s">
        <v>170</v>
      </c>
      <c r="I340" s="590">
        <v>42</v>
      </c>
      <c r="J340" s="591">
        <v>6</v>
      </c>
      <c r="K340" s="592">
        <v>41.84</v>
      </c>
      <c r="L340" s="593">
        <v>82</v>
      </c>
      <c r="M340" s="591">
        <v>28</v>
      </c>
      <c r="N340" s="592">
        <v>45.072000000000003</v>
      </c>
      <c r="O340" s="567" t="s">
        <v>92</v>
      </c>
      <c r="P340" s="590">
        <v>42</v>
      </c>
      <c r="Q340" s="591">
        <v>6</v>
      </c>
      <c r="R340" s="592">
        <v>39.93</v>
      </c>
      <c r="S340" s="593">
        <v>82</v>
      </c>
      <c r="T340" s="591">
        <v>28</v>
      </c>
      <c r="U340" s="592">
        <v>32.521000000000001</v>
      </c>
      <c r="V340" s="570">
        <v>4</v>
      </c>
      <c r="W340" s="598">
        <v>453</v>
      </c>
      <c r="X340" s="599">
        <v>1990</v>
      </c>
      <c r="Y340" s="567"/>
      <c r="Z340" s="600" t="s">
        <v>14</v>
      </c>
      <c r="AA340" s="570" t="s">
        <v>15</v>
      </c>
      <c r="AB340" s="601"/>
      <c r="AC340" s="602">
        <f t="shared" si="53"/>
        <v>0.52</v>
      </c>
      <c r="AD340" s="601">
        <f t="shared" si="50"/>
        <v>0</v>
      </c>
      <c r="AE340" s="603">
        <f t="shared" si="51"/>
        <v>0</v>
      </c>
      <c r="AF340" s="604">
        <f t="shared" si="52"/>
        <v>0</v>
      </c>
      <c r="AG340" s="588">
        <f t="shared" si="48"/>
        <v>0</v>
      </c>
      <c r="AH340" s="589">
        <f t="shared" si="47"/>
        <v>0</v>
      </c>
      <c r="AI340" s="197"/>
      <c r="AJ340" s="197"/>
      <c r="AK340" s="197"/>
    </row>
    <row r="341" spans="1:37" s="122" customFormat="1" ht="12.7">
      <c r="A341" s="566" t="s">
        <v>11</v>
      </c>
      <c r="B341" s="567" t="s">
        <v>540</v>
      </c>
      <c r="C341" s="624" t="s">
        <v>670</v>
      </c>
      <c r="D341" s="729" t="s">
        <v>421</v>
      </c>
      <c r="E341" s="780" t="s">
        <v>18</v>
      </c>
      <c r="F341" s="570" t="s">
        <v>674</v>
      </c>
      <c r="G341" s="608" t="s">
        <v>281</v>
      </c>
      <c r="H341" s="627" t="s">
        <v>170</v>
      </c>
      <c r="I341" s="628">
        <v>42</v>
      </c>
      <c r="J341" s="629">
        <v>6</v>
      </c>
      <c r="K341" s="630">
        <v>41.84</v>
      </c>
      <c r="L341" s="631">
        <v>82</v>
      </c>
      <c r="M341" s="629">
        <v>28</v>
      </c>
      <c r="N341" s="630">
        <v>45.072000000000003</v>
      </c>
      <c r="O341" s="626" t="s">
        <v>92</v>
      </c>
      <c r="P341" s="628">
        <v>42</v>
      </c>
      <c r="Q341" s="629">
        <v>6</v>
      </c>
      <c r="R341" s="630">
        <v>39.93</v>
      </c>
      <c r="S341" s="631">
        <v>82</v>
      </c>
      <c r="T341" s="629">
        <v>28</v>
      </c>
      <c r="U341" s="630">
        <v>32.521000000000001</v>
      </c>
      <c r="V341" s="632">
        <v>4</v>
      </c>
      <c r="W341" s="633">
        <v>453</v>
      </c>
      <c r="X341" s="634">
        <v>1990</v>
      </c>
      <c r="Y341" s="626"/>
      <c r="Z341" s="635" t="s">
        <v>14</v>
      </c>
      <c r="AA341" s="632" t="s">
        <v>15</v>
      </c>
      <c r="AB341" s="636"/>
      <c r="AC341" s="637">
        <f t="shared" si="53"/>
        <v>0.52</v>
      </c>
      <c r="AD341" s="636">
        <f t="shared" si="50"/>
        <v>0</v>
      </c>
      <c r="AE341" s="638">
        <f t="shared" si="51"/>
        <v>0</v>
      </c>
      <c r="AF341" s="639">
        <f t="shared" si="52"/>
        <v>0</v>
      </c>
      <c r="AG341" s="588">
        <f t="shared" si="48"/>
        <v>0</v>
      </c>
      <c r="AH341" s="589">
        <f t="shared" si="47"/>
        <v>0</v>
      </c>
      <c r="AI341" s="244"/>
      <c r="AJ341" s="244"/>
      <c r="AK341" s="244"/>
    </row>
    <row r="342" spans="1:37" ht="12.7">
      <c r="A342" s="47" t="s">
        <v>11</v>
      </c>
      <c r="B342" s="23" t="s">
        <v>540</v>
      </c>
      <c r="C342" s="467" t="s">
        <v>670</v>
      </c>
      <c r="D342" s="139" t="s">
        <v>421</v>
      </c>
      <c r="E342" s="778" t="s">
        <v>18</v>
      </c>
      <c r="F342" s="248"/>
      <c r="G342" s="315"/>
      <c r="H342" s="291" t="s">
        <v>137</v>
      </c>
      <c r="I342" s="250">
        <v>42</v>
      </c>
      <c r="J342" s="251">
        <v>4</v>
      </c>
      <c r="K342" s="252">
        <v>21.004000000000001</v>
      </c>
      <c r="L342" s="253">
        <v>82</v>
      </c>
      <c r="M342" s="251">
        <v>36</v>
      </c>
      <c r="N342" s="252">
        <v>22.388999999999999</v>
      </c>
      <c r="O342" s="249" t="s">
        <v>171</v>
      </c>
      <c r="P342" s="250">
        <v>42</v>
      </c>
      <c r="Q342" s="251">
        <v>4</v>
      </c>
      <c r="R342" s="252">
        <v>19.985</v>
      </c>
      <c r="S342" s="253">
        <v>82</v>
      </c>
      <c r="T342" s="251">
        <v>35</v>
      </c>
      <c r="U342" s="252">
        <v>53.975</v>
      </c>
      <c r="V342" s="248">
        <v>6</v>
      </c>
      <c r="W342" s="550">
        <v>2145.83</v>
      </c>
      <c r="X342" s="254">
        <v>1969</v>
      </c>
      <c r="Y342" s="249"/>
      <c r="Z342" s="255" t="s">
        <v>172</v>
      </c>
      <c r="AA342" s="248" t="s">
        <v>31</v>
      </c>
      <c r="AB342" s="256">
        <f t="shared" si="49"/>
        <v>98557.97189999999</v>
      </c>
      <c r="AC342" s="257">
        <f t="shared" si="53"/>
        <v>0.66</v>
      </c>
      <c r="AD342" s="256">
        <f t="shared" si="50"/>
        <v>33509.71</v>
      </c>
      <c r="AE342" s="258">
        <f t="shared" si="51"/>
        <v>0</v>
      </c>
      <c r="AF342" s="259">
        <f t="shared" si="52"/>
        <v>0</v>
      </c>
      <c r="AG342" s="417">
        <f t="shared" si="48"/>
        <v>33509.71</v>
      </c>
      <c r="AH342" s="517">
        <f t="shared" si="47"/>
        <v>33509</v>
      </c>
      <c r="AI342" s="1049" t="s">
        <v>624</v>
      </c>
      <c r="AJ342" s="1050"/>
      <c r="AK342" s="1051"/>
    </row>
    <row r="343" spans="1:37" ht="12.7">
      <c r="A343" s="47" t="s">
        <v>11</v>
      </c>
      <c r="B343" s="23" t="s">
        <v>540</v>
      </c>
      <c r="C343" s="467" t="s">
        <v>670</v>
      </c>
      <c r="D343" s="139" t="s">
        <v>421</v>
      </c>
      <c r="E343" s="770" t="s">
        <v>18</v>
      </c>
      <c r="F343" s="223"/>
      <c r="G343" s="311"/>
      <c r="H343" s="292" t="s">
        <v>171</v>
      </c>
      <c r="I343" s="219">
        <v>42</v>
      </c>
      <c r="J343" s="220">
        <v>4</v>
      </c>
      <c r="K343" s="221">
        <v>19.985</v>
      </c>
      <c r="L343" s="222">
        <v>82</v>
      </c>
      <c r="M343" s="220">
        <v>35</v>
      </c>
      <c r="N343" s="221">
        <v>53.975</v>
      </c>
      <c r="O343" s="218" t="s">
        <v>173</v>
      </c>
      <c r="P343" s="219">
        <v>42</v>
      </c>
      <c r="Q343" s="220">
        <v>4</v>
      </c>
      <c r="R343" s="221">
        <v>18.922999999999998</v>
      </c>
      <c r="S343" s="222">
        <v>82</v>
      </c>
      <c r="T343" s="220">
        <v>35</v>
      </c>
      <c r="U343" s="221">
        <v>54.065</v>
      </c>
      <c r="V343" s="223">
        <v>6</v>
      </c>
      <c r="W343" s="544">
        <v>107.74</v>
      </c>
      <c r="X343" s="224">
        <v>1969</v>
      </c>
      <c r="Y343" s="218"/>
      <c r="Z343" s="225" t="s">
        <v>172</v>
      </c>
      <c r="AA343" s="223" t="s">
        <v>31</v>
      </c>
      <c r="AB343" s="226">
        <f t="shared" si="49"/>
        <v>4948.4982</v>
      </c>
      <c r="AC343" s="227">
        <f t="shared" si="53"/>
        <v>0.66</v>
      </c>
      <c r="AD343" s="226">
        <f t="shared" si="50"/>
        <v>1682.49</v>
      </c>
      <c r="AE343" s="228">
        <f t="shared" si="51"/>
        <v>0</v>
      </c>
      <c r="AF343" s="229">
        <f t="shared" si="52"/>
        <v>0</v>
      </c>
      <c r="AG343" s="423">
        <f t="shared" si="48"/>
        <v>1682.49</v>
      </c>
      <c r="AH343" s="516">
        <f t="shared" si="47"/>
        <v>1682</v>
      </c>
      <c r="AI343" s="1052"/>
      <c r="AJ343" s="1053"/>
      <c r="AK343" s="1054"/>
    </row>
    <row r="344" spans="1:37" ht="12.7">
      <c r="A344" s="47" t="s">
        <v>11</v>
      </c>
      <c r="B344" s="23" t="s">
        <v>540</v>
      </c>
      <c r="C344" s="467" t="s">
        <v>670</v>
      </c>
      <c r="D344" s="139" t="s">
        <v>421</v>
      </c>
      <c r="E344" s="770" t="s">
        <v>18</v>
      </c>
      <c r="F344" s="223"/>
      <c r="G344" s="311"/>
      <c r="H344" s="292" t="s">
        <v>173</v>
      </c>
      <c r="I344" s="219">
        <v>42</v>
      </c>
      <c r="J344" s="220">
        <v>4</v>
      </c>
      <c r="K344" s="221">
        <v>18.922999999999998</v>
      </c>
      <c r="L344" s="222">
        <v>82</v>
      </c>
      <c r="M344" s="220">
        <v>35</v>
      </c>
      <c r="N344" s="221">
        <v>54.065</v>
      </c>
      <c r="O344" s="218" t="s">
        <v>174</v>
      </c>
      <c r="P344" s="219">
        <v>42</v>
      </c>
      <c r="Q344" s="220">
        <v>4</v>
      </c>
      <c r="R344" s="221">
        <v>18.869</v>
      </c>
      <c r="S344" s="222">
        <v>82</v>
      </c>
      <c r="T344" s="220">
        <v>35</v>
      </c>
      <c r="U344" s="221">
        <v>52.572000000000003</v>
      </c>
      <c r="V344" s="223">
        <v>6</v>
      </c>
      <c r="W344" s="544">
        <v>112.76</v>
      </c>
      <c r="X344" s="224">
        <v>1969</v>
      </c>
      <c r="Y344" s="218"/>
      <c r="Z344" s="225" t="s">
        <v>172</v>
      </c>
      <c r="AA344" s="223" t="s">
        <v>31</v>
      </c>
      <c r="AB344" s="226">
        <f t="shared" si="49"/>
        <v>5179.0668000000005</v>
      </c>
      <c r="AC344" s="227">
        <f t="shared" si="53"/>
        <v>0.66</v>
      </c>
      <c r="AD344" s="226">
        <f t="shared" si="50"/>
        <v>1760.88</v>
      </c>
      <c r="AE344" s="228">
        <f t="shared" si="51"/>
        <v>0</v>
      </c>
      <c r="AF344" s="229">
        <f t="shared" si="52"/>
        <v>0</v>
      </c>
      <c r="AG344" s="423">
        <f t="shared" si="48"/>
        <v>1760.88</v>
      </c>
      <c r="AH344" s="516">
        <f t="shared" si="47"/>
        <v>1760</v>
      </c>
      <c r="AI344" s="1052"/>
      <c r="AJ344" s="1053"/>
      <c r="AK344" s="1054"/>
    </row>
    <row r="345" spans="1:37" ht="12.7">
      <c r="A345" s="47" t="s">
        <v>11</v>
      </c>
      <c r="B345" s="23" t="s">
        <v>540</v>
      </c>
      <c r="C345" s="467" t="s">
        <v>670</v>
      </c>
      <c r="D345" s="139" t="s">
        <v>421</v>
      </c>
      <c r="E345" s="770" t="s">
        <v>18</v>
      </c>
      <c r="F345" s="223"/>
      <c r="G345" s="311"/>
      <c r="H345" s="292" t="s">
        <v>174</v>
      </c>
      <c r="I345" s="219">
        <v>42</v>
      </c>
      <c r="J345" s="220">
        <v>4</v>
      </c>
      <c r="K345" s="221">
        <v>18.869</v>
      </c>
      <c r="L345" s="222">
        <v>82</v>
      </c>
      <c r="M345" s="220">
        <v>35</v>
      </c>
      <c r="N345" s="221">
        <v>52.572000000000003</v>
      </c>
      <c r="O345" s="218" t="s">
        <v>175</v>
      </c>
      <c r="P345" s="219">
        <v>42</v>
      </c>
      <c r="Q345" s="220">
        <v>4</v>
      </c>
      <c r="R345" s="221">
        <v>18.510999999999999</v>
      </c>
      <c r="S345" s="222">
        <v>82</v>
      </c>
      <c r="T345" s="220">
        <v>35</v>
      </c>
      <c r="U345" s="221">
        <v>52.613</v>
      </c>
      <c r="V345" s="223">
        <v>6</v>
      </c>
      <c r="W345" s="544">
        <v>36.35</v>
      </c>
      <c r="X345" s="224">
        <v>1969</v>
      </c>
      <c r="Y345" s="218"/>
      <c r="Z345" s="225" t="s">
        <v>172</v>
      </c>
      <c r="AA345" s="223" t="s">
        <v>31</v>
      </c>
      <c r="AB345" s="226">
        <f t="shared" si="49"/>
        <v>1669.5555000000002</v>
      </c>
      <c r="AC345" s="227">
        <f t="shared" si="53"/>
        <v>0.66</v>
      </c>
      <c r="AD345" s="226">
        <f t="shared" si="50"/>
        <v>567.65</v>
      </c>
      <c r="AE345" s="228">
        <f t="shared" si="51"/>
        <v>0</v>
      </c>
      <c r="AF345" s="229">
        <f t="shared" si="52"/>
        <v>0</v>
      </c>
      <c r="AG345" s="423">
        <f t="shared" si="48"/>
        <v>567.65</v>
      </c>
      <c r="AH345" s="516">
        <f t="shared" si="47"/>
        <v>567</v>
      </c>
      <c r="AI345" s="1052"/>
      <c r="AJ345" s="1053"/>
      <c r="AK345" s="1054"/>
    </row>
    <row r="346" spans="1:37" ht="12.7">
      <c r="A346" s="47" t="s">
        <v>11</v>
      </c>
      <c r="B346" s="23" t="s">
        <v>540</v>
      </c>
      <c r="C346" s="467" t="s">
        <v>670</v>
      </c>
      <c r="D346" s="139" t="s">
        <v>421</v>
      </c>
      <c r="E346" s="770" t="s">
        <v>18</v>
      </c>
      <c r="F346" s="223"/>
      <c r="G346" s="311"/>
      <c r="H346" s="292" t="s">
        <v>175</v>
      </c>
      <c r="I346" s="219">
        <v>42</v>
      </c>
      <c r="J346" s="220">
        <v>4</v>
      </c>
      <c r="K346" s="221">
        <v>18.510999999999999</v>
      </c>
      <c r="L346" s="222">
        <v>82</v>
      </c>
      <c r="M346" s="220">
        <v>35</v>
      </c>
      <c r="N346" s="221">
        <v>52.613</v>
      </c>
      <c r="O346" s="218" t="s">
        <v>176</v>
      </c>
      <c r="P346" s="219">
        <v>42</v>
      </c>
      <c r="Q346" s="220">
        <v>4</v>
      </c>
      <c r="R346" s="221">
        <v>20.158000000000001</v>
      </c>
      <c r="S346" s="222">
        <v>82</v>
      </c>
      <c r="T346" s="220">
        <v>35</v>
      </c>
      <c r="U346" s="221">
        <v>47.238</v>
      </c>
      <c r="V346" s="223">
        <v>6</v>
      </c>
      <c r="W346" s="544">
        <v>438.42</v>
      </c>
      <c r="X346" s="224">
        <v>1969</v>
      </c>
      <c r="Y346" s="218"/>
      <c r="Z346" s="225" t="s">
        <v>172</v>
      </c>
      <c r="AA346" s="223" t="s">
        <v>31</v>
      </c>
      <c r="AB346" s="226">
        <f t="shared" si="49"/>
        <v>20136.6306</v>
      </c>
      <c r="AC346" s="227">
        <f t="shared" si="53"/>
        <v>0.66</v>
      </c>
      <c r="AD346" s="226">
        <f t="shared" si="50"/>
        <v>6846.45</v>
      </c>
      <c r="AE346" s="228">
        <f t="shared" si="51"/>
        <v>0</v>
      </c>
      <c r="AF346" s="229">
        <f t="shared" si="52"/>
        <v>0</v>
      </c>
      <c r="AG346" s="423">
        <f t="shared" si="48"/>
        <v>6846.45</v>
      </c>
      <c r="AH346" s="516">
        <f t="shared" si="47"/>
        <v>6846</v>
      </c>
      <c r="AI346" s="1052"/>
      <c r="AJ346" s="1053"/>
      <c r="AK346" s="1054"/>
    </row>
    <row r="347" spans="1:37" ht="12.7">
      <c r="A347" s="47" t="s">
        <v>11</v>
      </c>
      <c r="B347" s="23" t="s">
        <v>540</v>
      </c>
      <c r="C347" s="467" t="s">
        <v>670</v>
      </c>
      <c r="D347" s="139" t="s">
        <v>421</v>
      </c>
      <c r="E347" s="770" t="s">
        <v>18</v>
      </c>
      <c r="F347" s="223"/>
      <c r="G347" s="311"/>
      <c r="H347" s="292" t="s">
        <v>176</v>
      </c>
      <c r="I347" s="219">
        <v>42</v>
      </c>
      <c r="J347" s="220">
        <v>4</v>
      </c>
      <c r="K347" s="221">
        <v>20.158000000000001</v>
      </c>
      <c r="L347" s="222">
        <v>82</v>
      </c>
      <c r="M347" s="220">
        <v>35</v>
      </c>
      <c r="N347" s="221">
        <v>47.238</v>
      </c>
      <c r="O347" s="218" t="s">
        <v>177</v>
      </c>
      <c r="P347" s="219">
        <v>42</v>
      </c>
      <c r="Q347" s="220">
        <v>4</v>
      </c>
      <c r="R347" s="221">
        <v>46.545</v>
      </c>
      <c r="S347" s="222">
        <v>82</v>
      </c>
      <c r="T347" s="220">
        <v>33</v>
      </c>
      <c r="U347" s="221">
        <v>56.813000000000002</v>
      </c>
      <c r="V347" s="223">
        <v>6</v>
      </c>
      <c r="W347" s="544">
        <v>8747.0499999999993</v>
      </c>
      <c r="X347" s="224">
        <v>1969</v>
      </c>
      <c r="Y347" s="218"/>
      <c r="Z347" s="225" t="s">
        <v>172</v>
      </c>
      <c r="AA347" s="223" t="s">
        <v>31</v>
      </c>
      <c r="AB347" s="226">
        <f t="shared" si="49"/>
        <v>401752.00649999996</v>
      </c>
      <c r="AC347" s="227">
        <f t="shared" si="53"/>
        <v>0.66</v>
      </c>
      <c r="AD347" s="226">
        <f t="shared" si="50"/>
        <v>136595.68</v>
      </c>
      <c r="AE347" s="228">
        <f t="shared" si="51"/>
        <v>0</v>
      </c>
      <c r="AF347" s="229">
        <f t="shared" si="52"/>
        <v>0</v>
      </c>
      <c r="AG347" s="423">
        <f t="shared" si="48"/>
        <v>136595.68</v>
      </c>
      <c r="AH347" s="516">
        <f t="shared" si="47"/>
        <v>136595</v>
      </c>
      <c r="AI347" s="1052"/>
      <c r="AJ347" s="1053"/>
      <c r="AK347" s="1054"/>
    </row>
    <row r="348" spans="1:37" ht="12.7">
      <c r="A348" s="47" t="s">
        <v>11</v>
      </c>
      <c r="B348" s="23" t="s">
        <v>540</v>
      </c>
      <c r="C348" s="467" t="s">
        <v>670</v>
      </c>
      <c r="D348" s="139" t="s">
        <v>421</v>
      </c>
      <c r="E348" s="770" t="s">
        <v>18</v>
      </c>
      <c r="F348" s="223"/>
      <c r="G348" s="311"/>
      <c r="H348" s="292" t="s">
        <v>177</v>
      </c>
      <c r="I348" s="219">
        <v>42</v>
      </c>
      <c r="J348" s="220">
        <v>4</v>
      </c>
      <c r="K348" s="221">
        <v>46.545</v>
      </c>
      <c r="L348" s="222">
        <v>82</v>
      </c>
      <c r="M348" s="220">
        <v>33</v>
      </c>
      <c r="N348" s="221">
        <v>56.813000000000002</v>
      </c>
      <c r="O348" s="218" t="s">
        <v>178</v>
      </c>
      <c r="P348" s="219">
        <v>42</v>
      </c>
      <c r="Q348" s="220">
        <v>4</v>
      </c>
      <c r="R348" s="221">
        <v>43.993000000000002</v>
      </c>
      <c r="S348" s="222">
        <v>82</v>
      </c>
      <c r="T348" s="220">
        <v>33</v>
      </c>
      <c r="U348" s="221">
        <v>52.872999999999998</v>
      </c>
      <c r="V348" s="223">
        <v>6</v>
      </c>
      <c r="W348" s="544">
        <v>393.77</v>
      </c>
      <c r="X348" s="224">
        <v>1969</v>
      </c>
      <c r="Y348" s="218"/>
      <c r="Z348" s="225" t="s">
        <v>172</v>
      </c>
      <c r="AA348" s="223" t="s">
        <v>31</v>
      </c>
      <c r="AB348" s="226">
        <f t="shared" si="49"/>
        <v>18085.856099999997</v>
      </c>
      <c r="AC348" s="227">
        <f t="shared" si="53"/>
        <v>0.66</v>
      </c>
      <c r="AD348" s="226">
        <f t="shared" si="50"/>
        <v>6149.19</v>
      </c>
      <c r="AE348" s="228">
        <f t="shared" si="51"/>
        <v>0</v>
      </c>
      <c r="AF348" s="229">
        <f t="shared" si="52"/>
        <v>0</v>
      </c>
      <c r="AG348" s="423">
        <f t="shared" si="48"/>
        <v>6149.19</v>
      </c>
      <c r="AH348" s="516">
        <f t="shared" si="47"/>
        <v>6149</v>
      </c>
      <c r="AI348" s="1052"/>
      <c r="AJ348" s="1053"/>
      <c r="AK348" s="1054"/>
    </row>
    <row r="349" spans="1:37" ht="12.7">
      <c r="A349" s="47" t="s">
        <v>11</v>
      </c>
      <c r="B349" s="23" t="s">
        <v>540</v>
      </c>
      <c r="C349" s="467" t="s">
        <v>670</v>
      </c>
      <c r="D349" s="139" t="s">
        <v>421</v>
      </c>
      <c r="E349" s="770" t="s">
        <v>18</v>
      </c>
      <c r="F349" s="223"/>
      <c r="G349" s="311"/>
      <c r="H349" s="292" t="s">
        <v>178</v>
      </c>
      <c r="I349" s="219">
        <v>42</v>
      </c>
      <c r="J349" s="220">
        <v>4</v>
      </c>
      <c r="K349" s="221">
        <v>43.993000000000002</v>
      </c>
      <c r="L349" s="222">
        <v>82</v>
      </c>
      <c r="M349" s="220">
        <v>33</v>
      </c>
      <c r="N349" s="221">
        <v>52.872999999999998</v>
      </c>
      <c r="O349" s="218" t="s">
        <v>179</v>
      </c>
      <c r="P349" s="219">
        <v>42</v>
      </c>
      <c r="Q349" s="220">
        <v>2</v>
      </c>
      <c r="R349" s="221">
        <v>44.246000000000002</v>
      </c>
      <c r="S349" s="222">
        <v>82</v>
      </c>
      <c r="T349" s="220">
        <v>33</v>
      </c>
      <c r="U349" s="221">
        <v>59.895</v>
      </c>
      <c r="V349" s="223">
        <v>6</v>
      </c>
      <c r="W349" s="544">
        <v>12135.10</v>
      </c>
      <c r="X349" s="224">
        <v>1969</v>
      </c>
      <c r="Y349" s="218"/>
      <c r="Z349" s="225" t="s">
        <v>172</v>
      </c>
      <c r="AA349" s="223" t="s">
        <v>31</v>
      </c>
      <c r="AB349" s="226">
        <f t="shared" si="49"/>
        <v>557365.14300000004</v>
      </c>
      <c r="AC349" s="227">
        <f t="shared" si="53"/>
        <v>0.66</v>
      </c>
      <c r="AD349" s="226">
        <f t="shared" si="50"/>
        <v>189504.15</v>
      </c>
      <c r="AE349" s="228">
        <f t="shared" si="51"/>
        <v>0</v>
      </c>
      <c r="AF349" s="229">
        <f t="shared" si="52"/>
        <v>0</v>
      </c>
      <c r="AG349" s="423">
        <f t="shared" si="48"/>
        <v>189504.15</v>
      </c>
      <c r="AH349" s="516">
        <f t="shared" si="47"/>
        <v>189504</v>
      </c>
      <c r="AI349" s="1052"/>
      <c r="AJ349" s="1053"/>
      <c r="AK349" s="1054"/>
    </row>
    <row r="350" spans="1:37" ht="12.7">
      <c r="A350" s="47" t="s">
        <v>11</v>
      </c>
      <c r="B350" s="23" t="s">
        <v>540</v>
      </c>
      <c r="C350" s="467" t="s">
        <v>670</v>
      </c>
      <c r="D350" s="139" t="s">
        <v>421</v>
      </c>
      <c r="E350" s="770" t="s">
        <v>18</v>
      </c>
      <c r="F350" s="223"/>
      <c r="G350" s="311"/>
      <c r="H350" s="292" t="s">
        <v>179</v>
      </c>
      <c r="I350" s="219">
        <v>42</v>
      </c>
      <c r="J350" s="220">
        <v>2</v>
      </c>
      <c r="K350" s="221">
        <v>44.246000000000002</v>
      </c>
      <c r="L350" s="222">
        <v>82</v>
      </c>
      <c r="M350" s="220">
        <v>33</v>
      </c>
      <c r="N350" s="221">
        <v>59.895</v>
      </c>
      <c r="O350" s="218" t="s">
        <v>180</v>
      </c>
      <c r="P350" s="219">
        <v>42</v>
      </c>
      <c r="Q350" s="220">
        <v>2</v>
      </c>
      <c r="R350" s="221">
        <v>43.338999999999999</v>
      </c>
      <c r="S350" s="222">
        <v>82</v>
      </c>
      <c r="T350" s="220">
        <v>33</v>
      </c>
      <c r="U350" s="221">
        <v>38.119999999999997</v>
      </c>
      <c r="V350" s="223">
        <v>6</v>
      </c>
      <c r="W350" s="544">
        <v>1645.80</v>
      </c>
      <c r="X350" s="224">
        <v>1969</v>
      </c>
      <c r="Y350" s="218"/>
      <c r="Z350" s="225" t="s">
        <v>172</v>
      </c>
      <c r="AA350" s="223" t="s">
        <v>31</v>
      </c>
      <c r="AB350" s="226">
        <f t="shared" si="49"/>
        <v>75591.593999999997</v>
      </c>
      <c r="AC350" s="227">
        <f t="shared" si="53"/>
        <v>0.66</v>
      </c>
      <c r="AD350" s="226">
        <f t="shared" si="50"/>
        <v>25701.14</v>
      </c>
      <c r="AE350" s="228">
        <f t="shared" si="51"/>
        <v>0</v>
      </c>
      <c r="AF350" s="229">
        <f t="shared" si="52"/>
        <v>0</v>
      </c>
      <c r="AG350" s="423">
        <f t="shared" si="48"/>
        <v>25701.14</v>
      </c>
      <c r="AH350" s="516">
        <f t="shared" si="47"/>
        <v>25701</v>
      </c>
      <c r="AI350" s="1052"/>
      <c r="AJ350" s="1053"/>
      <c r="AK350" s="1054"/>
    </row>
    <row r="351" spans="1:37" ht="12.7">
      <c r="A351" s="47" t="s">
        <v>11</v>
      </c>
      <c r="B351" s="23" t="s">
        <v>540</v>
      </c>
      <c r="C351" s="467" t="s">
        <v>670</v>
      </c>
      <c r="D351" s="139" t="s">
        <v>421</v>
      </c>
      <c r="E351" s="770" t="s">
        <v>18</v>
      </c>
      <c r="F351" s="223"/>
      <c r="G351" s="311"/>
      <c r="H351" s="292" t="s">
        <v>180</v>
      </c>
      <c r="I351" s="219">
        <v>42</v>
      </c>
      <c r="J351" s="220">
        <v>2</v>
      </c>
      <c r="K351" s="221">
        <v>43.338999999999999</v>
      </c>
      <c r="L351" s="222">
        <v>82</v>
      </c>
      <c r="M351" s="220">
        <v>33</v>
      </c>
      <c r="N351" s="221">
        <v>38.119999999999997</v>
      </c>
      <c r="O351" s="218" t="s">
        <v>181</v>
      </c>
      <c r="P351" s="219">
        <v>42</v>
      </c>
      <c r="Q351" s="220">
        <v>2</v>
      </c>
      <c r="R351" s="221">
        <v>41.015</v>
      </c>
      <c r="S351" s="222">
        <v>82</v>
      </c>
      <c r="T351" s="220">
        <v>33</v>
      </c>
      <c r="U351" s="221">
        <v>38.137999999999998</v>
      </c>
      <c r="V351" s="223">
        <v>6</v>
      </c>
      <c r="W351" s="544">
        <v>235.30</v>
      </c>
      <c r="X351" s="224">
        <v>1969</v>
      </c>
      <c r="Y351" s="218"/>
      <c r="Z351" s="225" t="s">
        <v>172</v>
      </c>
      <c r="AA351" s="223" t="s">
        <v>31</v>
      </c>
      <c r="AB351" s="226">
        <f t="shared" si="49"/>
        <v>10807.329</v>
      </c>
      <c r="AC351" s="227">
        <f t="shared" si="53"/>
        <v>0.66</v>
      </c>
      <c r="AD351" s="226">
        <f t="shared" si="50"/>
        <v>3674.49</v>
      </c>
      <c r="AE351" s="228">
        <f t="shared" si="51"/>
        <v>0</v>
      </c>
      <c r="AF351" s="229">
        <f t="shared" si="52"/>
        <v>0</v>
      </c>
      <c r="AG351" s="423">
        <f t="shared" si="48"/>
        <v>3674.49</v>
      </c>
      <c r="AH351" s="516">
        <f t="shared" si="47"/>
        <v>3674</v>
      </c>
      <c r="AI351" s="1052"/>
      <c r="AJ351" s="1053"/>
      <c r="AK351" s="1054"/>
    </row>
    <row r="352" spans="1:37" ht="12.7">
      <c r="A352" s="47" t="s">
        <v>11</v>
      </c>
      <c r="B352" s="23" t="s">
        <v>540</v>
      </c>
      <c r="C352" s="467" t="s">
        <v>670</v>
      </c>
      <c r="D352" s="139" t="s">
        <v>421</v>
      </c>
      <c r="E352" s="770" t="s">
        <v>18</v>
      </c>
      <c r="F352" s="223"/>
      <c r="G352" s="311"/>
      <c r="H352" s="292" t="s">
        <v>181</v>
      </c>
      <c r="I352" s="219">
        <v>42</v>
      </c>
      <c r="J352" s="220">
        <v>2</v>
      </c>
      <c r="K352" s="221">
        <v>41.015</v>
      </c>
      <c r="L352" s="222">
        <v>82</v>
      </c>
      <c r="M352" s="220">
        <v>33</v>
      </c>
      <c r="N352" s="221">
        <v>38.137999999999998</v>
      </c>
      <c r="O352" s="218" t="s">
        <v>182</v>
      </c>
      <c r="P352" s="219">
        <v>42</v>
      </c>
      <c r="Q352" s="220">
        <v>2</v>
      </c>
      <c r="R352" s="221">
        <v>40.338000000000001</v>
      </c>
      <c r="S352" s="222">
        <v>82</v>
      </c>
      <c r="T352" s="220">
        <v>33</v>
      </c>
      <c r="U352" s="221">
        <v>19.683</v>
      </c>
      <c r="V352" s="223">
        <v>6</v>
      </c>
      <c r="W352" s="544">
        <v>1394.39</v>
      </c>
      <c r="X352" s="224">
        <v>1969</v>
      </c>
      <c r="Y352" s="218"/>
      <c r="Z352" s="225" t="s">
        <v>172</v>
      </c>
      <c r="AA352" s="223" t="s">
        <v>31</v>
      </c>
      <c r="AB352" s="226">
        <f t="shared" si="49"/>
        <v>64044.332700000006</v>
      </c>
      <c r="AC352" s="227">
        <f t="shared" si="53"/>
        <v>0.66</v>
      </c>
      <c r="AD352" s="226">
        <f t="shared" si="50"/>
        <v>21775.07</v>
      </c>
      <c r="AE352" s="228">
        <f t="shared" si="51"/>
        <v>0</v>
      </c>
      <c r="AF352" s="229">
        <f t="shared" si="52"/>
        <v>0</v>
      </c>
      <c r="AG352" s="423">
        <f t="shared" si="48"/>
        <v>21775.07</v>
      </c>
      <c r="AH352" s="516">
        <f t="shared" si="47"/>
        <v>21775</v>
      </c>
      <c r="AI352" s="1052"/>
      <c r="AJ352" s="1053"/>
      <c r="AK352" s="1054"/>
    </row>
    <row r="353" spans="1:37" ht="12.7">
      <c r="A353" s="47" t="s">
        <v>11</v>
      </c>
      <c r="B353" s="23" t="s">
        <v>540</v>
      </c>
      <c r="C353" s="467" t="s">
        <v>670</v>
      </c>
      <c r="D353" s="139" t="s">
        <v>421</v>
      </c>
      <c r="E353" s="770" t="s">
        <v>18</v>
      </c>
      <c r="F353" s="223"/>
      <c r="G353" s="311"/>
      <c r="H353" s="292" t="s">
        <v>182</v>
      </c>
      <c r="I353" s="219">
        <v>42</v>
      </c>
      <c r="J353" s="220">
        <v>2</v>
      </c>
      <c r="K353" s="221">
        <v>40.338000000000001</v>
      </c>
      <c r="L353" s="222">
        <v>82</v>
      </c>
      <c r="M353" s="220">
        <v>33</v>
      </c>
      <c r="N353" s="221">
        <v>19.683</v>
      </c>
      <c r="O353" s="218" t="s">
        <v>183</v>
      </c>
      <c r="P353" s="219">
        <v>42</v>
      </c>
      <c r="Q353" s="220">
        <v>2</v>
      </c>
      <c r="R353" s="221">
        <v>17.346</v>
      </c>
      <c r="S353" s="222">
        <v>82</v>
      </c>
      <c r="T353" s="220">
        <v>33</v>
      </c>
      <c r="U353" s="221">
        <v>20.832999999999998</v>
      </c>
      <c r="V353" s="223">
        <v>6</v>
      </c>
      <c r="W353" s="544">
        <v>2329.40</v>
      </c>
      <c r="X353" s="224">
        <v>1969</v>
      </c>
      <c r="Y353" s="218"/>
      <c r="Z353" s="225" t="s">
        <v>172</v>
      </c>
      <c r="AA353" s="223" t="s">
        <v>31</v>
      </c>
      <c r="AB353" s="226">
        <f t="shared" si="49"/>
        <v>106989.342</v>
      </c>
      <c r="AC353" s="227">
        <f t="shared" si="53"/>
        <v>0.66</v>
      </c>
      <c r="AD353" s="226">
        <f t="shared" si="50"/>
        <v>36376.379999999997</v>
      </c>
      <c r="AE353" s="228">
        <f t="shared" si="51"/>
        <v>0</v>
      </c>
      <c r="AF353" s="229">
        <f t="shared" si="52"/>
        <v>0</v>
      </c>
      <c r="AG353" s="423">
        <f t="shared" si="48"/>
        <v>36376.379999999997</v>
      </c>
      <c r="AH353" s="516">
        <f t="shared" si="47"/>
        <v>36376</v>
      </c>
      <c r="AI353" s="1052"/>
      <c r="AJ353" s="1053"/>
      <c r="AK353" s="1054"/>
    </row>
    <row r="354" spans="1:37" ht="12.7">
      <c r="A354" s="47" t="s">
        <v>11</v>
      </c>
      <c r="B354" s="23" t="s">
        <v>540</v>
      </c>
      <c r="C354" s="467" t="s">
        <v>670</v>
      </c>
      <c r="D354" s="139" t="s">
        <v>421</v>
      </c>
      <c r="E354" s="779" t="s">
        <v>18</v>
      </c>
      <c r="F354" s="293"/>
      <c r="G354" s="316"/>
      <c r="H354" s="295" t="s">
        <v>183</v>
      </c>
      <c r="I354" s="296">
        <v>42</v>
      </c>
      <c r="J354" s="297">
        <v>2</v>
      </c>
      <c r="K354" s="298">
        <v>17.346</v>
      </c>
      <c r="L354" s="299">
        <v>82</v>
      </c>
      <c r="M354" s="297">
        <v>33</v>
      </c>
      <c r="N354" s="298">
        <v>20.832999999999998</v>
      </c>
      <c r="O354" s="300" t="s">
        <v>61</v>
      </c>
      <c r="P354" s="296">
        <v>42</v>
      </c>
      <c r="Q354" s="297">
        <v>2</v>
      </c>
      <c r="R354" s="298">
        <v>16.849</v>
      </c>
      <c r="S354" s="299">
        <v>82</v>
      </c>
      <c r="T354" s="297">
        <v>33</v>
      </c>
      <c r="U354" s="298">
        <v>31.955</v>
      </c>
      <c r="V354" s="293">
        <v>6</v>
      </c>
      <c r="W354" s="551">
        <v>840.91</v>
      </c>
      <c r="X354" s="301">
        <v>1969</v>
      </c>
      <c r="Y354" s="294"/>
      <c r="Z354" s="302" t="s">
        <v>172</v>
      </c>
      <c r="AA354" s="293" t="s">
        <v>31</v>
      </c>
      <c r="AB354" s="303">
        <f t="shared" si="49"/>
        <v>38622.996299999999</v>
      </c>
      <c r="AC354" s="304">
        <f t="shared" si="53"/>
        <v>0.66</v>
      </c>
      <c r="AD354" s="303">
        <f t="shared" si="50"/>
        <v>13131.82</v>
      </c>
      <c r="AE354" s="305">
        <f t="shared" si="51"/>
        <v>0</v>
      </c>
      <c r="AF354" s="306">
        <f t="shared" si="52"/>
        <v>0</v>
      </c>
      <c r="AG354" s="437">
        <f t="shared" si="48"/>
        <v>13131.82</v>
      </c>
      <c r="AH354" s="518">
        <f t="shared" si="47"/>
        <v>13131</v>
      </c>
      <c r="AI354" s="1055"/>
      <c r="AJ354" s="1056"/>
      <c r="AK354" s="1057"/>
    </row>
    <row r="355" spans="1:37" ht="12.7">
      <c r="A355" s="47" t="s">
        <v>11</v>
      </c>
      <c r="B355" s="23" t="s">
        <v>540</v>
      </c>
      <c r="C355" s="467" t="s">
        <v>670</v>
      </c>
      <c r="D355" s="139" t="s">
        <v>421</v>
      </c>
      <c r="E355" s="773" t="s">
        <v>18</v>
      </c>
      <c r="F355" s="151"/>
      <c r="G355" s="182" t="s">
        <v>281</v>
      </c>
      <c r="H355" s="560" t="s">
        <v>183</v>
      </c>
      <c r="I355" s="556">
        <v>42</v>
      </c>
      <c r="J355" s="557">
        <v>2</v>
      </c>
      <c r="K355" s="558">
        <v>17.346</v>
      </c>
      <c r="L355" s="559">
        <v>82</v>
      </c>
      <c r="M355" s="557">
        <v>33</v>
      </c>
      <c r="N355" s="558">
        <v>20.832999999999998</v>
      </c>
      <c r="O355" s="150" t="s">
        <v>184</v>
      </c>
      <c r="P355" s="556">
        <v>41</v>
      </c>
      <c r="Q355" s="557">
        <v>59</v>
      </c>
      <c r="R355" s="558">
        <v>48.101999999999997</v>
      </c>
      <c r="S355" s="559">
        <v>82</v>
      </c>
      <c r="T355" s="557">
        <v>33</v>
      </c>
      <c r="U355" s="558">
        <v>32.241</v>
      </c>
      <c r="V355" s="151">
        <v>8</v>
      </c>
      <c r="W355" s="542">
        <v>15134.28</v>
      </c>
      <c r="X355" s="152">
        <v>1969</v>
      </c>
      <c r="Y355" s="150"/>
      <c r="Z355" s="153" t="s">
        <v>185</v>
      </c>
      <c r="AA355" s="151" t="s">
        <v>31</v>
      </c>
      <c r="AB355" s="154">
        <f t="shared" si="49"/>
        <v>0</v>
      </c>
      <c r="AC355" s="155">
        <f t="shared" si="53"/>
        <v>0.66</v>
      </c>
      <c r="AD355" s="154">
        <f t="shared" si="50"/>
        <v>0</v>
      </c>
      <c r="AE355" s="156">
        <f t="shared" si="51"/>
        <v>0</v>
      </c>
      <c r="AF355" s="186">
        <f t="shared" si="52"/>
        <v>0</v>
      </c>
      <c r="AG355" s="423">
        <f t="shared" si="48"/>
        <v>0</v>
      </c>
      <c r="AH355" s="516">
        <f t="shared" si="47"/>
        <v>0</v>
      </c>
      <c r="AI355" s="217"/>
      <c r="AJ355" s="217"/>
      <c r="AK355" s="217"/>
    </row>
    <row r="356" spans="1:37" ht="12.7">
      <c r="A356" s="47" t="s">
        <v>11</v>
      </c>
      <c r="B356" s="23" t="s">
        <v>540</v>
      </c>
      <c r="C356" s="467" t="s">
        <v>670</v>
      </c>
      <c r="D356" s="139" t="s">
        <v>421</v>
      </c>
      <c r="E356" s="760" t="s">
        <v>18</v>
      </c>
      <c r="F356" s="23"/>
      <c r="G356" s="138" t="s">
        <v>281</v>
      </c>
      <c r="H356" s="37" t="s">
        <v>432</v>
      </c>
      <c r="I356" s="33">
        <v>42</v>
      </c>
      <c r="J356" s="34">
        <v>1</v>
      </c>
      <c r="K356" s="35">
        <f>60*0.38</f>
        <v>22.80</v>
      </c>
      <c r="L356" s="22">
        <v>82</v>
      </c>
      <c r="M356" s="34">
        <v>30</v>
      </c>
      <c r="N356" s="36">
        <f>60*0.025</f>
        <v>1.50</v>
      </c>
      <c r="O356" s="32" t="s">
        <v>433</v>
      </c>
      <c r="P356" s="33">
        <v>42</v>
      </c>
      <c r="Q356" s="34">
        <v>1</v>
      </c>
      <c r="R356" s="35">
        <f>60*0.377</f>
        <v>22.62</v>
      </c>
      <c r="S356" s="22">
        <v>82</v>
      </c>
      <c r="T356" s="34">
        <v>30</v>
      </c>
      <c r="U356" s="36">
        <f>60*0.033</f>
        <v>1.98</v>
      </c>
      <c r="V356" s="23">
        <v>2</v>
      </c>
      <c r="W356" s="538">
        <v>372.41</v>
      </c>
      <c r="X356" s="37">
        <v>2001</v>
      </c>
      <c r="Y356" s="23"/>
      <c r="Z356" s="38"/>
      <c r="AA356" s="23" t="s">
        <v>31</v>
      </c>
      <c r="AB356" s="48">
        <f t="shared" si="49"/>
        <v>0</v>
      </c>
      <c r="AC356" s="40">
        <f t="shared" si="53"/>
        <v>0.32</v>
      </c>
      <c r="AD356" s="48">
        <f t="shared" si="50"/>
        <v>0</v>
      </c>
      <c r="AE356" s="49">
        <f t="shared" si="51"/>
        <v>0</v>
      </c>
      <c r="AF356" s="189">
        <f t="shared" si="52"/>
        <v>0</v>
      </c>
      <c r="AG356" s="136">
        <f t="shared" si="48"/>
        <v>0</v>
      </c>
      <c r="AH356" s="510">
        <f t="shared" si="47"/>
        <v>0</v>
      </c>
      <c r="AI356" s="197"/>
      <c r="AJ356" s="197"/>
      <c r="AK356" s="197"/>
    </row>
    <row r="357" spans="1:37" ht="12.7">
      <c r="A357" s="47" t="s">
        <v>11</v>
      </c>
      <c r="B357" s="23" t="s">
        <v>540</v>
      </c>
      <c r="C357" s="467" t="s">
        <v>670</v>
      </c>
      <c r="D357" s="139" t="s">
        <v>421</v>
      </c>
      <c r="E357" s="761" t="s">
        <v>18</v>
      </c>
      <c r="F357" s="140"/>
      <c r="G357" s="307" t="s">
        <v>281</v>
      </c>
      <c r="H357" s="561" t="s">
        <v>433</v>
      </c>
      <c r="I357" s="142">
        <v>42</v>
      </c>
      <c r="J357" s="143">
        <v>1</v>
      </c>
      <c r="K357" s="144">
        <f>60*0.377</f>
        <v>22.62</v>
      </c>
      <c r="L357" s="145">
        <v>82</v>
      </c>
      <c r="M357" s="143">
        <v>30</v>
      </c>
      <c r="N357" s="562">
        <f>60*0.033</f>
        <v>1.98</v>
      </c>
      <c r="O357" s="563" t="s">
        <v>434</v>
      </c>
      <c r="P357" s="142">
        <v>42</v>
      </c>
      <c r="Q357" s="143">
        <v>1</v>
      </c>
      <c r="R357" s="144">
        <f>60*0.529</f>
        <v>31.74</v>
      </c>
      <c r="S357" s="145">
        <v>82</v>
      </c>
      <c r="T357" s="143">
        <v>30</v>
      </c>
      <c r="U357" s="562">
        <f>60*0.056</f>
        <v>3.36</v>
      </c>
      <c r="V357" s="140">
        <v>2</v>
      </c>
      <c r="W357" s="539">
        <f>392.87-372.41</f>
        <v>20.45999999999998</v>
      </c>
      <c r="X357" s="561">
        <v>2001</v>
      </c>
      <c r="Y357" s="140"/>
      <c r="Z357" s="564"/>
      <c r="AA357" s="140" t="s">
        <v>31</v>
      </c>
      <c r="AB357" s="565">
        <f t="shared" si="49"/>
        <v>0</v>
      </c>
      <c r="AC357" s="149">
        <f t="shared" si="54" ref="AC357:AC371">IF(X357=0,0,(VLOOKUP(X357,depreciation,2,)))</f>
        <v>0.32</v>
      </c>
      <c r="AD357" s="565">
        <f t="shared" si="50"/>
        <v>0</v>
      </c>
      <c r="AE357" s="552">
        <f t="shared" si="51"/>
        <v>0</v>
      </c>
      <c r="AF357" s="553">
        <f t="shared" si="52"/>
        <v>0</v>
      </c>
      <c r="AG357" s="136">
        <f t="shared" si="48"/>
        <v>0</v>
      </c>
      <c r="AH357" s="510">
        <f t="shared" si="47"/>
        <v>0</v>
      </c>
      <c r="AI357" s="244"/>
      <c r="AJ357" s="244"/>
      <c r="AK357" s="244"/>
    </row>
    <row r="358" spans="1:37" ht="12.7">
      <c r="A358" s="47" t="s">
        <v>11</v>
      </c>
      <c r="B358" s="23" t="s">
        <v>540</v>
      </c>
      <c r="C358" s="467" t="s">
        <v>670</v>
      </c>
      <c r="D358" s="139" t="s">
        <v>421</v>
      </c>
      <c r="E358" s="762" t="s">
        <v>18</v>
      </c>
      <c r="F358" s="159"/>
      <c r="G358" s="308"/>
      <c r="H358" s="160" t="s">
        <v>440</v>
      </c>
      <c r="I358" s="161">
        <v>42</v>
      </c>
      <c r="J358" s="162">
        <v>4</v>
      </c>
      <c r="K358" s="163">
        <f>60*0.189</f>
        <v>11.34</v>
      </c>
      <c r="L358" s="164">
        <v>82</v>
      </c>
      <c r="M358" s="162">
        <v>34</v>
      </c>
      <c r="N358" s="272">
        <f>60*0.042</f>
        <v>2.52</v>
      </c>
      <c r="O358" s="271" t="s">
        <v>441</v>
      </c>
      <c r="P358" s="161">
        <v>42</v>
      </c>
      <c r="Q358" s="162">
        <v>4</v>
      </c>
      <c r="R358" s="163">
        <f>60*0.173</f>
        <v>10.38</v>
      </c>
      <c r="S358" s="164">
        <v>82</v>
      </c>
      <c r="T358" s="162">
        <v>33</v>
      </c>
      <c r="U358" s="272">
        <f>60*0.969</f>
        <v>58.14</v>
      </c>
      <c r="V358" s="159">
        <v>4</v>
      </c>
      <c r="W358" s="540">
        <v>249.94</v>
      </c>
      <c r="X358" s="160">
        <v>2002</v>
      </c>
      <c r="Y358" s="159"/>
      <c r="Z358" s="273"/>
      <c r="AA358" s="159" t="s">
        <v>15</v>
      </c>
      <c r="AB358" s="274">
        <f t="shared" si="49"/>
        <v>4513.9164000000001</v>
      </c>
      <c r="AC358" s="168">
        <f t="shared" si="54"/>
        <v>0.30</v>
      </c>
      <c r="AD358" s="274">
        <f t="shared" si="50"/>
        <v>3159.74</v>
      </c>
      <c r="AE358" s="275">
        <f t="shared" si="51"/>
        <v>0</v>
      </c>
      <c r="AF358" s="276">
        <f t="shared" si="52"/>
        <v>0</v>
      </c>
      <c r="AG358" s="489">
        <f t="shared" si="48"/>
        <v>3159.74</v>
      </c>
      <c r="AH358" s="509">
        <f t="shared" si="47"/>
        <v>3159</v>
      </c>
      <c r="AI358" s="1046">
        <v>1.26</v>
      </c>
      <c r="AJ358" s="1046">
        <v>6.54</v>
      </c>
      <c r="AK358" s="1046">
        <v>2.12</v>
      </c>
    </row>
    <row r="359" spans="1:37" ht="12.7">
      <c r="A359" s="47" t="s">
        <v>11</v>
      </c>
      <c r="B359" s="23" t="s">
        <v>540</v>
      </c>
      <c r="C359" s="467" t="s">
        <v>670</v>
      </c>
      <c r="D359" s="139" t="s">
        <v>421</v>
      </c>
      <c r="E359" s="760" t="s">
        <v>18</v>
      </c>
      <c r="F359" s="23"/>
      <c r="G359" s="138"/>
      <c r="H359" s="37" t="s">
        <v>441</v>
      </c>
      <c r="I359" s="33">
        <v>42</v>
      </c>
      <c r="J359" s="34">
        <v>4</v>
      </c>
      <c r="K359" s="35">
        <f>60*0.173</f>
        <v>10.38</v>
      </c>
      <c r="L359" s="22">
        <v>82</v>
      </c>
      <c r="M359" s="34">
        <v>33</v>
      </c>
      <c r="N359" s="36">
        <f>60*0.969</f>
        <v>58.14</v>
      </c>
      <c r="O359" s="32" t="s">
        <v>442</v>
      </c>
      <c r="P359" s="33">
        <v>42</v>
      </c>
      <c r="Q359" s="34">
        <v>4</v>
      </c>
      <c r="R359" s="35">
        <f>60*0.077</f>
        <v>4.62</v>
      </c>
      <c r="S359" s="22">
        <v>82</v>
      </c>
      <c r="T359" s="34">
        <v>33</v>
      </c>
      <c r="U359" s="36">
        <f>60*0.928</f>
        <v>55.68</v>
      </c>
      <c r="V359" s="23">
        <v>4</v>
      </c>
      <c r="W359" s="538">
        <f>345.21-169.4</f>
        <v>175.80999999999997</v>
      </c>
      <c r="X359" s="37">
        <v>2002</v>
      </c>
      <c r="Y359" s="23"/>
      <c r="Z359" s="38"/>
      <c r="AA359" s="23" t="s">
        <v>15</v>
      </c>
      <c r="AB359" s="48">
        <f t="shared" si="49"/>
        <v>3175.1285999999991</v>
      </c>
      <c r="AC359" s="40">
        <f t="shared" si="54"/>
        <v>0.30</v>
      </c>
      <c r="AD359" s="48">
        <f t="shared" si="50"/>
        <v>2222.59</v>
      </c>
      <c r="AE359" s="49">
        <f t="shared" si="51"/>
        <v>0</v>
      </c>
      <c r="AF359" s="189">
        <f t="shared" si="52"/>
        <v>0</v>
      </c>
      <c r="AG359" s="136">
        <f t="shared" si="48"/>
        <v>2222.59</v>
      </c>
      <c r="AH359" s="510">
        <f t="shared" si="47"/>
        <v>2222</v>
      </c>
      <c r="AI359" s="1047"/>
      <c r="AJ359" s="1047"/>
      <c r="AK359" s="1047"/>
    </row>
    <row r="360" spans="1:37" ht="12.7">
      <c r="A360" s="47" t="s">
        <v>11</v>
      </c>
      <c r="B360" s="23" t="s">
        <v>540</v>
      </c>
      <c r="C360" s="467" t="s">
        <v>670</v>
      </c>
      <c r="D360" s="139" t="s">
        <v>421</v>
      </c>
      <c r="E360" s="763" t="s">
        <v>18</v>
      </c>
      <c r="F360" s="51"/>
      <c r="G360" s="309"/>
      <c r="H360" s="57" t="s">
        <v>442</v>
      </c>
      <c r="I360" s="52">
        <v>42</v>
      </c>
      <c r="J360" s="53">
        <v>4</v>
      </c>
      <c r="K360" s="54">
        <f>60*0.077</f>
        <v>4.62</v>
      </c>
      <c r="L360" s="55">
        <v>82</v>
      </c>
      <c r="M360" s="53">
        <v>33</v>
      </c>
      <c r="N360" s="56">
        <f>60*0.928</f>
        <v>55.68</v>
      </c>
      <c r="O360" s="277" t="s">
        <v>443</v>
      </c>
      <c r="P360" s="52">
        <v>42</v>
      </c>
      <c r="Q360" s="53">
        <v>4</v>
      </c>
      <c r="R360" s="54">
        <f>60*0.167</f>
        <v>10.020000000000001</v>
      </c>
      <c r="S360" s="55">
        <v>82</v>
      </c>
      <c r="T360" s="53">
        <v>33</v>
      </c>
      <c r="U360" s="56">
        <f>60*0.93</f>
        <v>55.80</v>
      </c>
      <c r="V360" s="51">
        <v>4</v>
      </c>
      <c r="W360" s="541">
        <f>471.15-345.21</f>
        <v>125.94</v>
      </c>
      <c r="X360" s="57">
        <v>2002</v>
      </c>
      <c r="Y360" s="51"/>
      <c r="Z360" s="58"/>
      <c r="AA360" s="51" t="s">
        <v>15</v>
      </c>
      <c r="AB360" s="59">
        <f t="shared" si="49"/>
        <v>2274.4764</v>
      </c>
      <c r="AC360" s="60">
        <f t="shared" si="54"/>
        <v>0.30</v>
      </c>
      <c r="AD360" s="59">
        <f t="shared" si="50"/>
        <v>1592.13</v>
      </c>
      <c r="AE360" s="61">
        <f t="shared" si="51"/>
        <v>0</v>
      </c>
      <c r="AF360" s="194">
        <f t="shared" si="52"/>
        <v>0</v>
      </c>
      <c r="AG360" s="490">
        <f t="shared" si="48"/>
        <v>1592.13</v>
      </c>
      <c r="AH360" s="511">
        <f t="shared" si="47"/>
        <v>1592</v>
      </c>
      <c r="AI360" s="1048"/>
      <c r="AJ360" s="1048"/>
      <c r="AK360" s="1048"/>
    </row>
    <row r="361" spans="1:37" ht="12.7">
      <c r="A361" s="47" t="s">
        <v>11</v>
      </c>
      <c r="B361" s="23" t="s">
        <v>540</v>
      </c>
      <c r="C361" s="467" t="s">
        <v>670</v>
      </c>
      <c r="D361" s="139" t="s">
        <v>421</v>
      </c>
      <c r="E361" s="762" t="s">
        <v>18</v>
      </c>
      <c r="F361" s="159"/>
      <c r="G361" s="308"/>
      <c r="H361" s="160" t="s">
        <v>444</v>
      </c>
      <c r="I361" s="161">
        <v>42</v>
      </c>
      <c r="J361" s="162">
        <v>5</v>
      </c>
      <c r="K361" s="163">
        <f>60*0.186</f>
        <v>11.16</v>
      </c>
      <c r="L361" s="164">
        <v>82</v>
      </c>
      <c r="M361" s="162">
        <v>36</v>
      </c>
      <c r="N361" s="272">
        <f>60*0.671</f>
        <v>40.260000000000005</v>
      </c>
      <c r="O361" s="271" t="s">
        <v>445</v>
      </c>
      <c r="P361" s="161">
        <v>42</v>
      </c>
      <c r="Q361" s="162">
        <v>5</v>
      </c>
      <c r="R361" s="163">
        <f>60*0.138</f>
        <v>8.2800000000000011</v>
      </c>
      <c r="S361" s="164">
        <v>82</v>
      </c>
      <c r="T361" s="162">
        <v>36</v>
      </c>
      <c r="U361" s="272">
        <f>60*0.628</f>
        <v>37.68</v>
      </c>
      <c r="V361" s="159">
        <v>4</v>
      </c>
      <c r="W361" s="540">
        <v>169.40</v>
      </c>
      <c r="X361" s="160">
        <v>2002</v>
      </c>
      <c r="Y361" s="159"/>
      <c r="Z361" s="273"/>
      <c r="AA361" s="159" t="s">
        <v>15</v>
      </c>
      <c r="AB361" s="274">
        <f t="shared" si="49"/>
        <v>3059.364</v>
      </c>
      <c r="AC361" s="168">
        <f t="shared" si="54"/>
        <v>0.30</v>
      </c>
      <c r="AD361" s="274">
        <f t="shared" si="50"/>
        <v>2141.5500000000002</v>
      </c>
      <c r="AE361" s="275">
        <f t="shared" si="51"/>
        <v>0</v>
      </c>
      <c r="AF361" s="276">
        <f t="shared" si="52"/>
        <v>0</v>
      </c>
      <c r="AG361" s="489">
        <f t="shared" si="48"/>
        <v>2141.5500000000002</v>
      </c>
      <c r="AH361" s="509">
        <f t="shared" si="47"/>
        <v>2141</v>
      </c>
      <c r="AI361" s="1046">
        <v>6.42</v>
      </c>
      <c r="AJ361" s="1046">
        <v>24.66</v>
      </c>
      <c r="AK361" s="1046">
        <v>2.4700000000000002</v>
      </c>
    </row>
    <row r="362" spans="1:37" ht="12.7">
      <c r="A362" s="47" t="s">
        <v>11</v>
      </c>
      <c r="B362" s="23" t="s">
        <v>540</v>
      </c>
      <c r="C362" s="467" t="s">
        <v>670</v>
      </c>
      <c r="D362" s="139" t="s">
        <v>421</v>
      </c>
      <c r="E362" s="760" t="s">
        <v>18</v>
      </c>
      <c r="F362" s="23"/>
      <c r="G362" s="138"/>
      <c r="H362" s="37" t="s">
        <v>445</v>
      </c>
      <c r="I362" s="33">
        <v>42</v>
      </c>
      <c r="J362" s="34">
        <v>5</v>
      </c>
      <c r="K362" s="35">
        <f>60*0.138</f>
        <v>8.2800000000000011</v>
      </c>
      <c r="L362" s="22">
        <v>82</v>
      </c>
      <c r="M362" s="34">
        <v>36</v>
      </c>
      <c r="N362" s="36">
        <f>60*0.628</f>
        <v>37.68</v>
      </c>
      <c r="O362" s="32" t="s">
        <v>446</v>
      </c>
      <c r="P362" s="33">
        <v>42</v>
      </c>
      <c r="Q362" s="34">
        <v>5</v>
      </c>
      <c r="R362" s="35">
        <f>60*0.57</f>
        <v>34.199999999999996</v>
      </c>
      <c r="S362" s="22">
        <v>82</v>
      </c>
      <c r="T362" s="34">
        <v>36</v>
      </c>
      <c r="U362" s="36">
        <f>60*0.6</f>
        <v>36</v>
      </c>
      <c r="V362" s="23">
        <v>4</v>
      </c>
      <c r="W362" s="538">
        <f>2741.62-169.4</f>
        <v>2572.2199999999998</v>
      </c>
      <c r="X362" s="37">
        <v>2002</v>
      </c>
      <c r="Y362" s="23"/>
      <c r="Z362" s="38"/>
      <c r="AA362" s="23" t="s">
        <v>15</v>
      </c>
      <c r="AB362" s="48">
        <f t="shared" si="49"/>
        <v>46454.293199999993</v>
      </c>
      <c r="AC362" s="40">
        <f t="shared" si="54"/>
        <v>0.30</v>
      </c>
      <c r="AD362" s="48">
        <f t="shared" si="50"/>
        <v>32518.01</v>
      </c>
      <c r="AE362" s="49">
        <f t="shared" si="51"/>
        <v>0</v>
      </c>
      <c r="AF362" s="189">
        <f t="shared" si="52"/>
        <v>0</v>
      </c>
      <c r="AG362" s="136">
        <f t="shared" si="48"/>
        <v>32518.01</v>
      </c>
      <c r="AH362" s="510">
        <f t="shared" si="47"/>
        <v>32518</v>
      </c>
      <c r="AI362" s="1047"/>
      <c r="AJ362" s="1047"/>
      <c r="AK362" s="1047"/>
    </row>
    <row r="363" spans="1:37" ht="12.7">
      <c r="A363" s="106" t="s">
        <v>11</v>
      </c>
      <c r="B363" s="23" t="s">
        <v>540</v>
      </c>
      <c r="C363" s="467" t="s">
        <v>670</v>
      </c>
      <c r="D363" s="139" t="s">
        <v>421</v>
      </c>
      <c r="E363" s="763" t="s">
        <v>18</v>
      </c>
      <c r="F363" s="51"/>
      <c r="G363" s="309"/>
      <c r="H363" s="57" t="s">
        <v>446</v>
      </c>
      <c r="I363" s="52">
        <v>42</v>
      </c>
      <c r="J363" s="53">
        <v>5</v>
      </c>
      <c r="K363" s="54">
        <f>60*0.57</f>
        <v>34.199999999999996</v>
      </c>
      <c r="L363" s="55">
        <v>82</v>
      </c>
      <c r="M363" s="53">
        <v>36</v>
      </c>
      <c r="N363" s="56">
        <f>60*0.6</f>
        <v>36</v>
      </c>
      <c r="O363" s="277" t="s">
        <v>447</v>
      </c>
      <c r="P363" s="52">
        <v>42</v>
      </c>
      <c r="Q363" s="53">
        <v>5</v>
      </c>
      <c r="R363" s="54">
        <f>60*0.606</f>
        <v>36.36</v>
      </c>
      <c r="S363" s="55">
        <v>82</v>
      </c>
      <c r="T363" s="53">
        <v>36</v>
      </c>
      <c r="U363" s="56">
        <f>60*0.592</f>
        <v>35.519999999999996</v>
      </c>
      <c r="V363" s="51">
        <v>4</v>
      </c>
      <c r="W363" s="541">
        <f>2782.44-2741.62</f>
        <v>40.820000000000164</v>
      </c>
      <c r="X363" s="57">
        <v>2002</v>
      </c>
      <c r="Y363" s="51"/>
      <c r="Z363" s="58"/>
      <c r="AA363" s="51" t="s">
        <v>15</v>
      </c>
      <c r="AB363" s="59">
        <f t="shared" si="49"/>
        <v>737.20920000000285</v>
      </c>
      <c r="AC363" s="60">
        <f t="shared" si="54"/>
        <v>0.30</v>
      </c>
      <c r="AD363" s="59">
        <f t="shared" si="50"/>
        <v>516.04999999999995</v>
      </c>
      <c r="AE363" s="61">
        <f t="shared" si="51"/>
        <v>0</v>
      </c>
      <c r="AF363" s="194">
        <f t="shared" si="52"/>
        <v>0</v>
      </c>
      <c r="AG363" s="490">
        <f t="shared" si="48"/>
        <v>516.04999999999995</v>
      </c>
      <c r="AH363" s="511">
        <f t="shared" si="47"/>
        <v>516</v>
      </c>
      <c r="AI363" s="1048"/>
      <c r="AJ363" s="1048"/>
      <c r="AK363" s="1048"/>
    </row>
    <row r="364" spans="1:37" ht="12.7">
      <c r="A364" s="106" t="s">
        <v>11</v>
      </c>
      <c r="B364" s="62" t="s">
        <v>540</v>
      </c>
      <c r="C364" s="467" t="s">
        <v>670</v>
      </c>
      <c r="D364" s="290" t="s">
        <v>421</v>
      </c>
      <c r="E364" s="781" t="s">
        <v>18</v>
      </c>
      <c r="F364" s="368" t="s">
        <v>548</v>
      </c>
      <c r="G364" s="369"/>
      <c r="H364" s="370" t="s">
        <v>549</v>
      </c>
      <c r="I364" s="371">
        <v>42</v>
      </c>
      <c r="J364" s="372">
        <v>3</v>
      </c>
      <c r="K364" s="373">
        <f>60*0.712</f>
        <v>42.72</v>
      </c>
      <c r="L364" s="374">
        <v>82</v>
      </c>
      <c r="M364" s="372">
        <v>34</v>
      </c>
      <c r="N364" s="375">
        <f>60*0.372</f>
        <v>22.32</v>
      </c>
      <c r="O364" s="368" t="s">
        <v>550</v>
      </c>
      <c r="P364" s="371">
        <v>42</v>
      </c>
      <c r="Q364" s="372">
        <v>3</v>
      </c>
      <c r="R364" s="373">
        <f>60*0.677</f>
        <v>40.620000000000005</v>
      </c>
      <c r="S364" s="374">
        <v>82</v>
      </c>
      <c r="T364" s="372">
        <v>34</v>
      </c>
      <c r="U364" s="375">
        <f>60*0.351</f>
        <v>21.06</v>
      </c>
      <c r="V364" s="368">
        <v>4</v>
      </c>
      <c r="W364" s="368">
        <v>232</v>
      </c>
      <c r="X364" s="368">
        <v>2005</v>
      </c>
      <c r="Y364" s="368"/>
      <c r="Z364" s="368"/>
      <c r="AA364" s="526" t="s">
        <v>15</v>
      </c>
      <c r="AB364" s="376">
        <f t="shared" si="49"/>
        <v>4189.92</v>
      </c>
      <c r="AC364" s="529">
        <f t="shared" si="54"/>
        <v>0.22</v>
      </c>
      <c r="AD364" s="376">
        <f t="shared" si="50"/>
        <v>3268.14</v>
      </c>
      <c r="AE364" s="377">
        <f t="shared" si="51"/>
        <v>0</v>
      </c>
      <c r="AF364" s="378">
        <f t="shared" si="52"/>
        <v>0</v>
      </c>
      <c r="AG364" s="493">
        <f t="shared" si="48"/>
        <v>3268.14</v>
      </c>
      <c r="AH364" s="506">
        <f t="shared" si="47"/>
        <v>3268</v>
      </c>
      <c r="AI364" s="1044">
        <v>2.52</v>
      </c>
      <c r="AJ364" s="1044">
        <v>14.03</v>
      </c>
      <c r="AK364" s="1044">
        <v>6.71</v>
      </c>
    </row>
    <row r="365" spans="1:37" ht="12.7">
      <c r="A365" s="106" t="s">
        <v>11</v>
      </c>
      <c r="B365" s="62" t="s">
        <v>540</v>
      </c>
      <c r="C365" s="467" t="s">
        <v>670</v>
      </c>
      <c r="D365" s="290" t="s">
        <v>421</v>
      </c>
      <c r="E365" s="782" t="s">
        <v>18</v>
      </c>
      <c r="F365" s="379" t="s">
        <v>548</v>
      </c>
      <c r="G365" s="380"/>
      <c r="H365" s="381" t="s">
        <v>550</v>
      </c>
      <c r="I365" s="382">
        <v>42</v>
      </c>
      <c r="J365" s="383">
        <v>3</v>
      </c>
      <c r="K365" s="384">
        <f>60*0.677</f>
        <v>40.620000000000005</v>
      </c>
      <c r="L365" s="385">
        <v>82</v>
      </c>
      <c r="M365" s="383">
        <v>34</v>
      </c>
      <c r="N365" s="386">
        <f>60*0.351</f>
        <v>21.06</v>
      </c>
      <c r="O365" s="379" t="s">
        <v>551</v>
      </c>
      <c r="P365" s="382">
        <v>42</v>
      </c>
      <c r="Q365" s="383">
        <v>3</v>
      </c>
      <c r="R365" s="384">
        <f>60*0.574</f>
        <v>34.44</v>
      </c>
      <c r="S365" s="385">
        <v>82</v>
      </c>
      <c r="T365" s="383">
        <v>34</v>
      </c>
      <c r="U365" s="386">
        <f>60*0.364</f>
        <v>21.84</v>
      </c>
      <c r="V365" s="379">
        <v>4</v>
      </c>
      <c r="W365" s="379">
        <v>628</v>
      </c>
      <c r="X365" s="379">
        <v>2005</v>
      </c>
      <c r="Y365" s="379"/>
      <c r="Z365" s="379"/>
      <c r="AA365" s="527" t="s">
        <v>15</v>
      </c>
      <c r="AB365" s="387">
        <f t="shared" si="49"/>
        <v>11341.679999999998</v>
      </c>
      <c r="AC365" s="530">
        <f t="shared" si="54"/>
        <v>0.22</v>
      </c>
      <c r="AD365" s="387">
        <f t="shared" si="50"/>
        <v>8846.51</v>
      </c>
      <c r="AE365" s="388">
        <f t="shared" si="51"/>
        <v>0</v>
      </c>
      <c r="AF365" s="389">
        <f t="shared" si="52"/>
        <v>0</v>
      </c>
      <c r="AG365" s="494">
        <f t="shared" si="48"/>
        <v>8846.51</v>
      </c>
      <c r="AH365" s="507">
        <f t="shared" si="47"/>
        <v>8846</v>
      </c>
      <c r="AI365" s="1044"/>
      <c r="AJ365" s="1044"/>
      <c r="AK365" s="1044"/>
    </row>
    <row r="366" spans="1:37" ht="12.7">
      <c r="A366" s="106" t="s">
        <v>11</v>
      </c>
      <c r="B366" s="62" t="s">
        <v>540</v>
      </c>
      <c r="C366" s="467" t="s">
        <v>670</v>
      </c>
      <c r="D366" s="290" t="s">
        <v>421</v>
      </c>
      <c r="E366" s="782" t="s">
        <v>18</v>
      </c>
      <c r="F366" s="379" t="s">
        <v>548</v>
      </c>
      <c r="G366" s="380"/>
      <c r="H366" s="381" t="s">
        <v>551</v>
      </c>
      <c r="I366" s="382">
        <v>42</v>
      </c>
      <c r="J366" s="383">
        <v>3</v>
      </c>
      <c r="K366" s="384">
        <f>60*0.574</f>
        <v>34.44</v>
      </c>
      <c r="L366" s="385">
        <v>82</v>
      </c>
      <c r="M366" s="383">
        <v>34</v>
      </c>
      <c r="N366" s="386">
        <f>60*0.364</f>
        <v>21.84</v>
      </c>
      <c r="O366" s="379" t="s">
        <v>552</v>
      </c>
      <c r="P366" s="382">
        <v>42</v>
      </c>
      <c r="Q366" s="383">
        <v>3</v>
      </c>
      <c r="R366" s="384">
        <f>60*0.07</f>
        <v>4.20</v>
      </c>
      <c r="S366" s="385">
        <v>82</v>
      </c>
      <c r="T366" s="383">
        <v>34</v>
      </c>
      <c r="U366" s="386">
        <f>60*0.39</f>
        <v>23.40</v>
      </c>
      <c r="V366" s="379">
        <v>4</v>
      </c>
      <c r="W366" s="379">
        <v>3060</v>
      </c>
      <c r="X366" s="379">
        <v>2005</v>
      </c>
      <c r="Y366" s="379"/>
      <c r="Z366" s="379"/>
      <c r="AA366" s="527" t="s">
        <v>15</v>
      </c>
      <c r="AB366" s="387">
        <f t="shared" si="49"/>
        <v>55263.60</v>
      </c>
      <c r="AC366" s="530">
        <f t="shared" si="54"/>
        <v>0.22</v>
      </c>
      <c r="AD366" s="387">
        <f t="shared" si="50"/>
        <v>43105.61</v>
      </c>
      <c r="AE366" s="388">
        <f t="shared" si="51"/>
        <v>0</v>
      </c>
      <c r="AF366" s="389">
        <f t="shared" si="52"/>
        <v>0</v>
      </c>
      <c r="AG366" s="494">
        <f t="shared" si="48"/>
        <v>43105.61</v>
      </c>
      <c r="AH366" s="507">
        <f t="shared" si="47"/>
        <v>43105</v>
      </c>
      <c r="AI366" s="1044"/>
      <c r="AJ366" s="1044"/>
      <c r="AK366" s="1044"/>
    </row>
    <row r="367" spans="1:37" ht="12.7">
      <c r="A367" s="106" t="s">
        <v>11</v>
      </c>
      <c r="B367" s="62" t="s">
        <v>540</v>
      </c>
      <c r="C367" s="467" t="s">
        <v>670</v>
      </c>
      <c r="D367" s="290" t="s">
        <v>421</v>
      </c>
      <c r="E367" s="783" t="s">
        <v>18</v>
      </c>
      <c r="F367" s="390" t="s">
        <v>548</v>
      </c>
      <c r="G367" s="391"/>
      <c r="H367" s="392" t="s">
        <v>552</v>
      </c>
      <c r="I367" s="393">
        <v>42</v>
      </c>
      <c r="J367" s="394">
        <v>3</v>
      </c>
      <c r="K367" s="395">
        <f>60*0.07</f>
        <v>4.20</v>
      </c>
      <c r="L367" s="396">
        <v>82</v>
      </c>
      <c r="M367" s="394">
        <v>34</v>
      </c>
      <c r="N367" s="397">
        <f>60*0.39</f>
        <v>23.40</v>
      </c>
      <c r="O367" s="390" t="s">
        <v>553</v>
      </c>
      <c r="P367" s="393">
        <v>42</v>
      </c>
      <c r="Q367" s="394">
        <v>3</v>
      </c>
      <c r="R367" s="395">
        <f>60*0.006</f>
        <v>0.36</v>
      </c>
      <c r="S367" s="396">
        <v>82</v>
      </c>
      <c r="T367" s="394">
        <v>34</v>
      </c>
      <c r="U367" s="397">
        <f>60*0.4</f>
        <v>24</v>
      </c>
      <c r="V367" s="390">
        <v>4</v>
      </c>
      <c r="W367" s="390">
        <v>391</v>
      </c>
      <c r="X367" s="390">
        <v>2005</v>
      </c>
      <c r="Y367" s="390"/>
      <c r="Z367" s="390"/>
      <c r="AA367" s="528" t="s">
        <v>15</v>
      </c>
      <c r="AB367" s="398">
        <f t="shared" si="49"/>
        <v>7061.4599999999991</v>
      </c>
      <c r="AC367" s="531">
        <f t="shared" si="54"/>
        <v>0.22</v>
      </c>
      <c r="AD367" s="398">
        <f t="shared" si="50"/>
        <v>5507.94</v>
      </c>
      <c r="AE367" s="399">
        <f t="shared" si="51"/>
        <v>0</v>
      </c>
      <c r="AF367" s="400">
        <f t="shared" si="52"/>
        <v>0</v>
      </c>
      <c r="AG367" s="495">
        <f t="shared" si="48"/>
        <v>5507.94</v>
      </c>
      <c r="AH367" s="508">
        <f t="shared" si="47"/>
        <v>5507</v>
      </c>
      <c r="AI367" s="1044"/>
      <c r="AJ367" s="1044"/>
      <c r="AK367" s="1044"/>
    </row>
    <row r="368" spans="1:37" ht="12.7">
      <c r="A368" s="106" t="s">
        <v>11</v>
      </c>
      <c r="B368" s="62" t="s">
        <v>540</v>
      </c>
      <c r="C368" s="467" t="s">
        <v>670</v>
      </c>
      <c r="D368" s="290" t="s">
        <v>421</v>
      </c>
      <c r="E368" s="781" t="s">
        <v>18</v>
      </c>
      <c r="F368" s="368" t="s">
        <v>548</v>
      </c>
      <c r="G368" s="369"/>
      <c r="H368" s="370" t="s">
        <v>566</v>
      </c>
      <c r="I368" s="371">
        <v>42</v>
      </c>
      <c r="J368" s="372">
        <v>4</v>
      </c>
      <c r="K368" s="373">
        <f>60*0.972</f>
        <v>58.32</v>
      </c>
      <c r="L368" s="374">
        <v>82</v>
      </c>
      <c r="M368" s="372">
        <v>35</v>
      </c>
      <c r="N368" s="375">
        <f>60*0.541</f>
        <v>32.46</v>
      </c>
      <c r="O368" s="368" t="s">
        <v>567</v>
      </c>
      <c r="P368" s="371">
        <v>42</v>
      </c>
      <c r="Q368" s="372">
        <v>4</v>
      </c>
      <c r="R368" s="373">
        <f>60*0.975</f>
        <v>58.50</v>
      </c>
      <c r="S368" s="374">
        <v>82</v>
      </c>
      <c r="T368" s="372">
        <v>35</v>
      </c>
      <c r="U368" s="375">
        <f>60*0.552</f>
        <v>33.120000000000005</v>
      </c>
      <c r="V368" s="368">
        <v>4</v>
      </c>
      <c r="W368" s="368">
        <v>53</v>
      </c>
      <c r="X368" s="368">
        <v>2005</v>
      </c>
      <c r="Y368" s="368"/>
      <c r="Z368" s="368"/>
      <c r="AA368" s="526" t="s">
        <v>15</v>
      </c>
      <c r="AB368" s="376">
        <f t="shared" si="49"/>
        <v>957.18</v>
      </c>
      <c r="AC368" s="529">
        <f t="shared" si="54"/>
        <v>0.22</v>
      </c>
      <c r="AD368" s="376">
        <f t="shared" si="50"/>
        <v>746.60</v>
      </c>
      <c r="AE368" s="377">
        <f t="shared" si="51"/>
        <v>0</v>
      </c>
      <c r="AF368" s="378">
        <f t="shared" si="52"/>
        <v>0</v>
      </c>
      <c r="AG368" s="493">
        <f t="shared" si="48"/>
        <v>746.60</v>
      </c>
      <c r="AH368" s="506">
        <f>ROUNDDOWN(AG368,0)</f>
        <v>746</v>
      </c>
      <c r="AI368" s="1044">
        <v>4.6500000000000004</v>
      </c>
      <c r="AJ368" s="1044">
        <v>8.3000000000000007</v>
      </c>
      <c r="AK368" s="1044">
        <v>6.36</v>
      </c>
    </row>
    <row r="369" spans="1:37" ht="12.7">
      <c r="A369" s="106" t="s">
        <v>11</v>
      </c>
      <c r="B369" s="62" t="s">
        <v>540</v>
      </c>
      <c r="C369" s="467" t="s">
        <v>670</v>
      </c>
      <c r="D369" s="290" t="s">
        <v>421</v>
      </c>
      <c r="E369" s="782" t="s">
        <v>18</v>
      </c>
      <c r="F369" s="379" t="s">
        <v>548</v>
      </c>
      <c r="G369" s="380"/>
      <c r="H369" s="381" t="s">
        <v>567</v>
      </c>
      <c r="I369" s="382">
        <v>42</v>
      </c>
      <c r="J369" s="383">
        <v>4</v>
      </c>
      <c r="K369" s="384">
        <f>60*0.975</f>
        <v>58.50</v>
      </c>
      <c r="L369" s="385">
        <v>82</v>
      </c>
      <c r="M369" s="383">
        <v>35</v>
      </c>
      <c r="N369" s="386">
        <f>60*0.552</f>
        <v>33.120000000000005</v>
      </c>
      <c r="O369" s="379" t="s">
        <v>568</v>
      </c>
      <c r="P369" s="382">
        <v>42</v>
      </c>
      <c r="Q369" s="383">
        <v>4</v>
      </c>
      <c r="R369" s="384">
        <f>60*0.896</f>
        <v>53.76</v>
      </c>
      <c r="S369" s="385">
        <v>82</v>
      </c>
      <c r="T369" s="383">
        <v>35</v>
      </c>
      <c r="U369" s="386">
        <f>60*0.56</f>
        <v>33.60</v>
      </c>
      <c r="V369" s="379">
        <v>4</v>
      </c>
      <c r="W369" s="379">
        <v>481</v>
      </c>
      <c r="X369" s="379">
        <v>2005</v>
      </c>
      <c r="Y369" s="379"/>
      <c r="Z369" s="379"/>
      <c r="AA369" s="527" t="s">
        <v>15</v>
      </c>
      <c r="AB369" s="387">
        <f t="shared" si="49"/>
        <v>8686.8599999999988</v>
      </c>
      <c r="AC369" s="530">
        <f t="shared" si="54"/>
        <v>0.22</v>
      </c>
      <c r="AD369" s="387">
        <f t="shared" si="50"/>
        <v>6775.75</v>
      </c>
      <c r="AE369" s="388">
        <f t="shared" si="51"/>
        <v>0</v>
      </c>
      <c r="AF369" s="389">
        <f t="shared" si="52"/>
        <v>0</v>
      </c>
      <c r="AG369" s="494">
        <f t="shared" si="48"/>
        <v>6775.75</v>
      </c>
      <c r="AH369" s="507">
        <f t="shared" si="55" ref="AH369:AH431">ROUNDDOWN(AG369,0)</f>
        <v>6775</v>
      </c>
      <c r="AI369" s="1044"/>
      <c r="AJ369" s="1044"/>
      <c r="AK369" s="1044"/>
    </row>
    <row r="370" spans="1:37" ht="12.7">
      <c r="A370" s="106" t="s">
        <v>11</v>
      </c>
      <c r="B370" s="62" t="s">
        <v>540</v>
      </c>
      <c r="C370" s="467" t="s">
        <v>670</v>
      </c>
      <c r="D370" s="290" t="s">
        <v>421</v>
      </c>
      <c r="E370" s="782" t="s">
        <v>18</v>
      </c>
      <c r="F370" s="379" t="s">
        <v>548</v>
      </c>
      <c r="G370" s="380"/>
      <c r="H370" s="381" t="s">
        <v>568</v>
      </c>
      <c r="I370" s="382">
        <v>42</v>
      </c>
      <c r="J370" s="383">
        <v>4</v>
      </c>
      <c r="K370" s="384">
        <f>60*0.896</f>
        <v>53.76</v>
      </c>
      <c r="L370" s="385">
        <v>82</v>
      </c>
      <c r="M370" s="383">
        <v>35</v>
      </c>
      <c r="N370" s="386">
        <f>60*0.56</f>
        <v>33.60</v>
      </c>
      <c r="O370" s="379" t="s">
        <v>569</v>
      </c>
      <c r="P370" s="382">
        <v>42</v>
      </c>
      <c r="Q370" s="383">
        <v>4</v>
      </c>
      <c r="R370" s="384">
        <f>60*0.844</f>
        <v>50.64</v>
      </c>
      <c r="S370" s="385">
        <v>82</v>
      </c>
      <c r="T370" s="383">
        <v>35</v>
      </c>
      <c r="U370" s="386">
        <f>60*0.548</f>
        <v>32.880000000000003</v>
      </c>
      <c r="V370" s="379">
        <v>4</v>
      </c>
      <c r="W370" s="379">
        <v>320</v>
      </c>
      <c r="X370" s="379">
        <v>2005</v>
      </c>
      <c r="Y370" s="379"/>
      <c r="Z370" s="379"/>
      <c r="AA370" s="527" t="s">
        <v>15</v>
      </c>
      <c r="AB370" s="387">
        <f t="shared" si="49"/>
        <v>5779.20</v>
      </c>
      <c r="AC370" s="530">
        <f t="shared" si="54"/>
        <v>0.22</v>
      </c>
      <c r="AD370" s="387">
        <f t="shared" si="50"/>
        <v>4507.78</v>
      </c>
      <c r="AE370" s="388">
        <f t="shared" si="51"/>
        <v>0</v>
      </c>
      <c r="AF370" s="389">
        <f t="shared" si="52"/>
        <v>0</v>
      </c>
      <c r="AG370" s="494">
        <f t="shared" si="48"/>
        <v>4507.78</v>
      </c>
      <c r="AH370" s="507">
        <f t="shared" si="55"/>
        <v>4507</v>
      </c>
      <c r="AI370" s="1044"/>
      <c r="AJ370" s="1044"/>
      <c r="AK370" s="1044"/>
    </row>
    <row r="371" spans="1:37" ht="12.7">
      <c r="A371" s="106" t="s">
        <v>11</v>
      </c>
      <c r="B371" s="62" t="s">
        <v>540</v>
      </c>
      <c r="C371" s="467" t="s">
        <v>670</v>
      </c>
      <c r="D371" s="290" t="s">
        <v>421</v>
      </c>
      <c r="E371" s="783" t="s">
        <v>18</v>
      </c>
      <c r="F371" s="390" t="s">
        <v>548</v>
      </c>
      <c r="G371" s="391"/>
      <c r="H371" s="392" t="s">
        <v>569</v>
      </c>
      <c r="I371" s="393">
        <v>42</v>
      </c>
      <c r="J371" s="394">
        <v>4</v>
      </c>
      <c r="K371" s="395">
        <f>60*0.844</f>
        <v>50.64</v>
      </c>
      <c r="L371" s="396">
        <v>82</v>
      </c>
      <c r="M371" s="394">
        <v>35</v>
      </c>
      <c r="N371" s="397">
        <f>60*0.548</f>
        <v>32.880000000000003</v>
      </c>
      <c r="O371" s="390" t="s">
        <v>138</v>
      </c>
      <c r="P371" s="393">
        <v>42</v>
      </c>
      <c r="Q371" s="394">
        <v>4</v>
      </c>
      <c r="R371" s="395">
        <f>60*0.659</f>
        <v>39.54</v>
      </c>
      <c r="S371" s="396">
        <v>82</v>
      </c>
      <c r="T371" s="394">
        <v>35</v>
      </c>
      <c r="U371" s="397">
        <f>60*0.55</f>
        <v>33</v>
      </c>
      <c r="V371" s="390">
        <v>4</v>
      </c>
      <c r="W371" s="390">
        <v>1122</v>
      </c>
      <c r="X371" s="390">
        <v>2005</v>
      </c>
      <c r="Y371" s="390"/>
      <c r="Z371" s="390"/>
      <c r="AA371" s="528" t="s">
        <v>15</v>
      </c>
      <c r="AB371" s="398">
        <f t="shared" si="49"/>
        <v>20263.32</v>
      </c>
      <c r="AC371" s="531">
        <f t="shared" si="54"/>
        <v>0.22</v>
      </c>
      <c r="AD371" s="398">
        <f t="shared" si="50"/>
        <v>15805.39</v>
      </c>
      <c r="AE371" s="399">
        <f t="shared" si="51"/>
        <v>0</v>
      </c>
      <c r="AF371" s="400">
        <f t="shared" si="52"/>
        <v>0</v>
      </c>
      <c r="AG371" s="495">
        <f t="shared" si="48"/>
        <v>15805.39</v>
      </c>
      <c r="AH371" s="508">
        <f t="shared" si="55"/>
        <v>15805</v>
      </c>
      <c r="AI371" s="1044"/>
      <c r="AJ371" s="1044"/>
      <c r="AK371" s="1044"/>
    </row>
    <row r="372" spans="1:37" ht="12.7">
      <c r="A372" s="47" t="s">
        <v>11</v>
      </c>
      <c r="B372" s="23" t="s">
        <v>540</v>
      </c>
      <c r="C372" s="467" t="s">
        <v>671</v>
      </c>
      <c r="D372" s="139" t="s">
        <v>421</v>
      </c>
      <c r="E372" s="778" t="s">
        <v>422</v>
      </c>
      <c r="F372" s="249" t="s">
        <v>579</v>
      </c>
      <c r="G372" s="315"/>
      <c r="H372" s="347" t="s">
        <v>423</v>
      </c>
      <c r="I372" s="250">
        <v>42</v>
      </c>
      <c r="J372" s="251">
        <v>14</v>
      </c>
      <c r="K372" s="252">
        <f>60*0.828</f>
        <v>49.68</v>
      </c>
      <c r="L372" s="253">
        <v>82</v>
      </c>
      <c r="M372" s="251">
        <v>41</v>
      </c>
      <c r="N372" s="348">
        <f>60*0.018</f>
        <v>1.0799999999999998</v>
      </c>
      <c r="O372" s="349" t="s">
        <v>424</v>
      </c>
      <c r="P372" s="250">
        <v>42</v>
      </c>
      <c r="Q372" s="251">
        <v>14</v>
      </c>
      <c r="R372" s="252">
        <f>60*0.989</f>
        <v>59.34</v>
      </c>
      <c r="S372" s="253">
        <v>82</v>
      </c>
      <c r="T372" s="251">
        <v>41</v>
      </c>
      <c r="U372" s="348">
        <f>60*0.057</f>
        <v>3.42</v>
      </c>
      <c r="V372" s="249">
        <v>4</v>
      </c>
      <c r="W372" s="550">
        <v>947.44</v>
      </c>
      <c r="X372" s="291">
        <v>1994</v>
      </c>
      <c r="Y372" s="249"/>
      <c r="Z372" s="350"/>
      <c r="AA372" s="249" t="s">
        <v>31</v>
      </c>
      <c r="AB372" s="351">
        <f t="shared" si="56" ref="AB372:AB380">IF(G372="ABAND",0,(IF(AA372="steel",VLOOKUP(V372,steelrates,2,FALSE)*W372,VLOOKUP(V372,plasticrates,2,FALSE)*W372)))</f>
        <v>33785.710399999996</v>
      </c>
      <c r="AC372" s="257">
        <f t="shared" si="57" ref="AC372:AC380">IF(X372=0,0,(VLOOKUP(X372,depreciation,2,)))</f>
        <v>0.49</v>
      </c>
      <c r="AD372" s="351">
        <f t="shared" si="50"/>
        <v>17230.71</v>
      </c>
      <c r="AE372" s="352">
        <f t="shared" si="51"/>
        <v>0</v>
      </c>
      <c r="AF372" s="353">
        <f t="shared" si="52"/>
        <v>0</v>
      </c>
      <c r="AG372" s="489">
        <f t="shared" si="48"/>
        <v>17230.71</v>
      </c>
      <c r="AH372" s="509">
        <f t="shared" si="55"/>
        <v>17230</v>
      </c>
      <c r="AI372" s="1064" t="s">
        <v>624</v>
      </c>
      <c r="AJ372" s="1062"/>
      <c r="AK372" s="1063"/>
    </row>
    <row r="373" spans="1:37" ht="12.7">
      <c r="A373" s="47" t="s">
        <v>11</v>
      </c>
      <c r="B373" s="23" t="s">
        <v>540</v>
      </c>
      <c r="C373" s="467" t="s">
        <v>671</v>
      </c>
      <c r="D373" s="139" t="s">
        <v>421</v>
      </c>
      <c r="E373" s="770" t="s">
        <v>422</v>
      </c>
      <c r="F373" s="218" t="s">
        <v>579</v>
      </c>
      <c r="G373" s="311"/>
      <c r="H373" s="361" t="s">
        <v>424</v>
      </c>
      <c r="I373" s="219">
        <v>42</v>
      </c>
      <c r="J373" s="220">
        <v>14</v>
      </c>
      <c r="K373" s="221">
        <f>60*0.989</f>
        <v>59.34</v>
      </c>
      <c r="L373" s="222">
        <v>82</v>
      </c>
      <c r="M373" s="220">
        <v>41</v>
      </c>
      <c r="N373" s="362">
        <f>60*0.057</f>
        <v>3.42</v>
      </c>
      <c r="O373" s="363" t="s">
        <v>425</v>
      </c>
      <c r="P373" s="219">
        <v>42</v>
      </c>
      <c r="Q373" s="220">
        <v>15</v>
      </c>
      <c r="R373" s="221">
        <f>60*0.012</f>
        <v>0.72</v>
      </c>
      <c r="S373" s="222">
        <v>82</v>
      </c>
      <c r="T373" s="220">
        <v>41</v>
      </c>
      <c r="U373" s="362">
        <f>60*0.527</f>
        <v>31.62</v>
      </c>
      <c r="V373" s="218">
        <v>4</v>
      </c>
      <c r="W373" s="544">
        <f>3261.35-947.44</f>
        <v>2313.91</v>
      </c>
      <c r="X373" s="292">
        <v>1994</v>
      </c>
      <c r="Y373" s="218"/>
      <c r="Z373" s="364"/>
      <c r="AA373" s="218" t="s">
        <v>31</v>
      </c>
      <c r="AB373" s="365">
        <f t="shared" si="56"/>
        <v>82514.030599999984</v>
      </c>
      <c r="AC373" s="227">
        <f t="shared" si="57"/>
        <v>0.49</v>
      </c>
      <c r="AD373" s="365">
        <f t="shared" si="50"/>
        <v>42082.16</v>
      </c>
      <c r="AE373" s="366">
        <f t="shared" si="51"/>
        <v>0</v>
      </c>
      <c r="AF373" s="367">
        <f t="shared" si="52"/>
        <v>0</v>
      </c>
      <c r="AG373" s="136">
        <f t="shared" si="48"/>
        <v>42082.16</v>
      </c>
      <c r="AH373" s="510">
        <f t="shared" si="55"/>
        <v>42082</v>
      </c>
      <c r="AI373" s="1061"/>
      <c r="AJ373" s="1062"/>
      <c r="AK373" s="1063"/>
    </row>
    <row r="374" spans="1:37" ht="12.7">
      <c r="A374" s="47" t="s">
        <v>11</v>
      </c>
      <c r="B374" s="23" t="s">
        <v>540</v>
      </c>
      <c r="C374" s="467" t="s">
        <v>671</v>
      </c>
      <c r="D374" s="139" t="s">
        <v>421</v>
      </c>
      <c r="E374" s="779" t="s">
        <v>422</v>
      </c>
      <c r="F374" s="294" t="s">
        <v>579</v>
      </c>
      <c r="G374" s="316"/>
      <c r="H374" s="354" t="s">
        <v>425</v>
      </c>
      <c r="I374" s="296">
        <v>42</v>
      </c>
      <c r="J374" s="297">
        <v>15</v>
      </c>
      <c r="K374" s="298">
        <f>60*0.012</f>
        <v>0.72</v>
      </c>
      <c r="L374" s="299">
        <v>82</v>
      </c>
      <c r="M374" s="297">
        <v>41</v>
      </c>
      <c r="N374" s="355">
        <f>60*0.527</f>
        <v>31.62</v>
      </c>
      <c r="O374" s="356" t="s">
        <v>426</v>
      </c>
      <c r="P374" s="296">
        <v>42</v>
      </c>
      <c r="Q374" s="297">
        <v>15</v>
      </c>
      <c r="R374" s="298">
        <f>60*0.087</f>
        <v>5.22</v>
      </c>
      <c r="S374" s="299">
        <v>82</v>
      </c>
      <c r="T374" s="297">
        <v>41</v>
      </c>
      <c r="U374" s="355">
        <f>60*0.526</f>
        <v>31.56</v>
      </c>
      <c r="V374" s="294">
        <v>4</v>
      </c>
      <c r="W374" s="551">
        <f>3730.81-3261.35</f>
        <v>469.46000000000004</v>
      </c>
      <c r="X374" s="295">
        <v>1994</v>
      </c>
      <c r="Y374" s="294"/>
      <c r="Z374" s="357"/>
      <c r="AA374" s="294" t="s">
        <v>31</v>
      </c>
      <c r="AB374" s="358">
        <f t="shared" si="56"/>
        <v>16740.943599999999</v>
      </c>
      <c r="AC374" s="304">
        <f t="shared" si="57"/>
        <v>0.49</v>
      </c>
      <c r="AD374" s="358">
        <f t="shared" si="50"/>
        <v>8537.8799999999992</v>
      </c>
      <c r="AE374" s="359">
        <f t="shared" si="51"/>
        <v>0</v>
      </c>
      <c r="AF374" s="360">
        <f t="shared" si="52"/>
        <v>0</v>
      </c>
      <c r="AG374" s="490">
        <f t="shared" si="58" ref="AG374:AG437">AD374-AE374-AF374</f>
        <v>8537.8799999999992</v>
      </c>
      <c r="AH374" s="511">
        <f t="shared" si="55"/>
        <v>8537</v>
      </c>
      <c r="AI374" s="1061"/>
      <c r="AJ374" s="1062"/>
      <c r="AK374" s="1063"/>
    </row>
    <row r="375" spans="1:37" ht="12.7">
      <c r="A375" s="47" t="s">
        <v>11</v>
      </c>
      <c r="B375" s="23" t="s">
        <v>540</v>
      </c>
      <c r="C375" s="467" t="s">
        <v>671</v>
      </c>
      <c r="D375" s="139" t="s">
        <v>421</v>
      </c>
      <c r="E375" s="778" t="s">
        <v>422</v>
      </c>
      <c r="F375" s="249" t="s">
        <v>580</v>
      </c>
      <c r="G375" s="315"/>
      <c r="H375" s="347" t="s">
        <v>427</v>
      </c>
      <c r="I375" s="250">
        <v>42</v>
      </c>
      <c r="J375" s="251">
        <v>14</v>
      </c>
      <c r="K375" s="252">
        <f>60*0.72</f>
        <v>43.20</v>
      </c>
      <c r="L375" s="253">
        <v>82</v>
      </c>
      <c r="M375" s="251">
        <v>39</v>
      </c>
      <c r="N375" s="348">
        <f>60*0.689</f>
        <v>41.34</v>
      </c>
      <c r="O375" s="349" t="s">
        <v>428</v>
      </c>
      <c r="P375" s="250">
        <v>42</v>
      </c>
      <c r="Q375" s="251">
        <v>14</v>
      </c>
      <c r="R375" s="252">
        <f>60*0.891</f>
        <v>53.46</v>
      </c>
      <c r="S375" s="253">
        <v>82</v>
      </c>
      <c r="T375" s="251">
        <v>39</v>
      </c>
      <c r="U375" s="348">
        <f>60*0.625</f>
        <v>37.50</v>
      </c>
      <c r="V375" s="249">
        <v>4</v>
      </c>
      <c r="W375" s="550">
        <v>1011.09</v>
      </c>
      <c r="X375" s="291">
        <v>1994</v>
      </c>
      <c r="Y375" s="249"/>
      <c r="Z375" s="350"/>
      <c r="AA375" s="249" t="s">
        <v>31</v>
      </c>
      <c r="AB375" s="351">
        <f t="shared" si="56"/>
        <v>36055.469399999994</v>
      </c>
      <c r="AC375" s="257">
        <f t="shared" si="57"/>
        <v>0.49</v>
      </c>
      <c r="AD375" s="351">
        <f t="shared" si="50"/>
        <v>18388.29</v>
      </c>
      <c r="AE375" s="352">
        <f t="shared" si="51"/>
        <v>0</v>
      </c>
      <c r="AF375" s="353">
        <f t="shared" si="52"/>
        <v>0</v>
      </c>
      <c r="AG375" s="496">
        <f t="shared" si="58"/>
        <v>18388.29</v>
      </c>
      <c r="AH375" s="512">
        <f t="shared" si="55"/>
        <v>18388</v>
      </c>
      <c r="AI375" s="1044">
        <v>3.52</v>
      </c>
      <c r="AJ375" s="1044">
        <v>17.170000000000002</v>
      </c>
      <c r="AK375" s="1045" t="s">
        <v>609</v>
      </c>
    </row>
    <row r="376" spans="1:37" ht="12.7">
      <c r="A376" s="47" t="s">
        <v>11</v>
      </c>
      <c r="B376" s="23" t="s">
        <v>540</v>
      </c>
      <c r="C376" s="467" t="s">
        <v>671</v>
      </c>
      <c r="D376" s="139" t="s">
        <v>421</v>
      </c>
      <c r="E376" s="770" t="s">
        <v>422</v>
      </c>
      <c r="F376" s="218" t="s">
        <v>580</v>
      </c>
      <c r="G376" s="311"/>
      <c r="H376" s="361" t="s">
        <v>428</v>
      </c>
      <c r="I376" s="219">
        <v>42</v>
      </c>
      <c r="J376" s="220">
        <v>14</v>
      </c>
      <c r="K376" s="220">
        <v>14</v>
      </c>
      <c r="L376" s="222">
        <v>82</v>
      </c>
      <c r="M376" s="220">
        <v>39</v>
      </c>
      <c r="N376" s="362">
        <f>60*0.625</f>
        <v>37.50</v>
      </c>
      <c r="O376" s="363" t="s">
        <v>429</v>
      </c>
      <c r="P376" s="219">
        <v>42</v>
      </c>
      <c r="Q376" s="220">
        <v>14</v>
      </c>
      <c r="R376" s="221">
        <f>60*0.887</f>
        <v>53.22</v>
      </c>
      <c r="S376" s="222">
        <v>82</v>
      </c>
      <c r="T376" s="220">
        <v>39</v>
      </c>
      <c r="U376" s="362">
        <f>60*0.686</f>
        <v>41.16</v>
      </c>
      <c r="V376" s="218">
        <v>4</v>
      </c>
      <c r="W376" s="544">
        <f>1054.79-1011.09</f>
        <v>43.699999999999932</v>
      </c>
      <c r="X376" s="292">
        <v>1994</v>
      </c>
      <c r="Y376" s="218"/>
      <c r="Z376" s="364"/>
      <c r="AA376" s="218" t="s">
        <v>31</v>
      </c>
      <c r="AB376" s="365">
        <f t="shared" si="56"/>
        <v>1558.3419999999974</v>
      </c>
      <c r="AC376" s="227">
        <f t="shared" si="57"/>
        <v>0.49</v>
      </c>
      <c r="AD376" s="365">
        <f t="shared" si="50"/>
        <v>794.75</v>
      </c>
      <c r="AE376" s="366">
        <f t="shared" si="51"/>
        <v>0</v>
      </c>
      <c r="AF376" s="367">
        <f t="shared" si="52"/>
        <v>0</v>
      </c>
      <c r="AG376" s="497">
        <f t="shared" si="58"/>
        <v>794.75</v>
      </c>
      <c r="AH376" s="513">
        <f t="shared" si="55"/>
        <v>794</v>
      </c>
      <c r="AI376" s="1044"/>
      <c r="AJ376" s="1044"/>
      <c r="AK376" s="1044"/>
    </row>
    <row r="377" spans="1:37" ht="12.7">
      <c r="A377" s="47" t="s">
        <v>11</v>
      </c>
      <c r="B377" s="23" t="s">
        <v>540</v>
      </c>
      <c r="C377" s="467" t="s">
        <v>671</v>
      </c>
      <c r="D377" s="139" t="s">
        <v>421</v>
      </c>
      <c r="E377" s="770" t="s">
        <v>422</v>
      </c>
      <c r="F377" s="218" t="s">
        <v>580</v>
      </c>
      <c r="G377" s="311"/>
      <c r="H377" s="361" t="s">
        <v>429</v>
      </c>
      <c r="I377" s="219">
        <v>42</v>
      </c>
      <c r="J377" s="220">
        <v>14</v>
      </c>
      <c r="K377" s="221">
        <f>60*0.887</f>
        <v>53.22</v>
      </c>
      <c r="L377" s="222">
        <v>82</v>
      </c>
      <c r="M377" s="220">
        <v>39</v>
      </c>
      <c r="N377" s="362">
        <f>60*0.686</f>
        <v>41.16</v>
      </c>
      <c r="O377" s="363" t="s">
        <v>430</v>
      </c>
      <c r="P377" s="219">
        <v>42</v>
      </c>
      <c r="Q377" s="220">
        <v>15</v>
      </c>
      <c r="R377" s="221">
        <f>60*0.147</f>
        <v>8.82</v>
      </c>
      <c r="S377" s="222">
        <v>82</v>
      </c>
      <c r="T377" s="220">
        <v>39</v>
      </c>
      <c r="U377" s="362">
        <f>60*0.703</f>
        <v>42.18</v>
      </c>
      <c r="V377" s="218">
        <v>4</v>
      </c>
      <c r="W377" s="544">
        <f>2143.7-1054.79</f>
        <v>1088.9099999999999</v>
      </c>
      <c r="X377" s="292">
        <v>1994</v>
      </c>
      <c r="Y377" s="218"/>
      <c r="Z377" s="364"/>
      <c r="AA377" s="218" t="s">
        <v>31</v>
      </c>
      <c r="AB377" s="365">
        <f t="shared" si="56"/>
        <v>38830.530599999991</v>
      </c>
      <c r="AC377" s="227">
        <f t="shared" si="57"/>
        <v>0.49</v>
      </c>
      <c r="AD377" s="365">
        <f t="shared" si="50"/>
        <v>19803.57</v>
      </c>
      <c r="AE377" s="366">
        <f t="shared" si="51"/>
        <v>0</v>
      </c>
      <c r="AF377" s="367">
        <f t="shared" si="52"/>
        <v>0</v>
      </c>
      <c r="AG377" s="497">
        <f t="shared" si="58"/>
        <v>19803.57</v>
      </c>
      <c r="AH377" s="513">
        <f t="shared" si="55"/>
        <v>19803</v>
      </c>
      <c r="AI377" s="1044"/>
      <c r="AJ377" s="1044"/>
      <c r="AK377" s="1044"/>
    </row>
    <row r="378" spans="1:37" ht="12.7">
      <c r="A378" s="47" t="s">
        <v>11</v>
      </c>
      <c r="B378" s="23" t="s">
        <v>540</v>
      </c>
      <c r="C378" s="467" t="s">
        <v>671</v>
      </c>
      <c r="D378" s="139" t="s">
        <v>421</v>
      </c>
      <c r="E378" s="779" t="s">
        <v>422</v>
      </c>
      <c r="F378" s="294" t="s">
        <v>580</v>
      </c>
      <c r="G378" s="316"/>
      <c r="H378" s="354" t="s">
        <v>430</v>
      </c>
      <c r="I378" s="296">
        <v>42</v>
      </c>
      <c r="J378" s="297">
        <v>15</v>
      </c>
      <c r="K378" s="298">
        <f>60*0.147</f>
        <v>8.82</v>
      </c>
      <c r="L378" s="299">
        <v>82</v>
      </c>
      <c r="M378" s="297">
        <v>39</v>
      </c>
      <c r="N378" s="355">
        <f>60*0.703</f>
        <v>42.18</v>
      </c>
      <c r="O378" s="356" t="s">
        <v>431</v>
      </c>
      <c r="P378" s="296">
        <v>42</v>
      </c>
      <c r="Q378" s="297">
        <v>15</v>
      </c>
      <c r="R378" s="298">
        <f>60*0.052</f>
        <v>3.1199999999999997</v>
      </c>
      <c r="S378" s="299">
        <v>82</v>
      </c>
      <c r="T378" s="297">
        <v>39</v>
      </c>
      <c r="U378" s="355">
        <f>60*0.752</f>
        <v>45.12</v>
      </c>
      <c r="V378" s="294">
        <v>4</v>
      </c>
      <c r="W378" s="551">
        <f>2554.66-2143.7</f>
        <v>410.96000000000004</v>
      </c>
      <c r="X378" s="295">
        <v>1994</v>
      </c>
      <c r="Y378" s="294"/>
      <c r="Z378" s="357"/>
      <c r="AA378" s="294" t="s">
        <v>31</v>
      </c>
      <c r="AB378" s="358">
        <f t="shared" si="56"/>
        <v>14654.8336</v>
      </c>
      <c r="AC378" s="304">
        <f t="shared" si="57"/>
        <v>0.49</v>
      </c>
      <c r="AD378" s="358">
        <f t="shared" si="50"/>
        <v>7473.97</v>
      </c>
      <c r="AE378" s="359">
        <f t="shared" si="51"/>
        <v>0</v>
      </c>
      <c r="AF378" s="360">
        <f t="shared" si="52"/>
        <v>0</v>
      </c>
      <c r="AG378" s="498">
        <f t="shared" si="58"/>
        <v>7473.97</v>
      </c>
      <c r="AH378" s="514">
        <f t="shared" si="55"/>
        <v>7473</v>
      </c>
      <c r="AI378" s="1044"/>
      <c r="AJ378" s="1044"/>
      <c r="AK378" s="1044"/>
    </row>
    <row r="379" spans="1:37" s="122" customFormat="1" ht="12.7">
      <c r="A379" s="748" t="s">
        <v>11</v>
      </c>
      <c r="B379" s="641" t="s">
        <v>540</v>
      </c>
      <c r="C379" s="683" t="s">
        <v>671</v>
      </c>
      <c r="D379" s="687" t="s">
        <v>421</v>
      </c>
      <c r="E379" s="776" t="s">
        <v>422</v>
      </c>
      <c r="F379" s="710" t="s">
        <v>581</v>
      </c>
      <c r="G379" s="643" t="s">
        <v>281</v>
      </c>
      <c r="H379" s="720" t="s">
        <v>435</v>
      </c>
      <c r="I379" s="706">
        <v>42</v>
      </c>
      <c r="J379" s="707">
        <v>16</v>
      </c>
      <c r="K379" s="708">
        <f>60*0.322</f>
        <v>19.32</v>
      </c>
      <c r="L379" s="709">
        <v>82</v>
      </c>
      <c r="M379" s="707">
        <v>42</v>
      </c>
      <c r="N379" s="721">
        <f>60*0.609</f>
        <v>36.54</v>
      </c>
      <c r="O379" s="722" t="s">
        <v>436</v>
      </c>
      <c r="P379" s="706">
        <v>42</v>
      </c>
      <c r="Q379" s="707">
        <v>16</v>
      </c>
      <c r="R379" s="708">
        <f>60*0.296</f>
        <v>17.759999999999998</v>
      </c>
      <c r="S379" s="709">
        <v>82</v>
      </c>
      <c r="T379" s="707">
        <v>42</v>
      </c>
      <c r="U379" s="721">
        <f>60*0.608</f>
        <v>36.479999999999997</v>
      </c>
      <c r="V379" s="710">
        <v>4</v>
      </c>
      <c r="W379" s="501">
        <v>188.04</v>
      </c>
      <c r="X379" s="705">
        <v>2003</v>
      </c>
      <c r="Y379" s="710"/>
      <c r="Z379" s="723"/>
      <c r="AA379" s="710" t="s">
        <v>15</v>
      </c>
      <c r="AB379" s="724">
        <f t="shared" si="56"/>
        <v>0</v>
      </c>
      <c r="AC379" s="714">
        <f t="shared" si="57"/>
        <v>0.27</v>
      </c>
      <c r="AD379" s="724">
        <f t="shared" si="50"/>
        <v>0</v>
      </c>
      <c r="AE379" s="725">
        <f t="shared" si="51"/>
        <v>0</v>
      </c>
      <c r="AF379" s="726">
        <f t="shared" si="52"/>
        <v>0</v>
      </c>
      <c r="AG379" s="727">
        <f t="shared" si="58"/>
        <v>0</v>
      </c>
      <c r="AH379" s="728">
        <f t="shared" si="55"/>
        <v>0</v>
      </c>
      <c r="AI379" s="197"/>
      <c r="AJ379" s="197"/>
      <c r="AK379" s="197"/>
    </row>
    <row r="380" spans="1:37" s="122" customFormat="1" ht="12.7">
      <c r="A380" s="748" t="s">
        <v>11</v>
      </c>
      <c r="B380" s="641" t="s">
        <v>540</v>
      </c>
      <c r="C380" s="683" t="s">
        <v>671</v>
      </c>
      <c r="D380" s="687" t="s">
        <v>421</v>
      </c>
      <c r="E380" s="776" t="s">
        <v>422</v>
      </c>
      <c r="F380" s="710" t="s">
        <v>581</v>
      </c>
      <c r="G380" s="643" t="s">
        <v>281</v>
      </c>
      <c r="H380" s="720" t="s">
        <v>436</v>
      </c>
      <c r="I380" s="706">
        <v>42</v>
      </c>
      <c r="J380" s="707">
        <v>16</v>
      </c>
      <c r="K380" s="708">
        <f>60*0.296</f>
        <v>17.759999999999998</v>
      </c>
      <c r="L380" s="709">
        <v>82</v>
      </c>
      <c r="M380" s="707">
        <v>42</v>
      </c>
      <c r="N380" s="721">
        <f>60*0.608</f>
        <v>36.479999999999997</v>
      </c>
      <c r="O380" s="722" t="s">
        <v>437</v>
      </c>
      <c r="P380" s="706">
        <v>42</v>
      </c>
      <c r="Q380" s="707">
        <v>16</v>
      </c>
      <c r="R380" s="708">
        <f>60*0.228</f>
        <v>13.68</v>
      </c>
      <c r="S380" s="709">
        <v>82</v>
      </c>
      <c r="T380" s="707">
        <v>42</v>
      </c>
      <c r="U380" s="721">
        <f>60*0.611</f>
        <v>36.659999999999997</v>
      </c>
      <c r="V380" s="710">
        <v>4</v>
      </c>
      <c r="W380" s="501">
        <f>542.55-188.04</f>
        <v>354.51</v>
      </c>
      <c r="X380" s="705">
        <v>2003</v>
      </c>
      <c r="Y380" s="710"/>
      <c r="Z380" s="723"/>
      <c r="AA380" s="710" t="s">
        <v>15</v>
      </c>
      <c r="AB380" s="724">
        <f t="shared" si="56"/>
        <v>0</v>
      </c>
      <c r="AC380" s="714">
        <f t="shared" si="57"/>
        <v>0.27</v>
      </c>
      <c r="AD380" s="724">
        <f t="shared" si="50"/>
        <v>0</v>
      </c>
      <c r="AE380" s="725">
        <f t="shared" si="51"/>
        <v>0</v>
      </c>
      <c r="AF380" s="726">
        <f t="shared" si="52"/>
        <v>0</v>
      </c>
      <c r="AG380" s="727">
        <f t="shared" si="58"/>
        <v>0</v>
      </c>
      <c r="AH380" s="728">
        <f t="shared" si="55"/>
        <v>0</v>
      </c>
      <c r="AI380" s="197"/>
      <c r="AJ380" s="197"/>
      <c r="AK380" s="197"/>
    </row>
    <row r="381" spans="1:37" s="122" customFormat="1" ht="12.7">
      <c r="A381" s="748" t="s">
        <v>11</v>
      </c>
      <c r="B381" s="641" t="s">
        <v>540</v>
      </c>
      <c r="C381" s="683" t="s">
        <v>671</v>
      </c>
      <c r="D381" s="687" t="s">
        <v>421</v>
      </c>
      <c r="E381" s="776" t="s">
        <v>422</v>
      </c>
      <c r="F381" s="710" t="s">
        <v>581</v>
      </c>
      <c r="G381" s="643" t="s">
        <v>281</v>
      </c>
      <c r="H381" s="720" t="s">
        <v>437</v>
      </c>
      <c r="I381" s="706">
        <v>42</v>
      </c>
      <c r="J381" s="707">
        <v>16</v>
      </c>
      <c r="K381" s="708">
        <f>60*0.228</f>
        <v>13.68</v>
      </c>
      <c r="L381" s="709">
        <v>82</v>
      </c>
      <c r="M381" s="707">
        <v>42</v>
      </c>
      <c r="N381" s="721">
        <f>60*0.611</f>
        <v>36.659999999999997</v>
      </c>
      <c r="O381" s="722" t="s">
        <v>438</v>
      </c>
      <c r="P381" s="706">
        <v>42</v>
      </c>
      <c r="Q381" s="707">
        <v>15</v>
      </c>
      <c r="R381" s="708">
        <f>60*0.95</f>
        <v>57</v>
      </c>
      <c r="S381" s="709">
        <v>82</v>
      </c>
      <c r="T381" s="707">
        <v>42</v>
      </c>
      <c r="U381" s="721">
        <f>60*0.584</f>
        <v>35.04</v>
      </c>
      <c r="V381" s="710">
        <v>4</v>
      </c>
      <c r="W381" s="501">
        <f>2417.83-542.55</f>
        <v>1875.28</v>
      </c>
      <c r="X381" s="705">
        <v>2003</v>
      </c>
      <c r="Y381" s="710"/>
      <c r="Z381" s="723"/>
      <c r="AA381" s="710" t="s">
        <v>15</v>
      </c>
      <c r="AB381" s="724">
        <f t="shared" si="59" ref="AB381:AB395">IF(G381="ABAND",0,(IF(AA381="steel",VLOOKUP(V381,steelrates,2,FALSE)*W381,VLOOKUP(V381,plasticrates,2,FALSE)*W381)))</f>
        <v>0</v>
      </c>
      <c r="AC381" s="714">
        <f t="shared" si="60" ref="AC381:AC395">IF(X381=0,0,(VLOOKUP(X381,depreciation,2,)))</f>
        <v>0.27</v>
      </c>
      <c r="AD381" s="724">
        <f t="shared" si="50"/>
        <v>0</v>
      </c>
      <c r="AE381" s="725">
        <f t="shared" si="51"/>
        <v>0</v>
      </c>
      <c r="AF381" s="726">
        <f t="shared" si="52"/>
        <v>0</v>
      </c>
      <c r="AG381" s="727">
        <f t="shared" si="58"/>
        <v>0</v>
      </c>
      <c r="AH381" s="728">
        <f t="shared" si="55"/>
        <v>0</v>
      </c>
      <c r="AI381" s="197"/>
      <c r="AJ381" s="197"/>
      <c r="AK381" s="197"/>
    </row>
    <row r="382" spans="1:37" s="122" customFormat="1" ht="12.7">
      <c r="A382" s="748" t="s">
        <v>11</v>
      </c>
      <c r="B382" s="641" t="s">
        <v>540</v>
      </c>
      <c r="C382" s="683" t="s">
        <v>671</v>
      </c>
      <c r="D382" s="687" t="s">
        <v>421</v>
      </c>
      <c r="E382" s="776" t="s">
        <v>422</v>
      </c>
      <c r="F382" s="710" t="s">
        <v>581</v>
      </c>
      <c r="G382" s="643" t="s">
        <v>281</v>
      </c>
      <c r="H382" s="720" t="s">
        <v>438</v>
      </c>
      <c r="I382" s="706">
        <v>42</v>
      </c>
      <c r="J382" s="707">
        <v>15</v>
      </c>
      <c r="K382" s="708">
        <f>60*0.95</f>
        <v>57</v>
      </c>
      <c r="L382" s="709">
        <v>82</v>
      </c>
      <c r="M382" s="707">
        <v>42</v>
      </c>
      <c r="N382" s="721">
        <f>60*0.584</f>
        <v>35.04</v>
      </c>
      <c r="O382" s="722" t="s">
        <v>439</v>
      </c>
      <c r="P382" s="706">
        <v>42</v>
      </c>
      <c r="Q382" s="707">
        <v>15</v>
      </c>
      <c r="R382" s="708">
        <f>60*0.929</f>
        <v>55.74</v>
      </c>
      <c r="S382" s="709">
        <v>82</v>
      </c>
      <c r="T382" s="707">
        <v>42</v>
      </c>
      <c r="U382" s="721">
        <f>60*0.417</f>
        <v>25.02</v>
      </c>
      <c r="V382" s="710">
        <v>4</v>
      </c>
      <c r="W382" s="501">
        <f>3230.7-2417.83</f>
        <v>812.86999999999989</v>
      </c>
      <c r="X382" s="705">
        <v>2003</v>
      </c>
      <c r="Y382" s="710"/>
      <c r="Z382" s="723"/>
      <c r="AA382" s="710" t="s">
        <v>15</v>
      </c>
      <c r="AB382" s="724">
        <f t="shared" si="59"/>
        <v>0</v>
      </c>
      <c r="AC382" s="714">
        <f t="shared" si="60"/>
        <v>0.27</v>
      </c>
      <c r="AD382" s="724">
        <f t="shared" si="50"/>
        <v>0</v>
      </c>
      <c r="AE382" s="725">
        <f t="shared" si="51"/>
        <v>0</v>
      </c>
      <c r="AF382" s="726">
        <f t="shared" si="52"/>
        <v>0</v>
      </c>
      <c r="AG382" s="727">
        <f t="shared" si="58"/>
        <v>0</v>
      </c>
      <c r="AH382" s="728">
        <f t="shared" si="55"/>
        <v>0</v>
      </c>
      <c r="AI382" s="197"/>
      <c r="AJ382" s="197"/>
      <c r="AK382" s="197"/>
    </row>
    <row r="383" spans="1:37" ht="12.7">
      <c r="A383" s="47" t="s">
        <v>11</v>
      </c>
      <c r="B383" s="23" t="s">
        <v>540</v>
      </c>
      <c r="C383" s="467" t="s">
        <v>671</v>
      </c>
      <c r="D383" s="139" t="s">
        <v>421</v>
      </c>
      <c r="E383" s="778" t="s">
        <v>422</v>
      </c>
      <c r="F383" s="249" t="s">
        <v>582</v>
      </c>
      <c r="G383" s="315"/>
      <c r="H383" s="347" t="s">
        <v>453</v>
      </c>
      <c r="I383" s="250">
        <v>42</v>
      </c>
      <c r="J383" s="251">
        <v>15</v>
      </c>
      <c r="K383" s="252">
        <f>60*0.15</f>
        <v>9</v>
      </c>
      <c r="L383" s="253">
        <v>82</v>
      </c>
      <c r="M383" s="251">
        <v>40</v>
      </c>
      <c r="N383" s="348">
        <f>60*0.078</f>
        <v>4.68</v>
      </c>
      <c r="O383" s="349" t="s">
        <v>454</v>
      </c>
      <c r="P383" s="250">
        <v>42</v>
      </c>
      <c r="Q383" s="251">
        <v>15</v>
      </c>
      <c r="R383" s="252">
        <f>60*0.054</f>
        <v>3.24</v>
      </c>
      <c r="S383" s="253">
        <v>82</v>
      </c>
      <c r="T383" s="251">
        <v>40</v>
      </c>
      <c r="U383" s="348">
        <f>60*0.178</f>
        <v>10.68</v>
      </c>
      <c r="V383" s="249">
        <v>4</v>
      </c>
      <c r="W383" s="550">
        <v>1445</v>
      </c>
      <c r="X383" s="291">
        <v>1994</v>
      </c>
      <c r="Y383" s="249"/>
      <c r="Z383" s="350"/>
      <c r="AA383" s="249" t="s">
        <v>31</v>
      </c>
      <c r="AB383" s="351">
        <f t="shared" si="59"/>
        <v>51528.70</v>
      </c>
      <c r="AC383" s="257">
        <f t="shared" si="60"/>
        <v>0.49</v>
      </c>
      <c r="AD383" s="351">
        <f t="shared" si="50"/>
        <v>26279.64</v>
      </c>
      <c r="AE383" s="352">
        <f t="shared" si="51"/>
        <v>0</v>
      </c>
      <c r="AF383" s="353">
        <f t="shared" si="52"/>
        <v>0</v>
      </c>
      <c r="AG383" s="496">
        <f t="shared" si="58"/>
        <v>26279.64</v>
      </c>
      <c r="AH383" s="512">
        <f t="shared" si="55"/>
        <v>26279</v>
      </c>
      <c r="AI383" s="1067" t="s">
        <v>613</v>
      </c>
      <c r="AJ383" s="1067" t="s">
        <v>613</v>
      </c>
      <c r="AK383" s="1067" t="s">
        <v>613</v>
      </c>
    </row>
    <row r="384" spans="1:37" ht="12.7">
      <c r="A384" s="47" t="s">
        <v>11</v>
      </c>
      <c r="B384" s="23" t="s">
        <v>540</v>
      </c>
      <c r="C384" s="467" t="s">
        <v>671</v>
      </c>
      <c r="D384" s="139" t="s">
        <v>421</v>
      </c>
      <c r="E384" s="770" t="s">
        <v>422</v>
      </c>
      <c r="F384" s="218" t="s">
        <v>582</v>
      </c>
      <c r="G384" s="311"/>
      <c r="H384" s="361" t="s">
        <v>454</v>
      </c>
      <c r="I384" s="219">
        <v>42</v>
      </c>
      <c r="J384" s="220">
        <v>15</v>
      </c>
      <c r="K384" s="221">
        <f>60*0.054</f>
        <v>3.24</v>
      </c>
      <c r="L384" s="222">
        <v>82</v>
      </c>
      <c r="M384" s="220">
        <v>40</v>
      </c>
      <c r="N384" s="362">
        <f>60*0.178</f>
        <v>10.68</v>
      </c>
      <c r="O384" s="363" t="s">
        <v>455</v>
      </c>
      <c r="P384" s="219">
        <v>42</v>
      </c>
      <c r="Q384" s="220">
        <v>15</v>
      </c>
      <c r="R384" s="221">
        <f>60*0.071</f>
        <v>4.26</v>
      </c>
      <c r="S384" s="222">
        <v>82</v>
      </c>
      <c r="T384" s="220">
        <v>40</v>
      </c>
      <c r="U384" s="362">
        <f>60*0.596</f>
        <v>35.76</v>
      </c>
      <c r="V384" s="218">
        <v>4</v>
      </c>
      <c r="W384" s="544">
        <v>1375</v>
      </c>
      <c r="X384" s="292">
        <v>1994</v>
      </c>
      <c r="Y384" s="218"/>
      <c r="Z384" s="364"/>
      <c r="AA384" s="218" t="s">
        <v>31</v>
      </c>
      <c r="AB384" s="365">
        <f t="shared" si="59"/>
        <v>49032.499999999993</v>
      </c>
      <c r="AC384" s="227">
        <f t="shared" si="60"/>
        <v>0.49</v>
      </c>
      <c r="AD384" s="365">
        <f t="shared" si="50"/>
        <v>25006.58</v>
      </c>
      <c r="AE384" s="366">
        <f t="shared" si="51"/>
        <v>0</v>
      </c>
      <c r="AF384" s="367">
        <f t="shared" si="52"/>
        <v>0</v>
      </c>
      <c r="AG384" s="497">
        <f t="shared" si="58"/>
        <v>25006.58</v>
      </c>
      <c r="AH384" s="513">
        <f t="shared" si="55"/>
        <v>25006</v>
      </c>
      <c r="AI384" s="1047"/>
      <c r="AJ384" s="1047"/>
      <c r="AK384" s="1047"/>
    </row>
    <row r="385" spans="1:37" ht="12.7">
      <c r="A385" s="47" t="s">
        <v>11</v>
      </c>
      <c r="B385" s="23" t="s">
        <v>540</v>
      </c>
      <c r="C385" s="467" t="s">
        <v>671</v>
      </c>
      <c r="D385" s="139" t="s">
        <v>421</v>
      </c>
      <c r="E385" s="779" t="s">
        <v>422</v>
      </c>
      <c r="F385" s="294" t="s">
        <v>582</v>
      </c>
      <c r="G385" s="316"/>
      <c r="H385" s="354" t="s">
        <v>455</v>
      </c>
      <c r="I385" s="296">
        <v>42</v>
      </c>
      <c r="J385" s="297">
        <v>15</v>
      </c>
      <c r="K385" s="298">
        <f>60*0.071</f>
        <v>4.26</v>
      </c>
      <c r="L385" s="299">
        <v>82</v>
      </c>
      <c r="M385" s="297">
        <v>40</v>
      </c>
      <c r="N385" s="355">
        <f>60*0.596</f>
        <v>35.76</v>
      </c>
      <c r="O385" s="356" t="s">
        <v>456</v>
      </c>
      <c r="P385" s="296">
        <v>42</v>
      </c>
      <c r="Q385" s="297">
        <v>14</v>
      </c>
      <c r="R385" s="298">
        <f>60*0.842</f>
        <v>50.52</v>
      </c>
      <c r="S385" s="299">
        <v>82</v>
      </c>
      <c r="T385" s="297">
        <v>41</v>
      </c>
      <c r="U385" s="355">
        <f>60*0.011</f>
        <v>0.65999999999999992</v>
      </c>
      <c r="V385" s="294">
        <v>4</v>
      </c>
      <c r="W385" s="551">
        <v>2327</v>
      </c>
      <c r="X385" s="295">
        <v>1994</v>
      </c>
      <c r="Y385" s="294"/>
      <c r="Z385" s="357"/>
      <c r="AA385" s="294" t="s">
        <v>31</v>
      </c>
      <c r="AB385" s="358">
        <f t="shared" si="59"/>
        <v>82980.819999999992</v>
      </c>
      <c r="AC385" s="304">
        <f t="shared" si="60"/>
        <v>0.49</v>
      </c>
      <c r="AD385" s="358">
        <f t="shared" si="50"/>
        <v>42320.22</v>
      </c>
      <c r="AE385" s="359">
        <f t="shared" si="51"/>
        <v>0</v>
      </c>
      <c r="AF385" s="360">
        <f t="shared" si="52"/>
        <v>0</v>
      </c>
      <c r="AG385" s="498">
        <f t="shared" si="58"/>
        <v>42320.22</v>
      </c>
      <c r="AH385" s="514">
        <f t="shared" si="55"/>
        <v>42320</v>
      </c>
      <c r="AI385" s="1048"/>
      <c r="AJ385" s="1048"/>
      <c r="AK385" s="1048"/>
    </row>
    <row r="386" spans="1:37" ht="12.7">
      <c r="A386" s="47" t="s">
        <v>11</v>
      </c>
      <c r="B386" s="23" t="s">
        <v>540</v>
      </c>
      <c r="C386" s="467" t="s">
        <v>671</v>
      </c>
      <c r="D386" s="139" t="s">
        <v>421</v>
      </c>
      <c r="E386" s="778" t="s">
        <v>422</v>
      </c>
      <c r="F386" s="249" t="s">
        <v>583</v>
      </c>
      <c r="G386" s="315"/>
      <c r="H386" s="347" t="s">
        <v>457</v>
      </c>
      <c r="I386" s="250">
        <v>42</v>
      </c>
      <c r="J386" s="251">
        <v>15</v>
      </c>
      <c r="K386" s="252">
        <f>60*0.294</f>
        <v>17.64</v>
      </c>
      <c r="L386" s="253">
        <v>82</v>
      </c>
      <c r="M386" s="251">
        <v>40</v>
      </c>
      <c r="N386" s="348">
        <f>60*0.28</f>
        <v>16.80</v>
      </c>
      <c r="O386" s="349" t="s">
        <v>458</v>
      </c>
      <c r="P386" s="250">
        <v>42</v>
      </c>
      <c r="Q386" s="251">
        <v>15</v>
      </c>
      <c r="R386" s="252">
        <f>60*0.056</f>
        <v>3.36</v>
      </c>
      <c r="S386" s="253">
        <v>82</v>
      </c>
      <c r="T386" s="251">
        <v>40</v>
      </c>
      <c r="U386" s="348">
        <f>60*0.291</f>
        <v>17.459999999999997</v>
      </c>
      <c r="V386" s="249">
        <v>4</v>
      </c>
      <c r="W386" s="550">
        <v>1445</v>
      </c>
      <c r="X386" s="291">
        <v>1994</v>
      </c>
      <c r="Y386" s="249"/>
      <c r="Z386" s="350"/>
      <c r="AA386" s="249" t="s">
        <v>31</v>
      </c>
      <c r="AB386" s="351">
        <f t="shared" si="59"/>
        <v>51528.70</v>
      </c>
      <c r="AC386" s="257">
        <f t="shared" si="60"/>
        <v>0.49</v>
      </c>
      <c r="AD386" s="351">
        <f t="shared" si="50"/>
        <v>26279.64</v>
      </c>
      <c r="AE386" s="352">
        <f t="shared" si="51"/>
        <v>0</v>
      </c>
      <c r="AF386" s="353">
        <f t="shared" si="52"/>
        <v>0</v>
      </c>
      <c r="AG386" s="496">
        <f t="shared" si="58"/>
        <v>26279.64</v>
      </c>
      <c r="AH386" s="512">
        <f t="shared" si="55"/>
        <v>26279</v>
      </c>
      <c r="AI386" s="1044">
        <v>1.07</v>
      </c>
      <c r="AJ386" s="1044">
        <v>10.44</v>
      </c>
      <c r="AK386" s="1044">
        <v>2.83</v>
      </c>
    </row>
    <row r="387" spans="1:37" ht="12.7">
      <c r="A387" s="47" t="s">
        <v>11</v>
      </c>
      <c r="B387" s="23" t="s">
        <v>540</v>
      </c>
      <c r="C387" s="467" t="s">
        <v>671</v>
      </c>
      <c r="D387" s="139" t="s">
        <v>421</v>
      </c>
      <c r="E387" s="770" t="s">
        <v>422</v>
      </c>
      <c r="F387" s="218" t="s">
        <v>583</v>
      </c>
      <c r="G387" s="311"/>
      <c r="H387" s="361" t="s">
        <v>458</v>
      </c>
      <c r="I387" s="219">
        <v>42</v>
      </c>
      <c r="J387" s="220">
        <v>15</v>
      </c>
      <c r="K387" s="221">
        <f>60*0.056</f>
        <v>3.36</v>
      </c>
      <c r="L387" s="222">
        <v>82</v>
      </c>
      <c r="M387" s="220">
        <v>40</v>
      </c>
      <c r="N387" s="362">
        <f>60*0.291</f>
        <v>17.459999999999997</v>
      </c>
      <c r="O387" s="363" t="s">
        <v>459</v>
      </c>
      <c r="P387" s="219">
        <v>42</v>
      </c>
      <c r="Q387" s="220">
        <v>15</v>
      </c>
      <c r="R387" s="221">
        <f>60*0.071</f>
        <v>4.26</v>
      </c>
      <c r="S387" s="222">
        <v>82</v>
      </c>
      <c r="T387" s="220">
        <v>40</v>
      </c>
      <c r="U387" s="362">
        <f>60*0.596</f>
        <v>35.76</v>
      </c>
      <c r="V387" s="218">
        <v>4</v>
      </c>
      <c r="W387" s="544">
        <v>1375</v>
      </c>
      <c r="X387" s="292">
        <v>1994</v>
      </c>
      <c r="Y387" s="218"/>
      <c r="Z387" s="364"/>
      <c r="AA387" s="218" t="s">
        <v>31</v>
      </c>
      <c r="AB387" s="365">
        <f t="shared" si="59"/>
        <v>49032.499999999993</v>
      </c>
      <c r="AC387" s="227">
        <f t="shared" si="60"/>
        <v>0.49</v>
      </c>
      <c r="AD387" s="365">
        <f t="shared" si="61" ref="AD387:AD438">ROUND(+AB387-(+AB387*AC387),2)</f>
        <v>25006.58</v>
      </c>
      <c r="AE387" s="366">
        <f t="shared" si="62" ref="AE387:AE438">(IF(Y387="LOOP",AD387*0.25,0))</f>
        <v>0</v>
      </c>
      <c r="AF387" s="367">
        <f t="shared" si="63" ref="AF387:AF438">(IF(G387="SUSP",AD387*0.2,0))</f>
        <v>0</v>
      </c>
      <c r="AG387" s="497">
        <f t="shared" si="58"/>
        <v>25006.58</v>
      </c>
      <c r="AH387" s="513">
        <f t="shared" si="55"/>
        <v>25006</v>
      </c>
      <c r="AI387" s="1044"/>
      <c r="AJ387" s="1044"/>
      <c r="AK387" s="1044"/>
    </row>
    <row r="388" spans="1:37" ht="12.7">
      <c r="A388" s="47" t="s">
        <v>11</v>
      </c>
      <c r="B388" s="23" t="s">
        <v>540</v>
      </c>
      <c r="C388" s="467" t="s">
        <v>671</v>
      </c>
      <c r="D388" s="139" t="s">
        <v>421</v>
      </c>
      <c r="E388" s="770" t="s">
        <v>422</v>
      </c>
      <c r="F388" s="218" t="s">
        <v>583</v>
      </c>
      <c r="G388" s="311"/>
      <c r="H388" s="361" t="s">
        <v>459</v>
      </c>
      <c r="I388" s="219">
        <v>42</v>
      </c>
      <c r="J388" s="220">
        <v>15</v>
      </c>
      <c r="K388" s="221">
        <f>60*0.071</f>
        <v>4.26</v>
      </c>
      <c r="L388" s="222">
        <v>82</v>
      </c>
      <c r="M388" s="220">
        <v>40</v>
      </c>
      <c r="N388" s="362">
        <f>60*0.596</f>
        <v>35.76</v>
      </c>
      <c r="O388" s="363" t="s">
        <v>460</v>
      </c>
      <c r="P388" s="219">
        <v>42</v>
      </c>
      <c r="Q388" s="220">
        <v>14</v>
      </c>
      <c r="R388" s="221">
        <f>60*0.842</f>
        <v>50.52</v>
      </c>
      <c r="S388" s="222">
        <v>82</v>
      </c>
      <c r="T388" s="220">
        <v>41</v>
      </c>
      <c r="U388" s="362">
        <f>60*0.011</f>
        <v>0.65999999999999992</v>
      </c>
      <c r="V388" s="218">
        <v>4</v>
      </c>
      <c r="W388" s="544">
        <v>2327</v>
      </c>
      <c r="X388" s="292">
        <v>1994</v>
      </c>
      <c r="Y388" s="218"/>
      <c r="Z388" s="364"/>
      <c r="AA388" s="218" t="s">
        <v>31</v>
      </c>
      <c r="AB388" s="365">
        <f t="shared" si="59"/>
        <v>82980.819999999992</v>
      </c>
      <c r="AC388" s="227">
        <f t="shared" si="60"/>
        <v>0.49</v>
      </c>
      <c r="AD388" s="365">
        <f t="shared" si="61"/>
        <v>42320.22</v>
      </c>
      <c r="AE388" s="366">
        <f t="shared" si="62"/>
        <v>0</v>
      </c>
      <c r="AF388" s="367">
        <f t="shared" si="63"/>
        <v>0</v>
      </c>
      <c r="AG388" s="497">
        <f t="shared" si="58"/>
        <v>42320.22</v>
      </c>
      <c r="AH388" s="513">
        <f t="shared" si="55"/>
        <v>42320</v>
      </c>
      <c r="AI388" s="1044"/>
      <c r="AJ388" s="1044"/>
      <c r="AK388" s="1044"/>
    </row>
    <row r="389" spans="1:37" ht="12.7">
      <c r="A389" s="106" t="s">
        <v>11</v>
      </c>
      <c r="B389" s="23" t="s">
        <v>540</v>
      </c>
      <c r="C389" s="467" t="s">
        <v>671</v>
      </c>
      <c r="D389" s="139" t="s">
        <v>421</v>
      </c>
      <c r="E389" s="779" t="s">
        <v>422</v>
      </c>
      <c r="F389" s="294" t="s">
        <v>584</v>
      </c>
      <c r="G389" s="316"/>
      <c r="H389" s="354" t="s">
        <v>461</v>
      </c>
      <c r="I389" s="296">
        <v>42</v>
      </c>
      <c r="J389" s="297">
        <v>15</v>
      </c>
      <c r="K389" s="298">
        <f>60*0.002</f>
        <v>0.12</v>
      </c>
      <c r="L389" s="299">
        <v>82</v>
      </c>
      <c r="M389" s="297">
        <v>40</v>
      </c>
      <c r="N389" s="355">
        <f>60*0.394</f>
        <v>23.64</v>
      </c>
      <c r="O389" s="356" t="s">
        <v>462</v>
      </c>
      <c r="P389" s="296">
        <v>42</v>
      </c>
      <c r="Q389" s="297">
        <v>15</v>
      </c>
      <c r="R389" s="298">
        <f>60*0.04</f>
        <v>2.40</v>
      </c>
      <c r="S389" s="299">
        <v>82</v>
      </c>
      <c r="T389" s="297">
        <v>40</v>
      </c>
      <c r="U389" s="355">
        <f>60*0.366</f>
        <v>21.96</v>
      </c>
      <c r="V389" s="294">
        <v>3</v>
      </c>
      <c r="W389" s="551">
        <v>263</v>
      </c>
      <c r="X389" s="295">
        <v>2002</v>
      </c>
      <c r="Y389" s="294"/>
      <c r="Z389" s="357"/>
      <c r="AA389" s="294" t="s">
        <v>31</v>
      </c>
      <c r="AB389" s="358">
        <f t="shared" si="59"/>
        <v>8058.32</v>
      </c>
      <c r="AC389" s="304">
        <f t="shared" si="60"/>
        <v>0.30</v>
      </c>
      <c r="AD389" s="358">
        <f t="shared" si="61"/>
        <v>5640.82</v>
      </c>
      <c r="AE389" s="359">
        <f t="shared" si="62"/>
        <v>0</v>
      </c>
      <c r="AF389" s="360">
        <f t="shared" si="63"/>
        <v>0</v>
      </c>
      <c r="AG389" s="498">
        <f t="shared" si="58"/>
        <v>5640.82</v>
      </c>
      <c r="AH389" s="514">
        <f t="shared" si="55"/>
        <v>5640</v>
      </c>
      <c r="AI389" s="1044"/>
      <c r="AJ389" s="1044"/>
      <c r="AK389" s="1044"/>
    </row>
    <row r="390" spans="1:37" ht="12.7">
      <c r="A390" s="106" t="s">
        <v>11</v>
      </c>
      <c r="B390" s="23" t="s">
        <v>540</v>
      </c>
      <c r="C390" s="467" t="s">
        <v>671</v>
      </c>
      <c r="D390" s="139" t="s">
        <v>421</v>
      </c>
      <c r="E390" s="769" t="s">
        <v>422</v>
      </c>
      <c r="F390" s="204"/>
      <c r="G390" s="310"/>
      <c r="H390" s="287" t="s">
        <v>600</v>
      </c>
      <c r="I390" s="206"/>
      <c r="J390" s="207"/>
      <c r="K390" s="208"/>
      <c r="L390" s="209"/>
      <c r="M390" s="207"/>
      <c r="N390" s="281"/>
      <c r="O390" s="288" t="s">
        <v>603</v>
      </c>
      <c r="P390" s="206"/>
      <c r="Q390" s="207"/>
      <c r="R390" s="208"/>
      <c r="S390" s="209"/>
      <c r="T390" s="207"/>
      <c r="U390" s="281"/>
      <c r="V390" s="204">
        <v>3</v>
      </c>
      <c r="W390" s="543">
        <v>533</v>
      </c>
      <c r="X390" s="246">
        <v>2011</v>
      </c>
      <c r="Y390" s="204"/>
      <c r="Z390" s="283"/>
      <c r="AA390" s="204" t="s">
        <v>15</v>
      </c>
      <c r="AB390" s="213">
        <f t="shared" si="59"/>
        <v>7989.67</v>
      </c>
      <c r="AC390" s="214">
        <f t="shared" si="60"/>
        <v>0.10</v>
      </c>
      <c r="AD390" s="213">
        <f t="shared" si="61"/>
        <v>7190.70</v>
      </c>
      <c r="AE390" s="285"/>
      <c r="AF390" s="286"/>
      <c r="AG390" s="499">
        <f t="shared" si="58"/>
        <v>7190.70</v>
      </c>
      <c r="AH390" s="515">
        <f t="shared" si="55"/>
        <v>7190</v>
      </c>
      <c r="AI390" s="196">
        <v>3.08</v>
      </c>
      <c r="AJ390" s="196">
        <v>4.91</v>
      </c>
      <c r="AK390" s="196">
        <v>1.41</v>
      </c>
    </row>
    <row r="391" spans="1:37" ht="12.7">
      <c r="A391" s="106" t="s">
        <v>11</v>
      </c>
      <c r="B391" s="23" t="s">
        <v>540</v>
      </c>
      <c r="C391" s="467" t="s">
        <v>671</v>
      </c>
      <c r="D391" s="139" t="s">
        <v>421</v>
      </c>
      <c r="E391" s="769" t="s">
        <v>422</v>
      </c>
      <c r="F391" s="204"/>
      <c r="G391" s="310"/>
      <c r="H391" s="287" t="s">
        <v>601</v>
      </c>
      <c r="I391" s="206"/>
      <c r="J391" s="207"/>
      <c r="K391" s="208"/>
      <c r="L391" s="209"/>
      <c r="M391" s="207"/>
      <c r="N391" s="281"/>
      <c r="O391" s="288" t="s">
        <v>602</v>
      </c>
      <c r="P391" s="206"/>
      <c r="Q391" s="207"/>
      <c r="R391" s="208"/>
      <c r="S391" s="209"/>
      <c r="T391" s="207"/>
      <c r="U391" s="281"/>
      <c r="V391" s="204">
        <v>3</v>
      </c>
      <c r="W391" s="543">
        <v>220</v>
      </c>
      <c r="X391" s="246">
        <v>2013</v>
      </c>
      <c r="Y391" s="204"/>
      <c r="Z391" s="283"/>
      <c r="AA391" s="204" t="s">
        <v>15</v>
      </c>
      <c r="AB391" s="289">
        <f t="shared" si="59"/>
        <v>3297.80</v>
      </c>
      <c r="AC391" s="214">
        <f t="shared" si="60"/>
        <v>0.08</v>
      </c>
      <c r="AD391" s="213">
        <f t="shared" si="61"/>
        <v>3033.98</v>
      </c>
      <c r="AE391" s="285"/>
      <c r="AF391" s="286"/>
      <c r="AG391" s="499">
        <f t="shared" si="58"/>
        <v>3033.98</v>
      </c>
      <c r="AH391" s="515">
        <f t="shared" si="55"/>
        <v>3033</v>
      </c>
      <c r="AI391" s="196">
        <v>2.52</v>
      </c>
      <c r="AJ391" s="196">
        <v>86.05</v>
      </c>
      <c r="AK391" s="196">
        <v>11.30</v>
      </c>
    </row>
    <row r="392" spans="1:37" ht="12.7">
      <c r="A392" s="47" t="s">
        <v>11</v>
      </c>
      <c r="B392" s="23" t="s">
        <v>540</v>
      </c>
      <c r="C392" s="467" t="s">
        <v>671</v>
      </c>
      <c r="D392" s="139" t="s">
        <v>421</v>
      </c>
      <c r="E392" s="778" t="s">
        <v>422</v>
      </c>
      <c r="F392" s="249" t="s">
        <v>585</v>
      </c>
      <c r="G392" s="315"/>
      <c r="H392" s="347" t="s">
        <v>463</v>
      </c>
      <c r="I392" s="250">
        <v>42</v>
      </c>
      <c r="J392" s="251">
        <v>15</v>
      </c>
      <c r="K392" s="252">
        <f>60*0.928</f>
        <v>55.68</v>
      </c>
      <c r="L392" s="253">
        <v>82</v>
      </c>
      <c r="M392" s="251">
        <v>41</v>
      </c>
      <c r="N392" s="348">
        <f>60*0.771</f>
        <v>46.26</v>
      </c>
      <c r="O392" s="349" t="s">
        <v>464</v>
      </c>
      <c r="P392" s="250">
        <v>42</v>
      </c>
      <c r="Q392" s="251">
        <v>15</v>
      </c>
      <c r="R392" s="252">
        <f>60*0.872</f>
        <v>52.32</v>
      </c>
      <c r="S392" s="253">
        <v>82</v>
      </c>
      <c r="T392" s="251">
        <v>41</v>
      </c>
      <c r="U392" s="348">
        <f>60*0.764</f>
        <v>45.84</v>
      </c>
      <c r="V392" s="249">
        <v>4</v>
      </c>
      <c r="W392" s="550">
        <v>341</v>
      </c>
      <c r="X392" s="291">
        <v>1994</v>
      </c>
      <c r="Y392" s="249"/>
      <c r="Z392" s="350"/>
      <c r="AA392" s="249" t="s">
        <v>31</v>
      </c>
      <c r="AB392" s="351">
        <f t="shared" si="59"/>
        <v>12160.06</v>
      </c>
      <c r="AC392" s="257">
        <f t="shared" si="60"/>
        <v>0.49</v>
      </c>
      <c r="AD392" s="351">
        <f t="shared" si="61"/>
        <v>6201.63</v>
      </c>
      <c r="AE392" s="352">
        <f t="shared" si="62"/>
        <v>0</v>
      </c>
      <c r="AF392" s="353">
        <f t="shared" si="63"/>
        <v>0</v>
      </c>
      <c r="AG392" s="496">
        <f t="shared" si="58"/>
        <v>6201.63</v>
      </c>
      <c r="AH392" s="512">
        <f t="shared" si="55"/>
        <v>6201</v>
      </c>
      <c r="AI392" s="1044">
        <v>1.76</v>
      </c>
      <c r="AJ392" s="1044">
        <v>8.74</v>
      </c>
      <c r="AK392" s="1044">
        <v>1.41</v>
      </c>
    </row>
    <row r="393" spans="1:37" ht="12.7">
      <c r="A393" s="47" t="s">
        <v>11</v>
      </c>
      <c r="B393" s="23" t="s">
        <v>540</v>
      </c>
      <c r="C393" s="467" t="s">
        <v>671</v>
      </c>
      <c r="D393" s="139" t="s">
        <v>421</v>
      </c>
      <c r="E393" s="770" t="s">
        <v>422</v>
      </c>
      <c r="F393" s="218" t="s">
        <v>585</v>
      </c>
      <c r="G393" s="311"/>
      <c r="H393" s="361" t="s">
        <v>464</v>
      </c>
      <c r="I393" s="219">
        <v>42</v>
      </c>
      <c r="J393" s="220">
        <v>15</v>
      </c>
      <c r="K393" s="221">
        <f>60*0.872</f>
        <v>52.32</v>
      </c>
      <c r="L393" s="222">
        <v>82</v>
      </c>
      <c r="M393" s="220">
        <v>41</v>
      </c>
      <c r="N393" s="362">
        <f>60*0.764</f>
        <v>45.84</v>
      </c>
      <c r="O393" s="363" t="s">
        <v>465</v>
      </c>
      <c r="P393" s="219">
        <v>42</v>
      </c>
      <c r="Q393" s="220">
        <v>15</v>
      </c>
      <c r="R393" s="221">
        <f>60*0.811</f>
        <v>48.66</v>
      </c>
      <c r="S393" s="222">
        <v>82</v>
      </c>
      <c r="T393" s="220">
        <v>41</v>
      </c>
      <c r="U393" s="362">
        <f>60*0.869</f>
        <v>52.14</v>
      </c>
      <c r="V393" s="218">
        <v>4</v>
      </c>
      <c r="W393" s="544">
        <v>600</v>
      </c>
      <c r="X393" s="292">
        <v>1994</v>
      </c>
      <c r="Y393" s="218"/>
      <c r="Z393" s="364"/>
      <c r="AA393" s="218" t="s">
        <v>31</v>
      </c>
      <c r="AB393" s="365">
        <f t="shared" si="59"/>
        <v>21395.999999999996</v>
      </c>
      <c r="AC393" s="227">
        <f t="shared" si="60"/>
        <v>0.49</v>
      </c>
      <c r="AD393" s="365">
        <f t="shared" si="61"/>
        <v>10911.96</v>
      </c>
      <c r="AE393" s="366">
        <f t="shared" si="62"/>
        <v>0</v>
      </c>
      <c r="AF393" s="367">
        <f t="shared" si="63"/>
        <v>0</v>
      </c>
      <c r="AG393" s="497">
        <f t="shared" si="58"/>
        <v>10911.96</v>
      </c>
      <c r="AH393" s="513">
        <f t="shared" si="55"/>
        <v>10911</v>
      </c>
      <c r="AI393" s="1044"/>
      <c r="AJ393" s="1044"/>
      <c r="AK393" s="1044"/>
    </row>
    <row r="394" spans="1:37" ht="12.7">
      <c r="A394" s="47" t="s">
        <v>11</v>
      </c>
      <c r="B394" s="23" t="s">
        <v>540</v>
      </c>
      <c r="C394" s="467" t="s">
        <v>671</v>
      </c>
      <c r="D394" s="139" t="s">
        <v>421</v>
      </c>
      <c r="E394" s="770" t="s">
        <v>422</v>
      </c>
      <c r="F394" s="218" t="s">
        <v>585</v>
      </c>
      <c r="G394" s="311"/>
      <c r="H394" s="361" t="s">
        <v>465</v>
      </c>
      <c r="I394" s="219">
        <v>42</v>
      </c>
      <c r="J394" s="220">
        <v>15</v>
      </c>
      <c r="K394" s="221">
        <f>60*0.811</f>
        <v>48.66</v>
      </c>
      <c r="L394" s="222">
        <v>82</v>
      </c>
      <c r="M394" s="220">
        <v>41</v>
      </c>
      <c r="N394" s="362">
        <f>60*0.869</f>
        <v>52.14</v>
      </c>
      <c r="O394" s="363" t="s">
        <v>466</v>
      </c>
      <c r="P394" s="219">
        <v>42</v>
      </c>
      <c r="Q394" s="220">
        <v>15</v>
      </c>
      <c r="R394" s="221">
        <f>60*0.509</f>
        <v>30.54</v>
      </c>
      <c r="S394" s="222">
        <v>82</v>
      </c>
      <c r="T394" s="220">
        <v>41</v>
      </c>
      <c r="U394" s="362">
        <f>60*0.905</f>
        <v>54.30</v>
      </c>
      <c r="V394" s="218">
        <v>4</v>
      </c>
      <c r="W394" s="544">
        <v>1839</v>
      </c>
      <c r="X394" s="292">
        <v>1994</v>
      </c>
      <c r="Y394" s="218"/>
      <c r="Z394" s="364"/>
      <c r="AA394" s="218" t="s">
        <v>31</v>
      </c>
      <c r="AB394" s="365">
        <f t="shared" si="59"/>
        <v>65578.739999999991</v>
      </c>
      <c r="AC394" s="227">
        <f t="shared" si="60"/>
        <v>0.49</v>
      </c>
      <c r="AD394" s="365">
        <f t="shared" si="61"/>
        <v>33445.160000000003</v>
      </c>
      <c r="AE394" s="366">
        <f t="shared" si="62"/>
        <v>0</v>
      </c>
      <c r="AF394" s="367">
        <f t="shared" si="63"/>
        <v>0</v>
      </c>
      <c r="AG394" s="497">
        <f t="shared" si="58"/>
        <v>33445.160000000003</v>
      </c>
      <c r="AH394" s="513">
        <f t="shared" si="55"/>
        <v>33445</v>
      </c>
      <c r="AI394" s="1044"/>
      <c r="AJ394" s="1044"/>
      <c r="AK394" s="1044"/>
    </row>
    <row r="395" spans="1:37" ht="12.7">
      <c r="A395" s="47" t="s">
        <v>11</v>
      </c>
      <c r="B395" s="23" t="s">
        <v>540</v>
      </c>
      <c r="C395" s="467" t="s">
        <v>671</v>
      </c>
      <c r="D395" s="139" t="s">
        <v>421</v>
      </c>
      <c r="E395" s="770" t="s">
        <v>422</v>
      </c>
      <c r="F395" s="218" t="s">
        <v>585</v>
      </c>
      <c r="G395" s="311"/>
      <c r="H395" s="361" t="s">
        <v>466</v>
      </c>
      <c r="I395" s="219">
        <v>42</v>
      </c>
      <c r="J395" s="220">
        <v>15</v>
      </c>
      <c r="K395" s="221">
        <f>60*0.509</f>
        <v>30.54</v>
      </c>
      <c r="L395" s="222">
        <v>82</v>
      </c>
      <c r="M395" s="220">
        <v>41</v>
      </c>
      <c r="N395" s="362">
        <f>60*0.905</f>
        <v>54.30</v>
      </c>
      <c r="O395" s="363" t="s">
        <v>467</v>
      </c>
      <c r="P395" s="219">
        <v>42</v>
      </c>
      <c r="Q395" s="220">
        <v>15</v>
      </c>
      <c r="R395" s="221">
        <f>60*0.505</f>
        <v>30.30</v>
      </c>
      <c r="S395" s="222">
        <v>82</v>
      </c>
      <c r="T395" s="220">
        <v>41</v>
      </c>
      <c r="U395" s="362">
        <f>60*0.628</f>
        <v>37.68</v>
      </c>
      <c r="V395" s="218">
        <v>4</v>
      </c>
      <c r="W395" s="544">
        <v>1246</v>
      </c>
      <c r="X395" s="292">
        <v>1994</v>
      </c>
      <c r="Y395" s="218"/>
      <c r="Z395" s="364"/>
      <c r="AA395" s="218" t="s">
        <v>31</v>
      </c>
      <c r="AB395" s="365">
        <f t="shared" si="59"/>
        <v>44432.359999999993</v>
      </c>
      <c r="AC395" s="227">
        <f t="shared" si="60"/>
        <v>0.49</v>
      </c>
      <c r="AD395" s="365">
        <f t="shared" si="61"/>
        <v>22660.50</v>
      </c>
      <c r="AE395" s="366">
        <f t="shared" si="62"/>
        <v>0</v>
      </c>
      <c r="AF395" s="367">
        <f t="shared" si="63"/>
        <v>0</v>
      </c>
      <c r="AG395" s="497">
        <f t="shared" si="58"/>
        <v>22660.50</v>
      </c>
      <c r="AH395" s="513">
        <f t="shared" si="55"/>
        <v>22660</v>
      </c>
      <c r="AI395" s="1044"/>
      <c r="AJ395" s="1044"/>
      <c r="AK395" s="1044"/>
    </row>
    <row r="396" spans="1:37" ht="12.7">
      <c r="A396" s="47" t="s">
        <v>11</v>
      </c>
      <c r="B396" s="23" t="s">
        <v>540</v>
      </c>
      <c r="C396" s="467" t="s">
        <v>671</v>
      </c>
      <c r="D396" s="139" t="s">
        <v>421</v>
      </c>
      <c r="E396" s="770" t="s">
        <v>422</v>
      </c>
      <c r="F396" s="218" t="s">
        <v>585</v>
      </c>
      <c r="G396" s="311"/>
      <c r="H396" s="361" t="s">
        <v>467</v>
      </c>
      <c r="I396" s="219">
        <v>42</v>
      </c>
      <c r="J396" s="220">
        <v>15</v>
      </c>
      <c r="K396" s="221">
        <f>60*0.505</f>
        <v>30.30</v>
      </c>
      <c r="L396" s="222">
        <v>82</v>
      </c>
      <c r="M396" s="220">
        <v>41</v>
      </c>
      <c r="N396" s="362">
        <f>60*0.628</f>
        <v>37.68</v>
      </c>
      <c r="O396" s="363" t="s">
        <v>468</v>
      </c>
      <c r="P396" s="219">
        <v>42</v>
      </c>
      <c r="Q396" s="220">
        <v>15</v>
      </c>
      <c r="R396" s="221">
        <f>60*0.16</f>
        <v>9.60</v>
      </c>
      <c r="S396" s="222">
        <v>82</v>
      </c>
      <c r="T396" s="220">
        <v>41</v>
      </c>
      <c r="U396" s="362">
        <f>60*0.637</f>
        <v>38.22</v>
      </c>
      <c r="V396" s="218">
        <v>4</v>
      </c>
      <c r="W396" s="544">
        <v>2094</v>
      </c>
      <c r="X396" s="292">
        <v>1994</v>
      </c>
      <c r="Y396" s="218"/>
      <c r="Z396" s="364"/>
      <c r="AA396" s="218" t="s">
        <v>31</v>
      </c>
      <c r="AB396" s="365">
        <f t="shared" si="64" ref="AB396:AB403">IF(G396="ABAND",0,(IF(AA396="steel",VLOOKUP(V396,steelrates,2,FALSE)*W396,VLOOKUP(V396,plasticrates,2,FALSE)*W396)))</f>
        <v>74672.039999999994</v>
      </c>
      <c r="AC396" s="227">
        <f t="shared" si="65" ref="AC396:AC403">IF(X396=0,0,(VLOOKUP(X396,depreciation,2,)))</f>
        <v>0.49</v>
      </c>
      <c r="AD396" s="365">
        <f t="shared" si="61"/>
        <v>38082.74</v>
      </c>
      <c r="AE396" s="366">
        <f t="shared" si="62"/>
        <v>0</v>
      </c>
      <c r="AF396" s="367">
        <f t="shared" si="63"/>
        <v>0</v>
      </c>
      <c r="AG396" s="497">
        <f t="shared" si="58"/>
        <v>38082.74</v>
      </c>
      <c r="AH396" s="513">
        <f t="shared" si="55"/>
        <v>38082</v>
      </c>
      <c r="AI396" s="1044"/>
      <c r="AJ396" s="1044"/>
      <c r="AK396" s="1044"/>
    </row>
    <row r="397" spans="1:37" ht="12.7">
      <c r="A397" s="47" t="s">
        <v>11</v>
      </c>
      <c r="B397" s="23" t="s">
        <v>540</v>
      </c>
      <c r="C397" s="467" t="s">
        <v>671</v>
      </c>
      <c r="D397" s="139" t="s">
        <v>421</v>
      </c>
      <c r="E397" s="770" t="s">
        <v>422</v>
      </c>
      <c r="F397" s="218" t="s">
        <v>585</v>
      </c>
      <c r="G397" s="311"/>
      <c r="H397" s="361" t="s">
        <v>468</v>
      </c>
      <c r="I397" s="219">
        <v>42</v>
      </c>
      <c r="J397" s="220">
        <v>15</v>
      </c>
      <c r="K397" s="221">
        <f>60*0.16</f>
        <v>9.60</v>
      </c>
      <c r="L397" s="222">
        <v>82</v>
      </c>
      <c r="M397" s="220">
        <v>41</v>
      </c>
      <c r="N397" s="362">
        <f>60*0.637</f>
        <v>38.22</v>
      </c>
      <c r="O397" s="363" t="s">
        <v>469</v>
      </c>
      <c r="P397" s="219">
        <v>42</v>
      </c>
      <c r="Q397" s="220">
        <v>15</v>
      </c>
      <c r="R397" s="221">
        <f>60*0.115</f>
        <v>6.90</v>
      </c>
      <c r="S397" s="222">
        <v>82</v>
      </c>
      <c r="T397" s="220">
        <v>41</v>
      </c>
      <c r="U397" s="362">
        <f>60*0.309</f>
        <v>18.54</v>
      </c>
      <c r="V397" s="218">
        <v>4</v>
      </c>
      <c r="W397" s="544">
        <v>1500</v>
      </c>
      <c r="X397" s="292">
        <v>1994</v>
      </c>
      <c r="Y397" s="218"/>
      <c r="Z397" s="364"/>
      <c r="AA397" s="218" t="s">
        <v>31</v>
      </c>
      <c r="AB397" s="365">
        <f t="shared" si="64"/>
        <v>53489.999999999993</v>
      </c>
      <c r="AC397" s="227">
        <f t="shared" si="65"/>
        <v>0.49</v>
      </c>
      <c r="AD397" s="365">
        <f t="shared" si="61"/>
        <v>27279.90</v>
      </c>
      <c r="AE397" s="366">
        <f t="shared" si="62"/>
        <v>0</v>
      </c>
      <c r="AF397" s="367">
        <f t="shared" si="63"/>
        <v>0</v>
      </c>
      <c r="AG397" s="497">
        <f t="shared" si="58"/>
        <v>27279.90</v>
      </c>
      <c r="AH397" s="513">
        <f t="shared" si="55"/>
        <v>27279</v>
      </c>
      <c r="AI397" s="1044"/>
      <c r="AJ397" s="1044"/>
      <c r="AK397" s="1044"/>
    </row>
    <row r="398" spans="1:37" ht="12.7">
      <c r="A398" s="47" t="s">
        <v>11</v>
      </c>
      <c r="B398" s="23" t="s">
        <v>540</v>
      </c>
      <c r="C398" s="467" t="s">
        <v>671</v>
      </c>
      <c r="D398" s="139" t="s">
        <v>421</v>
      </c>
      <c r="E398" s="770" t="s">
        <v>422</v>
      </c>
      <c r="F398" s="218" t="s">
        <v>585</v>
      </c>
      <c r="G398" s="311"/>
      <c r="H398" s="361" t="s">
        <v>469</v>
      </c>
      <c r="I398" s="219">
        <v>42</v>
      </c>
      <c r="J398" s="220">
        <v>15</v>
      </c>
      <c r="K398" s="221">
        <f>60*0.115</f>
        <v>6.90</v>
      </c>
      <c r="L398" s="222">
        <v>82</v>
      </c>
      <c r="M398" s="220">
        <v>41</v>
      </c>
      <c r="N398" s="362">
        <f>60*0.309</f>
        <v>18.54</v>
      </c>
      <c r="O398" s="363" t="s">
        <v>470</v>
      </c>
      <c r="P398" s="219">
        <v>42</v>
      </c>
      <c r="Q398" s="220">
        <v>15</v>
      </c>
      <c r="R398" s="221">
        <f>60*0.092</f>
        <v>5.52</v>
      </c>
      <c r="S398" s="222">
        <v>82</v>
      </c>
      <c r="T398" s="220">
        <v>41</v>
      </c>
      <c r="U398" s="362">
        <f>60*0.174</f>
        <v>10.44</v>
      </c>
      <c r="V398" s="218">
        <v>4</v>
      </c>
      <c r="W398" s="544">
        <v>623</v>
      </c>
      <c r="X398" s="292">
        <v>1994</v>
      </c>
      <c r="Y398" s="218"/>
      <c r="Z398" s="364"/>
      <c r="AA398" s="218" t="s">
        <v>31</v>
      </c>
      <c r="AB398" s="365">
        <f t="shared" si="64"/>
        <v>22216.179999999997</v>
      </c>
      <c r="AC398" s="227">
        <f t="shared" si="65"/>
        <v>0.49</v>
      </c>
      <c r="AD398" s="365">
        <f t="shared" si="61"/>
        <v>11330.25</v>
      </c>
      <c r="AE398" s="366">
        <f t="shared" si="62"/>
        <v>0</v>
      </c>
      <c r="AF398" s="367">
        <f t="shared" si="63"/>
        <v>0</v>
      </c>
      <c r="AG398" s="497">
        <f t="shared" si="58"/>
        <v>11330.25</v>
      </c>
      <c r="AH398" s="513">
        <f t="shared" si="55"/>
        <v>11330</v>
      </c>
      <c r="AI398" s="1044"/>
      <c r="AJ398" s="1044"/>
      <c r="AK398" s="1044"/>
    </row>
    <row r="399" spans="1:37" ht="12.7">
      <c r="A399" s="47" t="s">
        <v>11</v>
      </c>
      <c r="B399" s="23" t="s">
        <v>540</v>
      </c>
      <c r="C399" s="467" t="s">
        <v>671</v>
      </c>
      <c r="D399" s="139" t="s">
        <v>421</v>
      </c>
      <c r="E399" s="770" t="s">
        <v>422</v>
      </c>
      <c r="F399" s="218" t="s">
        <v>585</v>
      </c>
      <c r="G399" s="311"/>
      <c r="H399" s="361" t="s">
        <v>470</v>
      </c>
      <c r="I399" s="219">
        <v>42</v>
      </c>
      <c r="J399" s="220">
        <v>15</v>
      </c>
      <c r="K399" s="221">
        <f>60*0.092</f>
        <v>5.52</v>
      </c>
      <c r="L399" s="222">
        <v>82</v>
      </c>
      <c r="M399" s="220">
        <v>41</v>
      </c>
      <c r="N399" s="362">
        <f>60*0.174</f>
        <v>10.44</v>
      </c>
      <c r="O399" s="363" t="s">
        <v>471</v>
      </c>
      <c r="P399" s="219">
        <v>42</v>
      </c>
      <c r="Q399" s="220">
        <v>14</v>
      </c>
      <c r="R399" s="221">
        <f>60*0.087</f>
        <v>5.22</v>
      </c>
      <c r="S399" s="222">
        <v>82</v>
      </c>
      <c r="T399" s="220">
        <v>41</v>
      </c>
      <c r="U399" s="362">
        <f>60*0.028</f>
        <v>1.68</v>
      </c>
      <c r="V399" s="218">
        <v>4</v>
      </c>
      <c r="W399" s="544">
        <v>657</v>
      </c>
      <c r="X399" s="292">
        <v>1994</v>
      </c>
      <c r="Y399" s="218"/>
      <c r="Z399" s="364"/>
      <c r="AA399" s="218" t="s">
        <v>31</v>
      </c>
      <c r="AB399" s="365">
        <f t="shared" si="64"/>
        <v>23428.62</v>
      </c>
      <c r="AC399" s="227">
        <f t="shared" si="65"/>
        <v>0.49</v>
      </c>
      <c r="AD399" s="365">
        <f t="shared" si="61"/>
        <v>11948.60</v>
      </c>
      <c r="AE399" s="366">
        <f t="shared" si="62"/>
        <v>0</v>
      </c>
      <c r="AF399" s="367">
        <f t="shared" si="63"/>
        <v>0</v>
      </c>
      <c r="AG399" s="497">
        <f t="shared" si="58"/>
        <v>11948.60</v>
      </c>
      <c r="AH399" s="513">
        <f t="shared" si="55"/>
        <v>11948</v>
      </c>
      <c r="AI399" s="1044"/>
      <c r="AJ399" s="1044"/>
      <c r="AK399" s="1044"/>
    </row>
    <row r="400" spans="1:37" ht="12.7">
      <c r="A400" s="47" t="s">
        <v>11</v>
      </c>
      <c r="B400" s="23" t="s">
        <v>540</v>
      </c>
      <c r="C400" s="467" t="s">
        <v>671</v>
      </c>
      <c r="D400" s="139" t="s">
        <v>421</v>
      </c>
      <c r="E400" s="770" t="s">
        <v>422</v>
      </c>
      <c r="F400" s="218" t="s">
        <v>585</v>
      </c>
      <c r="G400" s="311"/>
      <c r="H400" s="361" t="s">
        <v>471</v>
      </c>
      <c r="I400" s="219">
        <v>42</v>
      </c>
      <c r="J400" s="220">
        <v>14</v>
      </c>
      <c r="K400" s="221">
        <f>60*0.087</f>
        <v>5.22</v>
      </c>
      <c r="L400" s="222">
        <v>82</v>
      </c>
      <c r="M400" s="220">
        <v>41</v>
      </c>
      <c r="N400" s="362">
        <f>60*0.028</f>
        <v>1.68</v>
      </c>
      <c r="O400" s="363" t="s">
        <v>472</v>
      </c>
      <c r="P400" s="219">
        <v>42</v>
      </c>
      <c r="Q400" s="220">
        <v>14</v>
      </c>
      <c r="R400" s="221">
        <f>60*0.985</f>
        <v>59.10</v>
      </c>
      <c r="S400" s="222">
        <v>82</v>
      </c>
      <c r="T400" s="220">
        <v>41</v>
      </c>
      <c r="U400" s="362">
        <f>60*0.004</f>
        <v>0.24</v>
      </c>
      <c r="V400" s="218">
        <v>4</v>
      </c>
      <c r="W400" s="544">
        <v>628</v>
      </c>
      <c r="X400" s="292">
        <v>1994</v>
      </c>
      <c r="Y400" s="218"/>
      <c r="Z400" s="364"/>
      <c r="AA400" s="218" t="s">
        <v>31</v>
      </c>
      <c r="AB400" s="365">
        <f t="shared" si="64"/>
        <v>22394.48</v>
      </c>
      <c r="AC400" s="227">
        <f t="shared" si="65"/>
        <v>0.49</v>
      </c>
      <c r="AD400" s="365">
        <f t="shared" si="61"/>
        <v>11421.18</v>
      </c>
      <c r="AE400" s="366">
        <f t="shared" si="62"/>
        <v>0</v>
      </c>
      <c r="AF400" s="367">
        <f t="shared" si="63"/>
        <v>0</v>
      </c>
      <c r="AG400" s="497">
        <f t="shared" si="58"/>
        <v>11421.18</v>
      </c>
      <c r="AH400" s="513">
        <f t="shared" si="55"/>
        <v>11421</v>
      </c>
      <c r="AI400" s="1044"/>
      <c r="AJ400" s="1044"/>
      <c r="AK400" s="1044"/>
    </row>
    <row r="401" spans="1:37" ht="12.7">
      <c r="A401" s="47" t="s">
        <v>11</v>
      </c>
      <c r="B401" s="23" t="s">
        <v>540</v>
      </c>
      <c r="C401" s="467" t="s">
        <v>671</v>
      </c>
      <c r="D401" s="139" t="s">
        <v>421</v>
      </c>
      <c r="E401" s="779" t="s">
        <v>422</v>
      </c>
      <c r="F401" s="294" t="s">
        <v>585</v>
      </c>
      <c r="G401" s="316"/>
      <c r="H401" s="354" t="s">
        <v>472</v>
      </c>
      <c r="I401" s="296">
        <v>42</v>
      </c>
      <c r="J401" s="297">
        <v>14</v>
      </c>
      <c r="K401" s="298">
        <f>60*0.985</f>
        <v>59.10</v>
      </c>
      <c r="L401" s="299">
        <v>82</v>
      </c>
      <c r="M401" s="297">
        <v>41</v>
      </c>
      <c r="N401" s="355">
        <f>60*0.004</f>
        <v>0.24</v>
      </c>
      <c r="O401" s="356" t="s">
        <v>473</v>
      </c>
      <c r="P401" s="296">
        <v>42</v>
      </c>
      <c r="Q401" s="297">
        <v>14</v>
      </c>
      <c r="R401" s="298">
        <f>60*0.842</f>
        <v>50.52</v>
      </c>
      <c r="S401" s="299">
        <v>82</v>
      </c>
      <c r="T401" s="297">
        <v>41</v>
      </c>
      <c r="U401" s="355">
        <f>60*0.011</f>
        <v>0.65999999999999992</v>
      </c>
      <c r="V401" s="294">
        <v>4</v>
      </c>
      <c r="W401" s="551">
        <v>868</v>
      </c>
      <c r="X401" s="295">
        <v>1994</v>
      </c>
      <c r="Y401" s="294"/>
      <c r="Z401" s="357"/>
      <c r="AA401" s="294" t="s">
        <v>31</v>
      </c>
      <c r="AB401" s="358">
        <f>IF(G401="ABAND",0,(IF(AA401="steel",VLOOKUP(V401,steelrates,2,FALSE)*W401,VLOOKUP(V401,plasticrates,2,FALSE)*W401)))</f>
        <v>30952.879999999997</v>
      </c>
      <c r="AC401" s="304">
        <f>IF(X401=0,0,(VLOOKUP(X401,depreciation,2,)))</f>
        <v>0.49</v>
      </c>
      <c r="AD401" s="358">
        <f t="shared" si="61"/>
        <v>15785.97</v>
      </c>
      <c r="AE401" s="359">
        <f t="shared" si="62"/>
        <v>0</v>
      </c>
      <c r="AF401" s="360">
        <f t="shared" si="63"/>
        <v>0</v>
      </c>
      <c r="AG401" s="498">
        <f t="shared" si="58"/>
        <v>15785.97</v>
      </c>
      <c r="AH401" s="514">
        <f t="shared" si="55"/>
        <v>15785</v>
      </c>
      <c r="AI401" s="1044"/>
      <c r="AJ401" s="1044"/>
      <c r="AK401" s="1044"/>
    </row>
    <row r="402" spans="1:37" ht="12.7">
      <c r="A402" s="47" t="s">
        <v>11</v>
      </c>
      <c r="B402" s="23" t="s">
        <v>540</v>
      </c>
      <c r="C402" s="467" t="s">
        <v>671</v>
      </c>
      <c r="D402" s="139" t="s">
        <v>421</v>
      </c>
      <c r="E402" s="778" t="s">
        <v>422</v>
      </c>
      <c r="F402" s="249" t="s">
        <v>586</v>
      </c>
      <c r="G402" s="315"/>
      <c r="H402" s="347" t="s">
        <v>474</v>
      </c>
      <c r="I402" s="250">
        <v>42</v>
      </c>
      <c r="J402" s="251">
        <v>15</v>
      </c>
      <c r="K402" s="252">
        <f>60*0.643</f>
        <v>38.58</v>
      </c>
      <c r="L402" s="253">
        <v>82</v>
      </c>
      <c r="M402" s="251">
        <v>41</v>
      </c>
      <c r="N402" s="348">
        <f>60*0.993</f>
        <v>59.58</v>
      </c>
      <c r="O402" s="349" t="s">
        <v>475</v>
      </c>
      <c r="P402" s="250">
        <v>42</v>
      </c>
      <c r="Q402" s="251">
        <v>15</v>
      </c>
      <c r="R402" s="252">
        <f>60*0.653</f>
        <v>39.18</v>
      </c>
      <c r="S402" s="253">
        <v>82</v>
      </c>
      <c r="T402" s="251">
        <v>41</v>
      </c>
      <c r="U402" s="348">
        <f>60*0.977</f>
        <v>58.62</v>
      </c>
      <c r="V402" s="249">
        <v>6</v>
      </c>
      <c r="W402" s="550">
        <v>94</v>
      </c>
      <c r="X402" s="291">
        <v>1994</v>
      </c>
      <c r="Y402" s="249"/>
      <c r="Z402" s="350"/>
      <c r="AA402" s="249" t="s">
        <v>31</v>
      </c>
      <c r="AB402" s="351">
        <f t="shared" si="64"/>
        <v>4317.42</v>
      </c>
      <c r="AC402" s="257">
        <f t="shared" si="65"/>
        <v>0.49</v>
      </c>
      <c r="AD402" s="351">
        <f t="shared" si="61"/>
        <v>2201.88</v>
      </c>
      <c r="AE402" s="352">
        <f t="shared" si="62"/>
        <v>0</v>
      </c>
      <c r="AF402" s="353">
        <f t="shared" si="63"/>
        <v>0</v>
      </c>
      <c r="AG402" s="489">
        <f t="shared" si="58"/>
        <v>2201.88</v>
      </c>
      <c r="AH402" s="509">
        <f t="shared" si="55"/>
        <v>2201</v>
      </c>
      <c r="AI402" s="1061" t="s">
        <v>624</v>
      </c>
      <c r="AJ402" s="1062"/>
      <c r="AK402" s="1063"/>
    </row>
    <row r="403" spans="1:37" ht="12.7">
      <c r="A403" s="47" t="s">
        <v>11</v>
      </c>
      <c r="B403" s="23" t="s">
        <v>540</v>
      </c>
      <c r="C403" s="467" t="s">
        <v>671</v>
      </c>
      <c r="D403" s="139" t="s">
        <v>421</v>
      </c>
      <c r="E403" s="770" t="s">
        <v>422</v>
      </c>
      <c r="F403" s="218" t="s">
        <v>586</v>
      </c>
      <c r="G403" s="311"/>
      <c r="H403" s="361" t="s">
        <v>475</v>
      </c>
      <c r="I403" s="219">
        <v>42</v>
      </c>
      <c r="J403" s="220">
        <v>15</v>
      </c>
      <c r="K403" s="221">
        <f>60*0.653</f>
        <v>39.18</v>
      </c>
      <c r="L403" s="222">
        <v>82</v>
      </c>
      <c r="M403" s="220">
        <v>41</v>
      </c>
      <c r="N403" s="362">
        <f>60*0.977</f>
        <v>58.62</v>
      </c>
      <c r="O403" s="363" t="s">
        <v>476</v>
      </c>
      <c r="P403" s="219">
        <v>42</v>
      </c>
      <c r="Q403" s="220">
        <v>15</v>
      </c>
      <c r="R403" s="221">
        <f>60*0.596</f>
        <v>35.76</v>
      </c>
      <c r="S403" s="222">
        <v>82</v>
      </c>
      <c r="T403" s="220">
        <v>41</v>
      </c>
      <c r="U403" s="362">
        <f>60*0.93</f>
        <v>55.80</v>
      </c>
      <c r="V403" s="218">
        <v>6</v>
      </c>
      <c r="W403" s="544">
        <v>405</v>
      </c>
      <c r="X403" s="292">
        <v>1994</v>
      </c>
      <c r="Y403" s="218"/>
      <c r="Z403" s="364"/>
      <c r="AA403" s="218" t="s">
        <v>31</v>
      </c>
      <c r="AB403" s="365">
        <f t="shared" si="64"/>
        <v>18601.650000000001</v>
      </c>
      <c r="AC403" s="227">
        <f t="shared" si="65"/>
        <v>0.49</v>
      </c>
      <c r="AD403" s="365">
        <f t="shared" si="61"/>
        <v>9486.84</v>
      </c>
      <c r="AE403" s="366">
        <f t="shared" si="62"/>
        <v>0</v>
      </c>
      <c r="AF403" s="367">
        <f t="shared" si="63"/>
        <v>0</v>
      </c>
      <c r="AG403" s="136">
        <f t="shared" si="58"/>
        <v>9486.84</v>
      </c>
      <c r="AH403" s="510">
        <f t="shared" si="55"/>
        <v>9486</v>
      </c>
      <c r="AI403" s="1061"/>
      <c r="AJ403" s="1062"/>
      <c r="AK403" s="1063"/>
    </row>
    <row r="404" spans="1:37" ht="12.7">
      <c r="A404" s="47" t="s">
        <v>11</v>
      </c>
      <c r="B404" s="23" t="s">
        <v>540</v>
      </c>
      <c r="C404" s="467" t="s">
        <v>671</v>
      </c>
      <c r="D404" s="139" t="s">
        <v>421</v>
      </c>
      <c r="E404" s="779" t="s">
        <v>422</v>
      </c>
      <c r="F404" s="294" t="s">
        <v>586</v>
      </c>
      <c r="G404" s="316"/>
      <c r="H404" s="354" t="s">
        <v>476</v>
      </c>
      <c r="I404" s="296">
        <v>42</v>
      </c>
      <c r="J404" s="297">
        <v>15</v>
      </c>
      <c r="K404" s="298">
        <f>60*0.596</f>
        <v>35.76</v>
      </c>
      <c r="L404" s="299">
        <v>82</v>
      </c>
      <c r="M404" s="297">
        <v>41</v>
      </c>
      <c r="N404" s="355">
        <f>60*0.93</f>
        <v>55.80</v>
      </c>
      <c r="O404" s="356" t="s">
        <v>477</v>
      </c>
      <c r="P404" s="296">
        <v>42</v>
      </c>
      <c r="Q404" s="297">
        <v>15</v>
      </c>
      <c r="R404" s="298">
        <f>60*0.524</f>
        <v>31.44</v>
      </c>
      <c r="S404" s="299">
        <v>82</v>
      </c>
      <c r="T404" s="297">
        <v>41</v>
      </c>
      <c r="U404" s="355">
        <f>60*0.724</f>
        <v>43.44</v>
      </c>
      <c r="V404" s="294">
        <v>6</v>
      </c>
      <c r="W404" s="551">
        <v>1024</v>
      </c>
      <c r="X404" s="295">
        <v>1994</v>
      </c>
      <c r="Y404" s="294"/>
      <c r="Z404" s="357"/>
      <c r="AA404" s="294" t="s">
        <v>31</v>
      </c>
      <c r="AB404" s="358">
        <f t="shared" si="66" ref="AB404:AB417">IF(G404="ABAND",0,(IF(AA404="steel",VLOOKUP(V404,steelrates,2,FALSE)*W404,VLOOKUP(V404,plasticrates,2,FALSE)*W404)))</f>
        <v>47032.32</v>
      </c>
      <c r="AC404" s="304">
        <f>IF(X404=0,0,(VLOOKUP(X404,depreciation,2,)))</f>
        <v>0.49</v>
      </c>
      <c r="AD404" s="358">
        <f t="shared" si="61"/>
        <v>23986.48</v>
      </c>
      <c r="AE404" s="359">
        <f t="shared" si="62"/>
        <v>0</v>
      </c>
      <c r="AF404" s="360">
        <f t="shared" si="63"/>
        <v>0</v>
      </c>
      <c r="AG404" s="490">
        <f t="shared" si="58"/>
        <v>23986.48</v>
      </c>
      <c r="AH404" s="511">
        <f t="shared" si="55"/>
        <v>23986</v>
      </c>
      <c r="AI404" s="1061"/>
      <c r="AJ404" s="1062"/>
      <c r="AK404" s="1063"/>
    </row>
    <row r="405" spans="1:37" ht="12.7">
      <c r="A405" s="47" t="s">
        <v>11</v>
      </c>
      <c r="B405" s="23" t="s">
        <v>540</v>
      </c>
      <c r="C405" s="467" t="s">
        <v>671</v>
      </c>
      <c r="D405" s="139" t="s">
        <v>421</v>
      </c>
      <c r="E405" s="778" t="s">
        <v>422</v>
      </c>
      <c r="F405" s="249" t="s">
        <v>587</v>
      </c>
      <c r="G405" s="315"/>
      <c r="H405" s="347" t="s">
        <v>478</v>
      </c>
      <c r="I405" s="250">
        <v>42</v>
      </c>
      <c r="J405" s="251">
        <v>15</v>
      </c>
      <c r="K405" s="252">
        <f>60*0.524</f>
        <v>31.44</v>
      </c>
      <c r="L405" s="253">
        <v>82</v>
      </c>
      <c r="M405" s="251">
        <v>41</v>
      </c>
      <c r="N405" s="348">
        <f>60*0.724</f>
        <v>43.44</v>
      </c>
      <c r="O405" s="349" t="s">
        <v>479</v>
      </c>
      <c r="P405" s="250">
        <v>42</v>
      </c>
      <c r="Q405" s="251">
        <v>15</v>
      </c>
      <c r="R405" s="252">
        <f>60*0.505</f>
        <v>30.30</v>
      </c>
      <c r="S405" s="253">
        <v>82</v>
      </c>
      <c r="T405" s="251">
        <v>41</v>
      </c>
      <c r="U405" s="348">
        <f>60*0.699</f>
        <v>41.94</v>
      </c>
      <c r="V405" s="249">
        <v>3</v>
      </c>
      <c r="W405" s="550">
        <v>161</v>
      </c>
      <c r="X405" s="291">
        <v>1994</v>
      </c>
      <c r="Y405" s="249"/>
      <c r="Z405" s="350"/>
      <c r="AA405" s="249" t="s">
        <v>15</v>
      </c>
      <c r="AB405" s="351">
        <f t="shared" si="66"/>
        <v>2413.39</v>
      </c>
      <c r="AC405" s="257">
        <f>IF(X405=0,0,(VLOOKUP(X405,depreciation,2,)))</f>
        <v>0.49</v>
      </c>
      <c r="AD405" s="351">
        <f t="shared" si="61"/>
        <v>1230.83</v>
      </c>
      <c r="AE405" s="352">
        <f t="shared" si="62"/>
        <v>0</v>
      </c>
      <c r="AF405" s="353">
        <f t="shared" si="63"/>
        <v>0</v>
      </c>
      <c r="AG405" s="489">
        <f t="shared" si="58"/>
        <v>1230.83</v>
      </c>
      <c r="AH405" s="509">
        <f t="shared" si="55"/>
        <v>1230</v>
      </c>
      <c r="AI405" s="1061" t="s">
        <v>624</v>
      </c>
      <c r="AJ405" s="1062"/>
      <c r="AK405" s="1063"/>
    </row>
    <row r="406" spans="1:37" ht="12.7">
      <c r="A406" s="47" t="s">
        <v>11</v>
      </c>
      <c r="B406" s="23" t="s">
        <v>540</v>
      </c>
      <c r="C406" s="467" t="s">
        <v>671</v>
      </c>
      <c r="D406" s="139" t="s">
        <v>421</v>
      </c>
      <c r="E406" s="770" t="s">
        <v>422</v>
      </c>
      <c r="F406" s="218" t="s">
        <v>587</v>
      </c>
      <c r="G406" s="311"/>
      <c r="H406" s="361" t="s">
        <v>479</v>
      </c>
      <c r="I406" s="219">
        <v>42</v>
      </c>
      <c r="J406" s="220">
        <v>15</v>
      </c>
      <c r="K406" s="221">
        <f>60*0.505</f>
        <v>30.30</v>
      </c>
      <c r="L406" s="222">
        <v>82</v>
      </c>
      <c r="M406" s="220">
        <v>41</v>
      </c>
      <c r="N406" s="362">
        <f>60*0.699</f>
        <v>41.94</v>
      </c>
      <c r="O406" s="363" t="s">
        <v>480</v>
      </c>
      <c r="P406" s="219">
        <v>42</v>
      </c>
      <c r="Q406" s="220">
        <v>15</v>
      </c>
      <c r="R406" s="221">
        <f>60*0.505</f>
        <v>30.30</v>
      </c>
      <c r="S406" s="222">
        <v>82</v>
      </c>
      <c r="T406" s="220">
        <v>41</v>
      </c>
      <c r="U406" s="362">
        <f>60*0.628</f>
        <v>37.68</v>
      </c>
      <c r="V406" s="218">
        <v>3</v>
      </c>
      <c r="W406" s="544">
        <v>319</v>
      </c>
      <c r="X406" s="292">
        <v>1994</v>
      </c>
      <c r="Y406" s="218"/>
      <c r="Z406" s="364"/>
      <c r="AA406" s="218" t="s">
        <v>15</v>
      </c>
      <c r="AB406" s="365">
        <f t="shared" si="66"/>
        <v>4781.8100000000004</v>
      </c>
      <c r="AC406" s="227">
        <f t="shared" si="67" ref="AC406:AC417">IF(X406=0,0,(VLOOKUP(X406,depreciation,2,)))</f>
        <v>0.49</v>
      </c>
      <c r="AD406" s="365">
        <f t="shared" si="61"/>
        <v>2438.7199999999998</v>
      </c>
      <c r="AE406" s="366">
        <f t="shared" si="62"/>
        <v>0</v>
      </c>
      <c r="AF406" s="367">
        <f t="shared" si="63"/>
        <v>0</v>
      </c>
      <c r="AG406" s="136">
        <f t="shared" si="58"/>
        <v>2438.7199999999998</v>
      </c>
      <c r="AH406" s="510">
        <f t="shared" si="55"/>
        <v>2438</v>
      </c>
      <c r="AI406" s="1061"/>
      <c r="AJ406" s="1062"/>
      <c r="AK406" s="1063"/>
    </row>
    <row r="407" spans="1:37" ht="12.7">
      <c r="A407" s="47" t="s">
        <v>11</v>
      </c>
      <c r="B407" s="23" t="s">
        <v>540</v>
      </c>
      <c r="C407" s="467" t="s">
        <v>671</v>
      </c>
      <c r="D407" s="139" t="s">
        <v>421</v>
      </c>
      <c r="E407" s="770" t="s">
        <v>422</v>
      </c>
      <c r="F407" s="218" t="s">
        <v>587</v>
      </c>
      <c r="G407" s="311"/>
      <c r="H407" s="361" t="s">
        <v>480</v>
      </c>
      <c r="I407" s="219">
        <v>42</v>
      </c>
      <c r="J407" s="220">
        <v>15</v>
      </c>
      <c r="K407" s="221">
        <f>60*0.505</f>
        <v>30.30</v>
      </c>
      <c r="L407" s="222">
        <v>82</v>
      </c>
      <c r="M407" s="220">
        <v>41</v>
      </c>
      <c r="N407" s="362">
        <f>60*0.628</f>
        <v>37.68</v>
      </c>
      <c r="O407" s="363" t="s">
        <v>481</v>
      </c>
      <c r="P407" s="219">
        <v>42</v>
      </c>
      <c r="Q407" s="220">
        <v>15</v>
      </c>
      <c r="R407" s="221">
        <f>60*0.16</f>
        <v>9.60</v>
      </c>
      <c r="S407" s="222">
        <v>82</v>
      </c>
      <c r="T407" s="220">
        <v>41</v>
      </c>
      <c r="U407" s="362">
        <f>60*0.637</f>
        <v>38.22</v>
      </c>
      <c r="V407" s="218">
        <v>3</v>
      </c>
      <c r="W407" s="544">
        <v>2094</v>
      </c>
      <c r="X407" s="292">
        <v>1994</v>
      </c>
      <c r="Y407" s="218"/>
      <c r="Z407" s="364"/>
      <c r="AA407" s="218" t="s">
        <v>15</v>
      </c>
      <c r="AB407" s="365">
        <f t="shared" si="66"/>
        <v>31389.06</v>
      </c>
      <c r="AC407" s="227">
        <f t="shared" si="67"/>
        <v>0.49</v>
      </c>
      <c r="AD407" s="365">
        <f t="shared" si="61"/>
        <v>16008.42</v>
      </c>
      <c r="AE407" s="366">
        <f t="shared" si="62"/>
        <v>0</v>
      </c>
      <c r="AF407" s="367">
        <f t="shared" si="63"/>
        <v>0</v>
      </c>
      <c r="AG407" s="136">
        <f t="shared" si="58"/>
        <v>16008.42</v>
      </c>
      <c r="AH407" s="510">
        <f t="shared" si="55"/>
        <v>16008</v>
      </c>
      <c r="AI407" s="1061"/>
      <c r="AJ407" s="1062"/>
      <c r="AK407" s="1063"/>
    </row>
    <row r="408" spans="1:37" ht="12.7">
      <c r="A408" s="47" t="s">
        <v>11</v>
      </c>
      <c r="B408" s="23" t="s">
        <v>540</v>
      </c>
      <c r="C408" s="467" t="s">
        <v>671</v>
      </c>
      <c r="D408" s="139" t="s">
        <v>421</v>
      </c>
      <c r="E408" s="770" t="s">
        <v>422</v>
      </c>
      <c r="F408" s="218" t="s">
        <v>587</v>
      </c>
      <c r="G408" s="311"/>
      <c r="H408" s="361" t="s">
        <v>481</v>
      </c>
      <c r="I408" s="219">
        <v>42</v>
      </c>
      <c r="J408" s="220">
        <v>15</v>
      </c>
      <c r="K408" s="221">
        <f>60*0.16</f>
        <v>9.60</v>
      </c>
      <c r="L408" s="222">
        <v>82</v>
      </c>
      <c r="M408" s="220">
        <v>41</v>
      </c>
      <c r="N408" s="362">
        <f>60*0.637</f>
        <v>38.22</v>
      </c>
      <c r="O408" s="363" t="s">
        <v>482</v>
      </c>
      <c r="P408" s="219">
        <v>42</v>
      </c>
      <c r="Q408" s="220">
        <v>15</v>
      </c>
      <c r="R408" s="221">
        <f>60*0.115</f>
        <v>6.90</v>
      </c>
      <c r="S408" s="222">
        <v>82</v>
      </c>
      <c r="T408" s="220">
        <v>41</v>
      </c>
      <c r="U408" s="362">
        <f>60*0.309</f>
        <v>18.54</v>
      </c>
      <c r="V408" s="218">
        <v>3</v>
      </c>
      <c r="W408" s="544">
        <v>1500</v>
      </c>
      <c r="X408" s="292">
        <v>1994</v>
      </c>
      <c r="Y408" s="218"/>
      <c r="Z408" s="364"/>
      <c r="AA408" s="218" t="s">
        <v>15</v>
      </c>
      <c r="AB408" s="365">
        <f t="shared" si="66"/>
        <v>22485</v>
      </c>
      <c r="AC408" s="227">
        <f t="shared" si="67"/>
        <v>0.49</v>
      </c>
      <c r="AD408" s="365">
        <f t="shared" si="61"/>
        <v>11467.35</v>
      </c>
      <c r="AE408" s="366">
        <f t="shared" si="62"/>
        <v>0</v>
      </c>
      <c r="AF408" s="367">
        <f t="shared" si="63"/>
        <v>0</v>
      </c>
      <c r="AG408" s="136">
        <f t="shared" si="58"/>
        <v>11467.35</v>
      </c>
      <c r="AH408" s="510">
        <f t="shared" si="55"/>
        <v>11467</v>
      </c>
      <c r="AI408" s="1061"/>
      <c r="AJ408" s="1062"/>
      <c r="AK408" s="1063"/>
    </row>
    <row r="409" spans="1:37" ht="12.7">
      <c r="A409" s="47" t="s">
        <v>11</v>
      </c>
      <c r="B409" s="23" t="s">
        <v>540</v>
      </c>
      <c r="C409" s="467" t="s">
        <v>671</v>
      </c>
      <c r="D409" s="139" t="s">
        <v>421</v>
      </c>
      <c r="E409" s="770" t="s">
        <v>422</v>
      </c>
      <c r="F409" s="218" t="s">
        <v>587</v>
      </c>
      <c r="G409" s="311"/>
      <c r="H409" s="361" t="s">
        <v>482</v>
      </c>
      <c r="I409" s="219">
        <v>42</v>
      </c>
      <c r="J409" s="220">
        <v>15</v>
      </c>
      <c r="K409" s="221">
        <f>60*0.115</f>
        <v>6.90</v>
      </c>
      <c r="L409" s="222">
        <v>82</v>
      </c>
      <c r="M409" s="220">
        <v>41</v>
      </c>
      <c r="N409" s="362">
        <f>60*0.309</f>
        <v>18.54</v>
      </c>
      <c r="O409" s="363" t="s">
        <v>483</v>
      </c>
      <c r="P409" s="219">
        <v>42</v>
      </c>
      <c r="Q409" s="220">
        <v>15</v>
      </c>
      <c r="R409" s="221">
        <f>60*0.092</f>
        <v>5.52</v>
      </c>
      <c r="S409" s="222">
        <v>82</v>
      </c>
      <c r="T409" s="220">
        <v>41</v>
      </c>
      <c r="U409" s="362">
        <f>60*0.174</f>
        <v>10.44</v>
      </c>
      <c r="V409" s="218">
        <v>3</v>
      </c>
      <c r="W409" s="544">
        <v>623</v>
      </c>
      <c r="X409" s="292">
        <v>1994</v>
      </c>
      <c r="Y409" s="218"/>
      <c r="Z409" s="364"/>
      <c r="AA409" s="218" t="s">
        <v>15</v>
      </c>
      <c r="AB409" s="365">
        <f t="shared" si="66"/>
        <v>9338.77</v>
      </c>
      <c r="AC409" s="227">
        <f t="shared" si="67"/>
        <v>0.49</v>
      </c>
      <c r="AD409" s="365">
        <f t="shared" si="61"/>
        <v>4762.7700000000004</v>
      </c>
      <c r="AE409" s="366">
        <f t="shared" si="62"/>
        <v>0</v>
      </c>
      <c r="AF409" s="367">
        <f t="shared" si="63"/>
        <v>0</v>
      </c>
      <c r="AG409" s="136">
        <f t="shared" si="58"/>
        <v>4762.7700000000004</v>
      </c>
      <c r="AH409" s="510">
        <f t="shared" si="55"/>
        <v>4762</v>
      </c>
      <c r="AI409" s="1061"/>
      <c r="AJ409" s="1062"/>
      <c r="AK409" s="1063"/>
    </row>
    <row r="410" spans="1:37" ht="12.7">
      <c r="A410" s="47" t="s">
        <v>11</v>
      </c>
      <c r="B410" s="23" t="s">
        <v>540</v>
      </c>
      <c r="C410" s="467" t="s">
        <v>671</v>
      </c>
      <c r="D410" s="139" t="s">
        <v>421</v>
      </c>
      <c r="E410" s="770" t="s">
        <v>422</v>
      </c>
      <c r="F410" s="218" t="s">
        <v>587</v>
      </c>
      <c r="G410" s="311"/>
      <c r="H410" s="361" t="s">
        <v>483</v>
      </c>
      <c r="I410" s="219">
        <v>42</v>
      </c>
      <c r="J410" s="220">
        <v>15</v>
      </c>
      <c r="K410" s="221">
        <f>60*0.092</f>
        <v>5.52</v>
      </c>
      <c r="L410" s="222">
        <v>82</v>
      </c>
      <c r="M410" s="220">
        <v>41</v>
      </c>
      <c r="N410" s="362">
        <f>60*0.174</f>
        <v>10.44</v>
      </c>
      <c r="O410" s="363" t="s">
        <v>484</v>
      </c>
      <c r="P410" s="219">
        <v>42</v>
      </c>
      <c r="Q410" s="220">
        <v>14</v>
      </c>
      <c r="R410" s="221">
        <f>60*0.087</f>
        <v>5.22</v>
      </c>
      <c r="S410" s="222">
        <v>82</v>
      </c>
      <c r="T410" s="220">
        <v>41</v>
      </c>
      <c r="U410" s="362">
        <f>60*0.028</f>
        <v>1.68</v>
      </c>
      <c r="V410" s="218">
        <v>3</v>
      </c>
      <c r="W410" s="544">
        <v>657</v>
      </c>
      <c r="X410" s="292">
        <v>1994</v>
      </c>
      <c r="Y410" s="218"/>
      <c r="Z410" s="364"/>
      <c r="AA410" s="218" t="s">
        <v>15</v>
      </c>
      <c r="AB410" s="365">
        <f t="shared" si="66"/>
        <v>9848.43</v>
      </c>
      <c r="AC410" s="227">
        <f t="shared" si="67"/>
        <v>0.49</v>
      </c>
      <c r="AD410" s="365">
        <f t="shared" si="61"/>
        <v>5022.70</v>
      </c>
      <c r="AE410" s="366">
        <f t="shared" si="62"/>
        <v>0</v>
      </c>
      <c r="AF410" s="367">
        <f t="shared" si="63"/>
        <v>0</v>
      </c>
      <c r="AG410" s="136">
        <f t="shared" si="58"/>
        <v>5022.70</v>
      </c>
      <c r="AH410" s="510">
        <f t="shared" si="55"/>
        <v>5022</v>
      </c>
      <c r="AI410" s="1061"/>
      <c r="AJ410" s="1062"/>
      <c r="AK410" s="1063"/>
    </row>
    <row r="411" spans="1:37" ht="12.7">
      <c r="A411" s="47" t="s">
        <v>11</v>
      </c>
      <c r="B411" s="23" t="s">
        <v>540</v>
      </c>
      <c r="C411" s="467" t="s">
        <v>671</v>
      </c>
      <c r="D411" s="139" t="s">
        <v>421</v>
      </c>
      <c r="E411" s="770" t="s">
        <v>422</v>
      </c>
      <c r="F411" s="218" t="s">
        <v>587</v>
      </c>
      <c r="G411" s="311"/>
      <c r="H411" s="361" t="s">
        <v>484</v>
      </c>
      <c r="I411" s="219">
        <v>42</v>
      </c>
      <c r="J411" s="220">
        <v>14</v>
      </c>
      <c r="K411" s="221">
        <f>60*0.087</f>
        <v>5.22</v>
      </c>
      <c r="L411" s="222">
        <v>82</v>
      </c>
      <c r="M411" s="220">
        <v>41</v>
      </c>
      <c r="N411" s="362">
        <f>60*0.028</f>
        <v>1.68</v>
      </c>
      <c r="O411" s="363" t="s">
        <v>485</v>
      </c>
      <c r="P411" s="219">
        <v>42</v>
      </c>
      <c r="Q411" s="220">
        <v>14</v>
      </c>
      <c r="R411" s="221">
        <f>60*0.985</f>
        <v>59.10</v>
      </c>
      <c r="S411" s="222">
        <v>82</v>
      </c>
      <c r="T411" s="220">
        <v>41</v>
      </c>
      <c r="U411" s="362">
        <f>60*0.004</f>
        <v>0.24</v>
      </c>
      <c r="V411" s="218">
        <v>3</v>
      </c>
      <c r="W411" s="544">
        <v>628</v>
      </c>
      <c r="X411" s="292">
        <v>1994</v>
      </c>
      <c r="Y411" s="218"/>
      <c r="Z411" s="364"/>
      <c r="AA411" s="218" t="s">
        <v>15</v>
      </c>
      <c r="AB411" s="365">
        <f t="shared" si="66"/>
        <v>9413.7199999999993</v>
      </c>
      <c r="AC411" s="227">
        <f t="shared" si="67"/>
        <v>0.49</v>
      </c>
      <c r="AD411" s="365">
        <f t="shared" si="61"/>
        <v>4801</v>
      </c>
      <c r="AE411" s="366">
        <f t="shared" si="62"/>
        <v>0</v>
      </c>
      <c r="AF411" s="367">
        <f t="shared" si="63"/>
        <v>0</v>
      </c>
      <c r="AG411" s="136">
        <f t="shared" si="58"/>
        <v>4801</v>
      </c>
      <c r="AH411" s="510">
        <f t="shared" si="55"/>
        <v>4801</v>
      </c>
      <c r="AI411" s="1061"/>
      <c r="AJ411" s="1062"/>
      <c r="AK411" s="1063"/>
    </row>
    <row r="412" spans="1:37" ht="12.7">
      <c r="A412" s="47" t="s">
        <v>11</v>
      </c>
      <c r="B412" s="23" t="s">
        <v>540</v>
      </c>
      <c r="C412" s="467" t="s">
        <v>671</v>
      </c>
      <c r="D412" s="139" t="s">
        <v>421</v>
      </c>
      <c r="E412" s="779" t="s">
        <v>422</v>
      </c>
      <c r="F412" s="294" t="s">
        <v>587</v>
      </c>
      <c r="G412" s="316"/>
      <c r="H412" s="354" t="s">
        <v>485</v>
      </c>
      <c r="I412" s="296">
        <v>42</v>
      </c>
      <c r="J412" s="297">
        <v>14</v>
      </c>
      <c r="K412" s="298">
        <f>60*0.985</f>
        <v>59.10</v>
      </c>
      <c r="L412" s="299">
        <v>82</v>
      </c>
      <c r="M412" s="297">
        <v>41</v>
      </c>
      <c r="N412" s="355">
        <f>60*0.004</f>
        <v>0.24</v>
      </c>
      <c r="O412" s="356" t="s">
        <v>486</v>
      </c>
      <c r="P412" s="296">
        <v>42</v>
      </c>
      <c r="Q412" s="297">
        <v>14</v>
      </c>
      <c r="R412" s="298">
        <f>60*0.842</f>
        <v>50.52</v>
      </c>
      <c r="S412" s="299">
        <v>82</v>
      </c>
      <c r="T412" s="297">
        <v>41</v>
      </c>
      <c r="U412" s="355">
        <f>60*0.011</f>
        <v>0.65999999999999992</v>
      </c>
      <c r="V412" s="294">
        <v>3</v>
      </c>
      <c r="W412" s="551">
        <v>868</v>
      </c>
      <c r="X412" s="295">
        <v>1994</v>
      </c>
      <c r="Y412" s="294"/>
      <c r="Z412" s="357"/>
      <c r="AA412" s="294" t="s">
        <v>15</v>
      </c>
      <c r="AB412" s="358">
        <f t="shared" si="66"/>
        <v>13011.32</v>
      </c>
      <c r="AC412" s="304">
        <f t="shared" si="67"/>
        <v>0.49</v>
      </c>
      <c r="AD412" s="358">
        <f t="shared" si="61"/>
        <v>6635.77</v>
      </c>
      <c r="AE412" s="359">
        <f t="shared" si="62"/>
        <v>0</v>
      </c>
      <c r="AF412" s="360">
        <f t="shared" si="63"/>
        <v>0</v>
      </c>
      <c r="AG412" s="490">
        <f t="shared" si="58"/>
        <v>6635.77</v>
      </c>
      <c r="AH412" s="511">
        <f t="shared" si="55"/>
        <v>6635</v>
      </c>
      <c r="AI412" s="1061"/>
      <c r="AJ412" s="1062"/>
      <c r="AK412" s="1063"/>
    </row>
    <row r="413" spans="1:37" ht="12.7">
      <c r="A413" s="566" t="s">
        <v>11</v>
      </c>
      <c r="B413" s="567" t="s">
        <v>540</v>
      </c>
      <c r="C413" s="624" t="s">
        <v>671</v>
      </c>
      <c r="D413" s="729" t="s">
        <v>421</v>
      </c>
      <c r="E413" s="784" t="s">
        <v>422</v>
      </c>
      <c r="F413" s="747" t="s">
        <v>674</v>
      </c>
      <c r="G413" s="608" t="s">
        <v>281</v>
      </c>
      <c r="H413" s="731" t="s">
        <v>487</v>
      </c>
      <c r="I413" s="732">
        <v>42</v>
      </c>
      <c r="J413" s="733">
        <v>14</v>
      </c>
      <c r="K413" s="734">
        <f>60*0.985</f>
        <v>59.10</v>
      </c>
      <c r="L413" s="735">
        <v>82</v>
      </c>
      <c r="M413" s="733">
        <v>41</v>
      </c>
      <c r="N413" s="736">
        <f>60*0.004</f>
        <v>0.24</v>
      </c>
      <c r="O413" s="737" t="s">
        <v>488</v>
      </c>
      <c r="P413" s="732">
        <v>42</v>
      </c>
      <c r="Q413" s="733">
        <v>14</v>
      </c>
      <c r="R413" s="734">
        <f>60*0.842</f>
        <v>50.52</v>
      </c>
      <c r="S413" s="735">
        <v>82</v>
      </c>
      <c r="T413" s="733">
        <v>41</v>
      </c>
      <c r="U413" s="736">
        <f>60*0.011</f>
        <v>0.65999999999999992</v>
      </c>
      <c r="V413" s="730">
        <v>6</v>
      </c>
      <c r="W413" s="738">
        <v>868</v>
      </c>
      <c r="X413" s="739">
        <v>1994</v>
      </c>
      <c r="Y413" s="730"/>
      <c r="Z413" s="740"/>
      <c r="AA413" s="730" t="s">
        <v>31</v>
      </c>
      <c r="AB413" s="741">
        <f t="shared" si="66"/>
        <v>0</v>
      </c>
      <c r="AC413" s="742">
        <f t="shared" si="67"/>
        <v>0.49</v>
      </c>
      <c r="AD413" s="741">
        <f t="shared" si="61"/>
        <v>0</v>
      </c>
      <c r="AE413" s="743">
        <f t="shared" si="62"/>
        <v>0</v>
      </c>
      <c r="AF413" s="744">
        <f t="shared" si="63"/>
        <v>0</v>
      </c>
      <c r="AG413" s="745">
        <f t="shared" si="58"/>
        <v>0</v>
      </c>
      <c r="AH413" s="746">
        <f t="shared" si="55"/>
        <v>0</v>
      </c>
      <c r="AI413" s="1066" t="s">
        <v>609</v>
      </c>
      <c r="AJ413" s="1066" t="s">
        <v>609</v>
      </c>
      <c r="AK413" s="1066" t="s">
        <v>609</v>
      </c>
    </row>
    <row r="414" spans="1:37" ht="12.7">
      <c r="A414" s="566" t="s">
        <v>11</v>
      </c>
      <c r="B414" s="567" t="s">
        <v>540</v>
      </c>
      <c r="C414" s="624" t="s">
        <v>671</v>
      </c>
      <c r="D414" s="729" t="s">
        <v>421</v>
      </c>
      <c r="E414" s="784" t="s">
        <v>422</v>
      </c>
      <c r="F414" s="747" t="s">
        <v>674</v>
      </c>
      <c r="G414" s="608" t="s">
        <v>281</v>
      </c>
      <c r="H414" s="731" t="s">
        <v>489</v>
      </c>
      <c r="I414" s="732">
        <v>42</v>
      </c>
      <c r="J414" s="733">
        <v>14</v>
      </c>
      <c r="K414" s="734">
        <f>60*0.831</f>
        <v>49.86</v>
      </c>
      <c r="L414" s="735">
        <v>82</v>
      </c>
      <c r="M414" s="733">
        <v>41</v>
      </c>
      <c r="N414" s="736">
        <f>60*0.029</f>
        <v>1.74</v>
      </c>
      <c r="O414" s="737" t="s">
        <v>490</v>
      </c>
      <c r="P414" s="732">
        <v>42</v>
      </c>
      <c r="Q414" s="733">
        <v>14</v>
      </c>
      <c r="R414" s="734">
        <f>60*0.824</f>
        <v>49.44</v>
      </c>
      <c r="S414" s="735">
        <v>82</v>
      </c>
      <c r="T414" s="733">
        <v>41</v>
      </c>
      <c r="U414" s="736">
        <f>60*0.039</f>
        <v>2.34</v>
      </c>
      <c r="V414" s="730">
        <v>4</v>
      </c>
      <c r="W414" s="738">
        <v>62</v>
      </c>
      <c r="X414" s="739">
        <v>1994</v>
      </c>
      <c r="Y414" s="730"/>
      <c r="Z414" s="740"/>
      <c r="AA414" s="730" t="s">
        <v>31</v>
      </c>
      <c r="AB414" s="741">
        <f t="shared" si="66"/>
        <v>0</v>
      </c>
      <c r="AC414" s="742">
        <f t="shared" si="67"/>
        <v>0.49</v>
      </c>
      <c r="AD414" s="741">
        <f t="shared" si="61"/>
        <v>0</v>
      </c>
      <c r="AE414" s="743">
        <f t="shared" si="62"/>
        <v>0</v>
      </c>
      <c r="AF414" s="744">
        <f t="shared" si="63"/>
        <v>0</v>
      </c>
      <c r="AG414" s="745">
        <f t="shared" si="58"/>
        <v>0</v>
      </c>
      <c r="AH414" s="746">
        <f t="shared" si="55"/>
        <v>0</v>
      </c>
      <c r="AI414" s="1066"/>
      <c r="AJ414" s="1066"/>
      <c r="AK414" s="1066"/>
    </row>
    <row r="415" spans="1:37" ht="12.7">
      <c r="A415" s="566" t="s">
        <v>11</v>
      </c>
      <c r="B415" s="567" t="s">
        <v>540</v>
      </c>
      <c r="C415" s="624" t="s">
        <v>671</v>
      </c>
      <c r="D415" s="729" t="s">
        <v>421</v>
      </c>
      <c r="E415" s="784" t="s">
        <v>422</v>
      </c>
      <c r="F415" s="747" t="s">
        <v>674</v>
      </c>
      <c r="G415" s="608" t="s">
        <v>281</v>
      </c>
      <c r="H415" s="731" t="s">
        <v>490</v>
      </c>
      <c r="I415" s="732">
        <v>42</v>
      </c>
      <c r="J415" s="733">
        <v>14</v>
      </c>
      <c r="K415" s="734">
        <f>60*0.824</f>
        <v>49.44</v>
      </c>
      <c r="L415" s="735">
        <v>82</v>
      </c>
      <c r="M415" s="733">
        <v>41</v>
      </c>
      <c r="N415" s="736">
        <f>60*0.039</f>
        <v>2.34</v>
      </c>
      <c r="O415" s="737" t="s">
        <v>491</v>
      </c>
      <c r="P415" s="732">
        <v>42</v>
      </c>
      <c r="Q415" s="733">
        <v>14</v>
      </c>
      <c r="R415" s="734">
        <f>60*0.733</f>
        <v>43.98</v>
      </c>
      <c r="S415" s="735">
        <v>82</v>
      </c>
      <c r="T415" s="733">
        <v>40</v>
      </c>
      <c r="U415" s="736">
        <f>60*0.696</f>
        <v>41.76</v>
      </c>
      <c r="V415" s="730">
        <v>4</v>
      </c>
      <c r="W415" s="738">
        <v>1639</v>
      </c>
      <c r="X415" s="739">
        <v>1994</v>
      </c>
      <c r="Y415" s="730"/>
      <c r="Z415" s="740"/>
      <c r="AA415" s="730" t="s">
        <v>31</v>
      </c>
      <c r="AB415" s="741">
        <f t="shared" si="66"/>
        <v>0</v>
      </c>
      <c r="AC415" s="742">
        <f t="shared" si="67"/>
        <v>0.49</v>
      </c>
      <c r="AD415" s="741">
        <f t="shared" si="61"/>
        <v>0</v>
      </c>
      <c r="AE415" s="743">
        <f t="shared" si="62"/>
        <v>0</v>
      </c>
      <c r="AF415" s="744">
        <f t="shared" si="63"/>
        <v>0</v>
      </c>
      <c r="AG415" s="745">
        <f t="shared" si="58"/>
        <v>0</v>
      </c>
      <c r="AH415" s="746">
        <f t="shared" si="55"/>
        <v>0</v>
      </c>
      <c r="AI415" s="1066"/>
      <c r="AJ415" s="1066"/>
      <c r="AK415" s="1066"/>
    </row>
    <row r="416" spans="1:37" ht="12.7">
      <c r="A416" s="566" t="s">
        <v>11</v>
      </c>
      <c r="B416" s="567" t="s">
        <v>540</v>
      </c>
      <c r="C416" s="624" t="s">
        <v>671</v>
      </c>
      <c r="D416" s="729" t="s">
        <v>421</v>
      </c>
      <c r="E416" s="784" t="s">
        <v>422</v>
      </c>
      <c r="F416" s="747" t="s">
        <v>674</v>
      </c>
      <c r="G416" s="608" t="s">
        <v>281</v>
      </c>
      <c r="H416" s="731" t="s">
        <v>491</v>
      </c>
      <c r="I416" s="732">
        <v>42</v>
      </c>
      <c r="J416" s="733">
        <v>14</v>
      </c>
      <c r="K416" s="734">
        <f>60*0.733</f>
        <v>43.98</v>
      </c>
      <c r="L416" s="735">
        <v>82</v>
      </c>
      <c r="M416" s="733">
        <v>40</v>
      </c>
      <c r="N416" s="736">
        <f>60*0.696</f>
        <v>41.76</v>
      </c>
      <c r="O416" s="737" t="s">
        <v>492</v>
      </c>
      <c r="P416" s="732">
        <v>42</v>
      </c>
      <c r="Q416" s="733">
        <v>14</v>
      </c>
      <c r="R416" s="734">
        <f>60*0.649</f>
        <v>38.94</v>
      </c>
      <c r="S416" s="735">
        <v>82</v>
      </c>
      <c r="T416" s="733">
        <v>40</v>
      </c>
      <c r="U416" s="736">
        <f>60*0.621</f>
        <v>37.26</v>
      </c>
      <c r="V416" s="730">
        <v>4</v>
      </c>
      <c r="W416" s="738">
        <v>611</v>
      </c>
      <c r="X416" s="739">
        <v>1994</v>
      </c>
      <c r="Y416" s="730"/>
      <c r="Z416" s="740"/>
      <c r="AA416" s="730" t="s">
        <v>31</v>
      </c>
      <c r="AB416" s="741">
        <f t="shared" si="66"/>
        <v>0</v>
      </c>
      <c r="AC416" s="742">
        <f t="shared" si="67"/>
        <v>0.49</v>
      </c>
      <c r="AD416" s="741">
        <f t="shared" si="61"/>
        <v>0</v>
      </c>
      <c r="AE416" s="743">
        <f t="shared" si="62"/>
        <v>0</v>
      </c>
      <c r="AF416" s="744">
        <f t="shared" si="63"/>
        <v>0</v>
      </c>
      <c r="AG416" s="745">
        <f t="shared" si="58"/>
        <v>0</v>
      </c>
      <c r="AH416" s="746">
        <f t="shared" si="55"/>
        <v>0</v>
      </c>
      <c r="AI416" s="1066"/>
      <c r="AJ416" s="1066"/>
      <c r="AK416" s="1066"/>
    </row>
    <row r="417" spans="1:37" ht="12.7">
      <c r="A417" s="566" t="s">
        <v>11</v>
      </c>
      <c r="B417" s="567" t="s">
        <v>540</v>
      </c>
      <c r="C417" s="624" t="s">
        <v>671</v>
      </c>
      <c r="D417" s="729" t="s">
        <v>421</v>
      </c>
      <c r="E417" s="784" t="s">
        <v>422</v>
      </c>
      <c r="F417" s="747" t="s">
        <v>674</v>
      </c>
      <c r="G417" s="608" t="s">
        <v>281</v>
      </c>
      <c r="H417" s="731" t="s">
        <v>492</v>
      </c>
      <c r="I417" s="732">
        <v>42</v>
      </c>
      <c r="J417" s="733">
        <v>14</v>
      </c>
      <c r="K417" s="734">
        <f>60*0.649</f>
        <v>38.94</v>
      </c>
      <c r="L417" s="735">
        <v>82</v>
      </c>
      <c r="M417" s="733">
        <v>40</v>
      </c>
      <c r="N417" s="736">
        <f>60*0.621</f>
        <v>37.26</v>
      </c>
      <c r="O417" s="737" t="s">
        <v>493</v>
      </c>
      <c r="P417" s="732">
        <v>42</v>
      </c>
      <c r="Q417" s="733">
        <v>14</v>
      </c>
      <c r="R417" s="734">
        <f>60*0.108</f>
        <v>6.48</v>
      </c>
      <c r="S417" s="735">
        <v>82</v>
      </c>
      <c r="T417" s="733">
        <v>40</v>
      </c>
      <c r="U417" s="736">
        <f>60*0.479</f>
        <v>28.74</v>
      </c>
      <c r="V417" s="730">
        <v>4</v>
      </c>
      <c r="W417" s="738">
        <v>3344</v>
      </c>
      <c r="X417" s="739">
        <v>1994</v>
      </c>
      <c r="Y417" s="730"/>
      <c r="Z417" s="740"/>
      <c r="AA417" s="730" t="s">
        <v>31</v>
      </c>
      <c r="AB417" s="741">
        <f t="shared" si="66"/>
        <v>0</v>
      </c>
      <c r="AC417" s="742">
        <f t="shared" si="67"/>
        <v>0.49</v>
      </c>
      <c r="AD417" s="741">
        <f t="shared" si="61"/>
        <v>0</v>
      </c>
      <c r="AE417" s="743">
        <f t="shared" si="62"/>
        <v>0</v>
      </c>
      <c r="AF417" s="744">
        <f t="shared" si="63"/>
        <v>0</v>
      </c>
      <c r="AG417" s="745">
        <f t="shared" si="58"/>
        <v>0</v>
      </c>
      <c r="AH417" s="746">
        <f t="shared" si="55"/>
        <v>0</v>
      </c>
      <c r="AI417" s="1066"/>
      <c r="AJ417" s="1066"/>
      <c r="AK417" s="1066"/>
    </row>
    <row r="418" spans="1:37" ht="12.7">
      <c r="A418" s="566" t="s">
        <v>11</v>
      </c>
      <c r="B418" s="567" t="s">
        <v>540</v>
      </c>
      <c r="C418" s="624" t="s">
        <v>671</v>
      </c>
      <c r="D418" s="729" t="s">
        <v>421</v>
      </c>
      <c r="E418" s="784" t="s">
        <v>422</v>
      </c>
      <c r="F418" s="747" t="s">
        <v>674</v>
      </c>
      <c r="G418" s="608" t="s">
        <v>281</v>
      </c>
      <c r="H418" s="731" t="s">
        <v>493</v>
      </c>
      <c r="I418" s="732">
        <v>42</v>
      </c>
      <c r="J418" s="733">
        <v>14</v>
      </c>
      <c r="K418" s="734">
        <f>60*0.108</f>
        <v>6.48</v>
      </c>
      <c r="L418" s="735">
        <v>82</v>
      </c>
      <c r="M418" s="733">
        <v>40</v>
      </c>
      <c r="N418" s="736">
        <f>60*0.479</f>
        <v>28.74</v>
      </c>
      <c r="O418" s="737" t="s">
        <v>494</v>
      </c>
      <c r="P418" s="732">
        <v>42</v>
      </c>
      <c r="Q418" s="733">
        <v>13</v>
      </c>
      <c r="R418" s="734">
        <f>60*0.395</f>
        <v>23.700000000000003</v>
      </c>
      <c r="S418" s="735">
        <v>82</v>
      </c>
      <c r="T418" s="733">
        <v>40</v>
      </c>
      <c r="U418" s="736">
        <f>60*0.661</f>
        <v>39.660000000000004</v>
      </c>
      <c r="V418" s="730">
        <v>4</v>
      </c>
      <c r="W418" s="738">
        <v>4403</v>
      </c>
      <c r="X418" s="739">
        <v>1994</v>
      </c>
      <c r="Y418" s="730"/>
      <c r="Z418" s="740"/>
      <c r="AA418" s="730" t="s">
        <v>31</v>
      </c>
      <c r="AB418" s="741">
        <f t="shared" si="68" ref="AB418:AB424">IF(G418="ABAND",0,(IF(AA418="steel",VLOOKUP(V418,steelrates,2,FALSE)*W418,VLOOKUP(V418,plasticrates,2,FALSE)*W418)))</f>
        <v>0</v>
      </c>
      <c r="AC418" s="742">
        <f t="shared" si="69" ref="AC418:AC424">IF(X418=0,0,(VLOOKUP(X418,depreciation,2,)))</f>
        <v>0.49</v>
      </c>
      <c r="AD418" s="741">
        <f t="shared" si="61"/>
        <v>0</v>
      </c>
      <c r="AE418" s="743">
        <f t="shared" si="62"/>
        <v>0</v>
      </c>
      <c r="AF418" s="744">
        <f t="shared" si="63"/>
        <v>0</v>
      </c>
      <c r="AG418" s="745">
        <f t="shared" si="58"/>
        <v>0</v>
      </c>
      <c r="AH418" s="746">
        <f t="shared" si="55"/>
        <v>0</v>
      </c>
      <c r="AI418" s="1066"/>
      <c r="AJ418" s="1066"/>
      <c r="AK418" s="1066"/>
    </row>
    <row r="419" spans="1:37" ht="12.7">
      <c r="A419" s="566" t="s">
        <v>11</v>
      </c>
      <c r="B419" s="567" t="s">
        <v>540</v>
      </c>
      <c r="C419" s="624" t="s">
        <v>671</v>
      </c>
      <c r="D419" s="729" t="s">
        <v>421</v>
      </c>
      <c r="E419" s="784" t="s">
        <v>422</v>
      </c>
      <c r="F419" s="747" t="s">
        <v>674</v>
      </c>
      <c r="G419" s="608" t="s">
        <v>281</v>
      </c>
      <c r="H419" s="731" t="s">
        <v>494</v>
      </c>
      <c r="I419" s="732">
        <v>42</v>
      </c>
      <c r="J419" s="733">
        <v>13</v>
      </c>
      <c r="K419" s="734">
        <f>60*0.395</f>
        <v>23.700000000000003</v>
      </c>
      <c r="L419" s="735">
        <v>82</v>
      </c>
      <c r="M419" s="733">
        <v>40</v>
      </c>
      <c r="N419" s="736">
        <f>60*0.661</f>
        <v>39.660000000000004</v>
      </c>
      <c r="O419" s="737" t="s">
        <v>495</v>
      </c>
      <c r="P419" s="732">
        <v>42</v>
      </c>
      <c r="Q419" s="733">
        <v>13</v>
      </c>
      <c r="R419" s="734">
        <f>60*0.402</f>
        <v>24.12</v>
      </c>
      <c r="S419" s="735">
        <v>82</v>
      </c>
      <c r="T419" s="733">
        <v>40</v>
      </c>
      <c r="U419" s="736">
        <f>60*0.398</f>
        <v>23.880000000000003</v>
      </c>
      <c r="V419" s="730">
        <v>4</v>
      </c>
      <c r="W419" s="738">
        <v>1184</v>
      </c>
      <c r="X419" s="739">
        <v>1994</v>
      </c>
      <c r="Y419" s="730"/>
      <c r="Z419" s="740"/>
      <c r="AA419" s="730" t="s">
        <v>31</v>
      </c>
      <c r="AB419" s="741">
        <f t="shared" si="68"/>
        <v>0</v>
      </c>
      <c r="AC419" s="742">
        <f t="shared" si="69"/>
        <v>0.49</v>
      </c>
      <c r="AD419" s="741">
        <f t="shared" si="61"/>
        <v>0</v>
      </c>
      <c r="AE419" s="743">
        <f t="shared" si="62"/>
        <v>0</v>
      </c>
      <c r="AF419" s="744">
        <f t="shared" si="63"/>
        <v>0</v>
      </c>
      <c r="AG419" s="745">
        <f t="shared" si="58"/>
        <v>0</v>
      </c>
      <c r="AH419" s="746">
        <f t="shared" si="55"/>
        <v>0</v>
      </c>
      <c r="AI419" s="1066"/>
      <c r="AJ419" s="1066"/>
      <c r="AK419" s="1066"/>
    </row>
    <row r="420" spans="1:37" ht="12.7">
      <c r="A420" s="566" t="s">
        <v>11</v>
      </c>
      <c r="B420" s="567" t="s">
        <v>540</v>
      </c>
      <c r="C420" s="624" t="s">
        <v>671</v>
      </c>
      <c r="D420" s="729" t="s">
        <v>421</v>
      </c>
      <c r="E420" s="784" t="s">
        <v>422</v>
      </c>
      <c r="F420" s="747" t="s">
        <v>674</v>
      </c>
      <c r="G420" s="608" t="s">
        <v>281</v>
      </c>
      <c r="H420" s="731" t="s">
        <v>495</v>
      </c>
      <c r="I420" s="732">
        <v>42</v>
      </c>
      <c r="J420" s="733">
        <v>13</v>
      </c>
      <c r="K420" s="734">
        <f>60*0.402</f>
        <v>24.12</v>
      </c>
      <c r="L420" s="735">
        <v>82</v>
      </c>
      <c r="M420" s="733">
        <v>40</v>
      </c>
      <c r="N420" s="736">
        <f>60*0.398</f>
        <v>23.880000000000003</v>
      </c>
      <c r="O420" s="737" t="s">
        <v>496</v>
      </c>
      <c r="P420" s="732">
        <v>42</v>
      </c>
      <c r="Q420" s="733">
        <v>12</v>
      </c>
      <c r="R420" s="734">
        <f>60*0.773</f>
        <v>46.38</v>
      </c>
      <c r="S420" s="735">
        <v>82</v>
      </c>
      <c r="T420" s="733">
        <v>40</v>
      </c>
      <c r="U420" s="736">
        <f>60*0.44</f>
        <v>26.40</v>
      </c>
      <c r="V420" s="730">
        <v>4</v>
      </c>
      <c r="W420" s="738">
        <v>3821</v>
      </c>
      <c r="X420" s="739">
        <v>1994</v>
      </c>
      <c r="Y420" s="730"/>
      <c r="Z420" s="740"/>
      <c r="AA420" s="730" t="s">
        <v>31</v>
      </c>
      <c r="AB420" s="741">
        <f t="shared" si="68"/>
        <v>0</v>
      </c>
      <c r="AC420" s="742">
        <f t="shared" si="69"/>
        <v>0.49</v>
      </c>
      <c r="AD420" s="741">
        <f t="shared" si="61"/>
        <v>0</v>
      </c>
      <c r="AE420" s="743">
        <f t="shared" si="62"/>
        <v>0</v>
      </c>
      <c r="AF420" s="744">
        <f t="shared" si="63"/>
        <v>0</v>
      </c>
      <c r="AG420" s="745">
        <f t="shared" si="58"/>
        <v>0</v>
      </c>
      <c r="AH420" s="746">
        <f t="shared" si="55"/>
        <v>0</v>
      </c>
      <c r="AI420" s="1066"/>
      <c r="AJ420" s="1066"/>
      <c r="AK420" s="1066"/>
    </row>
    <row r="421" spans="1:37" ht="12.7">
      <c r="A421" s="566" t="s">
        <v>11</v>
      </c>
      <c r="B421" s="567" t="s">
        <v>540</v>
      </c>
      <c r="C421" s="624" t="s">
        <v>671</v>
      </c>
      <c r="D421" s="729" t="s">
        <v>421</v>
      </c>
      <c r="E421" s="784" t="s">
        <v>422</v>
      </c>
      <c r="F421" s="747" t="s">
        <v>674</v>
      </c>
      <c r="G421" s="608" t="s">
        <v>281</v>
      </c>
      <c r="H421" s="731" t="s">
        <v>496</v>
      </c>
      <c r="I421" s="732">
        <v>42</v>
      </c>
      <c r="J421" s="733">
        <v>12</v>
      </c>
      <c r="K421" s="734">
        <f>60*0.773</f>
        <v>46.38</v>
      </c>
      <c r="L421" s="735">
        <v>82</v>
      </c>
      <c r="M421" s="733">
        <v>40</v>
      </c>
      <c r="N421" s="736">
        <f>60*0.44</f>
        <v>26.40</v>
      </c>
      <c r="O421" s="737" t="s">
        <v>497</v>
      </c>
      <c r="P421" s="732">
        <v>42</v>
      </c>
      <c r="Q421" s="733">
        <v>12</v>
      </c>
      <c r="R421" s="734">
        <f>60*0.454</f>
        <v>27.24</v>
      </c>
      <c r="S421" s="735">
        <v>82</v>
      </c>
      <c r="T421" s="733">
        <v>40</v>
      </c>
      <c r="U421" s="736">
        <f>60*0.467</f>
        <v>28.020000000000003</v>
      </c>
      <c r="V421" s="730">
        <v>4</v>
      </c>
      <c r="W421" s="738">
        <v>1939</v>
      </c>
      <c r="X421" s="739">
        <v>1994</v>
      </c>
      <c r="Y421" s="730"/>
      <c r="Z421" s="740"/>
      <c r="AA421" s="730" t="s">
        <v>31</v>
      </c>
      <c r="AB421" s="741">
        <f t="shared" si="68"/>
        <v>0</v>
      </c>
      <c r="AC421" s="742">
        <f t="shared" si="69"/>
        <v>0.49</v>
      </c>
      <c r="AD421" s="741">
        <f t="shared" si="61"/>
        <v>0</v>
      </c>
      <c r="AE421" s="743">
        <f t="shared" si="62"/>
        <v>0</v>
      </c>
      <c r="AF421" s="744">
        <f t="shared" si="63"/>
        <v>0</v>
      </c>
      <c r="AG421" s="745">
        <f t="shared" si="58"/>
        <v>0</v>
      </c>
      <c r="AH421" s="746">
        <f t="shared" si="55"/>
        <v>0</v>
      </c>
      <c r="AI421" s="1066"/>
      <c r="AJ421" s="1066"/>
      <c r="AK421" s="1066"/>
    </row>
    <row r="422" spans="1:37" ht="12.7">
      <c r="A422" s="47" t="s">
        <v>11</v>
      </c>
      <c r="B422" s="23" t="s">
        <v>540</v>
      </c>
      <c r="C422" s="467" t="s">
        <v>671</v>
      </c>
      <c r="D422" s="139" t="s">
        <v>421</v>
      </c>
      <c r="E422" s="778" t="s">
        <v>422</v>
      </c>
      <c r="F422" s="249" t="s">
        <v>588</v>
      </c>
      <c r="G422" s="315"/>
      <c r="H422" s="347" t="s">
        <v>498</v>
      </c>
      <c r="I422" s="250">
        <v>42</v>
      </c>
      <c r="J422" s="251">
        <v>15</v>
      </c>
      <c r="K422" s="252">
        <f>60*0.93</f>
        <v>55.80</v>
      </c>
      <c r="L422" s="253">
        <v>82</v>
      </c>
      <c r="M422" s="251">
        <v>42</v>
      </c>
      <c r="N422" s="348">
        <f>60*0.423</f>
        <v>25.38</v>
      </c>
      <c r="O422" s="349" t="s">
        <v>499</v>
      </c>
      <c r="P422" s="250">
        <v>42</v>
      </c>
      <c r="Q422" s="251">
        <v>15</v>
      </c>
      <c r="R422" s="252">
        <f>60*0.811</f>
        <v>48.66</v>
      </c>
      <c r="S422" s="253">
        <v>82</v>
      </c>
      <c r="T422" s="251">
        <v>41</v>
      </c>
      <c r="U422" s="348">
        <f>60*0.869</f>
        <v>52.14</v>
      </c>
      <c r="V422" s="249">
        <v>4</v>
      </c>
      <c r="W422" s="550">
        <v>2594</v>
      </c>
      <c r="X422" s="291">
        <v>1994</v>
      </c>
      <c r="Y422" s="249"/>
      <c r="Z422" s="350"/>
      <c r="AA422" s="249" t="s">
        <v>31</v>
      </c>
      <c r="AB422" s="351">
        <f t="shared" si="68"/>
        <v>92502.04</v>
      </c>
      <c r="AC422" s="257">
        <f t="shared" si="69"/>
        <v>0.49</v>
      </c>
      <c r="AD422" s="351">
        <f t="shared" si="61"/>
        <v>47176.04</v>
      </c>
      <c r="AE422" s="352">
        <f t="shared" si="62"/>
        <v>0</v>
      </c>
      <c r="AF422" s="353">
        <f t="shared" si="63"/>
        <v>0</v>
      </c>
      <c r="AG422" s="489">
        <f t="shared" si="58"/>
        <v>47176.04</v>
      </c>
      <c r="AH422" s="509">
        <f t="shared" si="55"/>
        <v>47176</v>
      </c>
      <c r="AI422" s="1064" t="s">
        <v>624</v>
      </c>
      <c r="AJ422" s="1062"/>
      <c r="AK422" s="1063"/>
    </row>
    <row r="423" spans="1:37" ht="12.7">
      <c r="A423" s="47" t="s">
        <v>11</v>
      </c>
      <c r="B423" s="23" t="s">
        <v>540</v>
      </c>
      <c r="C423" s="467" t="s">
        <v>671</v>
      </c>
      <c r="D423" s="139" t="s">
        <v>421</v>
      </c>
      <c r="E423" s="779" t="s">
        <v>422</v>
      </c>
      <c r="F423" s="294" t="s">
        <v>588</v>
      </c>
      <c r="G423" s="316"/>
      <c r="H423" s="354" t="s">
        <v>499</v>
      </c>
      <c r="I423" s="296">
        <v>42</v>
      </c>
      <c r="J423" s="297">
        <v>15</v>
      </c>
      <c r="K423" s="298">
        <f>60*0.811</f>
        <v>48.66</v>
      </c>
      <c r="L423" s="299">
        <v>82</v>
      </c>
      <c r="M423" s="297">
        <v>41</v>
      </c>
      <c r="N423" s="355">
        <f>60*0.869</f>
        <v>52.14</v>
      </c>
      <c r="O423" s="356" t="s">
        <v>500</v>
      </c>
      <c r="P423" s="296">
        <v>42</v>
      </c>
      <c r="Q423" s="297">
        <v>15</v>
      </c>
      <c r="R423" s="298">
        <f>60*0.612</f>
        <v>36.72</v>
      </c>
      <c r="S423" s="299">
        <v>82</v>
      </c>
      <c r="T423" s="297">
        <v>41</v>
      </c>
      <c r="U423" s="355">
        <f>60*0.901</f>
        <v>54.06</v>
      </c>
      <c r="V423" s="294">
        <v>4</v>
      </c>
      <c r="W423" s="551">
        <v>1216</v>
      </c>
      <c r="X423" s="295">
        <v>1994</v>
      </c>
      <c r="Y423" s="294"/>
      <c r="Z423" s="357"/>
      <c r="AA423" s="294" t="s">
        <v>31</v>
      </c>
      <c r="AB423" s="358">
        <f t="shared" si="68"/>
        <v>43362.56</v>
      </c>
      <c r="AC423" s="304">
        <f t="shared" si="69"/>
        <v>0.49</v>
      </c>
      <c r="AD423" s="358">
        <f t="shared" si="61"/>
        <v>22114.91</v>
      </c>
      <c r="AE423" s="359">
        <f t="shared" si="62"/>
        <v>0</v>
      </c>
      <c r="AF423" s="360">
        <f t="shared" si="63"/>
        <v>0</v>
      </c>
      <c r="AG423" s="490">
        <f t="shared" si="58"/>
        <v>22114.91</v>
      </c>
      <c r="AH423" s="511">
        <f t="shared" si="55"/>
        <v>22114</v>
      </c>
      <c r="AI423" s="1061"/>
      <c r="AJ423" s="1062"/>
      <c r="AK423" s="1063"/>
    </row>
    <row r="424" spans="1:37" ht="12.7">
      <c r="A424" s="47" t="s">
        <v>11</v>
      </c>
      <c r="B424" s="23" t="s">
        <v>540</v>
      </c>
      <c r="C424" s="467" t="s">
        <v>671</v>
      </c>
      <c r="D424" s="139" t="s">
        <v>421</v>
      </c>
      <c r="E424" s="769" t="s">
        <v>422</v>
      </c>
      <c r="F424" s="204" t="s">
        <v>589</v>
      </c>
      <c r="G424" s="310"/>
      <c r="H424" s="280" t="s">
        <v>501</v>
      </c>
      <c r="I424" s="206">
        <v>42</v>
      </c>
      <c r="J424" s="207">
        <v>15</v>
      </c>
      <c r="K424" s="208">
        <f>60*0.432</f>
        <v>25.92</v>
      </c>
      <c r="L424" s="209">
        <v>82</v>
      </c>
      <c r="M424" s="207">
        <v>41</v>
      </c>
      <c r="N424" s="281">
        <f>60*0.024</f>
        <v>1.44</v>
      </c>
      <c r="O424" s="282" t="s">
        <v>502</v>
      </c>
      <c r="P424" s="206">
        <v>42</v>
      </c>
      <c r="Q424" s="207">
        <v>14</v>
      </c>
      <c r="R424" s="208">
        <f>60*0.842</f>
        <v>50.52</v>
      </c>
      <c r="S424" s="209">
        <v>82</v>
      </c>
      <c r="T424" s="207">
        <v>41</v>
      </c>
      <c r="U424" s="281">
        <f>60*0.011</f>
        <v>0.65999999999999992</v>
      </c>
      <c r="V424" s="204">
        <v>4</v>
      </c>
      <c r="W424" s="543">
        <v>3580</v>
      </c>
      <c r="X424" s="246">
        <v>1994</v>
      </c>
      <c r="Y424" s="204"/>
      <c r="Z424" s="283"/>
      <c r="AA424" s="204" t="s">
        <v>31</v>
      </c>
      <c r="AB424" s="284">
        <f t="shared" si="68"/>
        <v>127662.79999999999</v>
      </c>
      <c r="AC424" s="214">
        <f t="shared" si="69"/>
        <v>0.49</v>
      </c>
      <c r="AD424" s="284">
        <f t="shared" si="61"/>
        <v>65108.03</v>
      </c>
      <c r="AE424" s="285">
        <f t="shared" si="62"/>
        <v>0</v>
      </c>
      <c r="AF424" s="286">
        <f t="shared" si="63"/>
        <v>0</v>
      </c>
      <c r="AG424" s="499">
        <f t="shared" si="58"/>
        <v>65108.03</v>
      </c>
      <c r="AH424" s="515">
        <f t="shared" si="55"/>
        <v>65108</v>
      </c>
      <c r="AI424" s="196">
        <v>1.32</v>
      </c>
      <c r="AJ424" s="196">
        <v>1.64</v>
      </c>
      <c r="AK424" s="196">
        <v>1.41</v>
      </c>
    </row>
    <row r="425" spans="1:37" ht="12.7">
      <c r="A425" s="47" t="s">
        <v>11</v>
      </c>
      <c r="B425" s="23" t="s">
        <v>540</v>
      </c>
      <c r="C425" s="467" t="s">
        <v>671</v>
      </c>
      <c r="D425" s="139" t="s">
        <v>421</v>
      </c>
      <c r="E425" s="769" t="s">
        <v>422</v>
      </c>
      <c r="F425" s="204" t="s">
        <v>579</v>
      </c>
      <c r="G425" s="310"/>
      <c r="H425" s="280" t="s">
        <v>503</v>
      </c>
      <c r="I425" s="206">
        <v>42</v>
      </c>
      <c r="J425" s="207">
        <v>15</v>
      </c>
      <c r="K425" s="208">
        <f>60*0.087</f>
        <v>5.22</v>
      </c>
      <c r="L425" s="209">
        <v>82</v>
      </c>
      <c r="M425" s="207">
        <v>41</v>
      </c>
      <c r="N425" s="281">
        <f>60*0.028</f>
        <v>1.68</v>
      </c>
      <c r="O425" s="282" t="s">
        <v>504</v>
      </c>
      <c r="P425" s="206">
        <v>42</v>
      </c>
      <c r="Q425" s="207">
        <v>14</v>
      </c>
      <c r="R425" s="208">
        <f>60*0.842</f>
        <v>50.52</v>
      </c>
      <c r="S425" s="209">
        <v>82</v>
      </c>
      <c r="T425" s="207">
        <v>41</v>
      </c>
      <c r="U425" s="281">
        <f>60*0.011</f>
        <v>0.65999999999999992</v>
      </c>
      <c r="V425" s="204">
        <v>4</v>
      </c>
      <c r="W425" s="543">
        <v>1488</v>
      </c>
      <c r="X425" s="246">
        <v>1994</v>
      </c>
      <c r="Y425" s="204"/>
      <c r="Z425" s="283"/>
      <c r="AA425" s="204" t="s">
        <v>31</v>
      </c>
      <c r="AB425" s="284">
        <f t="shared" si="70" ref="AB425:AB432">IF(G425="ABAND",0,(IF(AA425="steel",VLOOKUP(V425,steelrates,2,FALSE)*W425,VLOOKUP(V425,plasticrates,2,FALSE)*W425)))</f>
        <v>53062.079999999994</v>
      </c>
      <c r="AC425" s="214">
        <f t="shared" si="71" ref="AC425:AC432">IF(X425=0,0,(VLOOKUP(X425,depreciation,2,)))</f>
        <v>0.49</v>
      </c>
      <c r="AD425" s="284">
        <f t="shared" si="61"/>
        <v>27061.66</v>
      </c>
      <c r="AE425" s="285">
        <f t="shared" si="62"/>
        <v>0</v>
      </c>
      <c r="AF425" s="286">
        <f t="shared" si="63"/>
        <v>0</v>
      </c>
      <c r="AG425" s="499">
        <f t="shared" si="58"/>
        <v>27061.66</v>
      </c>
      <c r="AH425" s="515">
        <f t="shared" si="55"/>
        <v>27061</v>
      </c>
      <c r="AI425" s="1064" t="s">
        <v>624</v>
      </c>
      <c r="AJ425" s="1062"/>
      <c r="AK425" s="1063"/>
    </row>
    <row r="426" spans="1:37" ht="12.7">
      <c r="A426" s="47" t="s">
        <v>11</v>
      </c>
      <c r="B426" s="23" t="s">
        <v>540</v>
      </c>
      <c r="C426" s="467" t="s">
        <v>671</v>
      </c>
      <c r="D426" s="139" t="s">
        <v>421</v>
      </c>
      <c r="E426" s="769" t="s">
        <v>422</v>
      </c>
      <c r="F426" s="204" t="s">
        <v>590</v>
      </c>
      <c r="G426" s="310"/>
      <c r="H426" s="280" t="s">
        <v>505</v>
      </c>
      <c r="I426" s="206">
        <v>42</v>
      </c>
      <c r="J426" s="207">
        <v>15</v>
      </c>
      <c r="K426" s="208">
        <f>60*0.115</f>
        <v>6.90</v>
      </c>
      <c r="L426" s="209">
        <v>82</v>
      </c>
      <c r="M426" s="207">
        <v>41</v>
      </c>
      <c r="N426" s="281">
        <f>60*0.309</f>
        <v>18.54</v>
      </c>
      <c r="O426" s="282" t="s">
        <v>506</v>
      </c>
      <c r="P426" s="206">
        <v>42</v>
      </c>
      <c r="Q426" s="207">
        <v>15</v>
      </c>
      <c r="R426" s="208">
        <f>60*0.092</f>
        <v>5.52</v>
      </c>
      <c r="S426" s="209">
        <v>82</v>
      </c>
      <c r="T426" s="207">
        <v>41</v>
      </c>
      <c r="U426" s="281">
        <f>60*0.174</f>
        <v>10.44</v>
      </c>
      <c r="V426" s="204">
        <v>4</v>
      </c>
      <c r="W426" s="543">
        <v>623</v>
      </c>
      <c r="X426" s="246">
        <v>1994</v>
      </c>
      <c r="Y426" s="204"/>
      <c r="Z426" s="283"/>
      <c r="AA426" s="204" t="s">
        <v>31</v>
      </c>
      <c r="AB426" s="284">
        <f t="shared" si="70"/>
        <v>22216.179999999997</v>
      </c>
      <c r="AC426" s="214">
        <f t="shared" si="71"/>
        <v>0.49</v>
      </c>
      <c r="AD426" s="284">
        <f t="shared" si="61"/>
        <v>11330.25</v>
      </c>
      <c r="AE426" s="285">
        <f t="shared" si="62"/>
        <v>0</v>
      </c>
      <c r="AF426" s="286">
        <f t="shared" si="63"/>
        <v>0</v>
      </c>
      <c r="AG426" s="499">
        <f t="shared" si="58"/>
        <v>11330.25</v>
      </c>
      <c r="AH426" s="515">
        <f t="shared" si="55"/>
        <v>11330</v>
      </c>
      <c r="AI426" s="1044">
        <v>1.64</v>
      </c>
      <c r="AJ426" s="1044">
        <v>6.79</v>
      </c>
      <c r="AK426" s="1044">
        <v>1.41</v>
      </c>
    </row>
    <row r="427" spans="1:37" ht="12.7">
      <c r="A427" s="47" t="s">
        <v>11</v>
      </c>
      <c r="B427" s="23" t="s">
        <v>540</v>
      </c>
      <c r="C427" s="467" t="s">
        <v>671</v>
      </c>
      <c r="D427" s="139" t="s">
        <v>421</v>
      </c>
      <c r="E427" s="769" t="s">
        <v>422</v>
      </c>
      <c r="F427" s="204" t="s">
        <v>590</v>
      </c>
      <c r="G427" s="310"/>
      <c r="H427" s="280" t="s">
        <v>506</v>
      </c>
      <c r="I427" s="206">
        <v>42</v>
      </c>
      <c r="J427" s="207">
        <v>15</v>
      </c>
      <c r="K427" s="208">
        <f>60*0.092</f>
        <v>5.52</v>
      </c>
      <c r="L427" s="209">
        <v>82</v>
      </c>
      <c r="M427" s="207">
        <v>41</v>
      </c>
      <c r="N427" s="281">
        <f>60*0.174</f>
        <v>10.44</v>
      </c>
      <c r="O427" s="282" t="s">
        <v>507</v>
      </c>
      <c r="P427" s="206">
        <v>42</v>
      </c>
      <c r="Q427" s="207">
        <v>15</v>
      </c>
      <c r="R427" s="208">
        <f>60*0.087</f>
        <v>5.22</v>
      </c>
      <c r="S427" s="209">
        <v>82</v>
      </c>
      <c r="T427" s="207">
        <v>41</v>
      </c>
      <c r="U427" s="281">
        <f>60*0.028</f>
        <v>1.68</v>
      </c>
      <c r="V427" s="204">
        <v>4</v>
      </c>
      <c r="W427" s="543">
        <v>657</v>
      </c>
      <c r="X427" s="246">
        <v>1994</v>
      </c>
      <c r="Y427" s="204"/>
      <c r="Z427" s="283"/>
      <c r="AA427" s="204" t="s">
        <v>31</v>
      </c>
      <c r="AB427" s="284">
        <f t="shared" si="70"/>
        <v>23428.62</v>
      </c>
      <c r="AC427" s="214">
        <f t="shared" si="71"/>
        <v>0.49</v>
      </c>
      <c r="AD427" s="284">
        <f t="shared" si="61"/>
        <v>11948.60</v>
      </c>
      <c r="AE427" s="285">
        <f t="shared" si="62"/>
        <v>0</v>
      </c>
      <c r="AF427" s="286">
        <f t="shared" si="63"/>
        <v>0</v>
      </c>
      <c r="AG427" s="499">
        <f t="shared" si="58"/>
        <v>11948.60</v>
      </c>
      <c r="AH427" s="515">
        <f t="shared" si="55"/>
        <v>11948</v>
      </c>
      <c r="AI427" s="1044"/>
      <c r="AJ427" s="1044"/>
      <c r="AK427" s="1044"/>
    </row>
    <row r="428" spans="1:37" ht="12.7">
      <c r="A428" s="47" t="s">
        <v>11</v>
      </c>
      <c r="B428" s="23" t="s">
        <v>540</v>
      </c>
      <c r="C428" s="467" t="s">
        <v>671</v>
      </c>
      <c r="D428" s="139" t="s">
        <v>421</v>
      </c>
      <c r="E428" s="769" t="s">
        <v>422</v>
      </c>
      <c r="F428" s="204" t="s">
        <v>590</v>
      </c>
      <c r="G428" s="310"/>
      <c r="H428" s="280" t="s">
        <v>507</v>
      </c>
      <c r="I428" s="206">
        <v>42</v>
      </c>
      <c r="J428" s="207">
        <v>15</v>
      </c>
      <c r="K428" s="208">
        <f>60*0.087</f>
        <v>5.22</v>
      </c>
      <c r="L428" s="209">
        <v>82</v>
      </c>
      <c r="M428" s="207">
        <v>41</v>
      </c>
      <c r="N428" s="281">
        <f>60*0.028</f>
        <v>1.68</v>
      </c>
      <c r="O428" s="282" t="s">
        <v>508</v>
      </c>
      <c r="P428" s="206">
        <v>42</v>
      </c>
      <c r="Q428" s="207">
        <v>14</v>
      </c>
      <c r="R428" s="208">
        <f>60*0.985</f>
        <v>59.10</v>
      </c>
      <c r="S428" s="209">
        <v>82</v>
      </c>
      <c r="T428" s="207">
        <v>41</v>
      </c>
      <c r="U428" s="281">
        <f>60*0.004</f>
        <v>0.24</v>
      </c>
      <c r="V428" s="204">
        <v>4</v>
      </c>
      <c r="W428" s="543">
        <v>628</v>
      </c>
      <c r="X428" s="246">
        <v>1994</v>
      </c>
      <c r="Y428" s="204"/>
      <c r="Z428" s="283"/>
      <c r="AA428" s="204" t="s">
        <v>31</v>
      </c>
      <c r="AB428" s="284">
        <f t="shared" si="70"/>
        <v>22394.48</v>
      </c>
      <c r="AC428" s="214">
        <f t="shared" si="71"/>
        <v>0.49</v>
      </c>
      <c r="AD428" s="284">
        <f t="shared" si="61"/>
        <v>11421.18</v>
      </c>
      <c r="AE428" s="285">
        <f t="shared" si="62"/>
        <v>0</v>
      </c>
      <c r="AF428" s="286">
        <f t="shared" si="63"/>
        <v>0</v>
      </c>
      <c r="AG428" s="499">
        <f t="shared" si="58"/>
        <v>11421.18</v>
      </c>
      <c r="AH428" s="515">
        <f t="shared" si="55"/>
        <v>11421</v>
      </c>
      <c r="AI428" s="1044"/>
      <c r="AJ428" s="1044"/>
      <c r="AK428" s="1044"/>
    </row>
    <row r="429" spans="1:37" ht="12.7">
      <c r="A429" s="47" t="s">
        <v>11</v>
      </c>
      <c r="B429" s="23" t="s">
        <v>540</v>
      </c>
      <c r="C429" s="467" t="s">
        <v>671</v>
      </c>
      <c r="D429" s="139" t="s">
        <v>421</v>
      </c>
      <c r="E429" s="769" t="s">
        <v>422</v>
      </c>
      <c r="F429" s="204" t="s">
        <v>590</v>
      </c>
      <c r="G429" s="310"/>
      <c r="H429" s="280" t="s">
        <v>508</v>
      </c>
      <c r="I429" s="206">
        <v>42</v>
      </c>
      <c r="J429" s="207">
        <v>14</v>
      </c>
      <c r="K429" s="208">
        <f>60*0.985</f>
        <v>59.10</v>
      </c>
      <c r="L429" s="209">
        <v>82</v>
      </c>
      <c r="M429" s="207">
        <v>41</v>
      </c>
      <c r="N429" s="281">
        <f>60*0.004</f>
        <v>0.24</v>
      </c>
      <c r="O429" s="282" t="s">
        <v>509</v>
      </c>
      <c r="P429" s="206">
        <v>42</v>
      </c>
      <c r="Q429" s="207">
        <v>14</v>
      </c>
      <c r="R429" s="208">
        <f>60*0.842</f>
        <v>50.52</v>
      </c>
      <c r="S429" s="209">
        <v>82</v>
      </c>
      <c r="T429" s="207">
        <v>41</v>
      </c>
      <c r="U429" s="281">
        <f>60*0.011</f>
        <v>0.65999999999999992</v>
      </c>
      <c r="V429" s="204">
        <v>4</v>
      </c>
      <c r="W429" s="543">
        <v>868</v>
      </c>
      <c r="X429" s="246">
        <v>1994</v>
      </c>
      <c r="Y429" s="204"/>
      <c r="Z429" s="283"/>
      <c r="AA429" s="204" t="s">
        <v>31</v>
      </c>
      <c r="AB429" s="284">
        <f t="shared" si="70"/>
        <v>30952.879999999997</v>
      </c>
      <c r="AC429" s="214">
        <f t="shared" si="71"/>
        <v>0.49</v>
      </c>
      <c r="AD429" s="284">
        <f t="shared" si="61"/>
        <v>15785.97</v>
      </c>
      <c r="AE429" s="285">
        <f t="shared" si="62"/>
        <v>0</v>
      </c>
      <c r="AF429" s="286">
        <f t="shared" si="63"/>
        <v>0</v>
      </c>
      <c r="AG429" s="499">
        <f t="shared" si="58"/>
        <v>15785.97</v>
      </c>
      <c r="AH429" s="515">
        <f t="shared" si="55"/>
        <v>15785</v>
      </c>
      <c r="AI429" s="1044"/>
      <c r="AJ429" s="1044"/>
      <c r="AK429" s="1044"/>
    </row>
    <row r="430" spans="1:37" ht="12.7">
      <c r="A430" s="47" t="s">
        <v>11</v>
      </c>
      <c r="B430" s="23" t="s">
        <v>540</v>
      </c>
      <c r="C430" s="467" t="s">
        <v>671</v>
      </c>
      <c r="D430" s="139" t="s">
        <v>421</v>
      </c>
      <c r="E430" s="769" t="s">
        <v>422</v>
      </c>
      <c r="F430" s="204" t="s">
        <v>591</v>
      </c>
      <c r="G430" s="310"/>
      <c r="H430" s="280" t="s">
        <v>510</v>
      </c>
      <c r="I430" s="206">
        <v>42</v>
      </c>
      <c r="J430" s="207">
        <v>14</v>
      </c>
      <c r="K430" s="208">
        <f>60*0.686</f>
        <v>41.16</v>
      </c>
      <c r="L430" s="209">
        <v>82</v>
      </c>
      <c r="M430" s="207">
        <v>40</v>
      </c>
      <c r="N430" s="281">
        <f>60*0.996</f>
        <v>59.76</v>
      </c>
      <c r="O430" s="282" t="s">
        <v>511</v>
      </c>
      <c r="P430" s="206">
        <v>42</v>
      </c>
      <c r="Q430" s="207">
        <v>14</v>
      </c>
      <c r="R430" s="208">
        <f>60*0.742</f>
        <v>44.52</v>
      </c>
      <c r="S430" s="209">
        <v>82</v>
      </c>
      <c r="T430" s="207">
        <v>40</v>
      </c>
      <c r="U430" s="281">
        <f>60*0.927</f>
        <v>55.620000000000005</v>
      </c>
      <c r="V430" s="204">
        <v>4</v>
      </c>
      <c r="W430" s="543">
        <v>460</v>
      </c>
      <c r="X430" s="246">
        <v>1994</v>
      </c>
      <c r="Y430" s="204"/>
      <c r="Z430" s="283"/>
      <c r="AA430" s="204" t="s">
        <v>31</v>
      </c>
      <c r="AB430" s="284">
        <f t="shared" si="70"/>
        <v>16403.60</v>
      </c>
      <c r="AC430" s="214">
        <f t="shared" si="71"/>
        <v>0.49</v>
      </c>
      <c r="AD430" s="284">
        <f t="shared" si="61"/>
        <v>8365.84</v>
      </c>
      <c r="AE430" s="285">
        <f t="shared" si="62"/>
        <v>0</v>
      </c>
      <c r="AF430" s="286">
        <f t="shared" si="63"/>
        <v>0</v>
      </c>
      <c r="AG430" s="499">
        <f t="shared" si="58"/>
        <v>8365.84</v>
      </c>
      <c r="AH430" s="515">
        <f t="shared" si="55"/>
        <v>8365</v>
      </c>
      <c r="AI430" s="1044">
        <v>6.29</v>
      </c>
      <c r="AJ430" s="1044">
        <v>105.24</v>
      </c>
      <c r="AK430" s="1044">
        <v>8.83</v>
      </c>
    </row>
    <row r="431" spans="1:37" ht="12.7">
      <c r="A431" s="47" t="s">
        <v>11</v>
      </c>
      <c r="B431" s="23" t="s">
        <v>540</v>
      </c>
      <c r="C431" s="467" t="s">
        <v>671</v>
      </c>
      <c r="D431" s="139" t="s">
        <v>421</v>
      </c>
      <c r="E431" s="769" t="s">
        <v>422</v>
      </c>
      <c r="F431" s="204" t="s">
        <v>591</v>
      </c>
      <c r="G431" s="310"/>
      <c r="H431" s="280" t="s">
        <v>511</v>
      </c>
      <c r="I431" s="206">
        <v>42</v>
      </c>
      <c r="J431" s="207">
        <v>14</v>
      </c>
      <c r="K431" s="208">
        <f>60*0.742</f>
        <v>44.52</v>
      </c>
      <c r="L431" s="209">
        <v>82</v>
      </c>
      <c r="M431" s="207">
        <v>40</v>
      </c>
      <c r="N431" s="281">
        <f>60*0.927</f>
        <v>55.620000000000005</v>
      </c>
      <c r="O431" s="282" t="s">
        <v>512</v>
      </c>
      <c r="P431" s="206">
        <v>42</v>
      </c>
      <c r="Q431" s="207">
        <v>14</v>
      </c>
      <c r="R431" s="208">
        <f>60*0.728</f>
        <v>43.68</v>
      </c>
      <c r="S431" s="209">
        <v>82</v>
      </c>
      <c r="T431" s="207">
        <v>41</v>
      </c>
      <c r="U431" s="281">
        <f>60*0.027</f>
        <v>1.62</v>
      </c>
      <c r="V431" s="204">
        <v>4</v>
      </c>
      <c r="W431" s="543">
        <v>458</v>
      </c>
      <c r="X431" s="246">
        <v>1994</v>
      </c>
      <c r="Y431" s="204"/>
      <c r="Z431" s="283"/>
      <c r="AA431" s="204" t="s">
        <v>31</v>
      </c>
      <c r="AB431" s="284">
        <f t="shared" si="70"/>
        <v>16332.28</v>
      </c>
      <c r="AC431" s="214">
        <f t="shared" si="71"/>
        <v>0.49</v>
      </c>
      <c r="AD431" s="284">
        <f t="shared" si="61"/>
        <v>8329.4599999999991</v>
      </c>
      <c r="AE431" s="285">
        <f t="shared" si="62"/>
        <v>0</v>
      </c>
      <c r="AF431" s="286">
        <f t="shared" si="63"/>
        <v>0</v>
      </c>
      <c r="AG431" s="499">
        <f t="shared" si="58"/>
        <v>8329.4599999999991</v>
      </c>
      <c r="AH431" s="515">
        <f t="shared" si="55"/>
        <v>8329</v>
      </c>
      <c r="AI431" s="1044"/>
      <c r="AJ431" s="1044"/>
      <c r="AK431" s="1044"/>
    </row>
    <row r="432" spans="1:37" ht="12.7">
      <c r="A432" s="47" t="s">
        <v>11</v>
      </c>
      <c r="B432" s="23" t="s">
        <v>540</v>
      </c>
      <c r="C432" s="467" t="s">
        <v>671</v>
      </c>
      <c r="D432" s="139" t="s">
        <v>421</v>
      </c>
      <c r="E432" s="769" t="s">
        <v>422</v>
      </c>
      <c r="F432" s="204" t="s">
        <v>591</v>
      </c>
      <c r="G432" s="310"/>
      <c r="H432" s="280" t="s">
        <v>512</v>
      </c>
      <c r="I432" s="206">
        <v>42</v>
      </c>
      <c r="J432" s="207">
        <v>14</v>
      </c>
      <c r="K432" s="208">
        <f>60*0.728</f>
        <v>43.68</v>
      </c>
      <c r="L432" s="209">
        <v>82</v>
      </c>
      <c r="M432" s="207">
        <v>41</v>
      </c>
      <c r="N432" s="281">
        <f>60*0.027</f>
        <v>1.62</v>
      </c>
      <c r="O432" s="282" t="s">
        <v>513</v>
      </c>
      <c r="P432" s="206">
        <v>42</v>
      </c>
      <c r="Q432" s="207">
        <v>14</v>
      </c>
      <c r="R432" s="208">
        <f>60*0.842</f>
        <v>50.52</v>
      </c>
      <c r="S432" s="209">
        <v>82</v>
      </c>
      <c r="T432" s="207">
        <v>41</v>
      </c>
      <c r="U432" s="281">
        <f>60*0.011</f>
        <v>0.65999999999999992</v>
      </c>
      <c r="V432" s="204">
        <v>4</v>
      </c>
      <c r="W432" s="543">
        <v>695</v>
      </c>
      <c r="X432" s="246">
        <v>1994</v>
      </c>
      <c r="Y432" s="204"/>
      <c r="Z432" s="283"/>
      <c r="AA432" s="204" t="s">
        <v>31</v>
      </c>
      <c r="AB432" s="284">
        <f t="shared" si="70"/>
        <v>24783.699999999997</v>
      </c>
      <c r="AC432" s="214">
        <f t="shared" si="71"/>
        <v>0.49</v>
      </c>
      <c r="AD432" s="284">
        <f t="shared" si="61"/>
        <v>12639.69</v>
      </c>
      <c r="AE432" s="285">
        <f t="shared" si="62"/>
        <v>0</v>
      </c>
      <c r="AF432" s="286">
        <f t="shared" si="63"/>
        <v>0</v>
      </c>
      <c r="AG432" s="499">
        <f t="shared" si="58"/>
        <v>12639.69</v>
      </c>
      <c r="AH432" s="515">
        <f t="shared" si="72" ref="AH432:AH452">ROUNDDOWN(AG432,0)</f>
        <v>12639</v>
      </c>
      <c r="AI432" s="1044"/>
      <c r="AJ432" s="1044"/>
      <c r="AK432" s="1044"/>
    </row>
    <row r="433" spans="1:37" ht="12.7">
      <c r="A433" s="47" t="s">
        <v>11</v>
      </c>
      <c r="B433" s="23" t="s">
        <v>540</v>
      </c>
      <c r="C433" s="467" t="s">
        <v>671</v>
      </c>
      <c r="D433" s="139" t="s">
        <v>421</v>
      </c>
      <c r="E433" s="769" t="s">
        <v>422</v>
      </c>
      <c r="F433" s="204" t="s">
        <v>592</v>
      </c>
      <c r="G433" s="310"/>
      <c r="H433" s="280" t="s">
        <v>514</v>
      </c>
      <c r="I433" s="206">
        <v>42</v>
      </c>
      <c r="J433" s="207">
        <v>14</v>
      </c>
      <c r="K433" s="208">
        <f>60*0.643</f>
        <v>38.58</v>
      </c>
      <c r="L433" s="209">
        <v>82</v>
      </c>
      <c r="M433" s="207">
        <v>40</v>
      </c>
      <c r="N433" s="281">
        <f>60*0.578</f>
        <v>34.68</v>
      </c>
      <c r="O433" s="282" t="s">
        <v>515</v>
      </c>
      <c r="P433" s="206">
        <v>42</v>
      </c>
      <c r="Q433" s="207">
        <v>14</v>
      </c>
      <c r="R433" s="208">
        <f>60*0.733</f>
        <v>43.98</v>
      </c>
      <c r="S433" s="209">
        <v>82</v>
      </c>
      <c r="T433" s="207">
        <v>40</v>
      </c>
      <c r="U433" s="281">
        <f>60*0.696</f>
        <v>41.76</v>
      </c>
      <c r="V433" s="204">
        <v>4</v>
      </c>
      <c r="W433" s="543">
        <v>762</v>
      </c>
      <c r="X433" s="246">
        <v>1994</v>
      </c>
      <c r="Y433" s="204"/>
      <c r="Z433" s="283"/>
      <c r="AA433" s="204" t="s">
        <v>31</v>
      </c>
      <c r="AB433" s="284">
        <f t="shared" si="73" ref="AB433:AB438">IF(G433="ABAND",0,(IF(AA433="steel",VLOOKUP(V433,steelrates,2,FALSE)*W433,VLOOKUP(V433,plasticrates,2,FALSE)*W433)))</f>
        <v>27172.92</v>
      </c>
      <c r="AC433" s="214">
        <f t="shared" si="74" ref="AC433:AC452">IF(X433=0,0,(VLOOKUP(X433,depreciation,2,)))</f>
        <v>0.49</v>
      </c>
      <c r="AD433" s="284">
        <f t="shared" si="61"/>
        <v>13858.19</v>
      </c>
      <c r="AE433" s="285">
        <f t="shared" si="62"/>
        <v>0</v>
      </c>
      <c r="AF433" s="286">
        <f t="shared" si="63"/>
        <v>0</v>
      </c>
      <c r="AG433" s="499">
        <f t="shared" si="58"/>
        <v>13858.19</v>
      </c>
      <c r="AH433" s="515">
        <f t="shared" si="72"/>
        <v>13858</v>
      </c>
      <c r="AI433" s="1044">
        <v>1.26</v>
      </c>
      <c r="AJ433" s="1044">
        <v>15.22</v>
      </c>
      <c r="AK433" s="1044">
        <v>1.41</v>
      </c>
    </row>
    <row r="434" spans="1:37" ht="12.7">
      <c r="A434" s="47" t="s">
        <v>11</v>
      </c>
      <c r="B434" s="23" t="s">
        <v>540</v>
      </c>
      <c r="C434" s="467" t="s">
        <v>671</v>
      </c>
      <c r="D434" s="139" t="s">
        <v>421</v>
      </c>
      <c r="E434" s="769" t="s">
        <v>422</v>
      </c>
      <c r="F434" s="204" t="s">
        <v>592</v>
      </c>
      <c r="G434" s="310"/>
      <c r="H434" s="280" t="s">
        <v>515</v>
      </c>
      <c r="I434" s="206">
        <v>42</v>
      </c>
      <c r="J434" s="207">
        <v>14</v>
      </c>
      <c r="K434" s="208">
        <f>60*0.733</f>
        <v>43.98</v>
      </c>
      <c r="L434" s="209">
        <v>82</v>
      </c>
      <c r="M434" s="207">
        <v>40</v>
      </c>
      <c r="N434" s="281">
        <f>60*0.696</f>
        <v>41.76</v>
      </c>
      <c r="O434" s="282" t="s">
        <v>516</v>
      </c>
      <c r="P434" s="206">
        <v>42</v>
      </c>
      <c r="Q434" s="207">
        <v>14</v>
      </c>
      <c r="R434" s="208">
        <f>60*0.824</f>
        <v>49.44</v>
      </c>
      <c r="S434" s="209">
        <v>82</v>
      </c>
      <c r="T434" s="207">
        <v>41</v>
      </c>
      <c r="U434" s="281">
        <f>60*0.039</f>
        <v>2.34</v>
      </c>
      <c r="V434" s="204">
        <v>4</v>
      </c>
      <c r="W434" s="543">
        <v>1639</v>
      </c>
      <c r="X434" s="246">
        <v>1994</v>
      </c>
      <c r="Y434" s="204"/>
      <c r="Z434" s="283"/>
      <c r="AA434" s="204" t="s">
        <v>31</v>
      </c>
      <c r="AB434" s="284">
        <f t="shared" si="73"/>
        <v>58446.74</v>
      </c>
      <c r="AC434" s="214">
        <f t="shared" si="74"/>
        <v>0.49</v>
      </c>
      <c r="AD434" s="284">
        <f t="shared" si="61"/>
        <v>29807.84</v>
      </c>
      <c r="AE434" s="285">
        <f t="shared" si="62"/>
        <v>0</v>
      </c>
      <c r="AF434" s="286">
        <f t="shared" si="63"/>
        <v>0</v>
      </c>
      <c r="AG434" s="499">
        <f t="shared" si="58"/>
        <v>29807.84</v>
      </c>
      <c r="AH434" s="515">
        <f t="shared" si="72"/>
        <v>29807</v>
      </c>
      <c r="AI434" s="1044"/>
      <c r="AJ434" s="1044"/>
      <c r="AK434" s="1044"/>
    </row>
    <row r="435" spans="1:37" ht="12.7">
      <c r="A435" s="47" t="s">
        <v>11</v>
      </c>
      <c r="B435" s="23" t="s">
        <v>540</v>
      </c>
      <c r="C435" s="467" t="s">
        <v>671</v>
      </c>
      <c r="D435" s="139" t="s">
        <v>421</v>
      </c>
      <c r="E435" s="769" t="s">
        <v>422</v>
      </c>
      <c r="F435" s="204" t="s">
        <v>592</v>
      </c>
      <c r="G435" s="310"/>
      <c r="H435" s="280" t="s">
        <v>516</v>
      </c>
      <c r="I435" s="206">
        <v>42</v>
      </c>
      <c r="J435" s="207">
        <v>14</v>
      </c>
      <c r="K435" s="208">
        <f>60*0.824</f>
        <v>49.44</v>
      </c>
      <c r="L435" s="209">
        <v>82</v>
      </c>
      <c r="M435" s="207">
        <v>41</v>
      </c>
      <c r="N435" s="281">
        <f>60*0.039</f>
        <v>2.34</v>
      </c>
      <c r="O435" s="282" t="s">
        <v>517</v>
      </c>
      <c r="P435" s="206">
        <v>42</v>
      </c>
      <c r="Q435" s="207">
        <v>14</v>
      </c>
      <c r="R435" s="208">
        <f>60*0.831</f>
        <v>49.86</v>
      </c>
      <c r="S435" s="209">
        <v>82</v>
      </c>
      <c r="T435" s="207">
        <v>41</v>
      </c>
      <c r="U435" s="281">
        <f>60*0.029</f>
        <v>1.74</v>
      </c>
      <c r="V435" s="204">
        <v>4</v>
      </c>
      <c r="W435" s="543">
        <v>62</v>
      </c>
      <c r="X435" s="246">
        <v>1994</v>
      </c>
      <c r="Y435" s="204"/>
      <c r="Z435" s="283"/>
      <c r="AA435" s="204" t="s">
        <v>31</v>
      </c>
      <c r="AB435" s="284">
        <f t="shared" si="73"/>
        <v>2210.9199999999996</v>
      </c>
      <c r="AC435" s="214">
        <f t="shared" si="74"/>
        <v>0.49</v>
      </c>
      <c r="AD435" s="284">
        <f t="shared" si="61"/>
        <v>1127.57</v>
      </c>
      <c r="AE435" s="285">
        <f t="shared" si="62"/>
        <v>0</v>
      </c>
      <c r="AF435" s="286">
        <f t="shared" si="63"/>
        <v>0</v>
      </c>
      <c r="AG435" s="499">
        <f t="shared" si="58"/>
        <v>1127.57</v>
      </c>
      <c r="AH435" s="515">
        <f t="shared" si="72"/>
        <v>1127</v>
      </c>
      <c r="AI435" s="1044"/>
      <c r="AJ435" s="1044"/>
      <c r="AK435" s="1044"/>
    </row>
    <row r="436" spans="1:37" ht="12.7">
      <c r="A436" s="47" t="s">
        <v>11</v>
      </c>
      <c r="B436" s="23" t="s">
        <v>540</v>
      </c>
      <c r="C436" s="467" t="s">
        <v>671</v>
      </c>
      <c r="D436" s="139" t="s">
        <v>421</v>
      </c>
      <c r="E436" s="769" t="s">
        <v>422</v>
      </c>
      <c r="F436" s="204" t="s">
        <v>593</v>
      </c>
      <c r="G436" s="310"/>
      <c r="H436" s="280" t="s">
        <v>578</v>
      </c>
      <c r="I436" s="206">
        <v>42</v>
      </c>
      <c r="J436" s="207">
        <v>15</v>
      </c>
      <c r="K436" s="208">
        <v>29.40</v>
      </c>
      <c r="L436" s="209">
        <v>82</v>
      </c>
      <c r="M436" s="207">
        <v>39</v>
      </c>
      <c r="N436" s="281">
        <v>4.80</v>
      </c>
      <c r="O436" s="282" t="s">
        <v>570</v>
      </c>
      <c r="P436" s="206">
        <v>42</v>
      </c>
      <c r="Q436" s="207">
        <v>14</v>
      </c>
      <c r="R436" s="208">
        <v>46.98</v>
      </c>
      <c r="S436" s="209">
        <v>82</v>
      </c>
      <c r="T436" s="207">
        <v>39</v>
      </c>
      <c r="U436" s="281">
        <v>11.10</v>
      </c>
      <c r="V436" s="204">
        <v>4</v>
      </c>
      <c r="W436" s="543">
        <v>5905</v>
      </c>
      <c r="X436" s="246">
        <v>2006</v>
      </c>
      <c r="Y436" s="204"/>
      <c r="Z436" s="283"/>
      <c r="AA436" s="204" t="s">
        <v>15</v>
      </c>
      <c r="AB436" s="284">
        <f t="shared" si="73"/>
        <v>106644.29999999999</v>
      </c>
      <c r="AC436" s="214">
        <f>IF(X436=0,0,(VLOOKUP(X436,depreciation,2,)))</f>
        <v>0.20</v>
      </c>
      <c r="AD436" s="284">
        <f>ROUND(+AB436-(+AB436*AC436),2)</f>
        <v>85315.44</v>
      </c>
      <c r="AE436" s="285">
        <f>(IF(Y436="LOOP",AD436*0.25,0))</f>
        <v>0</v>
      </c>
      <c r="AF436" s="286">
        <f>(IF(G436="SUSP",AD436*0.2,0))</f>
        <v>0</v>
      </c>
      <c r="AG436" s="499">
        <f t="shared" si="58"/>
        <v>85315.44</v>
      </c>
      <c r="AH436" s="515">
        <f t="shared" si="72"/>
        <v>85315</v>
      </c>
      <c r="AI436" s="196">
        <v>1.50</v>
      </c>
      <c r="AJ436" s="196">
        <v>1.53</v>
      </c>
      <c r="AK436" s="196">
        <v>0.60</v>
      </c>
    </row>
    <row r="437" spans="1:37" ht="12.7">
      <c r="A437" s="47" t="s">
        <v>11</v>
      </c>
      <c r="B437" s="23" t="s">
        <v>540</v>
      </c>
      <c r="C437" s="467" t="s">
        <v>671</v>
      </c>
      <c r="D437" s="139" t="s">
        <v>421</v>
      </c>
      <c r="E437" s="769" t="s">
        <v>422</v>
      </c>
      <c r="F437" s="204" t="s">
        <v>594</v>
      </c>
      <c r="G437" s="310"/>
      <c r="H437" s="280" t="s">
        <v>518</v>
      </c>
      <c r="I437" s="206">
        <v>42</v>
      </c>
      <c r="J437" s="207">
        <v>14</v>
      </c>
      <c r="K437" s="208">
        <f>60*0.475</f>
        <v>28.50</v>
      </c>
      <c r="L437" s="209">
        <v>82</v>
      </c>
      <c r="M437" s="207">
        <v>38</v>
      </c>
      <c r="N437" s="281">
        <f>60*0.95</f>
        <v>57</v>
      </c>
      <c r="O437" s="282" t="s">
        <v>519</v>
      </c>
      <c r="P437" s="206">
        <v>42</v>
      </c>
      <c r="Q437" s="207">
        <v>14</v>
      </c>
      <c r="R437" s="208">
        <f>60*0.471</f>
        <v>28.26</v>
      </c>
      <c r="S437" s="209">
        <v>82</v>
      </c>
      <c r="T437" s="207">
        <v>38</v>
      </c>
      <c r="U437" s="281">
        <f>60*0.937</f>
        <v>56.220000000000006</v>
      </c>
      <c r="V437" s="204">
        <v>4</v>
      </c>
      <c r="W437" s="543">
        <v>231</v>
      </c>
      <c r="X437" s="246">
        <v>1994</v>
      </c>
      <c r="Y437" s="204"/>
      <c r="Z437" s="283"/>
      <c r="AA437" s="204" t="s">
        <v>31</v>
      </c>
      <c r="AB437" s="284">
        <f t="shared" si="73"/>
        <v>8237.4599999999991</v>
      </c>
      <c r="AC437" s="214">
        <f t="shared" si="74"/>
        <v>0.49</v>
      </c>
      <c r="AD437" s="284">
        <f t="shared" si="61"/>
        <v>4201.1000000000004</v>
      </c>
      <c r="AE437" s="285">
        <f t="shared" si="62"/>
        <v>0</v>
      </c>
      <c r="AF437" s="286">
        <f t="shared" si="63"/>
        <v>0</v>
      </c>
      <c r="AG437" s="499">
        <f t="shared" si="58"/>
        <v>4201.1000000000004</v>
      </c>
      <c r="AH437" s="515">
        <f t="shared" si="72"/>
        <v>4201</v>
      </c>
      <c r="AI437" s="1044">
        <v>2.96</v>
      </c>
      <c r="AJ437" s="1044">
        <v>74.16</v>
      </c>
      <c r="AK437" s="1044">
        <v>6</v>
      </c>
    </row>
    <row r="438" spans="1:37" ht="12.7">
      <c r="A438" s="47" t="s">
        <v>11</v>
      </c>
      <c r="B438" s="23" t="s">
        <v>540</v>
      </c>
      <c r="C438" s="467" t="s">
        <v>671</v>
      </c>
      <c r="D438" s="139" t="s">
        <v>421</v>
      </c>
      <c r="E438" s="769" t="s">
        <v>422</v>
      </c>
      <c r="F438" s="204" t="s">
        <v>594</v>
      </c>
      <c r="G438" s="310"/>
      <c r="H438" s="280" t="s">
        <v>519</v>
      </c>
      <c r="I438" s="206">
        <v>42</v>
      </c>
      <c r="J438" s="207">
        <v>14</v>
      </c>
      <c r="K438" s="208">
        <f>60*0.471</f>
        <v>28.26</v>
      </c>
      <c r="L438" s="209">
        <v>82</v>
      </c>
      <c r="M438" s="207">
        <v>38</v>
      </c>
      <c r="N438" s="281">
        <f>60*0.937</f>
        <v>56.220000000000006</v>
      </c>
      <c r="O438" s="282" t="s">
        <v>520</v>
      </c>
      <c r="P438" s="206">
        <v>42</v>
      </c>
      <c r="Q438" s="207">
        <v>14</v>
      </c>
      <c r="R438" s="208">
        <f>60*0.482</f>
        <v>28.92</v>
      </c>
      <c r="S438" s="209">
        <v>82</v>
      </c>
      <c r="T438" s="207">
        <v>39</v>
      </c>
      <c r="U438" s="281">
        <f>60*0.615</f>
        <v>36.90</v>
      </c>
      <c r="V438" s="204">
        <v>4</v>
      </c>
      <c r="W438" s="543">
        <v>375</v>
      </c>
      <c r="X438" s="246">
        <v>1994</v>
      </c>
      <c r="Y438" s="204"/>
      <c r="Z438" s="283"/>
      <c r="AA438" s="204" t="s">
        <v>31</v>
      </c>
      <c r="AB438" s="284">
        <f t="shared" si="73"/>
        <v>13372.499999999998</v>
      </c>
      <c r="AC438" s="214">
        <f t="shared" si="74"/>
        <v>0.49</v>
      </c>
      <c r="AD438" s="284">
        <f t="shared" si="61"/>
        <v>6819.98</v>
      </c>
      <c r="AE438" s="285">
        <f t="shared" si="62"/>
        <v>0</v>
      </c>
      <c r="AF438" s="286">
        <f t="shared" si="63"/>
        <v>0</v>
      </c>
      <c r="AG438" s="499">
        <f t="shared" si="75" ref="AG438:AG452">AD438-AE438-AF438</f>
        <v>6819.98</v>
      </c>
      <c r="AH438" s="515">
        <f t="shared" si="72"/>
        <v>6819</v>
      </c>
      <c r="AI438" s="1044"/>
      <c r="AJ438" s="1044"/>
      <c r="AK438" s="1044"/>
    </row>
    <row r="439" spans="1:37" ht="12.7">
      <c r="A439" s="47" t="s">
        <v>11</v>
      </c>
      <c r="B439" s="23" t="s">
        <v>540</v>
      </c>
      <c r="C439" s="467" t="s">
        <v>671</v>
      </c>
      <c r="D439" s="139" t="s">
        <v>421</v>
      </c>
      <c r="E439" s="769" t="s">
        <v>422</v>
      </c>
      <c r="F439" s="204" t="s">
        <v>594</v>
      </c>
      <c r="G439" s="310"/>
      <c r="H439" s="280" t="s">
        <v>520</v>
      </c>
      <c r="I439" s="206">
        <v>42</v>
      </c>
      <c r="J439" s="207">
        <v>14</v>
      </c>
      <c r="K439" s="208">
        <f>60*0.482</f>
        <v>28.92</v>
      </c>
      <c r="L439" s="209">
        <v>82</v>
      </c>
      <c r="M439" s="207">
        <v>39</v>
      </c>
      <c r="N439" s="281">
        <f>60*0.615</f>
        <v>36.90</v>
      </c>
      <c r="O439" s="282" t="s">
        <v>521</v>
      </c>
      <c r="P439" s="206">
        <v>42</v>
      </c>
      <c r="Q439" s="207">
        <v>14</v>
      </c>
      <c r="R439" s="208">
        <f>60*0.498</f>
        <v>29.88</v>
      </c>
      <c r="S439" s="209">
        <v>82</v>
      </c>
      <c r="T439" s="207">
        <v>39</v>
      </c>
      <c r="U439" s="281">
        <f>60*0.862</f>
        <v>51.72</v>
      </c>
      <c r="V439" s="204">
        <v>4</v>
      </c>
      <c r="W439" s="543">
        <v>677</v>
      </c>
      <c r="X439" s="246">
        <v>1994</v>
      </c>
      <c r="Y439" s="204"/>
      <c r="Z439" s="283"/>
      <c r="AA439" s="204" t="s">
        <v>31</v>
      </c>
      <c r="AB439" s="284">
        <f t="shared" si="76" ref="AB439:AB448">IF(G439="ABAND",0,(IF(AA439="steel",VLOOKUP(V439,steelrates,2,FALSE)*W439,VLOOKUP(V439,plasticrates,2,FALSE)*W439)))</f>
        <v>24141.819999999996</v>
      </c>
      <c r="AC439" s="214">
        <f t="shared" si="74"/>
        <v>0.49</v>
      </c>
      <c r="AD439" s="284">
        <f t="shared" si="77" ref="AD439:AD448">ROUND(+AB439-(+AB439*AC439),2)</f>
        <v>12312.33</v>
      </c>
      <c r="AE439" s="285">
        <f t="shared" si="78" ref="AE439:AE448">(IF(Y439="LOOP",AD439*0.25,0))</f>
        <v>0</v>
      </c>
      <c r="AF439" s="286">
        <f t="shared" si="79" ref="AF439:AF448">(IF(G439="SUSP",AD439*0.2,0))</f>
        <v>0</v>
      </c>
      <c r="AG439" s="499">
        <f t="shared" si="75"/>
        <v>12312.33</v>
      </c>
      <c r="AH439" s="515">
        <f t="shared" si="72"/>
        <v>12312</v>
      </c>
      <c r="AI439" s="1044"/>
      <c r="AJ439" s="1044"/>
      <c r="AK439" s="1044"/>
    </row>
    <row r="440" spans="1:37" ht="12.7">
      <c r="A440" s="47" t="s">
        <v>11</v>
      </c>
      <c r="B440" s="23" t="s">
        <v>540</v>
      </c>
      <c r="C440" s="467" t="s">
        <v>671</v>
      </c>
      <c r="D440" s="139" t="s">
        <v>421</v>
      </c>
      <c r="E440" s="769" t="s">
        <v>422</v>
      </c>
      <c r="F440" s="204" t="s">
        <v>594</v>
      </c>
      <c r="G440" s="310"/>
      <c r="H440" s="280" t="s">
        <v>521</v>
      </c>
      <c r="I440" s="206">
        <v>42</v>
      </c>
      <c r="J440" s="207">
        <v>14</v>
      </c>
      <c r="K440" s="208">
        <f>60*0.498</f>
        <v>29.88</v>
      </c>
      <c r="L440" s="209">
        <v>82</v>
      </c>
      <c r="M440" s="207">
        <v>39</v>
      </c>
      <c r="N440" s="281">
        <f>60*0.862</f>
        <v>51.72</v>
      </c>
      <c r="O440" s="282" t="s">
        <v>522</v>
      </c>
      <c r="P440" s="206">
        <v>42</v>
      </c>
      <c r="Q440" s="207">
        <v>14</v>
      </c>
      <c r="R440" s="208">
        <f>60*0.643</f>
        <v>38.58</v>
      </c>
      <c r="S440" s="209">
        <v>82</v>
      </c>
      <c r="T440" s="207">
        <v>38</v>
      </c>
      <c r="U440" s="281">
        <f>60*0.95</f>
        <v>57</v>
      </c>
      <c r="V440" s="204">
        <v>4</v>
      </c>
      <c r="W440" s="543">
        <v>1236</v>
      </c>
      <c r="X440" s="246">
        <v>1994</v>
      </c>
      <c r="Y440" s="204"/>
      <c r="Z440" s="283"/>
      <c r="AA440" s="204" t="s">
        <v>31</v>
      </c>
      <c r="AB440" s="284">
        <f t="shared" si="76"/>
        <v>44075.759999999995</v>
      </c>
      <c r="AC440" s="214">
        <f t="shared" si="74"/>
        <v>0.49</v>
      </c>
      <c r="AD440" s="284">
        <f t="shared" si="77"/>
        <v>22478.64</v>
      </c>
      <c r="AE440" s="285">
        <f t="shared" si="78"/>
        <v>0</v>
      </c>
      <c r="AF440" s="286">
        <f t="shared" si="79"/>
        <v>0</v>
      </c>
      <c r="AG440" s="499">
        <f t="shared" si="75"/>
        <v>22478.64</v>
      </c>
      <c r="AH440" s="515">
        <f t="shared" si="72"/>
        <v>22478</v>
      </c>
      <c r="AI440" s="1044"/>
      <c r="AJ440" s="1044"/>
      <c r="AK440" s="1044"/>
    </row>
    <row r="441" spans="1:37" ht="12.7">
      <c r="A441" s="47" t="s">
        <v>11</v>
      </c>
      <c r="B441" s="23" t="s">
        <v>540</v>
      </c>
      <c r="C441" s="467" t="s">
        <v>671</v>
      </c>
      <c r="D441" s="139" t="s">
        <v>421</v>
      </c>
      <c r="E441" s="769" t="s">
        <v>422</v>
      </c>
      <c r="F441" s="204" t="s">
        <v>594</v>
      </c>
      <c r="G441" s="310"/>
      <c r="H441" s="280" t="s">
        <v>522</v>
      </c>
      <c r="I441" s="206">
        <v>42</v>
      </c>
      <c r="J441" s="207">
        <v>14</v>
      </c>
      <c r="K441" s="208">
        <f>60*0.643</f>
        <v>38.58</v>
      </c>
      <c r="L441" s="209">
        <v>82</v>
      </c>
      <c r="M441" s="207">
        <v>38</v>
      </c>
      <c r="N441" s="281">
        <f>60*0.95</f>
        <v>57</v>
      </c>
      <c r="O441" s="282" t="s">
        <v>523</v>
      </c>
      <c r="P441" s="206">
        <v>42</v>
      </c>
      <c r="Q441" s="207">
        <v>14</v>
      </c>
      <c r="R441" s="208">
        <f>60*0.733</f>
        <v>43.98</v>
      </c>
      <c r="S441" s="209">
        <v>82</v>
      </c>
      <c r="T441" s="207">
        <v>38</v>
      </c>
      <c r="U441" s="281">
        <f>60*0.937</f>
        <v>56.220000000000006</v>
      </c>
      <c r="V441" s="204">
        <v>4</v>
      </c>
      <c r="W441" s="543">
        <v>762</v>
      </c>
      <c r="X441" s="246">
        <v>1994</v>
      </c>
      <c r="Y441" s="204"/>
      <c r="Z441" s="283"/>
      <c r="AA441" s="204" t="s">
        <v>31</v>
      </c>
      <c r="AB441" s="284">
        <f t="shared" si="76"/>
        <v>27172.92</v>
      </c>
      <c r="AC441" s="214">
        <f t="shared" si="74"/>
        <v>0.49</v>
      </c>
      <c r="AD441" s="284">
        <f t="shared" si="77"/>
        <v>13858.19</v>
      </c>
      <c r="AE441" s="285">
        <f t="shared" si="78"/>
        <v>0</v>
      </c>
      <c r="AF441" s="286">
        <f t="shared" si="79"/>
        <v>0</v>
      </c>
      <c r="AG441" s="499">
        <f t="shared" si="75"/>
        <v>13858.19</v>
      </c>
      <c r="AH441" s="515">
        <f t="shared" si="72"/>
        <v>13858</v>
      </c>
      <c r="AI441" s="1044"/>
      <c r="AJ441" s="1044"/>
      <c r="AK441" s="1044"/>
    </row>
    <row r="442" spans="1:37" ht="12.7">
      <c r="A442" s="47" t="s">
        <v>11</v>
      </c>
      <c r="B442" s="23" t="s">
        <v>540</v>
      </c>
      <c r="C442" s="467" t="s">
        <v>671</v>
      </c>
      <c r="D442" s="139" t="s">
        <v>421</v>
      </c>
      <c r="E442" s="769" t="s">
        <v>422</v>
      </c>
      <c r="F442" s="204" t="s">
        <v>594</v>
      </c>
      <c r="G442" s="310"/>
      <c r="H442" s="280" t="s">
        <v>523</v>
      </c>
      <c r="I442" s="206">
        <v>42</v>
      </c>
      <c r="J442" s="207">
        <v>14</v>
      </c>
      <c r="K442" s="208">
        <f>60*0.733</f>
        <v>43.98</v>
      </c>
      <c r="L442" s="209">
        <v>82</v>
      </c>
      <c r="M442" s="207">
        <v>38</v>
      </c>
      <c r="N442" s="281">
        <f>60*0.937</f>
        <v>56.220000000000006</v>
      </c>
      <c r="O442" s="282" t="s">
        <v>524</v>
      </c>
      <c r="P442" s="206">
        <v>42</v>
      </c>
      <c r="Q442" s="207">
        <v>14</v>
      </c>
      <c r="R442" s="208">
        <f>60*0.824</f>
        <v>49.44</v>
      </c>
      <c r="S442" s="209">
        <v>82</v>
      </c>
      <c r="T442" s="207">
        <v>39</v>
      </c>
      <c r="U442" s="281">
        <f>60*0.615</f>
        <v>36.90</v>
      </c>
      <c r="V442" s="204">
        <v>4</v>
      </c>
      <c r="W442" s="543">
        <v>1639</v>
      </c>
      <c r="X442" s="246">
        <v>1994</v>
      </c>
      <c r="Y442" s="204"/>
      <c r="Z442" s="283"/>
      <c r="AA442" s="204" t="s">
        <v>31</v>
      </c>
      <c r="AB442" s="284">
        <f t="shared" si="76"/>
        <v>58446.74</v>
      </c>
      <c r="AC442" s="214">
        <f t="shared" si="74"/>
        <v>0.49</v>
      </c>
      <c r="AD442" s="284">
        <f t="shared" si="77"/>
        <v>29807.84</v>
      </c>
      <c r="AE442" s="285">
        <f t="shared" si="78"/>
        <v>0</v>
      </c>
      <c r="AF442" s="286">
        <f t="shared" si="79"/>
        <v>0</v>
      </c>
      <c r="AG442" s="499">
        <f t="shared" si="75"/>
        <v>29807.84</v>
      </c>
      <c r="AH442" s="515">
        <f t="shared" si="72"/>
        <v>29807</v>
      </c>
      <c r="AI442" s="1044"/>
      <c r="AJ442" s="1044"/>
      <c r="AK442" s="1044"/>
    </row>
    <row r="443" spans="1:37" ht="12.7">
      <c r="A443" s="47" t="s">
        <v>11</v>
      </c>
      <c r="B443" s="23" t="s">
        <v>540</v>
      </c>
      <c r="C443" s="467" t="s">
        <v>671</v>
      </c>
      <c r="D443" s="139" t="s">
        <v>421</v>
      </c>
      <c r="E443" s="769" t="s">
        <v>422</v>
      </c>
      <c r="F443" s="204" t="s">
        <v>594</v>
      </c>
      <c r="G443" s="310"/>
      <c r="H443" s="280" t="s">
        <v>524</v>
      </c>
      <c r="I443" s="206">
        <v>42</v>
      </c>
      <c r="J443" s="207">
        <v>14</v>
      </c>
      <c r="K443" s="208">
        <f>60*0.824</f>
        <v>49.44</v>
      </c>
      <c r="L443" s="209">
        <v>82</v>
      </c>
      <c r="M443" s="207">
        <v>39</v>
      </c>
      <c r="N443" s="281">
        <f>60*0.615</f>
        <v>36.90</v>
      </c>
      <c r="O443" s="282" t="s">
        <v>525</v>
      </c>
      <c r="P443" s="206">
        <v>42</v>
      </c>
      <c r="Q443" s="207">
        <v>14</v>
      </c>
      <c r="R443" s="208">
        <f>60*0.831</f>
        <v>49.86</v>
      </c>
      <c r="S443" s="209">
        <v>82</v>
      </c>
      <c r="T443" s="207">
        <v>41</v>
      </c>
      <c r="U443" s="281">
        <f>60*0.029</f>
        <v>1.74</v>
      </c>
      <c r="V443" s="204">
        <v>4</v>
      </c>
      <c r="W443" s="543">
        <v>62</v>
      </c>
      <c r="X443" s="246">
        <v>1994</v>
      </c>
      <c r="Y443" s="204"/>
      <c r="Z443" s="283"/>
      <c r="AA443" s="204" t="s">
        <v>31</v>
      </c>
      <c r="AB443" s="284">
        <f t="shared" si="76"/>
        <v>2210.9199999999996</v>
      </c>
      <c r="AC443" s="214">
        <f t="shared" si="74"/>
        <v>0.49</v>
      </c>
      <c r="AD443" s="284">
        <f t="shared" si="77"/>
        <v>1127.57</v>
      </c>
      <c r="AE443" s="285">
        <f t="shared" si="78"/>
        <v>0</v>
      </c>
      <c r="AF443" s="286">
        <f t="shared" si="79"/>
        <v>0</v>
      </c>
      <c r="AG443" s="499">
        <f t="shared" si="75"/>
        <v>1127.57</v>
      </c>
      <c r="AH443" s="515">
        <f t="shared" si="72"/>
        <v>1127</v>
      </c>
      <c r="AI443" s="1044"/>
      <c r="AJ443" s="1044"/>
      <c r="AK443" s="1044"/>
    </row>
    <row r="444" spans="1:37" ht="12.7">
      <c r="A444" s="47" t="s">
        <v>11</v>
      </c>
      <c r="B444" s="23" t="s">
        <v>540</v>
      </c>
      <c r="C444" s="467" t="s">
        <v>671</v>
      </c>
      <c r="D444" s="139" t="s">
        <v>421</v>
      </c>
      <c r="E444" s="769" t="s">
        <v>422</v>
      </c>
      <c r="F444" s="204" t="s">
        <v>595</v>
      </c>
      <c r="G444" s="310"/>
      <c r="H444" s="280" t="s">
        <v>526</v>
      </c>
      <c r="I444" s="206">
        <v>42</v>
      </c>
      <c r="J444" s="207">
        <v>14</v>
      </c>
      <c r="K444" s="208">
        <f>60*0.498</f>
        <v>29.88</v>
      </c>
      <c r="L444" s="209">
        <v>82</v>
      </c>
      <c r="M444" s="207">
        <v>40</v>
      </c>
      <c r="N444" s="281">
        <f>60*0.385</f>
        <v>23.10</v>
      </c>
      <c r="O444" s="282" t="s">
        <v>527</v>
      </c>
      <c r="P444" s="206">
        <v>42</v>
      </c>
      <c r="Q444" s="207">
        <v>14</v>
      </c>
      <c r="R444" s="208">
        <f>60*0.643</f>
        <v>38.58</v>
      </c>
      <c r="S444" s="209">
        <v>82</v>
      </c>
      <c r="T444" s="207">
        <v>40</v>
      </c>
      <c r="U444" s="281">
        <f>60*0.578</f>
        <v>34.68</v>
      </c>
      <c r="V444" s="204">
        <v>4</v>
      </c>
      <c r="W444" s="543">
        <v>1236</v>
      </c>
      <c r="X444" s="246">
        <v>1994</v>
      </c>
      <c r="Y444" s="204"/>
      <c r="Z444" s="283"/>
      <c r="AA444" s="204" t="s">
        <v>31</v>
      </c>
      <c r="AB444" s="284">
        <f t="shared" si="76"/>
        <v>44075.759999999995</v>
      </c>
      <c r="AC444" s="214">
        <f t="shared" si="74"/>
        <v>0.49</v>
      </c>
      <c r="AD444" s="284">
        <f t="shared" si="77"/>
        <v>22478.64</v>
      </c>
      <c r="AE444" s="285">
        <f t="shared" si="78"/>
        <v>0</v>
      </c>
      <c r="AF444" s="286">
        <f t="shared" si="79"/>
        <v>0</v>
      </c>
      <c r="AG444" s="499">
        <f t="shared" si="75"/>
        <v>22478.64</v>
      </c>
      <c r="AH444" s="515">
        <f t="shared" si="72"/>
        <v>22478</v>
      </c>
      <c r="AI444" s="1044">
        <v>0.38</v>
      </c>
      <c r="AJ444" s="1044">
        <v>1.76</v>
      </c>
      <c r="AK444" s="1044">
        <v>4.9400000000000004</v>
      </c>
    </row>
    <row r="445" spans="1:37" ht="12.7">
      <c r="A445" s="47" t="s">
        <v>11</v>
      </c>
      <c r="B445" s="23" t="s">
        <v>540</v>
      </c>
      <c r="C445" s="467" t="s">
        <v>671</v>
      </c>
      <c r="D445" s="139" t="s">
        <v>421</v>
      </c>
      <c r="E445" s="769" t="s">
        <v>422</v>
      </c>
      <c r="F445" s="204" t="s">
        <v>595</v>
      </c>
      <c r="G445" s="310"/>
      <c r="H445" s="280" t="s">
        <v>527</v>
      </c>
      <c r="I445" s="206">
        <v>42</v>
      </c>
      <c r="J445" s="207">
        <v>14</v>
      </c>
      <c r="K445" s="208">
        <f>60*0.643</f>
        <v>38.58</v>
      </c>
      <c r="L445" s="209">
        <v>82</v>
      </c>
      <c r="M445" s="207">
        <v>40</v>
      </c>
      <c r="N445" s="281">
        <f>60*0.578</f>
        <v>34.68</v>
      </c>
      <c r="O445" s="282" t="s">
        <v>528</v>
      </c>
      <c r="P445" s="206">
        <v>42</v>
      </c>
      <c r="Q445" s="207">
        <v>14</v>
      </c>
      <c r="R445" s="208">
        <f>60*0.733</f>
        <v>43.98</v>
      </c>
      <c r="S445" s="209">
        <v>82</v>
      </c>
      <c r="T445" s="207">
        <v>40</v>
      </c>
      <c r="U445" s="281">
        <f>60*0.696</f>
        <v>41.76</v>
      </c>
      <c r="V445" s="204">
        <v>4</v>
      </c>
      <c r="W445" s="543">
        <v>762</v>
      </c>
      <c r="X445" s="246">
        <v>1994</v>
      </c>
      <c r="Y445" s="204"/>
      <c r="Z445" s="283"/>
      <c r="AA445" s="204" t="s">
        <v>31</v>
      </c>
      <c r="AB445" s="284">
        <f t="shared" si="76"/>
        <v>27172.92</v>
      </c>
      <c r="AC445" s="214">
        <f t="shared" si="74"/>
        <v>0.49</v>
      </c>
      <c r="AD445" s="284">
        <f t="shared" si="77"/>
        <v>13858.19</v>
      </c>
      <c r="AE445" s="285">
        <f t="shared" si="78"/>
        <v>0</v>
      </c>
      <c r="AF445" s="286">
        <f t="shared" si="79"/>
        <v>0</v>
      </c>
      <c r="AG445" s="499">
        <f t="shared" si="75"/>
        <v>13858.19</v>
      </c>
      <c r="AH445" s="515">
        <f t="shared" si="72"/>
        <v>13858</v>
      </c>
      <c r="AI445" s="1044"/>
      <c r="AJ445" s="1044"/>
      <c r="AK445" s="1044"/>
    </row>
    <row r="446" spans="1:37" ht="12.7">
      <c r="A446" s="47" t="s">
        <v>11</v>
      </c>
      <c r="B446" s="23" t="s">
        <v>540</v>
      </c>
      <c r="C446" s="467" t="s">
        <v>671</v>
      </c>
      <c r="D446" s="139" t="s">
        <v>421</v>
      </c>
      <c r="E446" s="769" t="s">
        <v>422</v>
      </c>
      <c r="F446" s="204" t="s">
        <v>595</v>
      </c>
      <c r="G446" s="310"/>
      <c r="H446" s="280" t="s">
        <v>528</v>
      </c>
      <c r="I446" s="206">
        <v>42</v>
      </c>
      <c r="J446" s="207">
        <v>14</v>
      </c>
      <c r="K446" s="208">
        <f>60*0.733</f>
        <v>43.98</v>
      </c>
      <c r="L446" s="209">
        <v>82</v>
      </c>
      <c r="M446" s="207">
        <v>40</v>
      </c>
      <c r="N446" s="281">
        <f>60*0.696</f>
        <v>41.76</v>
      </c>
      <c r="O446" s="282" t="s">
        <v>529</v>
      </c>
      <c r="P446" s="206">
        <v>42</v>
      </c>
      <c r="Q446" s="207">
        <v>14</v>
      </c>
      <c r="R446" s="208">
        <f>60*0.824</f>
        <v>49.44</v>
      </c>
      <c r="S446" s="209">
        <v>82</v>
      </c>
      <c r="T446" s="207">
        <v>41</v>
      </c>
      <c r="U446" s="281">
        <f>60*0.039</f>
        <v>2.34</v>
      </c>
      <c r="V446" s="204">
        <v>4</v>
      </c>
      <c r="W446" s="543">
        <v>1639</v>
      </c>
      <c r="X446" s="246">
        <v>1994</v>
      </c>
      <c r="Y446" s="204"/>
      <c r="Z446" s="283"/>
      <c r="AA446" s="204" t="s">
        <v>31</v>
      </c>
      <c r="AB446" s="284">
        <f t="shared" si="76"/>
        <v>58446.74</v>
      </c>
      <c r="AC446" s="214">
        <f t="shared" si="74"/>
        <v>0.49</v>
      </c>
      <c r="AD446" s="284">
        <f t="shared" si="77"/>
        <v>29807.84</v>
      </c>
      <c r="AE446" s="285">
        <f t="shared" si="78"/>
        <v>0</v>
      </c>
      <c r="AF446" s="286">
        <f t="shared" si="79"/>
        <v>0</v>
      </c>
      <c r="AG446" s="499">
        <f t="shared" si="75"/>
        <v>29807.84</v>
      </c>
      <c r="AH446" s="515">
        <f t="shared" si="72"/>
        <v>29807</v>
      </c>
      <c r="AI446" s="1044"/>
      <c r="AJ446" s="1044"/>
      <c r="AK446" s="1044"/>
    </row>
    <row r="447" spans="1:37" ht="12.7">
      <c r="A447" s="47" t="s">
        <v>11</v>
      </c>
      <c r="B447" s="23" t="s">
        <v>540</v>
      </c>
      <c r="C447" s="467" t="s">
        <v>671</v>
      </c>
      <c r="D447" s="139" t="s">
        <v>421</v>
      </c>
      <c r="E447" s="769" t="s">
        <v>422</v>
      </c>
      <c r="F447" s="204" t="s">
        <v>595</v>
      </c>
      <c r="G447" s="310"/>
      <c r="H447" s="280" t="s">
        <v>529</v>
      </c>
      <c r="I447" s="206">
        <v>42</v>
      </c>
      <c r="J447" s="207">
        <v>14</v>
      </c>
      <c r="K447" s="208">
        <f>60*0.824</f>
        <v>49.44</v>
      </c>
      <c r="L447" s="209">
        <v>82</v>
      </c>
      <c r="M447" s="207">
        <v>41</v>
      </c>
      <c r="N447" s="281">
        <f>60*0.039</f>
        <v>2.34</v>
      </c>
      <c r="O447" s="282" t="s">
        <v>530</v>
      </c>
      <c r="P447" s="206">
        <v>42</v>
      </c>
      <c r="Q447" s="207">
        <v>14</v>
      </c>
      <c r="R447" s="208">
        <f>60*0.831</f>
        <v>49.86</v>
      </c>
      <c r="S447" s="209">
        <v>82</v>
      </c>
      <c r="T447" s="207">
        <v>41</v>
      </c>
      <c r="U447" s="281">
        <f>60*0.029</f>
        <v>1.74</v>
      </c>
      <c r="V447" s="204">
        <v>4</v>
      </c>
      <c r="W447" s="543">
        <v>62</v>
      </c>
      <c r="X447" s="246">
        <v>1994</v>
      </c>
      <c r="Y447" s="204"/>
      <c r="Z447" s="283"/>
      <c r="AA447" s="204" t="s">
        <v>31</v>
      </c>
      <c r="AB447" s="284">
        <f t="shared" si="76"/>
        <v>2210.9199999999996</v>
      </c>
      <c r="AC447" s="214">
        <f t="shared" si="74"/>
        <v>0.49</v>
      </c>
      <c r="AD447" s="284">
        <f t="shared" si="77"/>
        <v>1127.57</v>
      </c>
      <c r="AE447" s="285">
        <f t="shared" si="78"/>
        <v>0</v>
      </c>
      <c r="AF447" s="286">
        <f t="shared" si="79"/>
        <v>0</v>
      </c>
      <c r="AG447" s="499">
        <f t="shared" si="75"/>
        <v>1127.57</v>
      </c>
      <c r="AH447" s="515">
        <f t="shared" si="72"/>
        <v>1127</v>
      </c>
      <c r="AI447" s="1044"/>
      <c r="AJ447" s="1044"/>
      <c r="AK447" s="1044"/>
    </row>
    <row r="448" spans="1:37" ht="12.7">
      <c r="A448" s="47" t="s">
        <v>11</v>
      </c>
      <c r="B448" s="23" t="s">
        <v>540</v>
      </c>
      <c r="C448" s="467" t="s">
        <v>671</v>
      </c>
      <c r="D448" s="139" t="s">
        <v>421</v>
      </c>
      <c r="E448" s="769" t="s">
        <v>422</v>
      </c>
      <c r="F448" s="204" t="s">
        <v>596</v>
      </c>
      <c r="G448" s="310"/>
      <c r="H448" s="280" t="s">
        <v>531</v>
      </c>
      <c r="I448" s="206">
        <v>42</v>
      </c>
      <c r="J448" s="207">
        <v>14</v>
      </c>
      <c r="K448" s="208">
        <f>60*0.66</f>
        <v>39.60</v>
      </c>
      <c r="L448" s="209">
        <v>82</v>
      </c>
      <c r="M448" s="207">
        <v>38</v>
      </c>
      <c r="N448" s="281">
        <f>60*0.95</f>
        <v>57</v>
      </c>
      <c r="O448" s="282" t="s">
        <v>532</v>
      </c>
      <c r="P448" s="206">
        <v>42</v>
      </c>
      <c r="Q448" s="207">
        <v>14</v>
      </c>
      <c r="R448" s="208">
        <f>60*0.7</f>
        <v>42</v>
      </c>
      <c r="S448" s="209">
        <v>82</v>
      </c>
      <c r="T448" s="207">
        <v>38</v>
      </c>
      <c r="U448" s="281">
        <f>60*0.937</f>
        <v>56.220000000000006</v>
      </c>
      <c r="V448" s="204">
        <v>4</v>
      </c>
      <c r="W448" s="543">
        <v>250</v>
      </c>
      <c r="X448" s="246">
        <v>1994</v>
      </c>
      <c r="Y448" s="204"/>
      <c r="Z448" s="283"/>
      <c r="AA448" s="204" t="s">
        <v>31</v>
      </c>
      <c r="AB448" s="284">
        <f t="shared" si="76"/>
        <v>8915</v>
      </c>
      <c r="AC448" s="214">
        <f t="shared" si="74"/>
        <v>0.49</v>
      </c>
      <c r="AD448" s="284">
        <f t="shared" si="77"/>
        <v>4546.6499999999996</v>
      </c>
      <c r="AE448" s="285">
        <f t="shared" si="78"/>
        <v>0</v>
      </c>
      <c r="AF448" s="286">
        <f t="shared" si="79"/>
        <v>0</v>
      </c>
      <c r="AG448" s="499">
        <f t="shared" si="75"/>
        <v>4546.6499999999996</v>
      </c>
      <c r="AH448" s="515">
        <f t="shared" si="72"/>
        <v>4546</v>
      </c>
      <c r="AI448" s="1044">
        <v>1.38</v>
      </c>
      <c r="AJ448" s="1044">
        <v>1.70</v>
      </c>
      <c r="AK448" s="1044">
        <v>1.41</v>
      </c>
    </row>
    <row r="449" spans="1:37" ht="12.7">
      <c r="A449" s="47" t="s">
        <v>11</v>
      </c>
      <c r="B449" s="23" t="s">
        <v>540</v>
      </c>
      <c r="C449" s="467" t="s">
        <v>671</v>
      </c>
      <c r="D449" s="139" t="s">
        <v>421</v>
      </c>
      <c r="E449" s="769" t="s">
        <v>422</v>
      </c>
      <c r="F449" s="204" t="s">
        <v>596</v>
      </c>
      <c r="G449" s="310"/>
      <c r="H449" s="280" t="s">
        <v>532</v>
      </c>
      <c r="I449" s="206">
        <v>42</v>
      </c>
      <c r="J449" s="207">
        <v>14</v>
      </c>
      <c r="K449" s="208">
        <f>60*0.7</f>
        <v>42</v>
      </c>
      <c r="L449" s="209">
        <v>82</v>
      </c>
      <c r="M449" s="207">
        <v>38</v>
      </c>
      <c r="N449" s="281">
        <f>60*0.937</f>
        <v>56.220000000000006</v>
      </c>
      <c r="O449" s="282" t="s">
        <v>533</v>
      </c>
      <c r="P449" s="206">
        <v>42</v>
      </c>
      <c r="Q449" s="207">
        <v>14</v>
      </c>
      <c r="R449" s="208">
        <f>60*0.707</f>
        <v>42.419999999999995</v>
      </c>
      <c r="S449" s="209">
        <v>82</v>
      </c>
      <c r="T449" s="207">
        <v>39</v>
      </c>
      <c r="U449" s="281">
        <f>60*0.615</f>
        <v>36.90</v>
      </c>
      <c r="V449" s="204">
        <v>4</v>
      </c>
      <c r="W449" s="543">
        <v>3050</v>
      </c>
      <c r="X449" s="246">
        <v>1994</v>
      </c>
      <c r="Y449" s="204"/>
      <c r="Z449" s="283"/>
      <c r="AA449" s="204" t="s">
        <v>31</v>
      </c>
      <c r="AB449" s="284">
        <f>IF(G449="ABAND",0,(IF(AA449="steel",VLOOKUP(V449,steelrates,2,FALSE)*W449,VLOOKUP(V449,plasticrates,2,FALSE)*W449)))</f>
        <v>108762.99999999999</v>
      </c>
      <c r="AC449" s="214">
        <f t="shared" si="74"/>
        <v>0.49</v>
      </c>
      <c r="AD449" s="284">
        <f>ROUND(+AB449-(+AB449*AC449),2)</f>
        <v>55469.13</v>
      </c>
      <c r="AE449" s="285">
        <f>(IF(Y449="LOOP",AD449*0.25,0))</f>
        <v>0</v>
      </c>
      <c r="AF449" s="286">
        <f>(IF(G449="SUSP",AD449*0.2,0))</f>
        <v>0</v>
      </c>
      <c r="AG449" s="499">
        <f t="shared" si="75"/>
        <v>55469.13</v>
      </c>
      <c r="AH449" s="515">
        <f t="shared" si="72"/>
        <v>55469</v>
      </c>
      <c r="AI449" s="1044"/>
      <c r="AJ449" s="1044"/>
      <c r="AK449" s="1044"/>
    </row>
    <row r="450" spans="1:37" ht="12.7">
      <c r="A450" s="47" t="s">
        <v>11</v>
      </c>
      <c r="B450" s="23" t="s">
        <v>540</v>
      </c>
      <c r="C450" s="467" t="s">
        <v>671</v>
      </c>
      <c r="D450" s="139" t="s">
        <v>421</v>
      </c>
      <c r="E450" s="769" t="s">
        <v>422</v>
      </c>
      <c r="F450" s="204" t="s">
        <v>596</v>
      </c>
      <c r="G450" s="310"/>
      <c r="H450" s="280" t="s">
        <v>533</v>
      </c>
      <c r="I450" s="206">
        <v>42</v>
      </c>
      <c r="J450" s="207">
        <v>14</v>
      </c>
      <c r="K450" s="208">
        <f>60*0.707</f>
        <v>42.419999999999995</v>
      </c>
      <c r="L450" s="209">
        <v>82</v>
      </c>
      <c r="M450" s="207">
        <v>39</v>
      </c>
      <c r="N450" s="281">
        <f>60*0.615</f>
        <v>36.90</v>
      </c>
      <c r="O450" s="282" t="s">
        <v>534</v>
      </c>
      <c r="P450" s="206">
        <v>42</v>
      </c>
      <c r="Q450" s="207">
        <v>14</v>
      </c>
      <c r="R450" s="208">
        <f>60*0.73</f>
        <v>43.80</v>
      </c>
      <c r="S450" s="209">
        <v>82</v>
      </c>
      <c r="T450" s="207">
        <v>39</v>
      </c>
      <c r="U450" s="281">
        <f>60*0.862</f>
        <v>51.72</v>
      </c>
      <c r="V450" s="204">
        <v>4</v>
      </c>
      <c r="W450" s="543">
        <v>1120</v>
      </c>
      <c r="X450" s="246">
        <v>1994</v>
      </c>
      <c r="Y450" s="204"/>
      <c r="Z450" s="283"/>
      <c r="AA450" s="204" t="s">
        <v>31</v>
      </c>
      <c r="AB450" s="284">
        <f>IF(G450="ABAND",0,(IF(AA450="steel",VLOOKUP(V450,steelrates,2,FALSE)*W450,VLOOKUP(V450,plasticrates,2,FALSE)*W450)))</f>
        <v>39939.199999999997</v>
      </c>
      <c r="AC450" s="214">
        <f t="shared" si="74"/>
        <v>0.49</v>
      </c>
      <c r="AD450" s="284">
        <f>ROUND(+AB450-(+AB450*AC450),2)</f>
        <v>20368.990000000002</v>
      </c>
      <c r="AE450" s="285">
        <f>(IF(Y450="LOOP",AD450*0.25,0))</f>
        <v>0</v>
      </c>
      <c r="AF450" s="286">
        <f>(IF(G450="SUSP",AD450*0.2,0))</f>
        <v>0</v>
      </c>
      <c r="AG450" s="499">
        <f t="shared" si="75"/>
        <v>20368.990000000002</v>
      </c>
      <c r="AH450" s="515">
        <f t="shared" si="72"/>
        <v>20368</v>
      </c>
      <c r="AI450" s="1044"/>
      <c r="AJ450" s="1044"/>
      <c r="AK450" s="1044"/>
    </row>
    <row r="451" spans="1:37" ht="12.7">
      <c r="A451" s="47" t="s">
        <v>11</v>
      </c>
      <c r="B451" s="23" t="s">
        <v>540</v>
      </c>
      <c r="C451" s="467" t="s">
        <v>671</v>
      </c>
      <c r="D451" s="139" t="s">
        <v>421</v>
      </c>
      <c r="E451" s="769" t="s">
        <v>422</v>
      </c>
      <c r="F451" s="204" t="s">
        <v>596</v>
      </c>
      <c r="G451" s="310"/>
      <c r="H451" s="280" t="s">
        <v>534</v>
      </c>
      <c r="I451" s="206">
        <v>42</v>
      </c>
      <c r="J451" s="207">
        <v>14</v>
      </c>
      <c r="K451" s="208">
        <f>60*0.73</f>
        <v>43.80</v>
      </c>
      <c r="L451" s="209">
        <v>82</v>
      </c>
      <c r="M451" s="207">
        <v>39</v>
      </c>
      <c r="N451" s="281">
        <f>60*0.862</f>
        <v>51.72</v>
      </c>
      <c r="O451" s="282" t="s">
        <v>535</v>
      </c>
      <c r="P451" s="206">
        <v>42</v>
      </c>
      <c r="Q451" s="207">
        <v>14</v>
      </c>
      <c r="R451" s="208">
        <f>60*0.763</f>
        <v>45.78</v>
      </c>
      <c r="S451" s="209">
        <v>82</v>
      </c>
      <c r="T451" s="207">
        <v>40</v>
      </c>
      <c r="U451" s="281">
        <f>60*0.041</f>
        <v>2.46</v>
      </c>
      <c r="V451" s="204">
        <v>4</v>
      </c>
      <c r="W451" s="543">
        <v>830</v>
      </c>
      <c r="X451" s="246">
        <v>1994</v>
      </c>
      <c r="Y451" s="204"/>
      <c r="Z451" s="283"/>
      <c r="AA451" s="204" t="s">
        <v>31</v>
      </c>
      <c r="AB451" s="284">
        <f>IF(G451="ABAND",0,(IF(AA451="steel",VLOOKUP(V451,steelrates,2,FALSE)*W451,VLOOKUP(V451,plasticrates,2,FALSE)*W451)))</f>
        <v>29597.799999999996</v>
      </c>
      <c r="AC451" s="214">
        <f t="shared" si="74"/>
        <v>0.49</v>
      </c>
      <c r="AD451" s="284">
        <f>ROUND(+AB451-(+AB451*AC451),2)</f>
        <v>15094.88</v>
      </c>
      <c r="AE451" s="285">
        <f>(IF(Y451="LOOP",AD451*0.25,0))</f>
        <v>0</v>
      </c>
      <c r="AF451" s="286">
        <f>(IF(G451="SUSP",AD451*0.2,0))</f>
        <v>0</v>
      </c>
      <c r="AG451" s="499">
        <f t="shared" si="75"/>
        <v>15094.88</v>
      </c>
      <c r="AH451" s="515">
        <f t="shared" si="72"/>
        <v>15094</v>
      </c>
      <c r="AI451" s="1044"/>
      <c r="AJ451" s="1044"/>
      <c r="AK451" s="1044"/>
    </row>
    <row r="452" spans="1:37" ht="12.7">
      <c r="A452" s="50" t="s">
        <v>11</v>
      </c>
      <c r="B452" s="51" t="s">
        <v>540</v>
      </c>
      <c r="C452" s="467" t="s">
        <v>671</v>
      </c>
      <c r="D452" s="279" t="s">
        <v>421</v>
      </c>
      <c r="E452" s="769" t="s">
        <v>422</v>
      </c>
      <c r="F452" s="204" t="s">
        <v>596</v>
      </c>
      <c r="G452" s="310"/>
      <c r="H452" s="280" t="s">
        <v>535</v>
      </c>
      <c r="I452" s="206">
        <v>42</v>
      </c>
      <c r="J452" s="207">
        <v>14</v>
      </c>
      <c r="K452" s="208">
        <f>60*0.763</f>
        <v>45.78</v>
      </c>
      <c r="L452" s="209">
        <v>82</v>
      </c>
      <c r="M452" s="207">
        <v>40</v>
      </c>
      <c r="N452" s="281">
        <f>60*0.041</f>
        <v>2.46</v>
      </c>
      <c r="O452" s="282" t="s">
        <v>536</v>
      </c>
      <c r="P452" s="206">
        <v>42</v>
      </c>
      <c r="Q452" s="207">
        <v>14</v>
      </c>
      <c r="R452" s="208">
        <f>60*0.842</f>
        <v>50.52</v>
      </c>
      <c r="S452" s="209">
        <v>82</v>
      </c>
      <c r="T452" s="207">
        <v>41</v>
      </c>
      <c r="U452" s="281">
        <f>60*0.011</f>
        <v>0.65999999999999992</v>
      </c>
      <c r="V452" s="204">
        <v>4</v>
      </c>
      <c r="W452" s="543">
        <v>4390</v>
      </c>
      <c r="X452" s="246">
        <v>1994</v>
      </c>
      <c r="Y452" s="204"/>
      <c r="Z452" s="283"/>
      <c r="AA452" s="204" t="s">
        <v>31</v>
      </c>
      <c r="AB452" s="284">
        <f>IF(G452="ABAND",0,(IF(AA452="steel",VLOOKUP(V452,steelrates,2,FALSE)*W452,VLOOKUP(V452,plasticrates,2,FALSE)*W452)))</f>
        <v>156547.40</v>
      </c>
      <c r="AC452" s="214">
        <f t="shared" si="74"/>
        <v>0.49</v>
      </c>
      <c r="AD452" s="284">
        <f>ROUND(+AB452-(+AB452*AC452),2)</f>
        <v>79839.17</v>
      </c>
      <c r="AE452" s="285">
        <f>(IF(Y452="LOOP",AD452*0.25,0))</f>
        <v>0</v>
      </c>
      <c r="AF452" s="286">
        <f>(IF(G452="SUSP",AD452*0.2,0))</f>
        <v>0</v>
      </c>
      <c r="AG452" s="499">
        <f t="shared" si="75"/>
        <v>79839.17</v>
      </c>
      <c r="AH452" s="515">
        <f t="shared" si="72"/>
        <v>79839</v>
      </c>
      <c r="AI452" s="1044"/>
      <c r="AJ452" s="1044"/>
      <c r="AK452" s="1044"/>
    </row>
    <row r="453" spans="1:37" ht="12.7">
      <c r="A453" s="123"/>
      <c r="B453" s="123"/>
      <c r="C453" s="470"/>
      <c r="D453" s="123"/>
      <c r="E453" s="123"/>
      <c r="F453" s="123"/>
      <c r="G453" s="317"/>
      <c r="H453" s="124"/>
      <c r="I453" s="125"/>
      <c r="J453" s="126"/>
      <c r="K453" s="127"/>
      <c r="L453" s="128"/>
      <c r="M453" s="126"/>
      <c r="N453" s="129"/>
      <c r="O453" s="130"/>
      <c r="P453" s="125"/>
      <c r="Q453" s="126"/>
      <c r="R453" s="127"/>
      <c r="S453" s="128"/>
      <c r="T453" s="126"/>
      <c r="U453" s="129"/>
      <c r="V453" s="123"/>
      <c r="W453" s="131"/>
      <c r="X453" s="132"/>
      <c r="Y453" s="123"/>
      <c r="Z453" s="133"/>
      <c r="AA453" s="123"/>
      <c r="AB453" s="134"/>
      <c r="AC453" s="135"/>
      <c r="AD453" s="134"/>
      <c r="AE453" s="136"/>
      <c r="AF453" s="136"/>
      <c r="AG453" s="136"/>
      <c r="AH453" s="136"/>
      <c r="AI453" s="196"/>
      <c r="AJ453" s="196"/>
      <c r="AK453" s="196"/>
    </row>
    <row r="454" spans="1:37" ht="12.7">
      <c r="A454" s="123"/>
      <c r="B454" s="123"/>
      <c r="C454" s="470"/>
      <c r="D454" s="123"/>
      <c r="E454" s="123"/>
      <c r="F454" s="123"/>
      <c r="G454" s="317"/>
      <c r="H454" s="124"/>
      <c r="I454" s="125"/>
      <c r="J454" s="126"/>
      <c r="K454" s="127"/>
      <c r="L454" s="128"/>
      <c r="M454" s="126"/>
      <c r="N454" s="129"/>
      <c r="O454" s="130"/>
      <c r="P454" s="125"/>
      <c r="Q454" s="126"/>
      <c r="R454" s="127"/>
      <c r="S454" s="128"/>
      <c r="T454" s="126"/>
      <c r="U454" s="129"/>
      <c r="V454" s="123"/>
      <c r="W454" s="131"/>
      <c r="X454" s="132"/>
      <c r="Y454" s="123"/>
      <c r="Z454" s="133"/>
      <c r="AA454" s="123"/>
      <c r="AB454" s="134"/>
      <c r="AC454" s="135"/>
      <c r="AD454" s="134"/>
      <c r="AE454" s="136"/>
      <c r="AF454" s="136"/>
      <c r="AG454" s="136"/>
      <c r="AH454" s="136"/>
      <c r="AI454" s="196"/>
      <c r="AJ454" s="196"/>
      <c r="AK454" s="196"/>
    </row>
    <row r="455" spans="1:37" ht="12.7">
      <c r="A455" s="123"/>
      <c r="B455" s="123"/>
      <c r="C455" s="470"/>
      <c r="D455" s="123"/>
      <c r="E455" s="123"/>
      <c r="F455" s="123"/>
      <c r="G455" s="317"/>
      <c r="H455" s="124"/>
      <c r="I455" s="125"/>
      <c r="J455" s="126"/>
      <c r="K455" s="127"/>
      <c r="L455" s="128"/>
      <c r="M455" s="126"/>
      <c r="N455" s="129"/>
      <c r="O455" s="130"/>
      <c r="P455" s="125"/>
      <c r="Q455" s="126"/>
      <c r="R455" s="127"/>
      <c r="S455" s="128"/>
      <c r="T455" s="126"/>
      <c r="U455" s="129"/>
      <c r="V455" s="123"/>
      <c r="W455" s="131"/>
      <c r="X455" s="132"/>
      <c r="Y455" s="123"/>
      <c r="Z455" s="133"/>
      <c r="AA455" s="123"/>
      <c r="AB455" s="134"/>
      <c r="AC455" s="135"/>
      <c r="AD455" s="134"/>
      <c r="AE455" s="136"/>
      <c r="AF455" s="136"/>
      <c r="AG455" s="136"/>
      <c r="AH455" s="136"/>
      <c r="AI455" s="196"/>
      <c r="AJ455" s="196"/>
      <c r="AK455" s="196"/>
    </row>
    <row r="456" spans="1:37" ht="12.7">
      <c r="A456" s="123"/>
      <c r="B456" s="123"/>
      <c r="C456" s="470"/>
      <c r="D456" s="123"/>
      <c r="E456" s="123"/>
      <c r="F456" s="123"/>
      <c r="G456" s="317"/>
      <c r="H456" s="124"/>
      <c r="I456" s="125"/>
      <c r="J456" s="126"/>
      <c r="K456" s="127"/>
      <c r="L456" s="128"/>
      <c r="M456" s="126"/>
      <c r="N456" s="129"/>
      <c r="O456" s="130"/>
      <c r="P456" s="125"/>
      <c r="Q456" s="126"/>
      <c r="R456" s="127"/>
      <c r="S456" s="128"/>
      <c r="T456" s="126"/>
      <c r="U456" s="129"/>
      <c r="V456" s="123"/>
      <c r="W456" s="131"/>
      <c r="X456" s="132"/>
      <c r="Y456" s="123"/>
      <c r="Z456" s="133"/>
      <c r="AA456" s="123"/>
      <c r="AB456" s="134"/>
      <c r="AC456" s="135"/>
      <c r="AD456" s="134"/>
      <c r="AE456" s="136"/>
      <c r="AF456" s="136"/>
      <c r="AG456" s="136"/>
      <c r="AH456" s="136"/>
      <c r="AI456" s="196"/>
      <c r="AJ456" s="196"/>
      <c r="AK456" s="196"/>
    </row>
    <row r="457" spans="1:37" ht="12.7">
      <c r="A457" s="123"/>
      <c r="B457" s="123"/>
      <c r="C457" s="470"/>
      <c r="D457" s="123"/>
      <c r="E457" s="123"/>
      <c r="F457" s="123"/>
      <c r="G457" s="317"/>
      <c r="H457" s="124"/>
      <c r="I457" s="125"/>
      <c r="J457" s="126"/>
      <c r="K457" s="127"/>
      <c r="L457" s="128"/>
      <c r="M457" s="126"/>
      <c r="N457" s="129"/>
      <c r="O457" s="130"/>
      <c r="P457" s="125"/>
      <c r="Q457" s="126"/>
      <c r="R457" s="127"/>
      <c r="S457" s="128"/>
      <c r="T457" s="126"/>
      <c r="U457" s="129"/>
      <c r="V457" s="123"/>
      <c r="W457" s="131"/>
      <c r="X457" s="132"/>
      <c r="Y457" s="123"/>
      <c r="Z457" s="133"/>
      <c r="AA457" s="123"/>
      <c r="AB457" s="134"/>
      <c r="AC457" s="135"/>
      <c r="AD457" s="134"/>
      <c r="AE457" s="136"/>
      <c r="AF457" s="136"/>
      <c r="AG457" s="136"/>
      <c r="AH457" s="136"/>
      <c r="AI457" s="196"/>
      <c r="AJ457" s="196"/>
      <c r="AK457" s="196"/>
    </row>
    <row r="458" spans="8:37" ht="12.7">
      <c r="H458" s="86"/>
      <c r="AI458" s="196"/>
      <c r="AJ458" s="196"/>
      <c r="AK458" s="196"/>
    </row>
    <row r="459" spans="8:37" ht="13.7">
      <c r="H459" s="86"/>
      <c r="W459" s="93">
        <f>SUBTOTAL(9,W20:W458)</f>
        <v>536004.70000000019</v>
      </c>
      <c r="AB459" s="94">
        <f>SUBTOTAL(9,AB20:AB458)</f>
        <v>9840719.9853000063</v>
      </c>
      <c r="AC459" s="95"/>
      <c r="AD459" s="94">
        <f>SUBTOTAL(9,AD20:AD458)</f>
        <v>5124637.1900000023</v>
      </c>
      <c r="AE459" s="94">
        <f>SUBTOTAL(9,AE20:AE458)</f>
        <v>0</v>
      </c>
      <c r="AF459" s="195">
        <f>SUBTOTAL(9,AF20:AF458)</f>
        <v>0</v>
      </c>
      <c r="AG459" s="94">
        <f>SUBTOTAL(9,AG20:AG458)</f>
        <v>5124637.1900000023</v>
      </c>
      <c r="AH459" s="94">
        <f>SUBTOTAL(9,AH20:AH458)</f>
        <v>5124470</v>
      </c>
      <c r="AI459" s="466"/>
      <c r="AJ459" s="466"/>
      <c r="AK459" s="466"/>
    </row>
    <row r="460" spans="8:34" ht="13.7">
      <c r="H460" s="86"/>
      <c r="W460" s="93">
        <f>SUBTOTAL(9,W5:W458)</f>
        <v>616588.70000000007</v>
      </c>
      <c r="AB460" s="94">
        <f>SUBTOTAL(9,AB5:AB458)</f>
        <v>13518850.445300002</v>
      </c>
      <c r="AD460" s="94">
        <f>SUBTOTAL(9,AD5:AD458)</f>
        <v>6758702.8999999994</v>
      </c>
      <c r="AG460" s="94">
        <f>SUBTOTAL(9,AG5:AG458)</f>
        <v>6758702.8999999994</v>
      </c>
      <c r="AH460" s="94">
        <f>SUBTOTAL(9,AH5:AH458)</f>
        <v>6758528</v>
      </c>
    </row>
    <row r="461" ht="12.7">
      <c r="H461" s="86"/>
    </row>
    <row r="462" ht="12.7">
      <c r="H462" s="86"/>
    </row>
    <row r="463" spans="8:34" ht="12.7">
      <c r="H463" s="86"/>
      <c r="AA463" s="486" t="s">
        <v>664</v>
      </c>
      <c r="AB463" s="487">
        <f t="shared" si="80" ref="AB463:AB470">SUMIFS(AB$4:AB$457,$C$4:$C$457,$AA463)</f>
        <v>727745.76</v>
      </c>
      <c r="AD463" s="487">
        <f t="shared" si="81" ref="AD463:AH470">SUMIFS(AD$4:AD$457,$C$4:$C$457,$AA463)</f>
        <v>295234.76</v>
      </c>
      <c r="AE463" s="487">
        <f t="shared" si="81"/>
        <v>0</v>
      </c>
      <c r="AF463" s="487">
        <f t="shared" si="81"/>
        <v>0</v>
      </c>
      <c r="AG463" s="487">
        <f t="shared" si="81"/>
        <v>295234.76</v>
      </c>
      <c r="AH463" s="487">
        <f t="shared" si="81"/>
        <v>295233</v>
      </c>
    </row>
    <row r="464" spans="8:34" ht="12.7">
      <c r="H464" s="86"/>
      <c r="AA464" s="474" t="s">
        <v>663</v>
      </c>
      <c r="AB464" s="487">
        <f t="shared" si="80"/>
        <v>2206155.69</v>
      </c>
      <c r="AD464" s="487">
        <f t="shared" si="81"/>
        <v>948646.97</v>
      </c>
      <c r="AE464" s="487">
        <f t="shared" si="81"/>
        <v>0</v>
      </c>
      <c r="AF464" s="487">
        <f t="shared" si="81"/>
        <v>0</v>
      </c>
      <c r="AG464" s="487">
        <f t="shared" si="81"/>
        <v>948646.97</v>
      </c>
      <c r="AH464" s="487">
        <f t="shared" si="81"/>
        <v>948644</v>
      </c>
    </row>
    <row r="465" spans="8:34" ht="12.7">
      <c r="H465" s="86"/>
      <c r="AA465" s="484" t="s">
        <v>668</v>
      </c>
      <c r="AB465" s="487">
        <f t="shared" si="80"/>
        <v>0</v>
      </c>
      <c r="AD465" s="487">
        <f t="shared" si="81"/>
        <v>0</v>
      </c>
      <c r="AE465" s="487">
        <f t="shared" si="81"/>
        <v>0</v>
      </c>
      <c r="AF465" s="487">
        <f t="shared" si="81"/>
        <v>0</v>
      </c>
      <c r="AG465" s="487">
        <f t="shared" si="81"/>
        <v>0</v>
      </c>
      <c r="AH465" s="487">
        <f t="shared" si="81"/>
        <v>0</v>
      </c>
    </row>
    <row r="466" spans="8:34" ht="12.7">
      <c r="H466" s="86"/>
      <c r="AA466" s="474" t="s">
        <v>666</v>
      </c>
      <c r="AB466" s="487">
        <f t="shared" si="80"/>
        <v>2710860.4001000002</v>
      </c>
      <c r="AD466" s="487">
        <f t="shared" si="81"/>
        <v>1512650.2399999998</v>
      </c>
      <c r="AE466" s="487">
        <f t="shared" si="81"/>
        <v>0</v>
      </c>
      <c r="AF466" s="487">
        <f t="shared" si="81"/>
        <v>0</v>
      </c>
      <c r="AG466" s="487">
        <f t="shared" si="81"/>
        <v>1512650.2399999998</v>
      </c>
      <c r="AH466" s="487">
        <f t="shared" si="81"/>
        <v>1512599</v>
      </c>
    </row>
    <row r="467" spans="8:34" ht="12.7">
      <c r="H467" s="86"/>
      <c r="AA467" s="474" t="s">
        <v>665</v>
      </c>
      <c r="AB467" s="487">
        <f t="shared" si="80"/>
        <v>715134.35</v>
      </c>
      <c r="AD467" s="487">
        <f t="shared" si="81"/>
        <v>370399.61</v>
      </c>
      <c r="AE467" s="487">
        <f t="shared" si="81"/>
        <v>0</v>
      </c>
      <c r="AF467" s="487">
        <f t="shared" si="81"/>
        <v>0</v>
      </c>
      <c r="AG467" s="487">
        <f t="shared" si="81"/>
        <v>370399.61</v>
      </c>
      <c r="AH467" s="487">
        <f t="shared" si="81"/>
        <v>370397</v>
      </c>
    </row>
    <row r="468" spans="8:34" ht="12.7">
      <c r="H468" s="86"/>
      <c r="AA468" s="467" t="s">
        <v>670</v>
      </c>
      <c r="AB468" s="487">
        <f t="shared" si="80"/>
        <v>4509595.5050000008</v>
      </c>
      <c r="AD468" s="487">
        <f t="shared" si="81"/>
        <v>2205142.4199999981</v>
      </c>
      <c r="AE468" s="487">
        <f t="shared" si="81"/>
        <v>0</v>
      </c>
      <c r="AF468" s="487">
        <f t="shared" si="81"/>
        <v>0</v>
      </c>
      <c r="AG468" s="487">
        <f t="shared" si="81"/>
        <v>2205142.4199999981</v>
      </c>
      <c r="AH468" s="487">
        <f t="shared" si="81"/>
        <v>2205070</v>
      </c>
    </row>
    <row r="469" spans="8:34" ht="12.7">
      <c r="H469" s="86"/>
      <c r="AA469" s="484" t="s">
        <v>669</v>
      </c>
      <c r="AB469" s="487">
        <f t="shared" si="80"/>
        <v>174531.83999999997</v>
      </c>
      <c r="AD469" s="487">
        <f t="shared" si="81"/>
        <v>127541.16</v>
      </c>
      <c r="AE469" s="487">
        <f t="shared" si="81"/>
        <v>0</v>
      </c>
      <c r="AF469" s="487">
        <f t="shared" si="81"/>
        <v>0</v>
      </c>
      <c r="AG469" s="487">
        <f t="shared" si="81"/>
        <v>127541.16</v>
      </c>
      <c r="AH469" s="487">
        <f t="shared" si="81"/>
        <v>127536</v>
      </c>
    </row>
    <row r="470" spans="8:34" ht="12.7">
      <c r="H470" s="86"/>
      <c r="AA470" s="467" t="s">
        <v>671</v>
      </c>
      <c r="AB470" s="487">
        <f t="shared" si="80"/>
        <v>2474826.9002</v>
      </c>
      <c r="AD470" s="487">
        <f t="shared" si="81"/>
        <v>1299087.7399999993</v>
      </c>
      <c r="AE470" s="487">
        <f t="shared" si="81"/>
        <v>0</v>
      </c>
      <c r="AF470" s="487">
        <f t="shared" si="81"/>
        <v>0</v>
      </c>
      <c r="AG470" s="487">
        <f t="shared" si="81"/>
        <v>1299087.7399999993</v>
      </c>
      <c r="AH470" s="487">
        <f t="shared" si="81"/>
        <v>1299049</v>
      </c>
    </row>
    <row r="471" ht="12.7">
      <c r="H471" s="86"/>
    </row>
    <row r="472" spans="8:34" ht="12.7">
      <c r="H472" s="86"/>
      <c r="AB472" s="500">
        <f>SUM(AB463:AB470)</f>
        <v>13518850.4453</v>
      </c>
      <c r="AD472" s="500">
        <f>SUM(AD463:AD470)</f>
        <v>6758702.8999999976</v>
      </c>
      <c r="AE472" s="500">
        <f>SUM(AE463:AE470)</f>
        <v>0</v>
      </c>
      <c r="AF472" s="500">
        <f>SUM(AF463:AF470)</f>
        <v>0</v>
      </c>
      <c r="AG472" s="500">
        <f>SUM(AG463:AG470)</f>
        <v>6758702.8999999976</v>
      </c>
      <c r="AH472" s="500">
        <f>SUM(AH463:AH470)</f>
        <v>6758528</v>
      </c>
    </row>
    <row r="473" ht="12.7">
      <c r="H473" s="86"/>
    </row>
    <row r="474" ht="12.7">
      <c r="H474" s="86"/>
    </row>
    <row r="475" ht="12.7">
      <c r="H475" s="86"/>
    </row>
    <row r="476" spans="5:34" ht="12.7">
      <c r="E476" s="462" t="s">
        <v>617</v>
      </c>
      <c r="H476" s="86"/>
      <c r="AF476" s="107"/>
      <c r="AG476" s="107"/>
      <c r="AH476" s="107"/>
    </row>
    <row r="477" spans="5:8" ht="12.7">
      <c r="E477"/>
      <c r="H477" s="86"/>
    </row>
    <row r="478" spans="5:25" ht="12.7">
      <c r="E478" s="456" t="s">
        <v>625</v>
      </c>
      <c r="F478" s="82"/>
      <c r="H478" s="457"/>
      <c r="I478" s="82"/>
      <c r="J478" s="82"/>
      <c r="K478" s="82"/>
      <c r="L478" s="458"/>
      <c r="M478" s="82"/>
      <c r="N478" s="82"/>
      <c r="O478" s="450"/>
      <c r="P478" s="459"/>
      <c r="Q478" s="82"/>
      <c r="R478" s="82"/>
      <c r="S478" s="458"/>
      <c r="T478" s="82"/>
      <c r="U478" s="82"/>
      <c r="V478" s="82"/>
      <c r="W478" s="460"/>
      <c r="X478" s="461"/>
      <c r="Y478" s="82"/>
    </row>
    <row r="479" ht="12.7">
      <c r="H479" s="86"/>
    </row>
    <row r="480" spans="5:24" ht="12.7">
      <c r="E480" s="450" t="s">
        <v>618</v>
      </c>
      <c r="G480" s="105"/>
      <c r="H480" s="451"/>
      <c r="I480" s="105"/>
      <c r="J480" s="105"/>
      <c r="K480" s="105"/>
      <c r="L480" s="452"/>
      <c r="M480" s="105"/>
      <c r="N480" s="105"/>
      <c r="O480" s="449"/>
      <c r="P480" s="453"/>
      <c r="Q480" s="105"/>
      <c r="R480" s="105"/>
      <c r="S480" s="452"/>
      <c r="T480" s="105"/>
      <c r="U480" s="105"/>
      <c r="V480" s="105"/>
      <c r="W480" s="454"/>
      <c r="X480" s="455"/>
    </row>
    <row r="481" ht="12.7">
      <c r="H481" s="86"/>
    </row>
    <row r="482" spans="5:8" ht="12.7">
      <c r="E482" s="450" t="s">
        <v>619</v>
      </c>
      <c r="H482" s="86"/>
    </row>
    <row r="483" ht="12.7">
      <c r="H483" s="86"/>
    </row>
    <row r="484" spans="5:8" ht="12.7">
      <c r="E484" s="450" t="s">
        <v>620</v>
      </c>
      <c r="G484" s="450" t="s">
        <v>621</v>
      </c>
      <c r="H484" s="86"/>
    </row>
    <row r="485" spans="7:8" ht="12.7">
      <c r="G485" s="450" t="s">
        <v>626</v>
      </c>
      <c r="H485" s="86"/>
    </row>
    <row r="486" ht="12.7">
      <c r="H486" s="86"/>
    </row>
    <row r="487" spans="5:8" ht="12.7">
      <c r="E487" s="450" t="s">
        <v>622</v>
      </c>
      <c r="G487" s="450" t="s">
        <v>623</v>
      </c>
      <c r="H487" s="86"/>
    </row>
    <row r="488" ht="12.7">
      <c r="H488" s="86"/>
    </row>
    <row r="489" ht="12.7">
      <c r="H489" s="86"/>
    </row>
    <row r="490" ht="12.7">
      <c r="H490" s="86"/>
    </row>
    <row r="491" ht="12.7">
      <c r="H491" s="86"/>
    </row>
    <row r="492" ht="12.7">
      <c r="H492" s="86"/>
    </row>
    <row r="493" ht="12.7">
      <c r="H493" s="86"/>
    </row>
  </sheetData>
  <autoFilter ref="A4:AF452">
    <filterColumn colId="8" showButton="0"/>
    <filterColumn colId="9" showButton="0"/>
    <filterColumn colId="11" showButton="0"/>
    <filterColumn colId="12" showButton="0"/>
    <filterColumn colId="15" showButton="0"/>
    <filterColumn colId="16" showButton="0"/>
    <filterColumn colId="18" showButton="0"/>
    <filterColumn colId="19" showButton="0"/>
  </autoFilter>
  <mergeCells count="192">
    <mergeCell ref="AJ303:AJ306"/>
    <mergeCell ref="AK303:AK306"/>
    <mergeCell ref="AI383:AI385"/>
    <mergeCell ref="AJ383:AJ385"/>
    <mergeCell ref="AK383:AK385"/>
    <mergeCell ref="AI326:AK327"/>
    <mergeCell ref="AI330:AK339"/>
    <mergeCell ref="AI368:AI371"/>
    <mergeCell ref="AJ368:AJ371"/>
    <mergeCell ref="AK368:AK371"/>
    <mergeCell ref="AI364:AI367"/>
    <mergeCell ref="AJ364:AJ367"/>
    <mergeCell ref="AK364:AK367"/>
    <mergeCell ref="AI361:AI363"/>
    <mergeCell ref="AJ361:AJ363"/>
    <mergeCell ref="AK361:AK363"/>
    <mergeCell ref="AI358:AI360"/>
    <mergeCell ref="AJ358:AJ360"/>
    <mergeCell ref="AI372:AK374"/>
    <mergeCell ref="AI375:AI378"/>
    <mergeCell ref="AJ375:AJ378"/>
    <mergeCell ref="AK375:AK378"/>
    <mergeCell ref="AI342:AK354"/>
    <mergeCell ref="AK358:AK360"/>
    <mergeCell ref="AI308:AI313"/>
    <mergeCell ref="AJ308:AJ313"/>
    <mergeCell ref="AK308:AK313"/>
    <mergeCell ref="AI314:AK319"/>
    <mergeCell ref="AI321:AI322"/>
    <mergeCell ref="AJ321:AJ322"/>
    <mergeCell ref="AK321:AK322"/>
    <mergeCell ref="AI324:AK324"/>
    <mergeCell ref="AI285:AI287"/>
    <mergeCell ref="AJ285:AJ287"/>
    <mergeCell ref="AK285:AK287"/>
    <mergeCell ref="AI288:AI289"/>
    <mergeCell ref="AJ288:AJ289"/>
    <mergeCell ref="AK288:AK289"/>
    <mergeCell ref="AI290:AI292"/>
    <mergeCell ref="AJ290:AJ292"/>
    <mergeCell ref="AK290:AK292"/>
    <mergeCell ref="AI297:AI298"/>
    <mergeCell ref="AJ297:AJ298"/>
    <mergeCell ref="AK297:AK298"/>
    <mergeCell ref="AI299:AI302"/>
    <mergeCell ref="AJ299:AJ302"/>
    <mergeCell ref="AK299:AK302"/>
    <mergeCell ref="AI303:AI306"/>
    <mergeCell ref="AJ271:AJ274"/>
    <mergeCell ref="AK271:AK274"/>
    <mergeCell ref="AI275:AI276"/>
    <mergeCell ref="AJ275:AJ276"/>
    <mergeCell ref="AK275:AK276"/>
    <mergeCell ref="AI277:AI278"/>
    <mergeCell ref="AJ277:AJ278"/>
    <mergeCell ref="AK277:AK278"/>
    <mergeCell ref="AI282:AI284"/>
    <mergeCell ref="AJ282:AJ284"/>
    <mergeCell ref="AK282:AK284"/>
    <mergeCell ref="AI271:AI274"/>
    <mergeCell ref="AI54:AI57"/>
    <mergeCell ref="AJ54:AJ57"/>
    <mergeCell ref="AK54:AK57"/>
    <mergeCell ref="AI23:AI28"/>
    <mergeCell ref="AJ23:AJ28"/>
    <mergeCell ref="AK23:AK28"/>
    <mergeCell ref="AI221:AI222"/>
    <mergeCell ref="AJ221:AJ222"/>
    <mergeCell ref="AK221:AK222"/>
    <mergeCell ref="AI144:AK147"/>
    <mergeCell ref="AI134:AK137"/>
    <mergeCell ref="AI61:AK69"/>
    <mergeCell ref="AI104:AK108"/>
    <mergeCell ref="AI110:AK114"/>
    <mergeCell ref="AI116:AK124"/>
    <mergeCell ref="AI38:AI39"/>
    <mergeCell ref="AJ38:AJ39"/>
    <mergeCell ref="AK38:AK39"/>
    <mergeCell ref="AI40:AI45"/>
    <mergeCell ref="AJ40:AJ45"/>
    <mergeCell ref="AK40:AK45"/>
    <mergeCell ref="AI33:AI34"/>
    <mergeCell ref="AJ33:AJ34"/>
    <mergeCell ref="AK33:AK34"/>
    <mergeCell ref="AK430:AK432"/>
    <mergeCell ref="AI386:AI389"/>
    <mergeCell ref="AJ386:AJ389"/>
    <mergeCell ref="AK386:AK389"/>
    <mergeCell ref="AK426:AK429"/>
    <mergeCell ref="AI425:AK425"/>
    <mergeCell ref="AI422:AK423"/>
    <mergeCell ref="AK172:AK175"/>
    <mergeCell ref="AI98:AI100"/>
    <mergeCell ref="AJ98:AJ100"/>
    <mergeCell ref="AK98:AK100"/>
    <mergeCell ref="AI165:AI167"/>
    <mergeCell ref="AJ165:AJ167"/>
    <mergeCell ref="AK165:AK167"/>
    <mergeCell ref="AI150:AI152"/>
    <mergeCell ref="AJ150:AJ152"/>
    <mergeCell ref="AK150:AK152"/>
    <mergeCell ref="AI153:AI162"/>
    <mergeCell ref="AJ153:AJ162"/>
    <mergeCell ref="AK153:AK162"/>
    <mergeCell ref="AI140:AI143"/>
    <mergeCell ref="AJ140:AJ143"/>
    <mergeCell ref="AK140:AK143"/>
    <mergeCell ref="AI139:AK139"/>
    <mergeCell ref="AI448:AI452"/>
    <mergeCell ref="AJ448:AJ452"/>
    <mergeCell ref="AK448:AK452"/>
    <mergeCell ref="AI444:AI447"/>
    <mergeCell ref="AJ444:AJ447"/>
    <mergeCell ref="AK444:AK447"/>
    <mergeCell ref="AI437:AI443"/>
    <mergeCell ref="AI402:AK404"/>
    <mergeCell ref="AI392:AI401"/>
    <mergeCell ref="AJ392:AJ401"/>
    <mergeCell ref="AK392:AK401"/>
    <mergeCell ref="AI413:AI421"/>
    <mergeCell ref="AJ413:AJ421"/>
    <mergeCell ref="AK413:AK421"/>
    <mergeCell ref="AI405:AK412"/>
    <mergeCell ref="AI426:AI429"/>
    <mergeCell ref="AJ426:AJ429"/>
    <mergeCell ref="AJ437:AJ443"/>
    <mergeCell ref="AK437:AK443"/>
    <mergeCell ref="AI433:AI435"/>
    <mergeCell ref="AJ433:AJ435"/>
    <mergeCell ref="AK433:AK435"/>
    <mergeCell ref="AI430:AI432"/>
    <mergeCell ref="AJ430:AJ432"/>
    <mergeCell ref="AI263:AI265"/>
    <mergeCell ref="AJ263:AJ265"/>
    <mergeCell ref="AK263:AK265"/>
    <mergeCell ref="AJ204:AJ205"/>
    <mergeCell ref="AK204:AK205"/>
    <mergeCell ref="AI214:AK214"/>
    <mergeCell ref="AI227:AI230"/>
    <mergeCell ref="AJ227:AJ230"/>
    <mergeCell ref="AK227:AK230"/>
    <mergeCell ref="AI231:AK231"/>
    <mergeCell ref="AK242:AK243"/>
    <mergeCell ref="AI242:AI243"/>
    <mergeCell ref="AJ242:AJ243"/>
    <mergeCell ref="AI247:AK249"/>
    <mergeCell ref="AI250:AI251"/>
    <mergeCell ref="AJ250:AJ251"/>
    <mergeCell ref="AI215:AI216"/>
    <mergeCell ref="AJ215:AJ216"/>
    <mergeCell ref="AK215:AK216"/>
    <mergeCell ref="AK250:AK251"/>
    <mergeCell ref="AI204:AI205"/>
    <mergeCell ref="AI223:AI224"/>
    <mergeCell ref="AJ223:AJ224"/>
    <mergeCell ref="AK223:AK224"/>
    <mergeCell ref="AI199:AI200"/>
    <mergeCell ref="AJ199:AJ200"/>
    <mergeCell ref="AK180:AK182"/>
    <mergeCell ref="AI183:AK190"/>
    <mergeCell ref="AI255:AK255"/>
    <mergeCell ref="AI256:AI258"/>
    <mergeCell ref="AJ256:AJ258"/>
    <mergeCell ref="AK256:AK258"/>
    <mergeCell ref="AI259:AK260"/>
    <mergeCell ref="AI180:AI182"/>
    <mergeCell ref="AJ180:AJ182"/>
    <mergeCell ref="AK199:AK200"/>
    <mergeCell ref="I4:K4"/>
    <mergeCell ref="L4:N4"/>
    <mergeCell ref="P4:R4"/>
    <mergeCell ref="S4:U4"/>
    <mergeCell ref="AI177:AI179"/>
    <mergeCell ref="AJ177:AJ179"/>
    <mergeCell ref="AK177:AK179"/>
    <mergeCell ref="AI197:AI198"/>
    <mergeCell ref="AJ197:AJ198"/>
    <mergeCell ref="AK197:AK198"/>
    <mergeCell ref="AI172:AI175"/>
    <mergeCell ref="AJ172:AJ175"/>
    <mergeCell ref="AI169:AI171"/>
    <mergeCell ref="AJ169:AJ171"/>
    <mergeCell ref="AK169:AK171"/>
    <mergeCell ref="AI35:AI37"/>
    <mergeCell ref="AJ35:AJ37"/>
    <mergeCell ref="AK35:AK37"/>
    <mergeCell ref="AI90:AI94"/>
    <mergeCell ref="AJ90:AJ94"/>
    <mergeCell ref="AK90:AK94"/>
    <mergeCell ref="AI95:AI97"/>
    <mergeCell ref="AJ95:AJ97"/>
    <mergeCell ref="AK95:AK97"/>
  </mergeCells>
  <printOptions gridLines="1" horizontalCentered="1"/>
  <pageMargins left="0" right="0" top="0.35" bottom="0.5" header="0" footer="0"/>
  <pageSetup fitToHeight="5" orientation="portrait" scale="80" r:id="rId2"/>
  <headerFooter alignWithMargins="0"/>
  <ignoredErrors>
    <ignoredError sqref="H23 H20 H122 H140 H144:H145 O121" twoDigitTextYear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123"/>
  <sheetViews>
    <sheetView showGridLines="0" workbookViewId="0" topLeftCell="A1">
      <selection pane="topLeft" activeCell="A1" sqref="A1"/>
    </sheetView>
  </sheetViews>
  <sheetFormatPr defaultColWidth="9.14285714285714" defaultRowHeight="12.75"/>
  <cols>
    <col min="1" max="1" width="13.1428571428571" style="4" customWidth="1"/>
    <col min="2" max="2" width="20.7142857142857" style="4" customWidth="1"/>
    <col min="3" max="3" width="11.7142857142857" style="76" customWidth="1"/>
    <col min="6" max="6" width="10.5714285714286" bestFit="1" customWidth="1"/>
    <col min="7" max="7" width="50.7142857142857" customWidth="1"/>
    <col min="8" max="8" width="8.28571428571429" bestFit="1" customWidth="1"/>
    <col min="9" max="9" width="2.71428571428571" customWidth="1"/>
  </cols>
  <sheetData>
    <row r="1" spans="1:4" ht="12.7">
      <c r="A1" s="13" t="s">
        <v>273</v>
      </c>
      <c r="B1" s="14" t="s">
        <v>420</v>
      </c>
      <c r="D1" t="s">
        <v>538</v>
      </c>
    </row>
    <row r="2" spans="1:4" ht="12.7">
      <c r="A2" s="15" t="s">
        <v>275</v>
      </c>
      <c r="B2" s="15" t="s">
        <v>598</v>
      </c>
      <c r="D2" t="s">
        <v>537</v>
      </c>
    </row>
    <row r="3" spans="1:4" ht="12.7">
      <c r="A3" s="1">
        <v>1</v>
      </c>
      <c r="B3" s="3">
        <v>15.31</v>
      </c>
      <c r="D3" s="104" t="s">
        <v>629</v>
      </c>
    </row>
    <row r="4" spans="1:2" ht="12.7">
      <c r="A4" s="1">
        <v>2</v>
      </c>
      <c r="B4" s="3">
        <v>21.40</v>
      </c>
    </row>
    <row r="5" spans="1:4" ht="13.7">
      <c r="A5" s="1">
        <v>3</v>
      </c>
      <c r="B5" s="3">
        <v>30.64</v>
      </c>
      <c r="D5" s="100" t="s">
        <v>628</v>
      </c>
    </row>
    <row r="6" spans="1:4" ht="12.7">
      <c r="A6" s="1">
        <v>4</v>
      </c>
      <c r="B6" s="3">
        <v>35.659999999999997</v>
      </c>
      <c r="D6" s="96"/>
    </row>
    <row r="7" spans="1:2" ht="12.7">
      <c r="A7" s="1">
        <v>6</v>
      </c>
      <c r="B7" s="3">
        <v>45.93</v>
      </c>
    </row>
    <row r="8" spans="1:2" ht="12.7">
      <c r="A8" s="1">
        <v>8</v>
      </c>
      <c r="B8" s="3">
        <v>59.25</v>
      </c>
    </row>
    <row r="10" spans="1:2" ht="12.7">
      <c r="A10" s="13" t="s">
        <v>273</v>
      </c>
      <c r="B10" s="14" t="s">
        <v>274</v>
      </c>
    </row>
    <row r="11" spans="1:2" ht="25.35">
      <c r="A11" s="15" t="s">
        <v>275</v>
      </c>
      <c r="B11" s="18" t="s">
        <v>599</v>
      </c>
    </row>
    <row r="12" spans="1:2" ht="12.7">
      <c r="A12" s="1">
        <v>1</v>
      </c>
      <c r="B12" s="3">
        <v>6.19</v>
      </c>
    </row>
    <row r="13" spans="1:2" ht="12.7">
      <c r="A13" s="1">
        <v>2</v>
      </c>
      <c r="B13" s="3">
        <v>9.33</v>
      </c>
    </row>
    <row r="14" spans="1:2" ht="12.7">
      <c r="A14" s="1">
        <v>3</v>
      </c>
      <c r="B14" s="3">
        <v>14.99</v>
      </c>
    </row>
    <row r="15" spans="1:2" ht="12.7">
      <c r="A15" s="1">
        <v>4</v>
      </c>
      <c r="B15" s="3">
        <v>18.06</v>
      </c>
    </row>
    <row r="16" spans="1:2" ht="12.7">
      <c r="A16" s="1">
        <v>6</v>
      </c>
      <c r="B16" s="3">
        <v>38.39</v>
      </c>
    </row>
    <row r="17" spans="1:2" ht="12.7">
      <c r="A17" s="1">
        <v>8</v>
      </c>
      <c r="B17" s="3">
        <v>47.93</v>
      </c>
    </row>
    <row r="19" spans="1:2" ht="38">
      <c r="A19" s="19" t="s">
        <v>276</v>
      </c>
      <c r="B19" s="19" t="s">
        <v>277</v>
      </c>
    </row>
    <row r="20" spans="1:2" ht="12.7">
      <c r="A20" s="20"/>
      <c r="B20" s="21" t="s">
        <v>597</v>
      </c>
    </row>
    <row r="21" spans="1:2" ht="12.7">
      <c r="A21" s="5">
        <v>1948</v>
      </c>
      <c r="B21" s="16">
        <v>0.80</v>
      </c>
    </row>
    <row r="22" spans="1:5" ht="12.7">
      <c r="A22" s="5">
        <v>1949</v>
      </c>
      <c r="B22" s="16">
        <v>0.79</v>
      </c>
      <c r="D22">
        <v>1945</v>
      </c>
      <c r="E22">
        <v>79</v>
      </c>
    </row>
    <row r="23" spans="1:5" ht="12.7">
      <c r="A23" s="5">
        <v>1950</v>
      </c>
      <c r="B23" s="16">
        <v>0.78</v>
      </c>
      <c r="D23">
        <v>1946</v>
      </c>
      <c r="E23">
        <v>78</v>
      </c>
    </row>
    <row r="24" spans="1:5" ht="12.7">
      <c r="A24" s="5">
        <v>1951</v>
      </c>
      <c r="B24" s="16">
        <v>0.78</v>
      </c>
      <c r="D24">
        <v>1947</v>
      </c>
      <c r="E24">
        <v>78</v>
      </c>
    </row>
    <row r="25" spans="1:5" ht="12.7">
      <c r="A25" s="5">
        <v>1952</v>
      </c>
      <c r="B25" s="16">
        <v>0.78</v>
      </c>
      <c r="D25">
        <v>1948</v>
      </c>
      <c r="E25">
        <v>78</v>
      </c>
    </row>
    <row r="26" spans="1:5" ht="12.7">
      <c r="A26" s="5">
        <v>1953</v>
      </c>
      <c r="B26" s="16">
        <v>0.76</v>
      </c>
      <c r="D26">
        <v>1949</v>
      </c>
      <c r="E26">
        <v>76</v>
      </c>
    </row>
    <row r="27" spans="1:5" ht="12.7">
      <c r="A27" s="5">
        <v>1954</v>
      </c>
      <c r="B27" s="16">
        <v>0.76</v>
      </c>
      <c r="D27">
        <v>1950</v>
      </c>
      <c r="E27">
        <v>76</v>
      </c>
    </row>
    <row r="28" spans="1:5" ht="12.7">
      <c r="A28" s="5">
        <v>1955</v>
      </c>
      <c r="B28" s="16">
        <v>0.75</v>
      </c>
      <c r="D28">
        <v>1951</v>
      </c>
      <c r="E28">
        <v>75</v>
      </c>
    </row>
    <row r="29" spans="1:5" ht="12.7">
      <c r="A29" s="5">
        <v>1956</v>
      </c>
      <c r="B29" s="16">
        <v>0.75</v>
      </c>
      <c r="D29">
        <v>1952</v>
      </c>
      <c r="E29">
        <v>75</v>
      </c>
    </row>
    <row r="30" spans="1:5" ht="12.7">
      <c r="A30" s="5">
        <v>1957</v>
      </c>
      <c r="B30" s="16">
        <v>0.74</v>
      </c>
      <c r="D30">
        <v>1953</v>
      </c>
      <c r="E30">
        <v>74</v>
      </c>
    </row>
    <row r="31" spans="1:5" ht="12.7">
      <c r="A31" s="5">
        <v>1958</v>
      </c>
      <c r="B31" s="16">
        <v>0.73</v>
      </c>
      <c r="D31">
        <v>1954</v>
      </c>
      <c r="E31">
        <v>73</v>
      </c>
    </row>
    <row r="32" spans="1:5" ht="12.7">
      <c r="A32" s="5">
        <v>1959</v>
      </c>
      <c r="B32" s="16">
        <v>0.73</v>
      </c>
      <c r="D32">
        <v>1955</v>
      </c>
      <c r="E32">
        <v>73</v>
      </c>
    </row>
    <row r="33" spans="1:5" ht="12.7">
      <c r="A33" s="5">
        <v>1960</v>
      </c>
      <c r="B33" s="16">
        <v>0.73</v>
      </c>
      <c r="D33">
        <v>1956</v>
      </c>
      <c r="E33">
        <v>73</v>
      </c>
    </row>
    <row r="34" spans="1:5" ht="12.7">
      <c r="A34" s="5">
        <v>1961</v>
      </c>
      <c r="B34" s="16">
        <v>0.71</v>
      </c>
      <c r="D34">
        <v>1957</v>
      </c>
      <c r="E34">
        <v>71</v>
      </c>
    </row>
    <row r="35" spans="1:5" ht="12.7">
      <c r="A35" s="5">
        <v>1962</v>
      </c>
      <c r="B35" s="16">
        <v>0.71</v>
      </c>
      <c r="D35">
        <v>1958</v>
      </c>
      <c r="E35">
        <v>71</v>
      </c>
    </row>
    <row r="36" spans="1:5" ht="12.7">
      <c r="A36" s="5">
        <v>1963</v>
      </c>
      <c r="B36" s="16">
        <v>0.70</v>
      </c>
      <c r="D36">
        <v>1959</v>
      </c>
      <c r="E36">
        <v>70</v>
      </c>
    </row>
    <row r="37" spans="1:5" ht="12.7">
      <c r="A37" s="5">
        <v>1964</v>
      </c>
      <c r="B37" s="16">
        <v>0.69</v>
      </c>
      <c r="D37">
        <v>1960</v>
      </c>
      <c r="E37">
        <v>69</v>
      </c>
    </row>
    <row r="38" spans="1:5" ht="12.7">
      <c r="A38" s="5">
        <v>1965</v>
      </c>
      <c r="B38" s="16">
        <v>0.69</v>
      </c>
      <c r="D38">
        <v>1961</v>
      </c>
      <c r="E38">
        <v>69</v>
      </c>
    </row>
    <row r="39" spans="1:5" ht="12.7">
      <c r="A39" s="5">
        <v>1966</v>
      </c>
      <c r="B39" s="16">
        <v>0.68</v>
      </c>
      <c r="D39">
        <v>1962</v>
      </c>
      <c r="E39">
        <v>68</v>
      </c>
    </row>
    <row r="40" spans="1:5" ht="12.7">
      <c r="A40" s="5">
        <v>1967</v>
      </c>
      <c r="B40" s="16">
        <v>0.68</v>
      </c>
      <c r="D40">
        <v>1963</v>
      </c>
      <c r="E40">
        <v>68</v>
      </c>
    </row>
    <row r="41" spans="1:5" ht="12.7">
      <c r="A41" s="5">
        <v>1968</v>
      </c>
      <c r="B41" s="16">
        <v>0.67</v>
      </c>
      <c r="D41">
        <v>1964</v>
      </c>
      <c r="E41">
        <v>67</v>
      </c>
    </row>
    <row r="42" spans="1:5" ht="12.7">
      <c r="A42" s="5">
        <v>1969</v>
      </c>
      <c r="B42" s="16">
        <v>0.66</v>
      </c>
      <c r="D42">
        <v>1965</v>
      </c>
      <c r="E42">
        <v>66</v>
      </c>
    </row>
    <row r="43" spans="1:5" ht="12.7">
      <c r="A43" s="5">
        <v>1970</v>
      </c>
      <c r="B43" s="16">
        <v>0.65</v>
      </c>
      <c r="D43">
        <v>1966</v>
      </c>
      <c r="E43">
        <v>65</v>
      </c>
    </row>
    <row r="44" spans="1:5" ht="12.7">
      <c r="A44" s="5">
        <v>1971</v>
      </c>
      <c r="B44" s="16">
        <v>0.65</v>
      </c>
      <c r="D44">
        <v>1967</v>
      </c>
      <c r="E44">
        <v>65</v>
      </c>
    </row>
    <row r="45" spans="1:5" ht="12.7">
      <c r="A45" s="5">
        <v>1972</v>
      </c>
      <c r="B45" s="16">
        <v>0.64</v>
      </c>
      <c r="D45">
        <v>1968</v>
      </c>
      <c r="E45">
        <v>64</v>
      </c>
    </row>
    <row r="46" spans="1:5" ht="12.7">
      <c r="A46" s="5">
        <v>1973</v>
      </c>
      <c r="B46" s="16">
        <v>0.64</v>
      </c>
      <c r="D46">
        <v>1969</v>
      </c>
      <c r="E46">
        <v>64</v>
      </c>
    </row>
    <row r="47" spans="1:5" ht="12.7">
      <c r="A47" s="5">
        <v>1974</v>
      </c>
      <c r="B47" s="16">
        <v>0.63</v>
      </c>
      <c r="D47">
        <v>1970</v>
      </c>
      <c r="E47">
        <v>63</v>
      </c>
    </row>
    <row r="48" spans="1:5" ht="12.7">
      <c r="A48" s="5">
        <v>1975</v>
      </c>
      <c r="B48" s="16">
        <v>0.62</v>
      </c>
      <c r="D48">
        <v>1971</v>
      </c>
      <c r="E48">
        <v>62</v>
      </c>
    </row>
    <row r="49" spans="1:5" ht="12.7">
      <c r="A49" s="5">
        <v>1976</v>
      </c>
      <c r="B49" s="16">
        <v>0.61</v>
      </c>
      <c r="D49">
        <v>1972</v>
      </c>
      <c r="E49">
        <v>61</v>
      </c>
    </row>
    <row r="50" spans="1:5" ht="12.7">
      <c r="A50" s="5">
        <v>1977</v>
      </c>
      <c r="B50" s="16">
        <v>0.61</v>
      </c>
      <c r="D50">
        <v>1973</v>
      </c>
      <c r="E50">
        <v>61</v>
      </c>
    </row>
    <row r="51" spans="1:5" ht="12.7">
      <c r="A51" s="5">
        <v>1978</v>
      </c>
      <c r="B51" s="16">
        <v>0.60</v>
      </c>
      <c r="D51">
        <v>1974</v>
      </c>
      <c r="E51">
        <v>60</v>
      </c>
    </row>
    <row r="52" spans="1:5" ht="12.7">
      <c r="A52" s="5">
        <v>1979</v>
      </c>
      <c r="B52" s="16">
        <v>0.60</v>
      </c>
      <c r="D52">
        <v>1975</v>
      </c>
      <c r="E52">
        <v>60</v>
      </c>
    </row>
    <row r="53" spans="1:5" ht="12.7">
      <c r="A53" s="5">
        <v>1980</v>
      </c>
      <c r="B53" s="16">
        <v>0.59</v>
      </c>
      <c r="D53">
        <v>1976</v>
      </c>
      <c r="E53">
        <v>59</v>
      </c>
    </row>
    <row r="54" spans="1:5" ht="12.7">
      <c r="A54" s="5">
        <v>1981</v>
      </c>
      <c r="B54" s="16">
        <v>0.57999999999999996</v>
      </c>
      <c r="D54">
        <v>1977</v>
      </c>
      <c r="E54">
        <v>58</v>
      </c>
    </row>
    <row r="55" spans="1:5" ht="12.7">
      <c r="A55" s="5">
        <v>1982</v>
      </c>
      <c r="B55" s="16">
        <v>0.56999999999999995</v>
      </c>
      <c r="D55">
        <v>1978</v>
      </c>
      <c r="E55">
        <v>57</v>
      </c>
    </row>
    <row r="56" spans="1:5" ht="12.7">
      <c r="A56" s="5">
        <v>1983</v>
      </c>
      <c r="B56" s="16">
        <v>0.56999999999999995</v>
      </c>
      <c r="D56">
        <v>1979</v>
      </c>
      <c r="E56">
        <v>57</v>
      </c>
    </row>
    <row r="57" spans="1:5" ht="12.7">
      <c r="A57" s="5">
        <v>1984</v>
      </c>
      <c r="B57" s="16">
        <v>0.56000000000000005</v>
      </c>
      <c r="D57">
        <v>1980</v>
      </c>
      <c r="E57">
        <v>56</v>
      </c>
    </row>
    <row r="58" spans="1:5" ht="12.7">
      <c r="A58" s="5">
        <v>1985</v>
      </c>
      <c r="B58" s="16">
        <v>0.56000000000000005</v>
      </c>
      <c r="D58">
        <v>1981</v>
      </c>
      <c r="E58">
        <v>56</v>
      </c>
    </row>
    <row r="59" spans="1:5" ht="12.7">
      <c r="A59" s="5">
        <v>1986</v>
      </c>
      <c r="B59" s="16">
        <v>0.55000000000000004</v>
      </c>
      <c r="D59">
        <v>1982</v>
      </c>
      <c r="E59">
        <v>55</v>
      </c>
    </row>
    <row r="60" spans="1:5" ht="12.7">
      <c r="A60" s="5">
        <v>1987</v>
      </c>
      <c r="B60" s="16">
        <v>0.55000000000000004</v>
      </c>
      <c r="D60">
        <v>1983</v>
      </c>
      <c r="E60">
        <v>55</v>
      </c>
    </row>
    <row r="61" spans="1:5" ht="12.7">
      <c r="A61" s="5">
        <v>1988</v>
      </c>
      <c r="B61" s="16">
        <v>0.54</v>
      </c>
      <c r="D61">
        <v>1984</v>
      </c>
      <c r="E61">
        <v>54</v>
      </c>
    </row>
    <row r="62" spans="1:5" ht="12.7">
      <c r="A62" s="5">
        <v>1989</v>
      </c>
      <c r="B62" s="16">
        <v>0.53</v>
      </c>
      <c r="D62">
        <v>1985</v>
      </c>
      <c r="E62">
        <v>53</v>
      </c>
    </row>
    <row r="63" spans="1:5" ht="12.7">
      <c r="A63" s="5">
        <v>1990</v>
      </c>
      <c r="B63" s="16">
        <v>0.52</v>
      </c>
      <c r="D63">
        <v>1986</v>
      </c>
      <c r="E63">
        <v>52</v>
      </c>
    </row>
    <row r="64" spans="1:5" ht="12.7">
      <c r="A64" s="5">
        <v>1991</v>
      </c>
      <c r="B64" s="16">
        <v>0.52</v>
      </c>
      <c r="D64">
        <v>1987</v>
      </c>
      <c r="E64">
        <v>52</v>
      </c>
    </row>
    <row r="65" spans="1:5" ht="12.7">
      <c r="A65" s="5">
        <v>1992</v>
      </c>
      <c r="B65" s="16">
        <v>0.51</v>
      </c>
      <c r="D65">
        <v>1988</v>
      </c>
      <c r="E65">
        <v>51</v>
      </c>
    </row>
    <row r="66" spans="1:5" ht="12.7">
      <c r="A66" s="5">
        <v>1993</v>
      </c>
      <c r="B66" s="16">
        <v>0.50</v>
      </c>
      <c r="D66">
        <v>1989</v>
      </c>
      <c r="E66">
        <v>50</v>
      </c>
    </row>
    <row r="67" spans="1:5" ht="12.7">
      <c r="A67" s="5">
        <v>1994</v>
      </c>
      <c r="B67" s="16">
        <v>0.49</v>
      </c>
      <c r="D67">
        <v>1990</v>
      </c>
      <c r="E67">
        <v>49</v>
      </c>
    </row>
    <row r="68" spans="1:5" ht="12.7">
      <c r="A68" s="5">
        <v>1995</v>
      </c>
      <c r="B68" s="16">
        <v>0.47</v>
      </c>
      <c r="D68">
        <v>1991</v>
      </c>
      <c r="E68">
        <v>47</v>
      </c>
    </row>
    <row r="69" spans="1:5" ht="12.7">
      <c r="A69" s="5">
        <v>1996</v>
      </c>
      <c r="B69" s="16">
        <v>0.44</v>
      </c>
      <c r="D69">
        <v>1992</v>
      </c>
      <c r="E69">
        <v>44</v>
      </c>
    </row>
    <row r="70" spans="1:5" ht="12.7">
      <c r="A70" s="1">
        <v>1997</v>
      </c>
      <c r="B70" s="16">
        <v>0.42</v>
      </c>
      <c r="D70">
        <v>1993</v>
      </c>
      <c r="E70">
        <v>42</v>
      </c>
    </row>
    <row r="71" spans="1:5" ht="12.7">
      <c r="A71" s="1">
        <v>1998</v>
      </c>
      <c r="B71" s="16">
        <v>0.40</v>
      </c>
      <c r="D71">
        <v>1994</v>
      </c>
      <c r="E71">
        <v>40</v>
      </c>
    </row>
    <row r="72" spans="1:5" ht="12.7">
      <c r="A72" s="1">
        <v>1999</v>
      </c>
      <c r="B72" s="16">
        <v>0.37</v>
      </c>
      <c r="D72">
        <v>1995</v>
      </c>
      <c r="E72">
        <v>37</v>
      </c>
    </row>
    <row r="73" spans="1:5" ht="12.7">
      <c r="A73" s="1">
        <v>2000</v>
      </c>
      <c r="B73" s="16">
        <v>0.35</v>
      </c>
      <c r="D73">
        <v>1996</v>
      </c>
      <c r="E73">
        <v>35</v>
      </c>
    </row>
    <row r="74" spans="1:5" ht="12.7">
      <c r="A74" s="1">
        <v>2001</v>
      </c>
      <c r="B74" s="16">
        <v>0.32</v>
      </c>
      <c r="D74">
        <v>1997</v>
      </c>
      <c r="E74">
        <v>32</v>
      </c>
    </row>
    <row r="75" spans="1:5" ht="12.7">
      <c r="A75" s="1">
        <v>2002</v>
      </c>
      <c r="B75" s="16">
        <v>0.30</v>
      </c>
      <c r="D75">
        <v>1998</v>
      </c>
      <c r="E75">
        <v>30</v>
      </c>
    </row>
    <row r="76" spans="1:5" ht="12.7">
      <c r="A76" s="1">
        <v>2003</v>
      </c>
      <c r="B76" s="16">
        <v>0.27</v>
      </c>
      <c r="D76">
        <v>1999</v>
      </c>
      <c r="E76">
        <v>27</v>
      </c>
    </row>
    <row r="77" spans="1:5" ht="12.7">
      <c r="A77" s="1">
        <v>2004</v>
      </c>
      <c r="B77" s="16">
        <v>0.24</v>
      </c>
      <c r="D77">
        <v>2000</v>
      </c>
      <c r="E77">
        <v>24</v>
      </c>
    </row>
    <row r="78" spans="1:5" ht="12.7">
      <c r="A78" s="1">
        <v>2005</v>
      </c>
      <c r="B78" s="16">
        <v>0.22</v>
      </c>
      <c r="D78">
        <v>2001</v>
      </c>
      <c r="E78">
        <v>22</v>
      </c>
    </row>
    <row r="79" spans="1:5" ht="12.7">
      <c r="A79" s="1">
        <v>2006</v>
      </c>
      <c r="B79" s="16">
        <v>0.20</v>
      </c>
      <c r="D79">
        <v>2002</v>
      </c>
      <c r="E79">
        <v>20</v>
      </c>
    </row>
    <row r="80" spans="1:5" ht="12.7">
      <c r="A80" s="1">
        <v>2007</v>
      </c>
      <c r="B80" s="16">
        <v>0.18</v>
      </c>
      <c r="D80">
        <v>2003</v>
      </c>
      <c r="E80">
        <v>18</v>
      </c>
    </row>
    <row r="81" spans="1:5" ht="12.7">
      <c r="A81" s="1">
        <v>2008</v>
      </c>
      <c r="B81" s="16">
        <v>0.16</v>
      </c>
      <c r="D81">
        <v>2004</v>
      </c>
      <c r="E81">
        <v>16</v>
      </c>
    </row>
    <row r="82" spans="1:5" ht="12.7">
      <c r="A82" s="1">
        <v>2009</v>
      </c>
      <c r="B82" s="16">
        <v>0.14000000000000001</v>
      </c>
      <c r="D82">
        <v>2005</v>
      </c>
      <c r="E82">
        <v>14</v>
      </c>
    </row>
    <row r="83" spans="1:5" ht="12.7">
      <c r="A83" s="1">
        <v>2010</v>
      </c>
      <c r="B83" s="16">
        <v>0.12</v>
      </c>
      <c r="D83">
        <v>2006</v>
      </c>
      <c r="E83">
        <v>12</v>
      </c>
    </row>
    <row r="84" spans="1:5" ht="12.7">
      <c r="A84" s="1">
        <v>2011</v>
      </c>
      <c r="B84" s="16">
        <v>0.10</v>
      </c>
      <c r="D84">
        <v>2007</v>
      </c>
      <c r="E84">
        <v>10</v>
      </c>
    </row>
    <row r="85" spans="1:5" ht="12.7">
      <c r="A85" s="1">
        <v>2012</v>
      </c>
      <c r="B85" s="16">
        <v>0.08</v>
      </c>
      <c r="D85">
        <v>2008</v>
      </c>
      <c r="E85">
        <v>8</v>
      </c>
    </row>
    <row r="86" spans="1:5" ht="12.7">
      <c r="A86" s="1">
        <v>2013</v>
      </c>
      <c r="B86" s="16">
        <v>0.08</v>
      </c>
      <c r="D86">
        <v>2009</v>
      </c>
      <c r="E86">
        <v>8</v>
      </c>
    </row>
    <row r="87" spans="1:5" ht="12.7">
      <c r="A87" s="103">
        <v>2014</v>
      </c>
      <c r="B87" s="16">
        <v>0.070000000000000007</v>
      </c>
      <c r="D87">
        <v>2010</v>
      </c>
      <c r="E87">
        <v>7</v>
      </c>
    </row>
    <row r="88" spans="1:5" ht="12.7">
      <c r="A88" s="103">
        <v>2015</v>
      </c>
      <c r="B88" s="16">
        <v>0.04</v>
      </c>
      <c r="D88">
        <v>2011</v>
      </c>
      <c r="E88">
        <v>4</v>
      </c>
    </row>
    <row r="89" spans="1:5" ht="12.7">
      <c r="A89" s="103">
        <v>2016</v>
      </c>
      <c r="B89" s="16">
        <v>0.02</v>
      </c>
      <c r="D89">
        <v>2012</v>
      </c>
      <c r="E89">
        <v>2</v>
      </c>
    </row>
    <row r="90" spans="1:5" ht="12.7">
      <c r="A90" s="103">
        <v>2017</v>
      </c>
      <c r="B90" s="16">
        <v>0</v>
      </c>
      <c r="D90">
        <v>2013</v>
      </c>
      <c r="E90">
        <v>0</v>
      </c>
    </row>
    <row r="91" spans="1:2" ht="12.7">
      <c r="A91" s="1"/>
      <c r="B91" s="16"/>
    </row>
    <row r="92" spans="1:2" ht="12.7">
      <c r="A92" s="1"/>
      <c r="B92" s="16"/>
    </row>
    <row r="93" spans="1:2" ht="12.7">
      <c r="A93" s="1"/>
      <c r="B93" s="16"/>
    </row>
    <row r="94" spans="1:2" ht="12.7">
      <c r="A94" s="1"/>
      <c r="B94" s="16"/>
    </row>
    <row r="97" ht="13" thickBot="1"/>
    <row r="98" spans="1:3" ht="12.7">
      <c r="A98" s="6" t="s">
        <v>327</v>
      </c>
      <c r="B98" s="7"/>
      <c r="C98" s="17" t="s">
        <v>353</v>
      </c>
    </row>
    <row r="99" spans="1:3" ht="13" thickBot="1">
      <c r="A99" s="8" t="s">
        <v>328</v>
      </c>
      <c r="B99" s="9" t="s">
        <v>329</v>
      </c>
      <c r="C99" s="77" t="s">
        <v>329</v>
      </c>
    </row>
    <row r="100" spans="1:3" ht="15.95" customHeight="1" thickTop="1">
      <c r="A100" s="10" t="s">
        <v>351</v>
      </c>
      <c r="B100" s="11">
        <v>0.0250014</v>
      </c>
      <c r="C100" s="71">
        <v>2006</v>
      </c>
    </row>
    <row r="101" spans="1:3" ht="15.95" customHeight="1">
      <c r="A101" s="10" t="s">
        <v>342</v>
      </c>
      <c r="B101" s="70">
        <v>0.025402810000000001</v>
      </c>
      <c r="C101" s="71">
        <v>2006</v>
      </c>
    </row>
    <row r="102" spans="1:3" ht="15.95" customHeight="1">
      <c r="A102" s="10" t="s">
        <v>341</v>
      </c>
      <c r="B102" s="70">
        <v>0.0280141</v>
      </c>
      <c r="C102" s="80">
        <v>2005</v>
      </c>
    </row>
    <row r="103" spans="1:3" ht="15.95" customHeight="1">
      <c r="A103" s="10" t="s">
        <v>334</v>
      </c>
      <c r="B103" s="70">
        <v>0.034169999999999999</v>
      </c>
      <c r="C103" s="71">
        <v>2006</v>
      </c>
    </row>
    <row r="104" spans="1:3" ht="15.95" customHeight="1">
      <c r="A104" s="10" t="s">
        <v>335</v>
      </c>
      <c r="B104" s="70">
        <v>0.0357554</v>
      </c>
      <c r="C104" s="71">
        <v>2006</v>
      </c>
    </row>
    <row r="105" spans="1:3" ht="15.95" customHeight="1">
      <c r="A105" s="10" t="s">
        <v>352</v>
      </c>
      <c r="B105" s="72">
        <v>0.025354939999999999</v>
      </c>
      <c r="C105" s="71">
        <v>2006</v>
      </c>
    </row>
    <row r="106" spans="1:3" ht="15.95" customHeight="1">
      <c r="A106" s="10" t="s">
        <v>345</v>
      </c>
      <c r="B106" s="2">
        <v>0.034988709999999999</v>
      </c>
      <c r="C106" s="73">
        <v>2000</v>
      </c>
    </row>
    <row r="107" spans="1:3" ht="15.95" customHeight="1">
      <c r="A107" s="10" t="s">
        <v>350</v>
      </c>
      <c r="B107" s="72">
        <v>0.035744400000000003</v>
      </c>
      <c r="C107" s="71">
        <v>2006</v>
      </c>
    </row>
    <row r="108" spans="1:3" ht="15.95" customHeight="1">
      <c r="A108" s="10" t="s">
        <v>340</v>
      </c>
      <c r="B108" s="70">
        <v>0.03297783</v>
      </c>
      <c r="C108" s="71">
        <v>2006</v>
      </c>
    </row>
    <row r="109" spans="1:3" ht="15.95" customHeight="1">
      <c r="A109" s="10" t="s">
        <v>339</v>
      </c>
      <c r="B109" s="70">
        <v>0.032990329999999998</v>
      </c>
      <c r="C109" s="71">
        <v>2006</v>
      </c>
    </row>
    <row r="110" spans="1:3" ht="15.95" customHeight="1">
      <c r="A110" s="10" t="s">
        <v>347</v>
      </c>
      <c r="B110" s="70">
        <v>0.03413331</v>
      </c>
      <c r="C110" s="71">
        <v>2006</v>
      </c>
    </row>
    <row r="111" spans="1:3" ht="15.95" customHeight="1">
      <c r="A111" s="10" t="s">
        <v>343</v>
      </c>
      <c r="B111" s="70">
        <v>0.025009610000000002</v>
      </c>
      <c r="C111" s="71">
        <v>2006</v>
      </c>
    </row>
    <row r="112" spans="1:3" ht="15.95" customHeight="1">
      <c r="A112" s="10" t="s">
        <v>346</v>
      </c>
      <c r="B112" s="70">
        <v>0.03413331</v>
      </c>
      <c r="C112" s="71">
        <v>2006</v>
      </c>
    </row>
    <row r="113" spans="1:3" ht="15.95" customHeight="1">
      <c r="A113" s="10" t="s">
        <v>333</v>
      </c>
      <c r="B113" s="11">
        <v>0.034169999999999999</v>
      </c>
      <c r="C113" s="71">
        <v>2006</v>
      </c>
    </row>
    <row r="114" spans="1:3" ht="15.95" customHeight="1">
      <c r="A114" s="10" t="s">
        <v>332</v>
      </c>
      <c r="B114" s="70">
        <v>0.034169999999999999</v>
      </c>
      <c r="C114" s="71">
        <v>2006</v>
      </c>
    </row>
    <row r="115" spans="1:3" ht="15.95" customHeight="1">
      <c r="A115" s="10" t="s">
        <v>349</v>
      </c>
      <c r="B115" s="70">
        <v>0.032990329999999998</v>
      </c>
      <c r="C115" s="71">
        <v>2006</v>
      </c>
    </row>
    <row r="116" spans="1:3" ht="15.95" customHeight="1">
      <c r="A116" s="10" t="s">
        <v>330</v>
      </c>
      <c r="B116" s="70">
        <v>0.039744549999999997</v>
      </c>
      <c r="C116" s="71">
        <v>2006</v>
      </c>
    </row>
    <row r="117" spans="1:3" ht="15.95" customHeight="1">
      <c r="A117" s="10" t="s">
        <v>338</v>
      </c>
      <c r="B117" s="70">
        <v>0.03297783</v>
      </c>
      <c r="C117" s="71">
        <v>2006</v>
      </c>
    </row>
    <row r="118" spans="1:3" ht="15.95" customHeight="1">
      <c r="A118" s="10" t="s">
        <v>539</v>
      </c>
      <c r="B118" s="11">
        <v>0.032098000000000002</v>
      </c>
      <c r="C118" s="71">
        <v>2006</v>
      </c>
    </row>
    <row r="119" spans="1:3" ht="15.95" customHeight="1">
      <c r="A119" s="10" t="s">
        <v>337</v>
      </c>
      <c r="B119" s="70">
        <v>0.033639229999999999</v>
      </c>
      <c r="C119" s="71">
        <v>2006</v>
      </c>
    </row>
    <row r="120" spans="1:3" ht="15.95" customHeight="1">
      <c r="A120" s="10" t="s">
        <v>344</v>
      </c>
      <c r="B120" s="74">
        <v>0.021981529999999999</v>
      </c>
      <c r="C120" s="80">
        <v>2005</v>
      </c>
    </row>
    <row r="121" spans="1:3" ht="15.95" customHeight="1">
      <c r="A121" s="10" t="s">
        <v>336</v>
      </c>
      <c r="B121" s="74">
        <v>0.03297783</v>
      </c>
      <c r="C121" s="71">
        <v>2006</v>
      </c>
    </row>
    <row r="122" spans="1:3" ht="15.95" customHeight="1">
      <c r="A122" s="10" t="s">
        <v>331</v>
      </c>
      <c r="B122" s="74">
        <v>0.03687265</v>
      </c>
      <c r="C122" s="71">
        <v>2006</v>
      </c>
    </row>
    <row r="123" spans="1:3" ht="13" thickBot="1">
      <c r="A123" s="12" t="s">
        <v>348</v>
      </c>
      <c r="B123" s="75">
        <v>0.0280141</v>
      </c>
      <c r="C123" s="81">
        <v>2005</v>
      </c>
    </row>
  </sheetData>
  <printOptions horizontalCentered="1" verticalCentered="1"/>
  <pageMargins left="0" right="0" top="0" bottom="0" header="0.5" footer="0.5"/>
  <pageSetup orientation="portrait" paperSize="5" scale="1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