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ONREG\IRM\2020-0234 - Aylmer\Submission\"/>
    </mc:Choice>
  </mc:AlternateContent>
  <workbookProtection workbookAlgorithmName="SHA-512" workbookHashValue="eIeHfzmQRXGN4A6lkWghIEbG4cU6VbiCdtKJ3Qt37azUIM6KF7mf8bvsglODksRXou3XMqWIBj0piZb91S0xBg==" workbookSaltValue="1rKQLJXReNZ2ZKMZF9CRzg==" workbookSpinCount="100000" lockStructure="1"/>
  <bookViews>
    <workbookView xWindow="480" yWindow="780" windowWidth="19440" windowHeight="7290" tabRatio="923" firstSheet="1" activeTab="1"/>
  </bookViews>
  <sheets>
    <sheet name="For Bill Impact(HideBeforeFile)" sheetId="35" state="hidden" r:id="rId1"/>
    <sheet name="A1.1 Distributor Information" sheetId="2" r:id="rId2"/>
    <sheet name="B1.1 Current Distribution Rates" sheetId="1" r:id="rId3"/>
    <sheet name="B1.2 Billing Determinants" sheetId="3" r:id="rId4"/>
    <sheet name="B1.3 Current Rev From Rates" sheetId="4" r:id="rId5"/>
    <sheet name="D1.1 Rate 1 Adjustment" sheetId="5" r:id="rId6"/>
    <sheet name="D1.2 Rate 2 Adjustment" sheetId="6" r:id="rId7"/>
    <sheet name="D1.3 Rate 3 Adjustment" sheetId="7" r:id="rId8"/>
    <sheet name="D1.4 Rate 4 Adjustment" sheetId="8" r:id="rId9"/>
    <sheet name="D1.5 Rate 5 Adjustment" sheetId="9" r:id="rId10"/>
    <sheet name="D1.6 Rate 6 Adjustment" sheetId="10" r:id="rId11"/>
    <sheet name="E1.1 Proposed Dist Rates " sheetId="11" r:id="rId12"/>
    <sheet name="E1.2 Billing Determinants" sheetId="12" r:id="rId13"/>
    <sheet name="E1.3 Proposed Rev From Rate" sheetId="13" r:id="rId14"/>
    <sheet name="F1.1 REDA" sheetId="32" r:id="rId15"/>
    <sheet name="F1.2 PGTVA" sheetId="24" r:id="rId16"/>
    <sheet name="F1.3 ADVADA" sheetId="33" r:id="rId17"/>
    <sheet name="F1.4 Proposed Rate Riders" sheetId="22" r:id="rId18"/>
    <sheet name="C1.1 Current Rate Riders" sheetId="21" r:id="rId19"/>
    <sheet name="G1.1 Rate 1 Bill Impact" sheetId="30" r:id="rId20"/>
    <sheet name="G1.2 Rate 2 Bill Impact" sheetId="36" r:id="rId21"/>
    <sheet name="G1.3 Rate 3 Bill Impact" sheetId="37" r:id="rId22"/>
    <sheet name="G1.4 Rate 4 Bill Impact" sheetId="38" r:id="rId23"/>
    <sheet name="G1.5 Rate 5 Bill Impact" sheetId="39" r:id="rId24"/>
    <sheet name="G1.6 Rate 6 Bill Impact" sheetId="40" r:id="rId25"/>
    <sheet name="G1.7 Summary of Bill Impacts" sheetId="29" r:id="rId26"/>
  </sheets>
  <definedNames>
    <definedName name="_xlnm.Print_Area" localSheetId="19">'G1.1 Rate 1 Bill Impact'!$A$1:$M$165</definedName>
    <definedName name="_xlnm.Print_Area" localSheetId="20">'G1.2 Rate 2 Bill Impact'!$A$1:$M$146</definedName>
    <definedName name="_xlnm.Print_Area" localSheetId="21">'G1.3 Rate 3 Bill Impact'!$A$1:$M$61</definedName>
    <definedName name="_xlnm.Print_Area" localSheetId="22">'G1.4 Rate 4 Bill Impact'!$A$1:$M$146</definedName>
    <definedName name="_xlnm.Print_Area" localSheetId="23">'G1.5 Rate 5 Bill Impact'!$A$1:$M$61</definedName>
    <definedName name="_xlnm.Print_Area" localSheetId="24">'G1.6 Rate 6 Bill Impact'!$A$1:$M$61</definedName>
    <definedName name="_xlnm.Print_Area" localSheetId="25">'G1.7 Summary of Bill Impacts'!$A$1:$U$32</definedName>
    <definedName name="_xlnm.Print_Titles" localSheetId="19">'G1.1 Rate 1 Bill Impact'!$1:$8</definedName>
    <definedName name="_xlnm.Print_Titles" localSheetId="20">'G1.2 Rate 2 Bill Impact'!$1:$8</definedName>
    <definedName name="_xlnm.Print_Titles" localSheetId="21">'G1.3 Rate 3 Bill Impact'!$1:$8</definedName>
    <definedName name="_xlnm.Print_Titles" localSheetId="22">'G1.4 Rate 4 Bill Impact'!$1:$8</definedName>
    <definedName name="_xlnm.Print_Titles" localSheetId="23">'G1.5 Rate 5 Bill Impact'!$1:$8</definedName>
    <definedName name="_xlnm.Print_Titles" localSheetId="24">'G1.6 Rate 6 Bill Impact'!$1:$8</definedName>
  </definedNames>
  <calcPr calcId="162913" calcOnSave="0"/>
</workbook>
</file>

<file path=xl/calcChain.xml><?xml version="1.0" encoding="utf-8"?>
<calcChain xmlns="http://schemas.openxmlformats.org/spreadsheetml/2006/main">
  <c r="D6" i="35" l="1"/>
  <c r="L18" i="5" l="1"/>
  <c r="J18" i="6"/>
  <c r="J17" i="6"/>
  <c r="F29" i="35" l="1"/>
  <c r="F28" i="35"/>
  <c r="F27" i="35"/>
  <c r="F26" i="35"/>
  <c r="F25" i="35"/>
  <c r="F24" i="35"/>
  <c r="F23" i="35"/>
  <c r="F22" i="35"/>
  <c r="F21" i="35"/>
  <c r="F20" i="35"/>
  <c r="E22" i="22"/>
  <c r="E21" i="22"/>
  <c r="E20" i="22"/>
  <c r="E19" i="22"/>
  <c r="E18" i="22"/>
  <c r="E17" i="22"/>
  <c r="E16" i="22"/>
  <c r="E15" i="22"/>
  <c r="E14" i="22"/>
  <c r="E13" i="22"/>
  <c r="H23" i="32"/>
  <c r="H22" i="32"/>
  <c r="D17" i="32"/>
  <c r="H17" i="32" s="1"/>
  <c r="H17" i="33" l="1"/>
  <c r="F17" i="33"/>
  <c r="F16" i="33"/>
  <c r="L21" i="8"/>
  <c r="L17" i="8"/>
  <c r="L18" i="7"/>
  <c r="L17" i="7"/>
  <c r="L17" i="6"/>
  <c r="M17" i="5"/>
  <c r="J17" i="5"/>
  <c r="H17" i="5"/>
  <c r="L17" i="5"/>
  <c r="L19" i="5"/>
  <c r="E17" i="5"/>
  <c r="E16" i="33" l="1"/>
  <c r="C16" i="24"/>
  <c r="L36" i="40" l="1"/>
  <c r="J36" i="40"/>
  <c r="J36" i="39"/>
  <c r="L36" i="39" s="1"/>
  <c r="J140" i="30"/>
  <c r="L140" i="30" s="1"/>
  <c r="J88" i="30"/>
  <c r="L88" i="30" s="1"/>
  <c r="J36" i="30"/>
  <c r="L36" i="30" s="1"/>
  <c r="C21" i="29" l="1"/>
  <c r="C10" i="12" l="1"/>
  <c r="J19" i="6" l="1"/>
  <c r="J20" i="6"/>
  <c r="J21" i="6"/>
  <c r="J22" i="6"/>
  <c r="J23" i="6"/>
  <c r="K28" i="13" l="1"/>
  <c r="C15" i="29" l="1"/>
  <c r="I57" i="35"/>
  <c r="G43" i="35"/>
  <c r="D57" i="35"/>
  <c r="E57" i="35"/>
  <c r="C10" i="40"/>
  <c r="C25" i="29" s="1"/>
  <c r="C60" i="40"/>
  <c r="O14" i="40"/>
  <c r="O16" i="40"/>
  <c r="O17" i="40"/>
  <c r="O18" i="40"/>
  <c r="O19" i="40"/>
  <c r="O20" i="40"/>
  <c r="O21" i="40"/>
  <c r="F21" i="40"/>
  <c r="O23" i="40"/>
  <c r="O24" i="40"/>
  <c r="O25" i="40"/>
  <c r="O27" i="40"/>
  <c r="O28" i="40"/>
  <c r="O49" i="40"/>
  <c r="O48" i="40"/>
  <c r="O47" i="40"/>
  <c r="O41" i="40"/>
  <c r="C21" i="40"/>
  <c r="C41" i="40" s="1"/>
  <c r="O40" i="40"/>
  <c r="O39" i="40"/>
  <c r="O38" i="40"/>
  <c r="O37" i="40"/>
  <c r="O35" i="40"/>
  <c r="O32" i="40"/>
  <c r="C23" i="40"/>
  <c r="C14" i="40"/>
  <c r="C3" i="40"/>
  <c r="C2" i="40"/>
  <c r="C10" i="39"/>
  <c r="C60" i="39"/>
  <c r="O14" i="39"/>
  <c r="O16" i="39"/>
  <c r="O17" i="39"/>
  <c r="O18" i="39"/>
  <c r="O19" i="39"/>
  <c r="O20" i="39"/>
  <c r="O21" i="39"/>
  <c r="O23" i="39"/>
  <c r="O24" i="39"/>
  <c r="J24" i="39"/>
  <c r="O25" i="39"/>
  <c r="O27" i="39"/>
  <c r="O28" i="39"/>
  <c r="O49" i="39"/>
  <c r="O48" i="39"/>
  <c r="O47" i="39"/>
  <c r="O41" i="39"/>
  <c r="O40" i="39"/>
  <c r="O39" i="39"/>
  <c r="O38" i="39"/>
  <c r="O37" i="39"/>
  <c r="O35" i="39"/>
  <c r="O32" i="39"/>
  <c r="D23" i="39"/>
  <c r="D14" i="39"/>
  <c r="C3" i="39"/>
  <c r="C2" i="39"/>
  <c r="C62" i="38"/>
  <c r="C20" i="29" s="1"/>
  <c r="C10" i="38"/>
  <c r="C19" i="29" s="1"/>
  <c r="C145" i="38"/>
  <c r="O14" i="38"/>
  <c r="O66" i="38"/>
  <c r="O16" i="38"/>
  <c r="O68" i="38"/>
  <c r="O17" i="38"/>
  <c r="O69" i="38"/>
  <c r="O18" i="38"/>
  <c r="O70" i="38"/>
  <c r="O19" i="38"/>
  <c r="O71" i="38"/>
  <c r="O20" i="38"/>
  <c r="O72" i="38"/>
  <c r="O21" i="38"/>
  <c r="J21" i="38" s="1"/>
  <c r="O73" i="38"/>
  <c r="O23" i="38"/>
  <c r="C23" i="38" s="1"/>
  <c r="O75" i="38"/>
  <c r="O24" i="38"/>
  <c r="D24" i="38" s="1"/>
  <c r="O76" i="38"/>
  <c r="J76" i="38" s="1"/>
  <c r="O25" i="38"/>
  <c r="O77" i="38"/>
  <c r="O27" i="38"/>
  <c r="O79" i="38"/>
  <c r="O28" i="38"/>
  <c r="O80" i="38"/>
  <c r="C112" i="38"/>
  <c r="C60" i="38"/>
  <c r="O49" i="38"/>
  <c r="O48" i="38"/>
  <c r="O47" i="38"/>
  <c r="O41" i="38"/>
  <c r="O40" i="38"/>
  <c r="O39" i="38"/>
  <c r="O38" i="38"/>
  <c r="O37" i="38"/>
  <c r="O35" i="38"/>
  <c r="O32" i="38"/>
  <c r="C3" i="38"/>
  <c r="C2" i="38"/>
  <c r="C10" i="37"/>
  <c r="C17" i="29" s="1"/>
  <c r="C60" i="37"/>
  <c r="O14" i="37"/>
  <c r="O16" i="37"/>
  <c r="O17" i="37"/>
  <c r="O18" i="37"/>
  <c r="O19" i="37"/>
  <c r="O20" i="37"/>
  <c r="O21" i="37"/>
  <c r="J21" i="37"/>
  <c r="O23" i="37"/>
  <c r="F23" i="37"/>
  <c r="O24" i="37"/>
  <c r="F24" i="37" s="1"/>
  <c r="O25" i="37"/>
  <c r="O27" i="37"/>
  <c r="O28" i="37"/>
  <c r="O49" i="37"/>
  <c r="O48" i="37"/>
  <c r="O47" i="37"/>
  <c r="O41" i="37"/>
  <c r="O40" i="37"/>
  <c r="O39" i="37"/>
  <c r="O38" i="37"/>
  <c r="O37" i="37"/>
  <c r="O35" i="37"/>
  <c r="O32" i="37"/>
  <c r="D23" i="37"/>
  <c r="C23" i="37"/>
  <c r="D14" i="37"/>
  <c r="C14" i="37"/>
  <c r="C3" i="37"/>
  <c r="C2" i="37"/>
  <c r="C62" i="36"/>
  <c r="C10" i="36"/>
  <c r="C145" i="36"/>
  <c r="C112" i="36"/>
  <c r="O66" i="36"/>
  <c r="O68" i="36"/>
  <c r="O69" i="36"/>
  <c r="O70" i="36"/>
  <c r="O71" i="36"/>
  <c r="O72" i="36"/>
  <c r="O73" i="36"/>
  <c r="D73" i="36" s="1"/>
  <c r="O75" i="36"/>
  <c r="F75" i="36"/>
  <c r="O76" i="36"/>
  <c r="O77" i="36"/>
  <c r="O79" i="36"/>
  <c r="O80" i="36"/>
  <c r="D75" i="36"/>
  <c r="C75" i="36"/>
  <c r="C66" i="36"/>
  <c r="C60" i="36"/>
  <c r="O14" i="36"/>
  <c r="O16" i="36"/>
  <c r="O17" i="36"/>
  <c r="O18" i="36"/>
  <c r="O19" i="36"/>
  <c r="O20" i="36"/>
  <c r="O21" i="36"/>
  <c r="O23" i="36"/>
  <c r="F23" i="36"/>
  <c r="O24" i="36"/>
  <c r="O25" i="36"/>
  <c r="O27" i="36"/>
  <c r="O28" i="36"/>
  <c r="O49" i="36"/>
  <c r="O48" i="36"/>
  <c r="O47" i="36"/>
  <c r="O41" i="36"/>
  <c r="O40" i="36"/>
  <c r="O39" i="36"/>
  <c r="O38" i="36"/>
  <c r="O37" i="36"/>
  <c r="O35" i="36"/>
  <c r="O32" i="36"/>
  <c r="C23" i="36"/>
  <c r="C3" i="36"/>
  <c r="C2" i="36"/>
  <c r="C114" i="30"/>
  <c r="C11" i="29" s="1"/>
  <c r="C164" i="30"/>
  <c r="O118" i="30"/>
  <c r="O131" i="30"/>
  <c r="O132" i="30"/>
  <c r="O127" i="30"/>
  <c r="O128" i="30"/>
  <c r="O129" i="30"/>
  <c r="O120" i="30"/>
  <c r="O125" i="30"/>
  <c r="O124" i="30"/>
  <c r="O123" i="30"/>
  <c r="O122" i="30"/>
  <c r="O121" i="30"/>
  <c r="C62" i="30"/>
  <c r="C112" i="30"/>
  <c r="O66" i="30"/>
  <c r="O68" i="30"/>
  <c r="O69" i="30"/>
  <c r="O70" i="30"/>
  <c r="O71" i="30"/>
  <c r="O72" i="30"/>
  <c r="O73" i="30"/>
  <c r="O75" i="30"/>
  <c r="O76" i="30"/>
  <c r="O77" i="30"/>
  <c r="O79" i="30"/>
  <c r="O80" i="30"/>
  <c r="C66" i="30"/>
  <c r="C10" i="30"/>
  <c r="O14" i="30"/>
  <c r="C14" i="30" s="1"/>
  <c r="O16" i="30"/>
  <c r="O17" i="30"/>
  <c r="O18" i="30"/>
  <c r="O19" i="30"/>
  <c r="O20" i="30"/>
  <c r="O21" i="30"/>
  <c r="O23" i="30"/>
  <c r="O24" i="30"/>
  <c r="O25" i="30"/>
  <c r="O27" i="30"/>
  <c r="O28" i="30"/>
  <c r="D43" i="35"/>
  <c r="E43" i="35"/>
  <c r="I43" i="35"/>
  <c r="L43" i="35"/>
  <c r="M42" i="35"/>
  <c r="M43" i="35"/>
  <c r="N43" i="35"/>
  <c r="N42" i="35"/>
  <c r="N41" i="35"/>
  <c r="N40" i="35"/>
  <c r="M39" i="35"/>
  <c r="N39" i="35"/>
  <c r="O43" i="35"/>
  <c r="O42" i="35"/>
  <c r="O41" i="35"/>
  <c r="O40" i="35"/>
  <c r="O38" i="35"/>
  <c r="O37" i="35"/>
  <c r="O36" i="35"/>
  <c r="N36" i="35"/>
  <c r="O35" i="35"/>
  <c r="N35" i="35"/>
  <c r="O34" i="35"/>
  <c r="N34" i="35"/>
  <c r="D71" i="35"/>
  <c r="E71" i="35"/>
  <c r="I71" i="35"/>
  <c r="L71" i="35"/>
  <c r="M71" i="35"/>
  <c r="M70" i="35"/>
  <c r="O71" i="35"/>
  <c r="O70" i="35"/>
  <c r="O69" i="35"/>
  <c r="O68" i="35"/>
  <c r="N71" i="35"/>
  <c r="N70" i="35"/>
  <c r="N69" i="35"/>
  <c r="N68" i="35"/>
  <c r="N67" i="35"/>
  <c r="M67" i="35"/>
  <c r="O66" i="35"/>
  <c r="O65" i="35"/>
  <c r="O64" i="35"/>
  <c r="N64" i="35"/>
  <c r="O63" i="35"/>
  <c r="N63" i="35"/>
  <c r="O62" i="35"/>
  <c r="N62" i="35"/>
  <c r="D34" i="35"/>
  <c r="H14" i="35"/>
  <c r="H13" i="35"/>
  <c r="H12" i="35"/>
  <c r="H11" i="35"/>
  <c r="H10" i="35"/>
  <c r="H9" i="35"/>
  <c r="H8" i="35"/>
  <c r="H7" i="35"/>
  <c r="H6" i="35"/>
  <c r="H15" i="35"/>
  <c r="N22" i="35"/>
  <c r="N21" i="35"/>
  <c r="N20" i="35"/>
  <c r="O24" i="35"/>
  <c r="O23" i="35"/>
  <c r="O22" i="35"/>
  <c r="O21" i="35"/>
  <c r="O20" i="35"/>
  <c r="O29" i="35"/>
  <c r="O28" i="35"/>
  <c r="O27" i="35"/>
  <c r="O26" i="35"/>
  <c r="N29" i="35"/>
  <c r="N28" i="35"/>
  <c r="N27" i="35"/>
  <c r="N26" i="35"/>
  <c r="N25" i="35"/>
  <c r="M25" i="35"/>
  <c r="M28" i="35"/>
  <c r="M29" i="35"/>
  <c r="L29" i="35"/>
  <c r="I29" i="35"/>
  <c r="G29" i="35"/>
  <c r="E29" i="35"/>
  <c r="D29" i="35"/>
  <c r="D15" i="35"/>
  <c r="E15" i="35"/>
  <c r="I15" i="35"/>
  <c r="O15" i="35"/>
  <c r="N15" i="35"/>
  <c r="M15" i="35"/>
  <c r="L15" i="35"/>
  <c r="O14" i="35"/>
  <c r="M14" i="35"/>
  <c r="N14" i="35"/>
  <c r="O13" i="35"/>
  <c r="N13" i="35"/>
  <c r="O12" i="35"/>
  <c r="N12" i="35"/>
  <c r="N11" i="35"/>
  <c r="M11" i="35"/>
  <c r="O10" i="35"/>
  <c r="O9" i="35"/>
  <c r="O8" i="35"/>
  <c r="N8" i="35"/>
  <c r="O7" i="35"/>
  <c r="N7" i="35"/>
  <c r="O6" i="35"/>
  <c r="N6" i="35"/>
  <c r="J61" i="35"/>
  <c r="I61" i="35"/>
  <c r="J43" i="35"/>
  <c r="J42" i="35"/>
  <c r="J41" i="35"/>
  <c r="J40" i="35"/>
  <c r="J39" i="35"/>
  <c r="J38" i="35"/>
  <c r="J37" i="35"/>
  <c r="J36" i="35"/>
  <c r="J35" i="35"/>
  <c r="J34" i="35"/>
  <c r="I42" i="35"/>
  <c r="I41" i="35"/>
  <c r="I40" i="35"/>
  <c r="I39" i="35"/>
  <c r="I38" i="35"/>
  <c r="I37" i="35"/>
  <c r="I36" i="35"/>
  <c r="I35" i="35"/>
  <c r="I34" i="35"/>
  <c r="I47" i="35"/>
  <c r="J47" i="35"/>
  <c r="I33" i="35"/>
  <c r="J33" i="35"/>
  <c r="J29" i="35"/>
  <c r="J28" i="35"/>
  <c r="J27" i="35"/>
  <c r="J26" i="35"/>
  <c r="J25" i="35"/>
  <c r="J24" i="35"/>
  <c r="J23" i="35"/>
  <c r="J22" i="35"/>
  <c r="J21" i="35"/>
  <c r="I28" i="35"/>
  <c r="I27" i="35"/>
  <c r="I26" i="35"/>
  <c r="I25" i="35"/>
  <c r="I24" i="35"/>
  <c r="I23" i="35"/>
  <c r="I22" i="35"/>
  <c r="I21" i="35"/>
  <c r="J15" i="35"/>
  <c r="J14" i="35"/>
  <c r="J13" i="35"/>
  <c r="J12" i="35"/>
  <c r="J11" i="35"/>
  <c r="J10" i="35"/>
  <c r="J9" i="35"/>
  <c r="J8" i="35"/>
  <c r="J7" i="35"/>
  <c r="I14" i="35"/>
  <c r="I13" i="35"/>
  <c r="I12" i="35"/>
  <c r="I11" i="35"/>
  <c r="I10" i="35"/>
  <c r="I9" i="35"/>
  <c r="I8" i="35"/>
  <c r="I7" i="35"/>
  <c r="J19" i="35"/>
  <c r="I19" i="35"/>
  <c r="O49" i="30"/>
  <c r="O48" i="30"/>
  <c r="O47" i="30"/>
  <c r="O41" i="30"/>
  <c r="O40" i="30"/>
  <c r="O39" i="30"/>
  <c r="O38" i="30"/>
  <c r="O37" i="30"/>
  <c r="O35" i="30"/>
  <c r="O32" i="30"/>
  <c r="O54" i="35"/>
  <c r="O55" i="35"/>
  <c r="O56" i="35"/>
  <c r="N56" i="35"/>
  <c r="O57" i="35"/>
  <c r="N57" i="35"/>
  <c r="M57" i="35"/>
  <c r="L57" i="35"/>
  <c r="M56" i="35"/>
  <c r="N55" i="35"/>
  <c r="N54" i="35"/>
  <c r="M53" i="35"/>
  <c r="N53" i="35"/>
  <c r="O52" i="35"/>
  <c r="O51" i="35"/>
  <c r="O50" i="35"/>
  <c r="O49" i="35"/>
  <c r="O48" i="35"/>
  <c r="N50" i="35"/>
  <c r="N49" i="35"/>
  <c r="N48" i="35"/>
  <c r="C6" i="35"/>
  <c r="C20" i="35"/>
  <c r="C62" i="35"/>
  <c r="C15" i="35"/>
  <c r="C29" i="35"/>
  <c r="C71" i="35"/>
  <c r="C14" i="35"/>
  <c r="C28" i="35"/>
  <c r="C70" i="35"/>
  <c r="C13" i="35"/>
  <c r="C27" i="35"/>
  <c r="C69" i="35"/>
  <c r="C12" i="35"/>
  <c r="C26" i="35"/>
  <c r="C68" i="35"/>
  <c r="C11" i="35"/>
  <c r="C25" i="35"/>
  <c r="C67" i="35"/>
  <c r="C10" i="35"/>
  <c r="C24" i="35"/>
  <c r="C66" i="35"/>
  <c r="C9" i="35"/>
  <c r="C23" i="35"/>
  <c r="C65" i="35"/>
  <c r="C8" i="35"/>
  <c r="C22" i="35"/>
  <c r="C64" i="35"/>
  <c r="C7" i="35"/>
  <c r="C21" i="35"/>
  <c r="C63" i="35"/>
  <c r="O61" i="35"/>
  <c r="N61" i="35"/>
  <c r="M61" i="35"/>
  <c r="L61" i="35"/>
  <c r="K61" i="35"/>
  <c r="G61" i="35"/>
  <c r="F61" i="35"/>
  <c r="E61" i="35"/>
  <c r="D61" i="35"/>
  <c r="C61" i="35"/>
  <c r="C49" i="35"/>
  <c r="C50" i="35"/>
  <c r="C51" i="35"/>
  <c r="C52" i="35"/>
  <c r="C53" i="35"/>
  <c r="C54" i="35"/>
  <c r="C55" i="35"/>
  <c r="C56" i="35"/>
  <c r="C57" i="35"/>
  <c r="C48" i="35"/>
  <c r="C35" i="35"/>
  <c r="C36" i="35"/>
  <c r="C37" i="35"/>
  <c r="C38" i="35"/>
  <c r="C39" i="35"/>
  <c r="C40" i="35"/>
  <c r="C41" i="35"/>
  <c r="C42" i="35"/>
  <c r="C43" i="35"/>
  <c r="C34" i="35"/>
  <c r="L42" i="35"/>
  <c r="H42" i="35"/>
  <c r="L41" i="35"/>
  <c r="M41" i="35"/>
  <c r="H41" i="35"/>
  <c r="L40" i="35"/>
  <c r="M40" i="35"/>
  <c r="H40" i="35"/>
  <c r="L39" i="35"/>
  <c r="H39" i="35"/>
  <c r="L38" i="35"/>
  <c r="M38" i="35"/>
  <c r="N38" i="35"/>
  <c r="H38" i="35"/>
  <c r="L37" i="35"/>
  <c r="M37" i="35"/>
  <c r="N37" i="35"/>
  <c r="H37" i="35"/>
  <c r="L36" i="35"/>
  <c r="M36" i="35"/>
  <c r="H36" i="35"/>
  <c r="L35" i="35"/>
  <c r="M35" i="35"/>
  <c r="H35" i="35"/>
  <c r="L34" i="35"/>
  <c r="M34" i="35"/>
  <c r="H34" i="35"/>
  <c r="G42" i="35"/>
  <c r="G41" i="35"/>
  <c r="G40" i="35"/>
  <c r="G39" i="35"/>
  <c r="G38" i="35"/>
  <c r="G37" i="35"/>
  <c r="G36" i="35"/>
  <c r="G35" i="35"/>
  <c r="G34" i="35"/>
  <c r="H43" i="35"/>
  <c r="F43" i="35"/>
  <c r="F42" i="35"/>
  <c r="F41" i="35"/>
  <c r="F40" i="35"/>
  <c r="F39" i="35"/>
  <c r="J23" i="37" s="1"/>
  <c r="F38" i="35"/>
  <c r="J75" i="36" s="1"/>
  <c r="F37" i="35"/>
  <c r="F36" i="35"/>
  <c r="F35" i="35"/>
  <c r="F34" i="35"/>
  <c r="E42" i="35"/>
  <c r="E41" i="35"/>
  <c r="E40" i="35"/>
  <c r="E39" i="35"/>
  <c r="E38" i="35"/>
  <c r="E37" i="35"/>
  <c r="E36" i="35"/>
  <c r="E35" i="35"/>
  <c r="E34" i="35"/>
  <c r="D42" i="35"/>
  <c r="D41" i="35"/>
  <c r="D40" i="35"/>
  <c r="D39" i="35"/>
  <c r="D38" i="35"/>
  <c r="D37" i="35"/>
  <c r="D36" i="35"/>
  <c r="D35" i="35"/>
  <c r="O39" i="35"/>
  <c r="O19" i="35"/>
  <c r="O47" i="35"/>
  <c r="O33" i="35"/>
  <c r="N19" i="35"/>
  <c r="N47" i="35"/>
  <c r="N33" i="35"/>
  <c r="M19" i="35"/>
  <c r="M47" i="35"/>
  <c r="M33" i="35"/>
  <c r="L19" i="35"/>
  <c r="L47" i="35"/>
  <c r="L33" i="35"/>
  <c r="K19" i="35"/>
  <c r="K47" i="35"/>
  <c r="K33" i="35"/>
  <c r="H19" i="35"/>
  <c r="H47" i="35" s="1"/>
  <c r="H33" i="35" s="1"/>
  <c r="H61" i="35" s="1"/>
  <c r="G19" i="35"/>
  <c r="G47" i="35"/>
  <c r="G33" i="35"/>
  <c r="F19" i="35"/>
  <c r="F47" i="35"/>
  <c r="F33" i="35"/>
  <c r="E19" i="35"/>
  <c r="E47" i="35"/>
  <c r="E33" i="35"/>
  <c r="D19" i="35"/>
  <c r="D47" i="35"/>
  <c r="D33" i="35"/>
  <c r="C19" i="35"/>
  <c r="C47" i="35"/>
  <c r="C33" i="35"/>
  <c r="K29" i="35"/>
  <c r="K28" i="35"/>
  <c r="K27" i="35"/>
  <c r="K26" i="35"/>
  <c r="K25" i="35"/>
  <c r="K24" i="35"/>
  <c r="K23" i="35"/>
  <c r="K15" i="35"/>
  <c r="G15" i="35"/>
  <c r="F15" i="35"/>
  <c r="L14" i="35"/>
  <c r="K14" i="35"/>
  <c r="G14" i="35"/>
  <c r="F14" i="35"/>
  <c r="E14" i="35"/>
  <c r="M13" i="35"/>
  <c r="L13" i="35"/>
  <c r="K13" i="35"/>
  <c r="G13" i="35"/>
  <c r="F13" i="35"/>
  <c r="E13" i="35"/>
  <c r="M12" i="35"/>
  <c r="L12" i="35"/>
  <c r="K12" i="35"/>
  <c r="G12" i="35"/>
  <c r="F12" i="35"/>
  <c r="E12" i="35"/>
  <c r="O11" i="35"/>
  <c r="L11" i="35"/>
  <c r="K11" i="35"/>
  <c r="G11" i="35"/>
  <c r="F11" i="35"/>
  <c r="E11" i="35"/>
  <c r="N10" i="35"/>
  <c r="M10" i="35"/>
  <c r="L10" i="35"/>
  <c r="K10" i="35"/>
  <c r="G10" i="35"/>
  <c r="F10" i="35"/>
  <c r="E10" i="35"/>
  <c r="N9" i="35"/>
  <c r="M9" i="35"/>
  <c r="L9" i="35"/>
  <c r="K9" i="35"/>
  <c r="G9" i="35"/>
  <c r="F9" i="35"/>
  <c r="E9" i="35"/>
  <c r="M8" i="35"/>
  <c r="L8" i="35"/>
  <c r="K8" i="35"/>
  <c r="G8" i="35"/>
  <c r="F8" i="35"/>
  <c r="E8" i="35"/>
  <c r="M7" i="35"/>
  <c r="L7" i="35"/>
  <c r="K7" i="35"/>
  <c r="G7" i="35"/>
  <c r="F7" i="35"/>
  <c r="E7" i="35"/>
  <c r="M6" i="35"/>
  <c r="L6" i="35"/>
  <c r="K6" i="35"/>
  <c r="G6" i="35"/>
  <c r="F6" i="35"/>
  <c r="E6" i="35"/>
  <c r="D7" i="35"/>
  <c r="D8" i="35" s="1"/>
  <c r="D20" i="35"/>
  <c r="D21" i="35"/>
  <c r="C34" i="1"/>
  <c r="E17" i="10"/>
  <c r="E17" i="9"/>
  <c r="E17" i="8"/>
  <c r="E17" i="7"/>
  <c r="E17" i="6"/>
  <c r="H22" i="22"/>
  <c r="D16" i="33"/>
  <c r="D17" i="33"/>
  <c r="G16" i="24"/>
  <c r="G28" i="35" s="1"/>
  <c r="D16" i="32"/>
  <c r="H16" i="32" s="1"/>
  <c r="C21" i="33"/>
  <c r="H16" i="33"/>
  <c r="D3" i="33"/>
  <c r="D2" i="33"/>
  <c r="C28" i="32"/>
  <c r="C3" i="32"/>
  <c r="C2" i="32"/>
  <c r="N24" i="11"/>
  <c r="M24" i="11"/>
  <c r="N21" i="11"/>
  <c r="M21" i="11"/>
  <c r="L17" i="10"/>
  <c r="M17" i="10"/>
  <c r="H19" i="10"/>
  <c r="H18" i="10"/>
  <c r="H17" i="10"/>
  <c r="F16" i="10"/>
  <c r="L17" i="9"/>
  <c r="M17" i="9"/>
  <c r="H18" i="9"/>
  <c r="H17" i="9"/>
  <c r="F18" i="9"/>
  <c r="F16" i="9"/>
  <c r="J17" i="8"/>
  <c r="J18" i="8"/>
  <c r="J19" i="8"/>
  <c r="J20" i="8"/>
  <c r="J21" i="8"/>
  <c r="M17" i="8"/>
  <c r="J17" i="7"/>
  <c r="J18" i="7"/>
  <c r="J19" i="7"/>
  <c r="M17" i="7"/>
  <c r="M17" i="6"/>
  <c r="J18" i="5"/>
  <c r="J19" i="5"/>
  <c r="H21" i="8"/>
  <c r="H20" i="8"/>
  <c r="H19" i="8"/>
  <c r="H18" i="8"/>
  <c r="H17" i="8"/>
  <c r="F16" i="8"/>
  <c r="H19" i="7"/>
  <c r="H18" i="7"/>
  <c r="H17" i="7"/>
  <c r="F16" i="7"/>
  <c r="H23" i="6"/>
  <c r="H22" i="6"/>
  <c r="H21" i="6"/>
  <c r="H20" i="6"/>
  <c r="H19" i="6"/>
  <c r="H18" i="6"/>
  <c r="H17" i="6"/>
  <c r="F16" i="6"/>
  <c r="H19" i="5"/>
  <c r="H18" i="5"/>
  <c r="C4" i="2"/>
  <c r="E16" i="4"/>
  <c r="H16" i="4"/>
  <c r="I16" i="4"/>
  <c r="J16" i="4"/>
  <c r="K16" i="4"/>
  <c r="L16" i="4"/>
  <c r="O16" i="4" s="1"/>
  <c r="M16" i="4"/>
  <c r="N16" i="4"/>
  <c r="E17" i="4"/>
  <c r="H17" i="4"/>
  <c r="I17" i="4"/>
  <c r="J17" i="4"/>
  <c r="K17" i="4"/>
  <c r="L17" i="4"/>
  <c r="O17" i="4" s="1"/>
  <c r="M17" i="4"/>
  <c r="N17" i="4"/>
  <c r="E18" i="4"/>
  <c r="H18" i="4"/>
  <c r="I18" i="4"/>
  <c r="J18" i="4"/>
  <c r="K18" i="4"/>
  <c r="L18" i="4"/>
  <c r="M18" i="4"/>
  <c r="N18" i="4"/>
  <c r="E19" i="4"/>
  <c r="G19" i="4"/>
  <c r="I19" i="4"/>
  <c r="J19" i="4"/>
  <c r="K19" i="4"/>
  <c r="L19" i="4"/>
  <c r="O19" i="4" s="1"/>
  <c r="M19" i="4"/>
  <c r="N19" i="4"/>
  <c r="E20" i="4"/>
  <c r="G20" i="4"/>
  <c r="I20" i="4"/>
  <c r="J20" i="4"/>
  <c r="K20" i="4"/>
  <c r="L20" i="4"/>
  <c r="O20" i="4" s="1"/>
  <c r="M20" i="4"/>
  <c r="N20" i="4"/>
  <c r="E21" i="4"/>
  <c r="F21" i="4"/>
  <c r="G21" i="4"/>
  <c r="H21" i="4"/>
  <c r="I21" i="4"/>
  <c r="J21" i="4"/>
  <c r="K21" i="4"/>
  <c r="M21" i="4"/>
  <c r="N21" i="4"/>
  <c r="E22" i="4"/>
  <c r="H22" i="4"/>
  <c r="I22" i="4"/>
  <c r="J22" i="4"/>
  <c r="K22" i="4"/>
  <c r="L22" i="4"/>
  <c r="O22" i="4" s="1"/>
  <c r="M22" i="4"/>
  <c r="N22" i="4"/>
  <c r="E23" i="4"/>
  <c r="H23" i="4"/>
  <c r="I23" i="4"/>
  <c r="J23" i="4"/>
  <c r="K23" i="4"/>
  <c r="L23" i="4"/>
  <c r="O23" i="4" s="1"/>
  <c r="M23" i="4"/>
  <c r="N23" i="4"/>
  <c r="E24" i="4"/>
  <c r="F24" i="4"/>
  <c r="G24" i="4"/>
  <c r="H24" i="4"/>
  <c r="I24" i="4"/>
  <c r="J24" i="4"/>
  <c r="K24" i="4"/>
  <c r="M24" i="4"/>
  <c r="N24" i="4"/>
  <c r="E25" i="4"/>
  <c r="F25" i="4"/>
  <c r="G25" i="4"/>
  <c r="H25" i="4"/>
  <c r="I25" i="4"/>
  <c r="I26" i="4" s="1"/>
  <c r="J25" i="4"/>
  <c r="J26" i="4" s="1"/>
  <c r="K25" i="4"/>
  <c r="L25" i="4"/>
  <c r="M25" i="4"/>
  <c r="N25" i="4"/>
  <c r="C29" i="4"/>
  <c r="N26" i="4"/>
  <c r="K26" i="4"/>
  <c r="M26" i="4"/>
  <c r="E26" i="4"/>
  <c r="C30" i="2"/>
  <c r="G23" i="4"/>
  <c r="G22" i="4"/>
  <c r="G18" i="4"/>
  <c r="G17" i="4"/>
  <c r="G16" i="4"/>
  <c r="G26" i="4"/>
  <c r="C29" i="21"/>
  <c r="C60" i="30"/>
  <c r="C28" i="22"/>
  <c r="F17" i="4"/>
  <c r="L24" i="4"/>
  <c r="O24" i="4" s="1"/>
  <c r="L21" i="4"/>
  <c r="O21" i="4" s="1"/>
  <c r="C30" i="29"/>
  <c r="C21" i="24"/>
  <c r="C33" i="13"/>
  <c r="C30" i="12"/>
  <c r="C30" i="11"/>
  <c r="C24" i="10"/>
  <c r="C26" i="9"/>
  <c r="C28" i="8"/>
  <c r="C26" i="7"/>
  <c r="C31" i="6"/>
  <c r="C30" i="5"/>
  <c r="C30" i="3"/>
  <c r="H20" i="4"/>
  <c r="H19" i="4"/>
  <c r="F22" i="4"/>
  <c r="F18" i="4"/>
  <c r="F16" i="4"/>
  <c r="F20" i="4"/>
  <c r="H26" i="4"/>
  <c r="F19" i="4"/>
  <c r="F23" i="4"/>
  <c r="F26" i="4"/>
  <c r="N25" i="11"/>
  <c r="M25" i="11"/>
  <c r="E13" i="10"/>
  <c r="M26" i="3"/>
  <c r="N26" i="3"/>
  <c r="E26" i="3"/>
  <c r="F26" i="3"/>
  <c r="G26" i="3"/>
  <c r="H26" i="3"/>
  <c r="I26" i="3"/>
  <c r="J26" i="3"/>
  <c r="K26" i="3"/>
  <c r="L26" i="3"/>
  <c r="E12" i="10"/>
  <c r="E11" i="10"/>
  <c r="E13" i="9"/>
  <c r="E12" i="9"/>
  <c r="E11" i="9"/>
  <c r="E13" i="8"/>
  <c r="E12" i="8"/>
  <c r="E11" i="8"/>
  <c r="E13" i="7"/>
  <c r="E12" i="7"/>
  <c r="E11" i="7"/>
  <c r="E13" i="6"/>
  <c r="E12" i="6"/>
  <c r="E11" i="6"/>
  <c r="C3" i="29"/>
  <c r="C3" i="30"/>
  <c r="C3" i="21"/>
  <c r="C3" i="24"/>
  <c r="C3" i="22"/>
  <c r="N25" i="12"/>
  <c r="N25" i="13"/>
  <c r="M25" i="12"/>
  <c r="M25" i="13"/>
  <c r="L25" i="12"/>
  <c r="L25" i="13"/>
  <c r="K25" i="12"/>
  <c r="J25" i="12"/>
  <c r="J26" i="12" s="1"/>
  <c r="I25" i="12"/>
  <c r="I25" i="13" s="1"/>
  <c r="H25" i="12"/>
  <c r="H25" i="13"/>
  <c r="G25" i="12"/>
  <c r="G25" i="13"/>
  <c r="F25" i="12"/>
  <c r="F25" i="13"/>
  <c r="E25" i="12"/>
  <c r="N24" i="12"/>
  <c r="N24" i="13"/>
  <c r="M24" i="12"/>
  <c r="M24" i="13"/>
  <c r="K24" i="12"/>
  <c r="K24" i="13"/>
  <c r="J24" i="12"/>
  <c r="I24" i="12"/>
  <c r="I24" i="13"/>
  <c r="H24" i="12"/>
  <c r="H24" i="13"/>
  <c r="G24" i="12"/>
  <c r="G24" i="13"/>
  <c r="F24" i="12"/>
  <c r="F24" i="13"/>
  <c r="E24" i="12"/>
  <c r="N23" i="12"/>
  <c r="N23" i="13"/>
  <c r="M23" i="12"/>
  <c r="M23" i="13"/>
  <c r="K23" i="12"/>
  <c r="K23" i="13"/>
  <c r="J23" i="12"/>
  <c r="J23" i="13"/>
  <c r="I23" i="12"/>
  <c r="I23" i="13"/>
  <c r="H23" i="12"/>
  <c r="H23" i="13"/>
  <c r="G23" i="12"/>
  <c r="F23" i="12"/>
  <c r="E23" i="12"/>
  <c r="N22" i="12"/>
  <c r="N22" i="13"/>
  <c r="M22" i="12"/>
  <c r="M22" i="13"/>
  <c r="K22" i="12"/>
  <c r="K22" i="13"/>
  <c r="J22" i="12"/>
  <c r="J22" i="13"/>
  <c r="I22" i="12"/>
  <c r="I22" i="13"/>
  <c r="H22" i="12"/>
  <c r="H22" i="13"/>
  <c r="G22" i="12"/>
  <c r="F22" i="12"/>
  <c r="E22" i="12"/>
  <c r="N21" i="12"/>
  <c r="N21" i="13"/>
  <c r="M21" i="12"/>
  <c r="M21" i="13"/>
  <c r="K21" i="12"/>
  <c r="J21" i="12"/>
  <c r="I21" i="12"/>
  <c r="I21" i="13"/>
  <c r="H21" i="12"/>
  <c r="H21" i="13"/>
  <c r="G21" i="12"/>
  <c r="G21" i="13"/>
  <c r="F21" i="12"/>
  <c r="F21" i="13"/>
  <c r="E21" i="12"/>
  <c r="N20" i="12"/>
  <c r="N20" i="13"/>
  <c r="M20" i="12"/>
  <c r="M20" i="13"/>
  <c r="K20" i="12"/>
  <c r="K20" i="13"/>
  <c r="J20" i="12"/>
  <c r="J20" i="13"/>
  <c r="I20" i="12"/>
  <c r="H20" i="12"/>
  <c r="G20" i="12"/>
  <c r="G20" i="13"/>
  <c r="F20" i="12"/>
  <c r="E20" i="12"/>
  <c r="N19" i="12"/>
  <c r="N19" i="13"/>
  <c r="M19" i="12"/>
  <c r="M19" i="13"/>
  <c r="K19" i="12"/>
  <c r="K19" i="13"/>
  <c r="J19" i="12"/>
  <c r="J19" i="13"/>
  <c r="I19" i="12"/>
  <c r="H19" i="12"/>
  <c r="G19" i="12"/>
  <c r="G19" i="13"/>
  <c r="F19" i="12"/>
  <c r="E19" i="12"/>
  <c r="N18" i="12"/>
  <c r="N18" i="13"/>
  <c r="M18" i="12"/>
  <c r="M18" i="13"/>
  <c r="K18" i="12"/>
  <c r="K18" i="13"/>
  <c r="J18" i="12"/>
  <c r="J18" i="13"/>
  <c r="I18" i="12"/>
  <c r="I18" i="13"/>
  <c r="H18" i="12"/>
  <c r="H18" i="13"/>
  <c r="G18" i="12"/>
  <c r="F18" i="12"/>
  <c r="E18" i="12"/>
  <c r="N17" i="12"/>
  <c r="N17" i="13"/>
  <c r="M17" i="12"/>
  <c r="M17" i="13"/>
  <c r="K17" i="12"/>
  <c r="K17" i="13"/>
  <c r="J17" i="12"/>
  <c r="J17" i="13"/>
  <c r="I17" i="12"/>
  <c r="I17" i="13"/>
  <c r="H17" i="12"/>
  <c r="H17" i="13"/>
  <c r="G17" i="12"/>
  <c r="F17" i="12"/>
  <c r="E17" i="12"/>
  <c r="N16" i="12"/>
  <c r="M16" i="12"/>
  <c r="K16" i="12"/>
  <c r="J16" i="12"/>
  <c r="I16" i="12"/>
  <c r="H16" i="12"/>
  <c r="G16" i="12"/>
  <c r="F16" i="12"/>
  <c r="E16" i="12"/>
  <c r="I19" i="10"/>
  <c r="I18" i="10"/>
  <c r="I17" i="10"/>
  <c r="E19" i="10"/>
  <c r="E18" i="10"/>
  <c r="E14" i="10"/>
  <c r="G19" i="10"/>
  <c r="I18" i="9"/>
  <c r="I17" i="9"/>
  <c r="E19" i="9"/>
  <c r="F19" i="9" s="1"/>
  <c r="H19" i="9" s="1"/>
  <c r="J19" i="9" s="1"/>
  <c r="J20" i="9" s="1"/>
  <c r="E18" i="9"/>
  <c r="E14" i="9"/>
  <c r="I21" i="8"/>
  <c r="I20" i="8"/>
  <c r="I19" i="8"/>
  <c r="I18" i="8"/>
  <c r="I17" i="8"/>
  <c r="E22" i="8"/>
  <c r="F22" i="8" s="1"/>
  <c r="H22" i="8" s="1"/>
  <c r="J22" i="8" s="1"/>
  <c r="J23" i="8" s="1"/>
  <c r="E21" i="8"/>
  <c r="E20" i="8"/>
  <c r="E19" i="8"/>
  <c r="E18" i="8"/>
  <c r="E14" i="8"/>
  <c r="I19" i="7"/>
  <c r="I18" i="7"/>
  <c r="I17" i="7"/>
  <c r="E20" i="7"/>
  <c r="L20" i="7" s="1"/>
  <c r="E19" i="7"/>
  <c r="E18" i="7"/>
  <c r="E14" i="7"/>
  <c r="G19" i="7"/>
  <c r="I23" i="6"/>
  <c r="I22" i="6"/>
  <c r="I21" i="6"/>
  <c r="I20" i="6"/>
  <c r="I19" i="6"/>
  <c r="I18" i="6"/>
  <c r="I17" i="6"/>
  <c r="E24" i="6"/>
  <c r="F24" i="6" s="1"/>
  <c r="H24" i="6" s="1"/>
  <c r="E23" i="6"/>
  <c r="E22" i="6"/>
  <c r="E21" i="6"/>
  <c r="E20" i="6"/>
  <c r="E19" i="6"/>
  <c r="E18" i="6"/>
  <c r="E14" i="6"/>
  <c r="I19" i="5"/>
  <c r="I18" i="5"/>
  <c r="I17" i="5"/>
  <c r="E14" i="5"/>
  <c r="G17" i="5"/>
  <c r="E20" i="5"/>
  <c r="F20" i="5" s="1"/>
  <c r="H20" i="5" s="1"/>
  <c r="J20" i="5" s="1"/>
  <c r="J21" i="5" s="1"/>
  <c r="E19" i="5"/>
  <c r="E18" i="5"/>
  <c r="E26" i="12"/>
  <c r="I16" i="13"/>
  <c r="I26" i="12"/>
  <c r="N16" i="13"/>
  <c r="N26" i="13"/>
  <c r="N26" i="12"/>
  <c r="F26" i="12"/>
  <c r="J16" i="13"/>
  <c r="G26" i="12"/>
  <c r="K16" i="13"/>
  <c r="K26" i="12"/>
  <c r="H16" i="13"/>
  <c r="H26" i="12"/>
  <c r="M16" i="13"/>
  <c r="M26" i="13"/>
  <c r="M26" i="12"/>
  <c r="G19" i="6"/>
  <c r="G22" i="6"/>
  <c r="G17" i="6"/>
  <c r="G18" i="6"/>
  <c r="G23" i="6"/>
  <c r="G21" i="6"/>
  <c r="G18" i="10"/>
  <c r="J18" i="10"/>
  <c r="G17" i="10"/>
  <c r="G18" i="9"/>
  <c r="J18" i="9"/>
  <c r="G17" i="9"/>
  <c r="G19" i="9"/>
  <c r="G18" i="8"/>
  <c r="G21" i="8"/>
  <c r="G17" i="8"/>
  <c r="G19" i="8"/>
  <c r="G20" i="8"/>
  <c r="G20" i="6"/>
  <c r="G18" i="7"/>
  <c r="G17" i="7"/>
  <c r="G18" i="5"/>
  <c r="G19" i="5"/>
  <c r="J19" i="10"/>
  <c r="K25" i="11"/>
  <c r="M19" i="10"/>
  <c r="K25" i="13"/>
  <c r="L24" i="12"/>
  <c r="L22" i="12"/>
  <c r="L21" i="12"/>
  <c r="C3" i="2"/>
  <c r="C2" i="29"/>
  <c r="C2" i="30"/>
  <c r="C2" i="21"/>
  <c r="C2" i="24"/>
  <c r="C2" i="22"/>
  <c r="C2" i="1"/>
  <c r="L23" i="12"/>
  <c r="C3" i="4"/>
  <c r="C3" i="12"/>
  <c r="C3" i="13"/>
  <c r="C3" i="10"/>
  <c r="C3" i="7"/>
  <c r="C3" i="6"/>
  <c r="C3" i="9"/>
  <c r="C3" i="8"/>
  <c r="C3" i="5"/>
  <c r="C3" i="11"/>
  <c r="C3" i="3"/>
  <c r="C2" i="11"/>
  <c r="C2" i="12"/>
  <c r="C2" i="8"/>
  <c r="C2" i="5"/>
  <c r="C2" i="6"/>
  <c r="C2" i="13"/>
  <c r="C2" i="10"/>
  <c r="C2" i="7"/>
  <c r="C2" i="9"/>
  <c r="C2" i="3"/>
  <c r="I19" i="9"/>
  <c r="I20" i="7"/>
  <c r="I22" i="8"/>
  <c r="L19" i="12"/>
  <c r="L16" i="12"/>
  <c r="C3" i="1"/>
  <c r="C2" i="4"/>
  <c r="L20" i="12"/>
  <c r="O18" i="4"/>
  <c r="L18" i="12"/>
  <c r="L17" i="12"/>
  <c r="I24" i="6"/>
  <c r="I20" i="5"/>
  <c r="L26" i="12"/>
  <c r="J17" i="10"/>
  <c r="J20" i="10"/>
  <c r="J17" i="9"/>
  <c r="E21" i="11"/>
  <c r="E24" i="11"/>
  <c r="E25" i="11"/>
  <c r="E21" i="13"/>
  <c r="E24" i="13"/>
  <c r="E23" i="11"/>
  <c r="E22" i="11"/>
  <c r="E25" i="13"/>
  <c r="E20" i="11"/>
  <c r="E19" i="11"/>
  <c r="E18" i="11"/>
  <c r="E18" i="13" s="1"/>
  <c r="E17" i="11"/>
  <c r="K21" i="35" s="1"/>
  <c r="E16" i="11"/>
  <c r="K20" i="35" s="1"/>
  <c r="E19" i="13"/>
  <c r="E16" i="13"/>
  <c r="E20" i="13"/>
  <c r="E22" i="13"/>
  <c r="E23" i="13"/>
  <c r="J18" i="22"/>
  <c r="J22" i="22"/>
  <c r="J21" i="22"/>
  <c r="J13" i="22"/>
  <c r="J14" i="22"/>
  <c r="J15" i="22"/>
  <c r="J19" i="22"/>
  <c r="J20" i="22"/>
  <c r="J16" i="22"/>
  <c r="J17" i="22"/>
  <c r="D9" i="35" l="1"/>
  <c r="D22" i="35"/>
  <c r="H118" i="30" s="1"/>
  <c r="C25" i="40"/>
  <c r="F27" i="40"/>
  <c r="D72" i="38"/>
  <c r="D17" i="38"/>
  <c r="J28" i="37"/>
  <c r="F70" i="30"/>
  <c r="F17" i="40"/>
  <c r="D18" i="40"/>
  <c r="H28" i="39"/>
  <c r="D28" i="39"/>
  <c r="D19" i="37"/>
  <c r="C28" i="40"/>
  <c r="F18" i="39"/>
  <c r="C17" i="39"/>
  <c r="C37" i="39" s="1"/>
  <c r="D79" i="38"/>
  <c r="F20" i="37"/>
  <c r="F40" i="37" s="1"/>
  <c r="C25" i="37"/>
  <c r="H72" i="36"/>
  <c r="C19" i="40"/>
  <c r="C39" i="40" s="1"/>
  <c r="C16" i="40"/>
  <c r="C35" i="40" s="1"/>
  <c r="D19" i="39"/>
  <c r="H19" i="38"/>
  <c r="F77" i="38"/>
  <c r="J19" i="37"/>
  <c r="F16" i="37"/>
  <c r="H27" i="37"/>
  <c r="C18" i="37"/>
  <c r="C38" i="37" s="1"/>
  <c r="D28" i="37"/>
  <c r="H18" i="37"/>
  <c r="F19" i="37"/>
  <c r="J27" i="37"/>
  <c r="C28" i="37"/>
  <c r="D25" i="39"/>
  <c r="J18" i="37"/>
  <c r="D18" i="37"/>
  <c r="J18" i="30"/>
  <c r="D69" i="30"/>
  <c r="D25" i="37"/>
  <c r="C28" i="38"/>
  <c r="J25" i="38"/>
  <c r="F20" i="38"/>
  <c r="F80" i="30"/>
  <c r="C20" i="37"/>
  <c r="C40" i="37" s="1"/>
  <c r="H79" i="38"/>
  <c r="D122" i="30"/>
  <c r="C132" i="30"/>
  <c r="H79" i="36"/>
  <c r="H105" i="36" s="1"/>
  <c r="F16" i="36"/>
  <c r="F25" i="37"/>
  <c r="F49" i="37" s="1"/>
  <c r="H27" i="38"/>
  <c r="J69" i="38"/>
  <c r="C77" i="30"/>
  <c r="F69" i="36"/>
  <c r="F79" i="30"/>
  <c r="D80" i="36"/>
  <c r="F79" i="38"/>
  <c r="F105" i="38" s="1"/>
  <c r="F80" i="38"/>
  <c r="F19" i="30"/>
  <c r="J70" i="36"/>
  <c r="J72" i="36"/>
  <c r="C17" i="37"/>
  <c r="C37" i="37" s="1"/>
  <c r="H72" i="38"/>
  <c r="H75" i="36"/>
  <c r="H99" i="36" s="1"/>
  <c r="J99" i="36" s="1"/>
  <c r="F14" i="29" s="1"/>
  <c r="H23" i="39"/>
  <c r="H47" i="39" s="1"/>
  <c r="H23" i="30"/>
  <c r="E17" i="13"/>
  <c r="E26" i="13" s="1"/>
  <c r="K22" i="35"/>
  <c r="F15" i="22"/>
  <c r="F17" i="22"/>
  <c r="F19" i="22"/>
  <c r="G23" i="35"/>
  <c r="H24" i="36" s="1"/>
  <c r="F14" i="22"/>
  <c r="F21" i="22"/>
  <c r="G25" i="35"/>
  <c r="F13" i="22"/>
  <c r="F18" i="22"/>
  <c r="G27" i="35"/>
  <c r="H76" i="38" s="1"/>
  <c r="H100" i="38" s="1"/>
  <c r="G21" i="35"/>
  <c r="G22" i="35"/>
  <c r="H128" i="30" s="1"/>
  <c r="H152" i="30" s="1"/>
  <c r="G26" i="35"/>
  <c r="F16" i="22"/>
  <c r="F20" i="22"/>
  <c r="G20" i="35"/>
  <c r="G24" i="35"/>
  <c r="J23" i="40"/>
  <c r="J16" i="40"/>
  <c r="J25" i="40"/>
  <c r="D16" i="40"/>
  <c r="D20" i="40"/>
  <c r="C24" i="40"/>
  <c r="C27" i="40"/>
  <c r="C17" i="40"/>
  <c r="C37" i="40" s="1"/>
  <c r="C20" i="40"/>
  <c r="C40" i="40" s="1"/>
  <c r="H28" i="40"/>
  <c r="H27" i="40"/>
  <c r="H53" i="40" s="1"/>
  <c r="J24" i="40"/>
  <c r="H23" i="40"/>
  <c r="H47" i="40" s="1"/>
  <c r="F19" i="40"/>
  <c r="J21" i="40"/>
  <c r="H20" i="40"/>
  <c r="H40" i="40" s="1"/>
  <c r="J17" i="40"/>
  <c r="H16" i="40"/>
  <c r="H35" i="40" s="1"/>
  <c r="J19" i="40"/>
  <c r="H18" i="40"/>
  <c r="H38" i="40" s="1"/>
  <c r="F14" i="40"/>
  <c r="D14" i="40"/>
  <c r="D19" i="40"/>
  <c r="D23" i="40"/>
  <c r="D25" i="40"/>
  <c r="D28" i="40"/>
  <c r="C18" i="40"/>
  <c r="C38" i="40" s="1"/>
  <c r="F25" i="40"/>
  <c r="F49" i="40" s="1"/>
  <c r="J27" i="40"/>
  <c r="F24" i="40"/>
  <c r="F23" i="40"/>
  <c r="F20" i="40"/>
  <c r="F40" i="40" s="1"/>
  <c r="F16" i="40"/>
  <c r="J20" i="40"/>
  <c r="H19" i="40"/>
  <c r="H39" i="40" s="1"/>
  <c r="H14" i="40"/>
  <c r="F28" i="40"/>
  <c r="F54" i="40" s="1"/>
  <c r="J28" i="40"/>
  <c r="D17" i="40"/>
  <c r="D21" i="40"/>
  <c r="D24" i="40"/>
  <c r="D27" i="40"/>
  <c r="H24" i="40"/>
  <c r="F18" i="40"/>
  <c r="F38" i="40" s="1"/>
  <c r="J38" i="40" s="1"/>
  <c r="L38" i="40" s="1"/>
  <c r="H21" i="40"/>
  <c r="J18" i="40"/>
  <c r="H17" i="40"/>
  <c r="H37" i="40" s="1"/>
  <c r="J14" i="40"/>
  <c r="F21" i="39"/>
  <c r="F27" i="39"/>
  <c r="F28" i="39"/>
  <c r="C19" i="39"/>
  <c r="C39" i="39" s="1"/>
  <c r="C21" i="39"/>
  <c r="C41" i="39" s="1"/>
  <c r="J25" i="39"/>
  <c r="H24" i="39"/>
  <c r="H48" i="39" s="1"/>
  <c r="F17" i="39"/>
  <c r="J20" i="39"/>
  <c r="H19" i="39"/>
  <c r="H16" i="39"/>
  <c r="D17" i="39"/>
  <c r="D21" i="39"/>
  <c r="D24" i="39"/>
  <c r="D27" i="39"/>
  <c r="C16" i="39"/>
  <c r="C35" i="39" s="1"/>
  <c r="C18" i="39"/>
  <c r="C38" i="39" s="1"/>
  <c r="F25" i="39"/>
  <c r="F49" i="39" s="1"/>
  <c r="J27" i="39"/>
  <c r="F53" i="39" s="1"/>
  <c r="F20" i="39"/>
  <c r="F16" i="39"/>
  <c r="H20" i="39"/>
  <c r="H40" i="39" s="1"/>
  <c r="J17" i="39"/>
  <c r="C23" i="29"/>
  <c r="J19" i="39"/>
  <c r="H18" i="39"/>
  <c r="J16" i="39"/>
  <c r="F35" i="39" s="1"/>
  <c r="J14" i="39"/>
  <c r="D16" i="39"/>
  <c r="D20" i="39"/>
  <c r="C24" i="39"/>
  <c r="C27" i="39"/>
  <c r="J23" i="39"/>
  <c r="C14" i="39"/>
  <c r="D18" i="39"/>
  <c r="C23" i="39"/>
  <c r="C25" i="39"/>
  <c r="C28" i="39"/>
  <c r="C20" i="39"/>
  <c r="C40" i="39" s="1"/>
  <c r="J28" i="39"/>
  <c r="H27" i="39"/>
  <c r="F24" i="39"/>
  <c r="F48" i="39" s="1"/>
  <c r="F23" i="39"/>
  <c r="F47" i="39" s="1"/>
  <c r="F19" i="39"/>
  <c r="J21" i="39"/>
  <c r="J18" i="39"/>
  <c r="F38" i="39" s="1"/>
  <c r="J23" i="38"/>
  <c r="C77" i="38"/>
  <c r="C69" i="38"/>
  <c r="C89" i="38" s="1"/>
  <c r="H80" i="38"/>
  <c r="D68" i="38"/>
  <c r="D77" i="38"/>
  <c r="C71" i="38"/>
  <c r="C91" i="38" s="1"/>
  <c r="J77" i="38"/>
  <c r="F101" i="38" s="1"/>
  <c r="H75" i="38"/>
  <c r="J73" i="38"/>
  <c r="H71" i="38"/>
  <c r="J70" i="38"/>
  <c r="H68" i="38"/>
  <c r="F71" i="38"/>
  <c r="F73" i="38"/>
  <c r="F93" i="38" s="1"/>
  <c r="D71" i="38"/>
  <c r="C79" i="38"/>
  <c r="J79" i="38"/>
  <c r="D75" i="38"/>
  <c r="J71" i="38"/>
  <c r="F91" i="38" s="1"/>
  <c r="D70" i="38"/>
  <c r="C70" i="38"/>
  <c r="C90" i="38" s="1"/>
  <c r="F25" i="38"/>
  <c r="F70" i="38"/>
  <c r="F90" i="38" s="1"/>
  <c r="F21" i="38"/>
  <c r="F41" i="38" s="1"/>
  <c r="C14" i="38"/>
  <c r="J14" i="38"/>
  <c r="D69" i="38"/>
  <c r="D73" i="38"/>
  <c r="C73" i="38"/>
  <c r="C93" i="38" s="1"/>
  <c r="F69" i="38"/>
  <c r="J16" i="38"/>
  <c r="D18" i="38"/>
  <c r="C25" i="38"/>
  <c r="C76" i="38"/>
  <c r="C17" i="38"/>
  <c r="C37" i="38" s="1"/>
  <c r="C122" i="38" s="1"/>
  <c r="F76" i="38"/>
  <c r="F100" i="38" s="1"/>
  <c r="H24" i="38"/>
  <c r="F16" i="38"/>
  <c r="J17" i="38"/>
  <c r="F68" i="38"/>
  <c r="J19" i="38"/>
  <c r="H39" i="38" s="1"/>
  <c r="D21" i="38"/>
  <c r="D27" i="38"/>
  <c r="D76" i="38"/>
  <c r="C19" i="38"/>
  <c r="C39" i="38" s="1"/>
  <c r="C124" i="38" s="1"/>
  <c r="J28" i="38"/>
  <c r="F72" i="38"/>
  <c r="F18" i="38"/>
  <c r="J20" i="38"/>
  <c r="J18" i="38"/>
  <c r="C68" i="38"/>
  <c r="C87" i="38" s="1"/>
  <c r="J75" i="38"/>
  <c r="D14" i="38"/>
  <c r="D19" i="38"/>
  <c r="D23" i="38"/>
  <c r="D25" i="38"/>
  <c r="D28" i="38"/>
  <c r="C66" i="38"/>
  <c r="C75" i="38"/>
  <c r="C80" i="38"/>
  <c r="C16" i="38"/>
  <c r="C35" i="38" s="1"/>
  <c r="C120" i="38" s="1"/>
  <c r="C20" i="38"/>
  <c r="C40" i="38" s="1"/>
  <c r="C125" i="38" s="1"/>
  <c r="J80" i="38"/>
  <c r="H28" i="38"/>
  <c r="F75" i="38"/>
  <c r="F99" i="38" s="1"/>
  <c r="H23" i="38"/>
  <c r="J72" i="38"/>
  <c r="H20" i="38"/>
  <c r="H40" i="38" s="1"/>
  <c r="J68" i="38"/>
  <c r="H16" i="38"/>
  <c r="H35" i="38" s="1"/>
  <c r="J66" i="38"/>
  <c r="F27" i="38"/>
  <c r="F53" i="38" s="1"/>
  <c r="F28" i="38"/>
  <c r="F54" i="38" s="1"/>
  <c r="D16" i="38"/>
  <c r="D20" i="38"/>
  <c r="C24" i="38"/>
  <c r="C27" i="38"/>
  <c r="D66" i="38"/>
  <c r="D80" i="38"/>
  <c r="C72" i="38"/>
  <c r="C92" i="38" s="1"/>
  <c r="C18" i="38"/>
  <c r="C38" i="38" s="1"/>
  <c r="C123" i="38" s="1"/>
  <c r="C21" i="38"/>
  <c r="C41" i="38" s="1"/>
  <c r="C126" i="38" s="1"/>
  <c r="J27" i="38"/>
  <c r="H53" i="38" s="1"/>
  <c r="F24" i="38"/>
  <c r="J24" i="38"/>
  <c r="F23" i="38"/>
  <c r="F19" i="38"/>
  <c r="F17" i="38"/>
  <c r="J16" i="37"/>
  <c r="J14" i="37"/>
  <c r="F27" i="37"/>
  <c r="F28" i="37"/>
  <c r="F54" i="37" s="1"/>
  <c r="D16" i="37"/>
  <c r="D20" i="37"/>
  <c r="C24" i="37"/>
  <c r="C27" i="37"/>
  <c r="C19" i="37"/>
  <c r="C39" i="37" s="1"/>
  <c r="H28" i="37"/>
  <c r="H54" i="37" s="1"/>
  <c r="J24" i="37"/>
  <c r="H23" i="37"/>
  <c r="H47" i="37" s="1"/>
  <c r="F18" i="37"/>
  <c r="H19" i="37"/>
  <c r="H16" i="37"/>
  <c r="F21" i="37"/>
  <c r="F41" i="37" s="1"/>
  <c r="D17" i="37"/>
  <c r="D21" i="37"/>
  <c r="D24" i="37"/>
  <c r="D27" i="37"/>
  <c r="C16" i="37"/>
  <c r="C35" i="37" s="1"/>
  <c r="C21" i="37"/>
  <c r="C41" i="37" s="1"/>
  <c r="J25" i="37"/>
  <c r="H24" i="37"/>
  <c r="H48" i="37" s="1"/>
  <c r="F17" i="37"/>
  <c r="J20" i="37"/>
  <c r="J17" i="37"/>
  <c r="C13" i="29"/>
  <c r="D23" i="36"/>
  <c r="C14" i="29"/>
  <c r="F79" i="36"/>
  <c r="F105" i="36" s="1"/>
  <c r="C28" i="36"/>
  <c r="F25" i="36"/>
  <c r="C25" i="36"/>
  <c r="F20" i="36"/>
  <c r="F19" i="36"/>
  <c r="F14" i="36"/>
  <c r="D66" i="36"/>
  <c r="C80" i="36"/>
  <c r="C77" i="36"/>
  <c r="H68" i="36"/>
  <c r="J14" i="36"/>
  <c r="J23" i="36"/>
  <c r="F47" i="36" s="1"/>
  <c r="C14" i="36"/>
  <c r="D28" i="36"/>
  <c r="H28" i="36"/>
  <c r="H54" i="36" s="1"/>
  <c r="D14" i="36"/>
  <c r="D69" i="36"/>
  <c r="H80" i="36"/>
  <c r="H76" i="36"/>
  <c r="F71" i="36"/>
  <c r="F91" i="36" s="1"/>
  <c r="C71" i="36"/>
  <c r="C91" i="36" s="1"/>
  <c r="C68" i="36"/>
  <c r="C87" i="36" s="1"/>
  <c r="D71" i="36"/>
  <c r="D76" i="36"/>
  <c r="F76" i="36"/>
  <c r="J28" i="36"/>
  <c r="J76" i="36"/>
  <c r="J68" i="36"/>
  <c r="D18" i="36"/>
  <c r="D25" i="36"/>
  <c r="D79" i="36"/>
  <c r="C73" i="36"/>
  <c r="C93" i="36" s="1"/>
  <c r="C72" i="36"/>
  <c r="C92" i="36" s="1"/>
  <c r="J79" i="36"/>
  <c r="D70" i="36"/>
  <c r="F70" i="36"/>
  <c r="F90" i="36" s="1"/>
  <c r="J18" i="36"/>
  <c r="J20" i="36"/>
  <c r="J27" i="36"/>
  <c r="F73" i="36"/>
  <c r="F27" i="36"/>
  <c r="F28" i="36"/>
  <c r="F54" i="36" s="1"/>
  <c r="D16" i="36"/>
  <c r="D20" i="36"/>
  <c r="C24" i="36"/>
  <c r="C27" i="36"/>
  <c r="F24" i="36"/>
  <c r="H23" i="36"/>
  <c r="F18" i="36"/>
  <c r="F38" i="36" s="1"/>
  <c r="H20" i="36"/>
  <c r="H40" i="36" s="1"/>
  <c r="D77" i="36"/>
  <c r="C17" i="36"/>
  <c r="C37" i="36" s="1"/>
  <c r="C122" i="36" s="1"/>
  <c r="C20" i="36"/>
  <c r="C40" i="36" s="1"/>
  <c r="C125" i="36" s="1"/>
  <c r="C69" i="36"/>
  <c r="C89" i="36" s="1"/>
  <c r="J69" i="36"/>
  <c r="F89" i="36" s="1"/>
  <c r="J71" i="36"/>
  <c r="J73" i="36"/>
  <c r="J77" i="36"/>
  <c r="J80" i="36"/>
  <c r="D19" i="36"/>
  <c r="C16" i="36"/>
  <c r="C35" i="36" s="1"/>
  <c r="C120" i="36" s="1"/>
  <c r="C19" i="36"/>
  <c r="C39" i="36" s="1"/>
  <c r="C124" i="36" s="1"/>
  <c r="J16" i="36"/>
  <c r="J24" i="36"/>
  <c r="F21" i="36"/>
  <c r="F80" i="36"/>
  <c r="D17" i="36"/>
  <c r="D21" i="36"/>
  <c r="D24" i="36"/>
  <c r="D27" i="36"/>
  <c r="H27" i="36"/>
  <c r="F17" i="36"/>
  <c r="H16" i="36"/>
  <c r="H35" i="36" s="1"/>
  <c r="D68" i="36"/>
  <c r="D72" i="36"/>
  <c r="C76" i="36"/>
  <c r="C79" i="36"/>
  <c r="F77" i="36"/>
  <c r="F101" i="36" s="1"/>
  <c r="F72" i="36"/>
  <c r="F68" i="36"/>
  <c r="J66" i="36"/>
  <c r="C18" i="36"/>
  <c r="C38" i="36" s="1"/>
  <c r="C123" i="36" s="1"/>
  <c r="C21" i="36"/>
  <c r="C41" i="36" s="1"/>
  <c r="C126" i="36" s="1"/>
  <c r="C70" i="36"/>
  <c r="C90" i="36" s="1"/>
  <c r="J17" i="36"/>
  <c r="J19" i="36"/>
  <c r="J21" i="36"/>
  <c r="J25" i="36"/>
  <c r="F49" i="36" s="1"/>
  <c r="J131" i="30"/>
  <c r="F77" i="30"/>
  <c r="F101" i="30" s="1"/>
  <c r="H80" i="30"/>
  <c r="C75" i="30"/>
  <c r="J71" i="30"/>
  <c r="C25" i="30"/>
  <c r="D28" i="30"/>
  <c r="H24" i="30"/>
  <c r="F76" i="30"/>
  <c r="F72" i="30"/>
  <c r="D68" i="30"/>
  <c r="C118" i="30"/>
  <c r="H28" i="30"/>
  <c r="J21" i="30"/>
  <c r="J17" i="30"/>
  <c r="D23" i="30"/>
  <c r="H27" i="30"/>
  <c r="F23" i="30"/>
  <c r="H20" i="30"/>
  <c r="F16" i="30"/>
  <c r="C129" i="30"/>
  <c r="H124" i="30"/>
  <c r="J128" i="30"/>
  <c r="J118" i="30"/>
  <c r="D19" i="30"/>
  <c r="F24" i="30"/>
  <c r="J25" i="30"/>
  <c r="C23" i="30"/>
  <c r="H19" i="30"/>
  <c r="F14" i="30"/>
  <c r="J68" i="30"/>
  <c r="J121" i="30"/>
  <c r="D17" i="30"/>
  <c r="C76" i="30"/>
  <c r="C72" i="30"/>
  <c r="C92" i="30" s="1"/>
  <c r="J75" i="30"/>
  <c r="D21" i="30"/>
  <c r="D72" i="30"/>
  <c r="C80" i="30"/>
  <c r="H79" i="30"/>
  <c r="H75" i="30"/>
  <c r="J73" i="30"/>
  <c r="J70" i="30"/>
  <c r="F90" i="30" s="1"/>
  <c r="J66" i="30"/>
  <c r="C127" i="30"/>
  <c r="D14" i="30"/>
  <c r="D25" i="30"/>
  <c r="F28" i="30"/>
  <c r="F54" i="30" s="1"/>
  <c r="F27" i="30"/>
  <c r="F53" i="30" s="1"/>
  <c r="F17" i="30"/>
  <c r="J14" i="30"/>
  <c r="J76" i="30"/>
  <c r="F68" i="30"/>
  <c r="H68" i="30"/>
  <c r="H66" i="30"/>
  <c r="D27" i="30"/>
  <c r="J28" i="30"/>
  <c r="J27" i="30"/>
  <c r="H127" i="30"/>
  <c r="D18" i="30"/>
  <c r="D24" i="30"/>
  <c r="C28" i="30"/>
  <c r="J16" i="30"/>
  <c r="C20" i="30"/>
  <c r="C40" i="30" s="1"/>
  <c r="D70" i="30"/>
  <c r="D76" i="30"/>
  <c r="J80" i="30"/>
  <c r="F106" i="30" s="1"/>
  <c r="F75" i="30"/>
  <c r="F99" i="30" s="1"/>
  <c r="F71" i="30"/>
  <c r="F91" i="30" s="1"/>
  <c r="H72" i="30"/>
  <c r="F66" i="30"/>
  <c r="F121" i="30"/>
  <c r="F141" i="30" s="1"/>
  <c r="F21" i="30"/>
  <c r="F125" i="30"/>
  <c r="J23" i="30"/>
  <c r="F131" i="30"/>
  <c r="F132" i="30"/>
  <c r="D16" i="30"/>
  <c r="D20" i="30"/>
  <c r="C24" i="30"/>
  <c r="C27" i="30"/>
  <c r="F25" i="30"/>
  <c r="J24" i="30"/>
  <c r="F18" i="30"/>
  <c r="J19" i="30"/>
  <c r="F39" i="30" s="1"/>
  <c r="H16" i="30"/>
  <c r="H35" i="30" s="1"/>
  <c r="H14" i="30"/>
  <c r="H32" i="30" s="1"/>
  <c r="D66" i="30"/>
  <c r="D71" i="30"/>
  <c r="D75" i="30"/>
  <c r="D77" i="30"/>
  <c r="D80" i="30"/>
  <c r="J77" i="30"/>
  <c r="H76" i="30"/>
  <c r="F69" i="30"/>
  <c r="J72" i="30"/>
  <c r="H71" i="30"/>
  <c r="J69" i="30"/>
  <c r="D118" i="30"/>
  <c r="D123" i="30"/>
  <c r="D127" i="30"/>
  <c r="D129" i="30"/>
  <c r="D132" i="30"/>
  <c r="F129" i="30"/>
  <c r="H131" i="30"/>
  <c r="H157" i="30" s="1"/>
  <c r="F124" i="30"/>
  <c r="F120" i="30"/>
  <c r="J123" i="30"/>
  <c r="J120" i="30"/>
  <c r="C17" i="30"/>
  <c r="C37" i="30" s="1"/>
  <c r="C19" i="30"/>
  <c r="C39" i="30" s="1"/>
  <c r="C21" i="30"/>
  <c r="C41" i="30" s="1"/>
  <c r="C69" i="30"/>
  <c r="C89" i="30" s="1"/>
  <c r="C71" i="30"/>
  <c r="C91" i="30" s="1"/>
  <c r="C73" i="30"/>
  <c r="C93" i="30" s="1"/>
  <c r="C121" i="30"/>
  <c r="C141" i="30" s="1"/>
  <c r="C123" i="30"/>
  <c r="C143" i="30" s="1"/>
  <c r="C125" i="30"/>
  <c r="C145" i="30" s="1"/>
  <c r="C9" i="29"/>
  <c r="J20" i="30"/>
  <c r="C79" i="30"/>
  <c r="J79" i="30"/>
  <c r="F105" i="30" s="1"/>
  <c r="D120" i="30"/>
  <c r="D124" i="30"/>
  <c r="C128" i="30"/>
  <c r="C131" i="30"/>
  <c r="J132" i="30"/>
  <c r="J129" i="30"/>
  <c r="F127" i="30"/>
  <c r="F123" i="30"/>
  <c r="J125" i="30"/>
  <c r="H123" i="30"/>
  <c r="H120" i="30"/>
  <c r="C10" i="29"/>
  <c r="F73" i="30"/>
  <c r="F20" i="30"/>
  <c r="D73" i="30"/>
  <c r="D79" i="30"/>
  <c r="D121" i="30"/>
  <c r="D125" i="30"/>
  <c r="D128" i="30"/>
  <c r="D131" i="30"/>
  <c r="H132" i="30"/>
  <c r="F128" i="30"/>
  <c r="F152" i="30" s="1"/>
  <c r="J127" i="30"/>
  <c r="F122" i="30"/>
  <c r="J124" i="30"/>
  <c r="J122" i="30"/>
  <c r="F118" i="30"/>
  <c r="C16" i="30"/>
  <c r="C35" i="30" s="1"/>
  <c r="C18" i="30"/>
  <c r="C38" i="30" s="1"/>
  <c r="C68" i="30"/>
  <c r="C87" i="30" s="1"/>
  <c r="C70" i="30"/>
  <c r="C90" i="30" s="1"/>
  <c r="C120" i="30"/>
  <c r="C139" i="30" s="1"/>
  <c r="C122" i="30"/>
  <c r="C142" i="30" s="1"/>
  <c r="C124" i="30"/>
  <c r="C144" i="30" s="1"/>
  <c r="H29" i="35"/>
  <c r="H25" i="40" s="1"/>
  <c r="H49" i="40" s="1"/>
  <c r="G16" i="22"/>
  <c r="G20" i="22"/>
  <c r="G17" i="22"/>
  <c r="G21" i="22"/>
  <c r="G19" i="22"/>
  <c r="G14" i="22"/>
  <c r="G18" i="22"/>
  <c r="G15" i="22"/>
  <c r="H22" i="35"/>
  <c r="H129" i="30" s="1"/>
  <c r="H153" i="30" s="1"/>
  <c r="J153" i="30" s="1"/>
  <c r="H23" i="35"/>
  <c r="H25" i="36" s="1"/>
  <c r="H49" i="36" s="1"/>
  <c r="J49" i="36" s="1"/>
  <c r="H27" i="35"/>
  <c r="H77" i="38" s="1"/>
  <c r="H26" i="35"/>
  <c r="H25" i="38" s="1"/>
  <c r="G13" i="22"/>
  <c r="H20" i="35"/>
  <c r="H25" i="30" s="1"/>
  <c r="H24" i="35"/>
  <c r="H77" i="36" s="1"/>
  <c r="H28" i="35"/>
  <c r="H25" i="39" s="1"/>
  <c r="H49" i="39" s="1"/>
  <c r="J49" i="39" s="1"/>
  <c r="H21" i="35"/>
  <c r="H77" i="30" s="1"/>
  <c r="H25" i="35"/>
  <c r="H25" i="37" s="1"/>
  <c r="F39" i="39"/>
  <c r="H105" i="38"/>
  <c r="F99" i="36"/>
  <c r="J24" i="6"/>
  <c r="J25" i="6" s="1"/>
  <c r="H38" i="37"/>
  <c r="F35" i="36"/>
  <c r="L19" i="9"/>
  <c r="L24" i="11" s="1"/>
  <c r="E28" i="35" s="1"/>
  <c r="H21" i="39" s="1"/>
  <c r="H41" i="39" s="1"/>
  <c r="L21" i="11"/>
  <c r="M20" i="7"/>
  <c r="L24" i="13"/>
  <c r="L24" i="6"/>
  <c r="L22" i="8"/>
  <c r="L26" i="4"/>
  <c r="F20" i="7"/>
  <c r="H20" i="7" s="1"/>
  <c r="J20" i="7" s="1"/>
  <c r="J21" i="7" s="1"/>
  <c r="L20" i="5"/>
  <c r="F48" i="37"/>
  <c r="F40" i="39"/>
  <c r="F53" i="37"/>
  <c r="F47" i="37"/>
  <c r="F47" i="40"/>
  <c r="H92" i="36"/>
  <c r="H54" i="39"/>
  <c r="M18" i="10"/>
  <c r="J25" i="11" s="1"/>
  <c r="J25" i="13" s="1"/>
  <c r="F54" i="39"/>
  <c r="H53" i="37"/>
  <c r="F38" i="37"/>
  <c r="O25" i="13"/>
  <c r="M20" i="10"/>
  <c r="M22" i="10" s="1"/>
  <c r="O25" i="4"/>
  <c r="O26" i="4" s="1"/>
  <c r="O29" i="13" s="1"/>
  <c r="H92" i="38"/>
  <c r="F32" i="36"/>
  <c r="F35" i="37"/>
  <c r="F53" i="40"/>
  <c r="F40" i="38"/>
  <c r="F37" i="38"/>
  <c r="F39" i="36" l="1"/>
  <c r="F37" i="37"/>
  <c r="F84" i="30"/>
  <c r="F106" i="38"/>
  <c r="F32" i="40"/>
  <c r="F49" i="38"/>
  <c r="F39" i="37"/>
  <c r="D10" i="35"/>
  <c r="D23" i="35"/>
  <c r="H14" i="36" s="1"/>
  <c r="H32" i="36" s="1"/>
  <c r="J32" i="36" s="1"/>
  <c r="J40" i="40"/>
  <c r="L40" i="40" s="1"/>
  <c r="H47" i="38"/>
  <c r="H106" i="38"/>
  <c r="H107" i="38" s="1"/>
  <c r="H38" i="39"/>
  <c r="J38" i="39" s="1"/>
  <c r="L38" i="39" s="1"/>
  <c r="F93" i="30"/>
  <c r="F41" i="30"/>
  <c r="F93" i="36"/>
  <c r="H49" i="38"/>
  <c r="J49" i="38" s="1"/>
  <c r="L49" i="38" s="1"/>
  <c r="K19" i="29" s="1"/>
  <c r="F157" i="30"/>
  <c r="F87" i="36"/>
  <c r="H35" i="37"/>
  <c r="F38" i="38"/>
  <c r="F123" i="38" s="1"/>
  <c r="F35" i="38"/>
  <c r="F89" i="38"/>
  <c r="H39" i="39"/>
  <c r="J39" i="39" s="1"/>
  <c r="L39" i="39" s="1"/>
  <c r="J48" i="40"/>
  <c r="L48" i="40" s="1"/>
  <c r="I25" i="29" s="1"/>
  <c r="F48" i="40"/>
  <c r="H54" i="40"/>
  <c r="F37" i="39"/>
  <c r="H32" i="40"/>
  <c r="J32" i="40" s="1"/>
  <c r="F38" i="30"/>
  <c r="H101" i="38"/>
  <c r="J101" i="38" s="1"/>
  <c r="J20" i="29" s="1"/>
  <c r="F143" i="30"/>
  <c r="F47" i="30"/>
  <c r="F32" i="30"/>
  <c r="F92" i="36"/>
  <c r="H53" i="36"/>
  <c r="H138" i="36" s="1"/>
  <c r="H87" i="36"/>
  <c r="H120" i="36" s="1"/>
  <c r="H39" i="37"/>
  <c r="F47" i="38"/>
  <c r="F37" i="40"/>
  <c r="J100" i="38"/>
  <c r="L100" i="38" s="1"/>
  <c r="I20" i="29" s="1"/>
  <c r="L153" i="30"/>
  <c r="K11" i="29" s="1"/>
  <c r="J11" i="29"/>
  <c r="J19" i="29"/>
  <c r="L49" i="36"/>
  <c r="K13" i="29" s="1"/>
  <c r="J13" i="29"/>
  <c r="L49" i="39"/>
  <c r="K23" i="29" s="1"/>
  <c r="J23" i="29"/>
  <c r="J35" i="36"/>
  <c r="L35" i="36" s="1"/>
  <c r="H40" i="30"/>
  <c r="H100" i="36"/>
  <c r="H106" i="36"/>
  <c r="H107" i="36" s="1"/>
  <c r="H35" i="39"/>
  <c r="J35" i="39" s="1"/>
  <c r="L35" i="39" s="1"/>
  <c r="H99" i="38"/>
  <c r="H48" i="38"/>
  <c r="H92" i="30"/>
  <c r="H53" i="39"/>
  <c r="H55" i="39" s="1"/>
  <c r="H144" i="30"/>
  <c r="H41" i="40"/>
  <c r="J41" i="40" s="1"/>
  <c r="L41" i="40" s="1"/>
  <c r="J37" i="40"/>
  <c r="L37" i="40" s="1"/>
  <c r="F41" i="40"/>
  <c r="H50" i="40"/>
  <c r="F39" i="40"/>
  <c r="F35" i="40"/>
  <c r="J35" i="40" s="1"/>
  <c r="L35" i="40" s="1"/>
  <c r="F41" i="39"/>
  <c r="H91" i="38"/>
  <c r="H124" i="38" s="1"/>
  <c r="H36" i="38"/>
  <c r="F36" i="38"/>
  <c r="F92" i="38"/>
  <c r="J92" i="38" s="1"/>
  <c r="L92" i="38" s="1"/>
  <c r="L101" i="38"/>
  <c r="K20" i="29" s="1"/>
  <c r="H54" i="38"/>
  <c r="H55" i="38" s="1"/>
  <c r="F39" i="38"/>
  <c r="J39" i="38" s="1"/>
  <c r="L39" i="38" s="1"/>
  <c r="F139" i="38"/>
  <c r="J54" i="38"/>
  <c r="L54" i="38" s="1"/>
  <c r="F48" i="38"/>
  <c r="F133" i="38" s="1"/>
  <c r="H88" i="38"/>
  <c r="F88" i="38"/>
  <c r="H87" i="38"/>
  <c r="H120" i="38" s="1"/>
  <c r="J53" i="38"/>
  <c r="L53" i="38" s="1"/>
  <c r="F107" i="38"/>
  <c r="H138" i="38"/>
  <c r="F87" i="38"/>
  <c r="F120" i="38" s="1"/>
  <c r="F55" i="37"/>
  <c r="H49" i="37"/>
  <c r="J49" i="37" s="1"/>
  <c r="J54" i="37"/>
  <c r="L54" i="37" s="1"/>
  <c r="H36" i="37"/>
  <c r="F36" i="37"/>
  <c r="F36" i="36"/>
  <c r="H36" i="36"/>
  <c r="F40" i="36"/>
  <c r="F125" i="36" s="1"/>
  <c r="J105" i="36"/>
  <c r="L105" i="36" s="1"/>
  <c r="F53" i="36"/>
  <c r="F55" i="36" s="1"/>
  <c r="F100" i="36"/>
  <c r="F102" i="36" s="1"/>
  <c r="H47" i="36"/>
  <c r="H132" i="36" s="1"/>
  <c r="F88" i="36"/>
  <c r="H88" i="36"/>
  <c r="H48" i="36"/>
  <c r="H133" i="36" s="1"/>
  <c r="F37" i="36"/>
  <c r="F122" i="36" s="1"/>
  <c r="F106" i="36"/>
  <c r="F107" i="36" s="1"/>
  <c r="F48" i="36"/>
  <c r="J54" i="36"/>
  <c r="L54" i="36" s="1"/>
  <c r="H101" i="36"/>
  <c r="J101" i="36" s="1"/>
  <c r="J14" i="29" s="1"/>
  <c r="F41" i="36"/>
  <c r="H106" i="30"/>
  <c r="J106" i="30" s="1"/>
  <c r="L106" i="30" s="1"/>
  <c r="H49" i="30"/>
  <c r="J49" i="30" s="1"/>
  <c r="F49" i="30"/>
  <c r="H100" i="30"/>
  <c r="H48" i="30"/>
  <c r="H151" i="30"/>
  <c r="H154" i="30" s="1"/>
  <c r="H53" i="30"/>
  <c r="J53" i="30" s="1"/>
  <c r="L53" i="30" s="1"/>
  <c r="F89" i="30"/>
  <c r="H54" i="30"/>
  <c r="H158" i="30"/>
  <c r="H159" i="30" s="1"/>
  <c r="H143" i="30"/>
  <c r="J143" i="30" s="1"/>
  <c r="L143" i="30" s="1"/>
  <c r="F100" i="30"/>
  <c r="F153" i="30"/>
  <c r="H91" i="30"/>
  <c r="J91" i="30" s="1"/>
  <c r="L91" i="30" s="1"/>
  <c r="H39" i="30"/>
  <c r="J39" i="30" s="1"/>
  <c r="L39" i="30" s="1"/>
  <c r="F145" i="30"/>
  <c r="F55" i="30"/>
  <c r="H84" i="30"/>
  <c r="J84" i="30" s="1"/>
  <c r="L84" i="30" s="1"/>
  <c r="H99" i="30"/>
  <c r="J99" i="30" s="1"/>
  <c r="F10" i="29" s="1"/>
  <c r="F136" i="30"/>
  <c r="F35" i="30"/>
  <c r="J35" i="30" s="1"/>
  <c r="L35" i="30" s="1"/>
  <c r="H47" i="30"/>
  <c r="F144" i="30"/>
  <c r="J144" i="30" s="1"/>
  <c r="L144" i="30" s="1"/>
  <c r="H101" i="30"/>
  <c r="J101" i="30" s="1"/>
  <c r="H87" i="30"/>
  <c r="F37" i="30"/>
  <c r="H136" i="30"/>
  <c r="F87" i="30"/>
  <c r="F48" i="30"/>
  <c r="F139" i="30"/>
  <c r="F142" i="30"/>
  <c r="F40" i="30"/>
  <c r="H139" i="30"/>
  <c r="F151" i="30"/>
  <c r="F158" i="30"/>
  <c r="F159" i="30" s="1"/>
  <c r="F107" i="30"/>
  <c r="H105" i="30"/>
  <c r="J105" i="30" s="1"/>
  <c r="L105" i="30" s="1"/>
  <c r="F92" i="30"/>
  <c r="J99" i="38"/>
  <c r="F122" i="38"/>
  <c r="J40" i="39"/>
  <c r="L40" i="39" s="1"/>
  <c r="J47" i="38"/>
  <c r="J54" i="40"/>
  <c r="L54" i="40" s="1"/>
  <c r="J38" i="37"/>
  <c r="L38" i="37" s="1"/>
  <c r="J53" i="36"/>
  <c r="L53" i="36" s="1"/>
  <c r="H132" i="38"/>
  <c r="J48" i="39"/>
  <c r="J39" i="37"/>
  <c r="L39" i="37" s="1"/>
  <c r="J47" i="40"/>
  <c r="F120" i="36"/>
  <c r="F102" i="38"/>
  <c r="J106" i="38"/>
  <c r="L106" i="38" s="1"/>
  <c r="J47" i="39"/>
  <c r="F132" i="38"/>
  <c r="H102" i="38"/>
  <c r="F55" i="38"/>
  <c r="J32" i="30"/>
  <c r="L32" i="30" s="1"/>
  <c r="F50" i="37"/>
  <c r="H55" i="36"/>
  <c r="F55" i="39"/>
  <c r="M19" i="9"/>
  <c r="M18" i="9" s="1"/>
  <c r="J47" i="37"/>
  <c r="J54" i="39"/>
  <c r="L54" i="39" s="1"/>
  <c r="J92" i="36"/>
  <c r="L92" i="36" s="1"/>
  <c r="J105" i="38"/>
  <c r="L105" i="38" s="1"/>
  <c r="J47" i="36"/>
  <c r="F138" i="38"/>
  <c r="F55" i="40"/>
  <c r="L18" i="9"/>
  <c r="M20" i="9"/>
  <c r="H125" i="36"/>
  <c r="J53" i="37"/>
  <c r="L53" i="37" s="1"/>
  <c r="M19" i="7"/>
  <c r="L19" i="7" s="1"/>
  <c r="K21" i="11" s="1"/>
  <c r="M18" i="7"/>
  <c r="E25" i="35"/>
  <c r="H21" i="37" s="1"/>
  <c r="H41" i="37" s="1"/>
  <c r="J41" i="37" s="1"/>
  <c r="L41" i="37" s="1"/>
  <c r="L21" i="13"/>
  <c r="M24" i="6"/>
  <c r="L19" i="11"/>
  <c r="L20" i="11"/>
  <c r="F50" i="39"/>
  <c r="F125" i="38"/>
  <c r="F50" i="40"/>
  <c r="L16" i="11"/>
  <c r="L17" i="11"/>
  <c r="L18" i="11"/>
  <c r="M20" i="5"/>
  <c r="J48" i="37"/>
  <c r="F123" i="36"/>
  <c r="M22" i="8"/>
  <c r="L23" i="11"/>
  <c r="L22" i="11"/>
  <c r="F132" i="36"/>
  <c r="F124" i="36"/>
  <c r="F134" i="36"/>
  <c r="F42" i="37"/>
  <c r="F94" i="36"/>
  <c r="F126" i="38"/>
  <c r="F134" i="38"/>
  <c r="F50" i="38"/>
  <c r="H125" i="38"/>
  <c r="J40" i="38"/>
  <c r="L40" i="38" s="1"/>
  <c r="J35" i="38"/>
  <c r="L35" i="38" s="1"/>
  <c r="J53" i="40"/>
  <c r="H55" i="40"/>
  <c r="L99" i="36"/>
  <c r="G14" i="29" s="1"/>
  <c r="J35" i="37"/>
  <c r="L35" i="37" s="1"/>
  <c r="H50" i="39"/>
  <c r="H55" i="37"/>
  <c r="J157" i="30"/>
  <c r="J152" i="30"/>
  <c r="H11" i="29" s="1"/>
  <c r="F139" i="36" l="1"/>
  <c r="J100" i="36"/>
  <c r="L100" i="36" s="1"/>
  <c r="I14" i="29" s="1"/>
  <c r="F42" i="40"/>
  <c r="F57" i="40" s="1"/>
  <c r="H50" i="38"/>
  <c r="D11" i="35"/>
  <c r="D24" i="35"/>
  <c r="H66" i="36" s="1"/>
  <c r="H84" i="36" s="1"/>
  <c r="F66" i="36"/>
  <c r="F84" i="36" s="1"/>
  <c r="F117" i="36" s="1"/>
  <c r="H134" i="38"/>
  <c r="J134" i="38" s="1"/>
  <c r="F133" i="36"/>
  <c r="J133" i="36" s="1"/>
  <c r="F42" i="39"/>
  <c r="F50" i="36"/>
  <c r="H133" i="38"/>
  <c r="F126" i="36"/>
  <c r="H20" i="29"/>
  <c r="J106" i="36"/>
  <c r="L106" i="36" s="1"/>
  <c r="J39" i="40"/>
  <c r="L39" i="40" s="1"/>
  <c r="J47" i="30"/>
  <c r="L47" i="30" s="1"/>
  <c r="G9" i="29" s="1"/>
  <c r="F138" i="36"/>
  <c r="F140" i="36" s="1"/>
  <c r="J36" i="37"/>
  <c r="L36" i="37" s="1"/>
  <c r="F121" i="38"/>
  <c r="H139" i="36"/>
  <c r="J87" i="36"/>
  <c r="L87" i="36" s="1"/>
  <c r="J36" i="36"/>
  <c r="L36" i="36" s="1"/>
  <c r="H121" i="36"/>
  <c r="J36" i="38"/>
  <c r="L36" i="38" s="1"/>
  <c r="H121" i="38"/>
  <c r="H25" i="29"/>
  <c r="J88" i="36"/>
  <c r="L88" i="36" s="1"/>
  <c r="F121" i="36"/>
  <c r="F127" i="36" s="1"/>
  <c r="L47" i="37"/>
  <c r="G17" i="29" s="1"/>
  <c r="F17" i="29"/>
  <c r="L47" i="38"/>
  <c r="G19" i="29" s="1"/>
  <c r="F19" i="29"/>
  <c r="L47" i="40"/>
  <c r="G25" i="29" s="1"/>
  <c r="F25" i="29"/>
  <c r="L101" i="30"/>
  <c r="K10" i="29" s="1"/>
  <c r="J10" i="29"/>
  <c r="J100" i="30"/>
  <c r="L49" i="37"/>
  <c r="K17" i="29" s="1"/>
  <c r="J17" i="29"/>
  <c r="L134" i="38"/>
  <c r="K21" i="29" s="1"/>
  <c r="J21" i="29"/>
  <c r="J120" i="36"/>
  <c r="L120" i="36" s="1"/>
  <c r="J53" i="39"/>
  <c r="L53" i="39" s="1"/>
  <c r="J102" i="38"/>
  <c r="L102" i="38" s="1"/>
  <c r="F20" i="29"/>
  <c r="L48" i="37"/>
  <c r="I17" i="29" s="1"/>
  <c r="H17" i="29"/>
  <c r="L47" i="36"/>
  <c r="G13" i="29" s="1"/>
  <c r="F13" i="29"/>
  <c r="L47" i="39"/>
  <c r="G23" i="29" s="1"/>
  <c r="F23" i="29"/>
  <c r="L48" i="39"/>
  <c r="I23" i="29" s="1"/>
  <c r="H23" i="29"/>
  <c r="F9" i="29"/>
  <c r="L49" i="30"/>
  <c r="K9" i="29" s="1"/>
  <c r="J9" i="29"/>
  <c r="J102" i="36"/>
  <c r="L102" i="36" s="1"/>
  <c r="H42" i="40"/>
  <c r="H57" i="40" s="1"/>
  <c r="H134" i="36"/>
  <c r="J134" i="36" s="1"/>
  <c r="J91" i="38"/>
  <c r="L91" i="38" s="1"/>
  <c r="J92" i="30"/>
  <c r="L92" i="30" s="1"/>
  <c r="L99" i="38"/>
  <c r="G20" i="29" s="1"/>
  <c r="J49" i="40"/>
  <c r="J41" i="39"/>
  <c r="L41" i="39" s="1"/>
  <c r="F124" i="38"/>
  <c r="J124" i="38" s="1"/>
  <c r="L124" i="38" s="1"/>
  <c r="F42" i="38"/>
  <c r="J138" i="38"/>
  <c r="L138" i="38" s="1"/>
  <c r="F94" i="38"/>
  <c r="J48" i="38"/>
  <c r="H139" i="38"/>
  <c r="H140" i="38" s="1"/>
  <c r="J55" i="38"/>
  <c r="L55" i="38" s="1"/>
  <c r="J88" i="38"/>
  <c r="L88" i="38" s="1"/>
  <c r="F140" i="38"/>
  <c r="F135" i="38"/>
  <c r="J133" i="38"/>
  <c r="J87" i="38"/>
  <c r="L87" i="38" s="1"/>
  <c r="H50" i="37"/>
  <c r="J40" i="36"/>
  <c r="L40" i="36" s="1"/>
  <c r="J132" i="36"/>
  <c r="H50" i="36"/>
  <c r="L101" i="36"/>
  <c r="K14" i="29" s="1"/>
  <c r="F42" i="36"/>
  <c r="F57" i="36" s="1"/>
  <c r="H102" i="36"/>
  <c r="J139" i="36"/>
  <c r="L139" i="36" s="1"/>
  <c r="J48" i="36"/>
  <c r="J158" i="30"/>
  <c r="L158" i="30" s="1"/>
  <c r="F50" i="30"/>
  <c r="H55" i="30"/>
  <c r="F154" i="30"/>
  <c r="F146" i="30"/>
  <c r="F42" i="30"/>
  <c r="F57" i="30" s="1"/>
  <c r="F102" i="30"/>
  <c r="H107" i="30"/>
  <c r="J54" i="30"/>
  <c r="L54" i="30" s="1"/>
  <c r="J151" i="30"/>
  <c r="J139" i="30"/>
  <c r="L139" i="30" s="1"/>
  <c r="J102" i="30"/>
  <c r="F94" i="30"/>
  <c r="J136" i="30"/>
  <c r="L136" i="30" s="1"/>
  <c r="J48" i="30"/>
  <c r="H102" i="30"/>
  <c r="H50" i="30"/>
  <c r="J87" i="30"/>
  <c r="L87" i="30" s="1"/>
  <c r="J40" i="30"/>
  <c r="L40" i="30" s="1"/>
  <c r="J132" i="38"/>
  <c r="F21" i="29" s="1"/>
  <c r="J55" i="36"/>
  <c r="L55" i="36" s="1"/>
  <c r="J125" i="36"/>
  <c r="L125" i="36" s="1"/>
  <c r="J50" i="39"/>
  <c r="L50" i="39" s="1"/>
  <c r="J107" i="38"/>
  <c r="L107" i="38" s="1"/>
  <c r="H135" i="38"/>
  <c r="J50" i="37"/>
  <c r="L50" i="37" s="1"/>
  <c r="L99" i="30"/>
  <c r="G10" i="29" s="1"/>
  <c r="H140" i="36"/>
  <c r="J107" i="36"/>
  <c r="L107" i="36" s="1"/>
  <c r="J107" i="30"/>
  <c r="L107" i="30" s="1"/>
  <c r="E26" i="35"/>
  <c r="H21" i="38" s="1"/>
  <c r="H41" i="38" s="1"/>
  <c r="L22" i="13"/>
  <c r="K21" i="13"/>
  <c r="K26" i="13" s="1"/>
  <c r="O25" i="35"/>
  <c r="H20" i="37" s="1"/>
  <c r="H40" i="37" s="1"/>
  <c r="J40" i="37" s="1"/>
  <c r="L40" i="37" s="1"/>
  <c r="J55" i="37"/>
  <c r="L55" i="37" s="1"/>
  <c r="E27" i="35"/>
  <c r="H73" i="38" s="1"/>
  <c r="H93" i="38" s="1"/>
  <c r="J93" i="38" s="1"/>
  <c r="L93" i="38" s="1"/>
  <c r="L23" i="13"/>
  <c r="E22" i="35"/>
  <c r="H125" i="30" s="1"/>
  <c r="H145" i="30" s="1"/>
  <c r="J145" i="30" s="1"/>
  <c r="L145" i="30" s="1"/>
  <c r="L18" i="13"/>
  <c r="M18" i="5"/>
  <c r="M19" i="5"/>
  <c r="J125" i="38"/>
  <c r="L125" i="38" s="1"/>
  <c r="M21" i="8"/>
  <c r="G23" i="11" s="1"/>
  <c r="M19" i="8"/>
  <c r="L19" i="8" s="1"/>
  <c r="G22" i="11" s="1"/>
  <c r="M18" i="8"/>
  <c r="M20" i="8"/>
  <c r="L20" i="8" s="1"/>
  <c r="F23" i="11" s="1"/>
  <c r="E21" i="35"/>
  <c r="H73" i="30" s="1"/>
  <c r="H93" i="30" s="1"/>
  <c r="J93" i="30" s="1"/>
  <c r="L93" i="30" s="1"/>
  <c r="L17" i="13"/>
  <c r="E24" i="35"/>
  <c r="H73" i="36" s="1"/>
  <c r="H93" i="36" s="1"/>
  <c r="J93" i="36" s="1"/>
  <c r="L93" i="36" s="1"/>
  <c r="L20" i="13"/>
  <c r="J24" i="11"/>
  <c r="M22" i="9"/>
  <c r="M18" i="6"/>
  <c r="M22" i="6"/>
  <c r="L22" i="6" s="1"/>
  <c r="H20" i="11" s="1"/>
  <c r="M20" i="6"/>
  <c r="L20" i="6" s="1"/>
  <c r="I19" i="11" s="1"/>
  <c r="M19" i="6"/>
  <c r="L19" i="6" s="1"/>
  <c r="H19" i="11" s="1"/>
  <c r="M23" i="6"/>
  <c r="L23" i="6" s="1"/>
  <c r="I20" i="11" s="1"/>
  <c r="M21" i="6"/>
  <c r="L21" i="6" s="1"/>
  <c r="F20" i="11" s="1"/>
  <c r="E20" i="35"/>
  <c r="H21" i="30" s="1"/>
  <c r="H41" i="30" s="1"/>
  <c r="J41" i="30" s="1"/>
  <c r="L41" i="30" s="1"/>
  <c r="L16" i="13"/>
  <c r="E23" i="35"/>
  <c r="H21" i="36" s="1"/>
  <c r="H41" i="36" s="1"/>
  <c r="L19" i="13"/>
  <c r="M21" i="7"/>
  <c r="F135" i="36"/>
  <c r="L152" i="30"/>
  <c r="I11" i="29" s="1"/>
  <c r="L32" i="40"/>
  <c r="J120" i="38"/>
  <c r="L120" i="38" s="1"/>
  <c r="L157" i="30"/>
  <c r="J55" i="40"/>
  <c r="L55" i="40" s="1"/>
  <c r="L53" i="40"/>
  <c r="L32" i="36"/>
  <c r="L133" i="36" l="1"/>
  <c r="I15" i="29" s="1"/>
  <c r="H15" i="29"/>
  <c r="F109" i="36"/>
  <c r="J138" i="36"/>
  <c r="L138" i="36" s="1"/>
  <c r="J84" i="36"/>
  <c r="L84" i="36" s="1"/>
  <c r="F161" i="30"/>
  <c r="H14" i="29"/>
  <c r="F14" i="37"/>
  <c r="F32" i="37" s="1"/>
  <c r="F57" i="37" s="1"/>
  <c r="D25" i="35"/>
  <c r="H14" i="37" s="1"/>
  <c r="H32" i="37" s="1"/>
  <c r="J32" i="37" s="1"/>
  <c r="L32" i="37" s="1"/>
  <c r="D12" i="35"/>
  <c r="H117" i="36"/>
  <c r="J117" i="36" s="1"/>
  <c r="L117" i="36" s="1"/>
  <c r="F127" i="38"/>
  <c r="J121" i="36"/>
  <c r="J121" i="38"/>
  <c r="L121" i="38" s="1"/>
  <c r="J42" i="40"/>
  <c r="D25" i="29" s="1"/>
  <c r="L133" i="38"/>
  <c r="I21" i="29" s="1"/>
  <c r="H21" i="29"/>
  <c r="L49" i="40"/>
  <c r="K25" i="29" s="1"/>
  <c r="J25" i="29"/>
  <c r="H135" i="36"/>
  <c r="J55" i="39"/>
  <c r="L55" i="39" s="1"/>
  <c r="L48" i="38"/>
  <c r="I19" i="29" s="1"/>
  <c r="H19" i="29"/>
  <c r="L134" i="36"/>
  <c r="K15" i="29" s="1"/>
  <c r="J15" i="29"/>
  <c r="L151" i="30"/>
  <c r="G11" i="29" s="1"/>
  <c r="F11" i="29"/>
  <c r="J154" i="30"/>
  <c r="L48" i="30"/>
  <c r="I9" i="29" s="1"/>
  <c r="H9" i="29"/>
  <c r="L48" i="36"/>
  <c r="I13" i="29" s="1"/>
  <c r="H13" i="29"/>
  <c r="L132" i="36"/>
  <c r="G15" i="29" s="1"/>
  <c r="F15" i="29"/>
  <c r="L100" i="30"/>
  <c r="I10" i="29" s="1"/>
  <c r="H10" i="29"/>
  <c r="J135" i="36"/>
  <c r="J159" i="30"/>
  <c r="L159" i="30" s="1"/>
  <c r="J50" i="36"/>
  <c r="L50" i="36" s="1"/>
  <c r="J50" i="40"/>
  <c r="L50" i="40" s="1"/>
  <c r="J50" i="38"/>
  <c r="L50" i="38" s="1"/>
  <c r="J135" i="38"/>
  <c r="L135" i="38" s="1"/>
  <c r="J139" i="38"/>
  <c r="L132" i="38"/>
  <c r="G21" i="29" s="1"/>
  <c r="L121" i="36"/>
  <c r="J140" i="36"/>
  <c r="L140" i="36" s="1"/>
  <c r="J50" i="30"/>
  <c r="L50" i="30" s="1"/>
  <c r="L154" i="30"/>
  <c r="F109" i="30"/>
  <c r="L102" i="30"/>
  <c r="J55" i="30"/>
  <c r="L55" i="30" s="1"/>
  <c r="F142" i="36"/>
  <c r="M26" i="35"/>
  <c r="H18" i="38" s="1"/>
  <c r="H38" i="38" s="1"/>
  <c r="G22" i="13"/>
  <c r="M21" i="5"/>
  <c r="M23" i="35"/>
  <c r="H18" i="36" s="1"/>
  <c r="H38" i="36" s="1"/>
  <c r="H19" i="13"/>
  <c r="G16" i="11"/>
  <c r="G17" i="11"/>
  <c r="G18" i="11"/>
  <c r="N23" i="35"/>
  <c r="H19" i="36" s="1"/>
  <c r="H39" i="36" s="1"/>
  <c r="I19" i="13"/>
  <c r="H126" i="36"/>
  <c r="J126" i="36" s="1"/>
  <c r="L126" i="36" s="1"/>
  <c r="J41" i="36"/>
  <c r="L41" i="36" s="1"/>
  <c r="L24" i="35"/>
  <c r="H69" i="36" s="1"/>
  <c r="H89" i="36" s="1"/>
  <c r="F20" i="13"/>
  <c r="M24" i="35"/>
  <c r="H70" i="36" s="1"/>
  <c r="H90" i="36" s="1"/>
  <c r="J90" i="36" s="1"/>
  <c r="L90" i="36" s="1"/>
  <c r="H20" i="13"/>
  <c r="L28" i="35"/>
  <c r="H17" i="39" s="1"/>
  <c r="H37" i="39" s="1"/>
  <c r="J24" i="13"/>
  <c r="G23" i="13"/>
  <c r="M27" i="35"/>
  <c r="H70" i="38" s="1"/>
  <c r="H90" i="38" s="1"/>
  <c r="J90" i="38" s="1"/>
  <c r="L90" i="38" s="1"/>
  <c r="L18" i="8"/>
  <c r="M23" i="8"/>
  <c r="L135" i="36"/>
  <c r="M23" i="7"/>
  <c r="J21" i="11"/>
  <c r="L26" i="13"/>
  <c r="I20" i="13"/>
  <c r="N24" i="35"/>
  <c r="H71" i="36" s="1"/>
  <c r="H91" i="36" s="1"/>
  <c r="J91" i="36" s="1"/>
  <c r="L91" i="36" s="1"/>
  <c r="L18" i="6"/>
  <c r="M25" i="6"/>
  <c r="L27" i="35"/>
  <c r="H69" i="38" s="1"/>
  <c r="H89" i="38" s="1"/>
  <c r="F23" i="13"/>
  <c r="H126" i="38"/>
  <c r="J126" i="38" s="1"/>
  <c r="L126" i="38" s="1"/>
  <c r="J41" i="38"/>
  <c r="L41" i="38" s="1"/>
  <c r="L42" i="40" l="1"/>
  <c r="E25" i="29" s="1"/>
  <c r="D13" i="35"/>
  <c r="D26" i="35"/>
  <c r="H14" i="38" s="1"/>
  <c r="H32" i="38" s="1"/>
  <c r="F14" i="38"/>
  <c r="F32" i="38" s="1"/>
  <c r="J57" i="40"/>
  <c r="L139" i="38"/>
  <c r="J140" i="38"/>
  <c r="L140" i="38" s="1"/>
  <c r="O23" i="13"/>
  <c r="M21" i="35"/>
  <c r="H70" i="30" s="1"/>
  <c r="H90" i="30" s="1"/>
  <c r="J90" i="30" s="1"/>
  <c r="L90" i="30" s="1"/>
  <c r="G17" i="13"/>
  <c r="H94" i="38"/>
  <c r="J89" i="38"/>
  <c r="L89" i="38" s="1"/>
  <c r="O24" i="13"/>
  <c r="O20" i="13"/>
  <c r="I26" i="13"/>
  <c r="M20" i="35"/>
  <c r="H18" i="30" s="1"/>
  <c r="H38" i="30" s="1"/>
  <c r="J38" i="30" s="1"/>
  <c r="L38" i="30" s="1"/>
  <c r="G16" i="13"/>
  <c r="M23" i="5"/>
  <c r="F17" i="11"/>
  <c r="F16" i="11"/>
  <c r="F18" i="11"/>
  <c r="F19" i="11"/>
  <c r="M27" i="6"/>
  <c r="L25" i="35"/>
  <c r="H17" i="37" s="1"/>
  <c r="H37" i="37" s="1"/>
  <c r="J21" i="13"/>
  <c r="M25" i="8"/>
  <c r="F22" i="11"/>
  <c r="H42" i="39"/>
  <c r="J37" i="39"/>
  <c r="L37" i="39" s="1"/>
  <c r="H94" i="36"/>
  <c r="J89" i="36"/>
  <c r="L89" i="36" s="1"/>
  <c r="H124" i="36"/>
  <c r="J124" i="36" s="1"/>
  <c r="L124" i="36" s="1"/>
  <c r="J39" i="36"/>
  <c r="L39" i="36" s="1"/>
  <c r="H26" i="13"/>
  <c r="M22" i="35"/>
  <c r="H122" i="30" s="1"/>
  <c r="H142" i="30" s="1"/>
  <c r="J142" i="30" s="1"/>
  <c r="L142" i="30" s="1"/>
  <c r="G18" i="13"/>
  <c r="H123" i="36"/>
  <c r="J123" i="36" s="1"/>
  <c r="L123" i="36" s="1"/>
  <c r="J38" i="36"/>
  <c r="L38" i="36" s="1"/>
  <c r="H123" i="38"/>
  <c r="J123" i="38" s="1"/>
  <c r="L123" i="38" s="1"/>
  <c r="J38" i="38"/>
  <c r="L38" i="38" s="1"/>
  <c r="L57" i="40"/>
  <c r="M25" i="29" s="1"/>
  <c r="L25" i="29"/>
  <c r="J32" i="38" l="1"/>
  <c r="L32" i="38" s="1"/>
  <c r="F57" i="38"/>
  <c r="D14" i="35"/>
  <c r="D27" i="35"/>
  <c r="H66" i="38" s="1"/>
  <c r="H84" i="38" s="1"/>
  <c r="F66" i="38"/>
  <c r="F84" i="38" s="1"/>
  <c r="F109" i="38" s="1"/>
  <c r="J42" i="39"/>
  <c r="J37" i="37"/>
  <c r="L37" i="37" s="1"/>
  <c r="H42" i="37"/>
  <c r="L20" i="35"/>
  <c r="H17" i="30" s="1"/>
  <c r="H37" i="30" s="1"/>
  <c r="F16" i="13"/>
  <c r="L21" i="35"/>
  <c r="H69" i="30" s="1"/>
  <c r="H89" i="30" s="1"/>
  <c r="F17" i="13"/>
  <c r="L26" i="35"/>
  <c r="H17" i="38" s="1"/>
  <c r="H37" i="38" s="1"/>
  <c r="F22" i="13"/>
  <c r="H109" i="36"/>
  <c r="J94" i="36"/>
  <c r="L23" i="35"/>
  <c r="H17" i="36" s="1"/>
  <c r="H37" i="36" s="1"/>
  <c r="F19" i="13"/>
  <c r="O21" i="13"/>
  <c r="J26" i="13"/>
  <c r="L22" i="35"/>
  <c r="H121" i="30" s="1"/>
  <c r="H141" i="30" s="1"/>
  <c r="F18" i="13"/>
  <c r="G26" i="13"/>
  <c r="J94" i="38"/>
  <c r="H109" i="38"/>
  <c r="F117" i="38" l="1"/>
  <c r="F142" i="38" s="1"/>
  <c r="J84" i="38"/>
  <c r="L84" i="38" s="1"/>
  <c r="D28" i="35"/>
  <c r="H14" i="39" s="1"/>
  <c r="H32" i="39" s="1"/>
  <c r="F14" i="39"/>
  <c r="F32" i="39" s="1"/>
  <c r="F57" i="39" s="1"/>
  <c r="H117" i="38"/>
  <c r="J117" i="38" s="1"/>
  <c r="L117" i="38" s="1"/>
  <c r="H122" i="36"/>
  <c r="H42" i="36"/>
  <c r="J37" i="36"/>
  <c r="L37" i="36" s="1"/>
  <c r="J37" i="30"/>
  <c r="L37" i="30" s="1"/>
  <c r="H42" i="30"/>
  <c r="L42" i="39"/>
  <c r="E23" i="29" s="1"/>
  <c r="D23" i="29"/>
  <c r="O18" i="13"/>
  <c r="O17" i="13"/>
  <c r="H57" i="37"/>
  <c r="J42" i="37"/>
  <c r="H122" i="38"/>
  <c r="H42" i="38"/>
  <c r="J37" i="38"/>
  <c r="L37" i="38" s="1"/>
  <c r="L94" i="38"/>
  <c r="E20" i="29" s="1"/>
  <c r="D20" i="29"/>
  <c r="J109" i="38"/>
  <c r="H146" i="30"/>
  <c r="J141" i="30"/>
  <c r="L141" i="30" s="1"/>
  <c r="O19" i="13"/>
  <c r="O22" i="13"/>
  <c r="H94" i="30"/>
  <c r="J89" i="30"/>
  <c r="L89" i="30" s="1"/>
  <c r="O16" i="13"/>
  <c r="F26" i="13"/>
  <c r="L94" i="36"/>
  <c r="E14" i="29" s="1"/>
  <c r="D14" i="29"/>
  <c r="J109" i="36"/>
  <c r="J32" i="39" l="1"/>
  <c r="H57" i="39"/>
  <c r="L20" i="29"/>
  <c r="L109" i="38"/>
  <c r="M20" i="29" s="1"/>
  <c r="H57" i="38"/>
  <c r="J42" i="38"/>
  <c r="J42" i="30"/>
  <c r="H57" i="30"/>
  <c r="H127" i="36"/>
  <c r="J122" i="36"/>
  <c r="L122" i="36" s="1"/>
  <c r="J94" i="30"/>
  <c r="H109" i="30"/>
  <c r="J122" i="38"/>
  <c r="L122" i="38" s="1"/>
  <c r="H127" i="38"/>
  <c r="L109" i="36"/>
  <c r="M14" i="29" s="1"/>
  <c r="L14" i="29"/>
  <c r="O26" i="13"/>
  <c r="O28" i="13" s="1"/>
  <c r="O30" i="13" s="1"/>
  <c r="O31" i="13" s="1"/>
  <c r="L42" i="37"/>
  <c r="E17" i="29" s="1"/>
  <c r="J57" i="37"/>
  <c r="D17" i="29"/>
  <c r="J146" i="30"/>
  <c r="H161" i="30"/>
  <c r="J42" i="36"/>
  <c r="H57" i="36"/>
  <c r="L32" i="39" l="1"/>
  <c r="J57" i="39"/>
  <c r="L42" i="36"/>
  <c r="E13" i="29" s="1"/>
  <c r="J57" i="36"/>
  <c r="D13" i="29"/>
  <c r="J127" i="36"/>
  <c r="H142" i="36"/>
  <c r="J57" i="38"/>
  <c r="D19" i="29"/>
  <c r="L42" i="38"/>
  <c r="E19" i="29" s="1"/>
  <c r="D11" i="29"/>
  <c r="L146" i="30"/>
  <c r="E11" i="29" s="1"/>
  <c r="J161" i="30"/>
  <c r="D10" i="29"/>
  <c r="J109" i="30"/>
  <c r="L94" i="30"/>
  <c r="E10" i="29" s="1"/>
  <c r="L42" i="30"/>
  <c r="E9" i="29" s="1"/>
  <c r="D9" i="29"/>
  <c r="J57" i="30"/>
  <c r="L57" i="37"/>
  <c r="M17" i="29" s="1"/>
  <c r="L17" i="29"/>
  <c r="J127" i="38"/>
  <c r="H142" i="38"/>
  <c r="L57" i="39" l="1"/>
  <c r="M23" i="29" s="1"/>
  <c r="L23" i="29"/>
  <c r="L127" i="38"/>
  <c r="E21" i="29" s="1"/>
  <c r="D21" i="29"/>
  <c r="J142" i="38"/>
  <c r="L127" i="36"/>
  <c r="D15" i="29"/>
  <c r="J142" i="36"/>
  <c r="L161" i="30"/>
  <c r="M11" i="29" s="1"/>
  <c r="L11" i="29"/>
  <c r="L57" i="38"/>
  <c r="M19" i="29" s="1"/>
  <c r="L19" i="29"/>
  <c r="L57" i="30"/>
  <c r="M9" i="29" s="1"/>
  <c r="L9" i="29"/>
  <c r="L109" i="30"/>
  <c r="M10" i="29" s="1"/>
  <c r="L10" i="29"/>
  <c r="L57" i="36"/>
  <c r="M13" i="29" s="1"/>
  <c r="L13" i="29"/>
  <c r="E15" i="29" l="1"/>
  <c r="L21" i="29"/>
  <c r="L142" i="38"/>
  <c r="M21" i="29" s="1"/>
  <c r="L142" i="36"/>
  <c r="M15" i="29" s="1"/>
  <c r="L15" i="29"/>
</calcChain>
</file>

<file path=xl/sharedStrings.xml><?xml version="1.0" encoding="utf-8"?>
<sst xmlns="http://schemas.openxmlformats.org/spreadsheetml/2006/main" count="1045" uniqueCount="263">
  <si>
    <t>Rate Group</t>
  </si>
  <si>
    <t>Monthly  Service Charge</t>
  </si>
  <si>
    <r>
      <t>Delivery
First 1,000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</si>
  <si>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Delivery
Over 1,000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</si>
  <si>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Delivery
Next 24,000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</si>
  <si>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Delivery
Over 25,000 m</t>
    </r>
    <r>
      <rPr>
        <vertAlign val="superscript"/>
        <sz val="11"/>
        <color theme="1"/>
        <rFont val="Calibri"/>
        <family val="2"/>
        <scheme val="minor"/>
      </rPr>
      <t>3</t>
    </r>
  </si>
  <si>
    <t>Delivery - Firm</t>
  </si>
  <si>
    <t>Demand - Firm</t>
  </si>
  <si>
    <t>Commodity</t>
  </si>
  <si>
    <t>Delivery - Int - Lower</t>
  </si>
  <si>
    <t>Delivery - Int - Upper</t>
  </si>
  <si>
    <t>Total</t>
  </si>
  <si>
    <t>RATE 1 - General Service Rate - Residential</t>
  </si>
  <si>
    <t>RATE 1 - General Service Rate - Commercial</t>
  </si>
  <si>
    <t>RATE 1 - General Service Rate - Industrial</t>
  </si>
  <si>
    <t>RATE 2 - Seasonal Service - Apr to Oct</t>
  </si>
  <si>
    <t>RATE 2 - Seasonal Service - Nov to Mar</t>
  </si>
  <si>
    <t>RATE 3 - Special Large Volume Contract Rate</t>
  </si>
  <si>
    <t>RATE 4 - General Service Peaking - Apr to Dec</t>
  </si>
  <si>
    <t>RATE 4 - General Service Peaking - Jan to Mar</t>
  </si>
  <si>
    <t>RATE 5 - Interruptible Peaking Contract Rate</t>
  </si>
  <si>
    <t>RATE 6 - Integrated Grain Processors Co-Operative Aylmer Ethanol Production Facility</t>
  </si>
  <si>
    <t>Distributor Information</t>
  </si>
  <si>
    <t>Distributor Name</t>
  </si>
  <si>
    <r>
      <t>Delivery
First 1,000 m</t>
    </r>
    <r>
      <rPr>
        <vertAlign val="superscript"/>
        <sz val="12"/>
        <color theme="1"/>
        <rFont val="Arial"/>
        <family val="2"/>
      </rPr>
      <t>3</t>
    </r>
  </si>
  <si>
    <r>
      <t>Delivery
Over 1,000 m</t>
    </r>
    <r>
      <rPr>
        <vertAlign val="superscript"/>
        <sz val="12"/>
        <color theme="1"/>
        <rFont val="Arial"/>
        <family val="2"/>
      </rPr>
      <t>3</t>
    </r>
  </si>
  <si>
    <r>
      <t>Delivery
Next 24,000 m</t>
    </r>
    <r>
      <rPr>
        <vertAlign val="superscript"/>
        <sz val="12"/>
        <color theme="1"/>
        <rFont val="Arial"/>
        <family val="2"/>
      </rPr>
      <t>3</t>
    </r>
  </si>
  <si>
    <r>
      <t>Delivery
Over 25,000 m</t>
    </r>
    <r>
      <rPr>
        <vertAlign val="superscript"/>
        <sz val="12"/>
        <color theme="1"/>
        <rFont val="Arial"/>
        <family val="2"/>
      </rPr>
      <t>3</t>
    </r>
  </si>
  <si>
    <t>Monthly Service Charge</t>
  </si>
  <si>
    <t>Delivery
First 1,000 m3</t>
  </si>
  <si>
    <t>Delivery
Over 1,000 m3</t>
  </si>
  <si>
    <t>GDP-IPI</t>
  </si>
  <si>
    <t>Less Productivity</t>
  </si>
  <si>
    <t>Less Stretch Factor</t>
  </si>
  <si>
    <t>Price Cap Adjustment</t>
  </si>
  <si>
    <t>Current Rate</t>
  </si>
  <si>
    <t>Price Cap</t>
  </si>
  <si>
    <t>Billing Determinants</t>
  </si>
  <si>
    <t>Balanced Rates</t>
  </si>
  <si>
    <t>Delivery First 1,000 m3 - Apr To Oct</t>
  </si>
  <si>
    <t>Delivery Next 24,000 m3 - Apr To Oct</t>
  </si>
  <si>
    <t>Delivery Over 25,000 m3 - Apr To Oct</t>
  </si>
  <si>
    <t>Delivery First 1,000 m3 - Nov To Mar</t>
  </si>
  <si>
    <t>Delivery Next 24,000 m3 - Nov To Mar</t>
  </si>
  <si>
    <t>Delivery Over 25,000 m3 - Nov To Mar</t>
  </si>
  <si>
    <t>Delivery Firm</t>
  </si>
  <si>
    <t>Demand Firm</t>
  </si>
  <si>
    <t>Delivery First 1,000 m3 - Apr To Dec</t>
  </si>
  <si>
    <t>Delivery First 1,000 m3 - Jan To Mar</t>
  </si>
  <si>
    <t>Delivery Over 1,000 m3 - Apr To Dec</t>
  </si>
  <si>
    <t>Delivery Over 1,000 m3 - Jan To Mar</t>
  </si>
  <si>
    <t>OEB Application Number</t>
  </si>
  <si>
    <t>Proposed Rate</t>
  </si>
  <si>
    <t>System Gas Charge</t>
  </si>
  <si>
    <t>Total Delivery</t>
  </si>
  <si>
    <t>Change $</t>
  </si>
  <si>
    <t>Change %</t>
  </si>
  <si>
    <t>Rate 1 Delivery Bill Impact</t>
  </si>
  <si>
    <t>Rate 2 Delivery Bill Impact</t>
  </si>
  <si>
    <t>Rate 3 Delivery Bill Impact</t>
  </si>
  <si>
    <t>Rate 4 Delivery Bill Impact</t>
  </si>
  <si>
    <t>Rate 5 Delivery Bill Impact</t>
  </si>
  <si>
    <t>Current Distribution Tariff Sheet Rates</t>
  </si>
  <si>
    <t>Proposed Distribution Tariff Sheet Rates</t>
  </si>
  <si>
    <t>Description</t>
  </si>
  <si>
    <t>Effective Until</t>
  </si>
  <si>
    <t>Current Rate Riders</t>
  </si>
  <si>
    <t>Rate Riders</t>
  </si>
  <si>
    <t>Delivery</t>
  </si>
  <si>
    <t>Total Rate Riders</t>
  </si>
  <si>
    <t>Total Bill Impact</t>
  </si>
  <si>
    <t>Number of Customers</t>
  </si>
  <si>
    <t>Per Customer Per Month</t>
  </si>
  <si>
    <t>No Change</t>
  </si>
  <si>
    <t>Change</t>
  </si>
  <si>
    <t>Rate 1 Price Cap Adjustment</t>
  </si>
  <si>
    <t>Rate 2 Price Cap Adjustment</t>
  </si>
  <si>
    <t>Rate 3 Price Cap Adjustment</t>
  </si>
  <si>
    <t>Rate 4 Price Cap Adjustment</t>
  </si>
  <si>
    <t>Rate 5 Price Cap Adjustment</t>
  </si>
  <si>
    <t>Rate 6 Price Cap Adjustment</t>
  </si>
  <si>
    <t>Rate 6 Delivery Bill Impact</t>
  </si>
  <si>
    <t>Summary of Bill Impacts</t>
  </si>
  <si>
    <t>Rate Class</t>
  </si>
  <si>
    <t>Deferred Revenue Recovery</t>
  </si>
  <si>
    <t>September 30, 2014</t>
  </si>
  <si>
    <t>1 Placeholder rate for average application</t>
  </si>
  <si>
    <t>EPCOR Natural Gas Limited Partnership</t>
  </si>
  <si>
    <t>Effective for 12 months</t>
  </si>
  <si>
    <t>Revenue from Current Rates</t>
  </si>
  <si>
    <t>Revenue</t>
  </si>
  <si>
    <t>Proposed Revenue from Rates</t>
  </si>
  <si>
    <t>Proposed Revenue</t>
  </si>
  <si>
    <t>Current Revenue</t>
  </si>
  <si>
    <t>EB-2020-0234 Exhibit A - 2021 IRM Application</t>
  </si>
  <si>
    <t>Volume (m3)</t>
  </si>
  <si>
    <t>Disposition Amount ($)</t>
  </si>
  <si>
    <t>Proposed Rate Rider (cents / m3)</t>
  </si>
  <si>
    <t>PGTVA</t>
  </si>
  <si>
    <t>REDA</t>
  </si>
  <si>
    <t>ADVADA</t>
  </si>
  <si>
    <t>Proposed Rate Rider ($ / customer / month)</t>
  </si>
  <si>
    <t>AVDADA</t>
  </si>
  <si>
    <t>$ / customer / month</t>
  </si>
  <si>
    <t>PGTVA Rates 1 - 5</t>
  </si>
  <si>
    <t>PGTVA Rate Classes 1 - 5</t>
  </si>
  <si>
    <t>PGTVA Rate Class 6</t>
  </si>
  <si>
    <t>cents / m3</t>
  </si>
  <si>
    <t>Carbon Tax</t>
  </si>
  <si>
    <t>Rate 1 - 5</t>
  </si>
  <si>
    <t>Rate 6</t>
  </si>
  <si>
    <t>Rate Rider Unit</t>
  </si>
  <si>
    <t xml:space="preserve">Proposed Rate Rider </t>
  </si>
  <si>
    <t>Summary of Rates and Rate Riders</t>
  </si>
  <si>
    <t>Dist. Vol. Rate Tier 1</t>
  </si>
  <si>
    <t>Dist. Vol. Rate Tier 2</t>
  </si>
  <si>
    <t>Dist. Vol. Rate Tier 3</t>
  </si>
  <si>
    <t>Dist. Capacity Rate</t>
  </si>
  <si>
    <t>Dist. Customer Rate</t>
  </si>
  <si>
    <t>System Gas</t>
  </si>
  <si>
    <t>Current Rates</t>
  </si>
  <si>
    <t>Proposed Rates</t>
  </si>
  <si>
    <t>Label</t>
  </si>
  <si>
    <t>Block 1 (First 1,000 m3 per month)</t>
  </si>
  <si>
    <t>Block 2 (Over 1,000 m3 per month)</t>
  </si>
  <si>
    <t>Block 2 (Next 24,000 m3 per month)</t>
  </si>
  <si>
    <t>Block 3 (Over 25,000 m3 per month)</t>
  </si>
  <si>
    <t>Average Bill Determinant per Customer</t>
  </si>
  <si>
    <t>Unit</t>
  </si>
  <si>
    <t>$ / month</t>
  </si>
  <si>
    <t>Current</t>
  </si>
  <si>
    <t>Proposed</t>
  </si>
  <si>
    <t>Look-up</t>
  </si>
  <si>
    <t>Bill Determinant</t>
  </si>
  <si>
    <t>Federal Carbon</t>
  </si>
  <si>
    <t>Facility Carbon</t>
  </si>
  <si>
    <t>Total Carbon Tax</t>
  </si>
  <si>
    <t>RATE 2 - Seasonal Service - Annual</t>
  </si>
  <si>
    <t>Change in Delivery Charge ($ / year / customer)</t>
  </si>
  <si>
    <t>Change in Total Bill ($ / year / customer)</t>
  </si>
  <si>
    <t>Change in Delivery Charge (%)</t>
  </si>
  <si>
    <t>Change in Total Bill (%)</t>
  </si>
  <si>
    <t>Billing Determinants - Actuals January 1, 2019 to December 31, 2019</t>
  </si>
  <si>
    <t>cents per m3</t>
  </si>
  <si>
    <t>$ per Customer Per Month</t>
  </si>
  <si>
    <t>ADVADA Rate 6</t>
  </si>
  <si>
    <t>ADVADA Rate 1 - 5</t>
  </si>
  <si>
    <t>Proposed Rate Riders</t>
  </si>
  <si>
    <t>RATE 4 - General Service Peaking - Annual</t>
  </si>
  <si>
    <t>Bill 32</t>
  </si>
  <si>
    <t>Customer (excl. Bill 32)</t>
  </si>
  <si>
    <t>Monthly  Service Charge (excl. Bill 32)</t>
  </si>
  <si>
    <t>Current Rate (excl. Bill 32)</t>
  </si>
  <si>
    <t>Adjusted Rates (excl. Bill 32)</t>
  </si>
  <si>
    <t>$='G1.1 Rate 1 Bill Impact'!J50</t>
  </si>
  <si>
    <t>$='G1.1 Rate 1 Bill Impact'!L50</t>
  </si>
  <si>
    <t>$='G1.1 Rate 1 Bill Impact'!J102</t>
  </si>
  <si>
    <t>$='G1.1 Rate 1 Bill Impact'!L102</t>
  </si>
  <si>
    <t>$='G1.1 Rate 1 Bill Impact'!J154</t>
  </si>
  <si>
    <t>$='G1.1 Rate 1 Bill Impact'!L154</t>
  </si>
  <si>
    <t>$='G1.2 Rate 2 Bill Impact'!J50</t>
  </si>
  <si>
    <t>$='G1.2 Rate 2 Bill Impact'!L50</t>
  </si>
  <si>
    <t>$='G1.2 Rate 2 Bill Impact'!J102</t>
  </si>
  <si>
    <t>$='G1.2 Rate 2 Bill Impact'!L102</t>
  </si>
  <si>
    <t>$='G1.2 Rate 2 Bill Impact'!J135</t>
  </si>
  <si>
    <t>$='G1.2 Rate 2 Bill Impact'!L135</t>
  </si>
  <si>
    <t>$='G1.3 Rate 3 Bill Impact'!J50</t>
  </si>
  <si>
    <t>$='G1.3 Rate 3 Bill Impact'!L50</t>
  </si>
  <si>
    <t>$='G1.4 Rate 4 Bill Impact'!J50</t>
  </si>
  <si>
    <t>$='G1.4 Rate 4 Bill Impact'!L50</t>
  </si>
  <si>
    <t>$='G1.4 Rate 4 Bill Impact'!J102</t>
  </si>
  <si>
    <t>$='G1.4 Rate 4 Bill Impact'!L102</t>
  </si>
  <si>
    <t>$='G1.4 Rate 4 Bill Impact'!J135</t>
  </si>
  <si>
    <t>$='G1.4 Rate 4 Bill Impact'!L135</t>
  </si>
  <si>
    <t>$='G1.5 Rate 5 Bill Impact'!J50</t>
  </si>
  <si>
    <t>$='G1.5 Rate 5 Bill Impact'!L50</t>
  </si>
  <si>
    <t>$='G1.6 Rate 6 Bill Impact'!J50</t>
  </si>
  <si>
    <t>$='G1.6 Rate 6 Bill Impact'!L50</t>
  </si>
  <si>
    <t>Change in REDA ($ / year / customer)</t>
  </si>
  <si>
    <t>Change in REDA (%)</t>
  </si>
  <si>
    <t>Change in PGTVA ($ / year / customer)</t>
  </si>
  <si>
    <t>Change in PGTVA (%)</t>
  </si>
  <si>
    <t>Change in AVDADA ($ / year / customer)</t>
  </si>
  <si>
    <t>Change in AVDADA (%)</t>
  </si>
  <si>
    <t>$='G1.1 Rate 1 Bill Impact'!J47</t>
  </si>
  <si>
    <t>$='G1.1 Rate 1 Bill Impact'!J99</t>
  </si>
  <si>
    <t>$='G1.1 Rate 1 Bill Impact'!J151</t>
  </si>
  <si>
    <t>$='G1.2 Rate 2 Bill Impact'!J47</t>
  </si>
  <si>
    <t>$='G1.2 Rate 2 Bill Impact'!J99</t>
  </si>
  <si>
    <t>$='G1.2 Rate 2 Bill Impact'!J132</t>
  </si>
  <si>
    <t>$='G1.3 Rate 3 Bill Impact'!J47</t>
  </si>
  <si>
    <t>$='G1.4 Rate 4 Bill Impact'!J47</t>
  </si>
  <si>
    <t>$='G1.4 Rate 4 Bill Impact'!J99</t>
  </si>
  <si>
    <t>$='G1.4 Rate 4 Bill Impact'!J132</t>
  </si>
  <si>
    <t>$='G1.5 Rate 5 Bill Impact'!J47</t>
  </si>
  <si>
    <t>$='G1.6 Rate 6 Bill Impact'!J47</t>
  </si>
  <si>
    <t>$='G1.1 Rate 1 Bill Impact'!J48</t>
  </si>
  <si>
    <t>$='G1.1 Rate 1 Bill Impact'!J100</t>
  </si>
  <si>
    <t>$='G1.1 Rate 1 Bill Impact'!J152</t>
  </si>
  <si>
    <t>$='G1.2 Rate 2 Bill Impact'!J48</t>
  </si>
  <si>
    <t>$='G1.2 Rate 2 Bill Impact'!J100</t>
  </si>
  <si>
    <t>$='G1.2 Rate 2 Bill Impact'!J133</t>
  </si>
  <si>
    <t>$='G1.3 Rate 3 Bill Impact'!J48</t>
  </si>
  <si>
    <t>$='G1.4 Rate 4 Bill Impact'!J48</t>
  </si>
  <si>
    <t>$='G1.4 Rate 4 Bill Impact'!J100</t>
  </si>
  <si>
    <t>$='G1.4 Rate 4 Bill Impact'!J133</t>
  </si>
  <si>
    <t>$='G1.5 Rate 5 Bill Impact'!J48</t>
  </si>
  <si>
    <t>$='G1.6 Rate 6 Bill Impact'!J48</t>
  </si>
  <si>
    <t>$='G1.1 Rate 1 Bill Impact'!J49</t>
  </si>
  <si>
    <t>$='G1.1 Rate 1 Bill Impact'!J101</t>
  </si>
  <si>
    <t>$='G1.1 Rate 1 Bill Impact'!J153</t>
  </si>
  <si>
    <t>$='G1.2 Rate 2 Bill Impact'!J49</t>
  </si>
  <si>
    <t>$='G1.2 Rate 2 Bill Impact'!J101</t>
  </si>
  <si>
    <t>$='G1.2 Rate 2 Bill Impact'!J134</t>
  </si>
  <si>
    <t>$='G1.3 Rate 3 Bill Impact'!J49</t>
  </si>
  <si>
    <t>$='G1.4 Rate 4 Bill Impact'!J49</t>
  </si>
  <si>
    <t>$='G1.4 Rate 4 Bill Impact'!J101</t>
  </si>
  <si>
    <t>$='G1.4 Rate 4 Bill Impact'!J134</t>
  </si>
  <si>
    <t>$='G1.5 Rate 5 Bill Impact'!J49</t>
  </si>
  <si>
    <t>$='G1.6 Rate 6 Bill Impact'!J49</t>
  </si>
  <si>
    <t>$='G1.1 Rate 1 Bill Impact'!L47</t>
  </si>
  <si>
    <t>$='G1.1 Rate 1 Bill Impact'!L99</t>
  </si>
  <si>
    <t>$='G1.1 Rate 1 Bill Impact'!L151</t>
  </si>
  <si>
    <t>$='G1.2 Rate 2 Bill Impact'!L47</t>
  </si>
  <si>
    <t>$='G1.2 Rate 2 Bill Impact'!L99</t>
  </si>
  <si>
    <t>$='G1.2 Rate 2 Bill Impact'!L132</t>
  </si>
  <si>
    <t>$='G1.3 Rate 3 Bill Impact'!L47</t>
  </si>
  <si>
    <t>$='G1.4 Rate 4 Bill Impact'!L47</t>
  </si>
  <si>
    <t>$='G1.4 Rate 4 Bill Impact'!L99</t>
  </si>
  <si>
    <t>$='G1.4 Rate 4 Bill Impact'!L132</t>
  </si>
  <si>
    <t>$='G1.5 Rate 5 Bill Impact'!L47</t>
  </si>
  <si>
    <t>$='G1.6 Rate 6 Bill Impact'!L47</t>
  </si>
  <si>
    <t>$='G1.1 Rate 1 Bill Impact'!L48</t>
  </si>
  <si>
    <t>$='G1.1 Rate 1 Bill Impact'!L100</t>
  </si>
  <si>
    <t>$='G1.1 Rate 1 Bill Impact'!L152</t>
  </si>
  <si>
    <t>$='G1.2 Rate 2 Bill Impact'!L48</t>
  </si>
  <si>
    <t>$='G1.2 Rate 2 Bill Impact'!L100</t>
  </si>
  <si>
    <t>$='G1.2 Rate 2 Bill Impact'!L133</t>
  </si>
  <si>
    <t>$='G1.3 Rate 3 Bill Impact'!L48</t>
  </si>
  <si>
    <t>$='G1.4 Rate 4 Bill Impact'!L48</t>
  </si>
  <si>
    <t>$='G1.4 Rate 4 Bill Impact'!L100</t>
  </si>
  <si>
    <t>$='G1.4 Rate 4 Bill Impact'!L133</t>
  </si>
  <si>
    <t>$='G1.5 Rate 5 Bill Impact'!L48</t>
  </si>
  <si>
    <t>$='G1.6 Rate 6 Bill Impact'!L48</t>
  </si>
  <si>
    <t>$='G1.1 Rate 1 Bill Impact'!L49</t>
  </si>
  <si>
    <t>$='G1.1 Rate 1 Bill Impact'!L101</t>
  </si>
  <si>
    <t>$='G1.1 Rate 1 Bill Impact'!L153</t>
  </si>
  <si>
    <t>$='G1.2 Rate 2 Bill Impact'!L49</t>
  </si>
  <si>
    <t>$='G1.2 Rate 2 Bill Impact'!L101</t>
  </si>
  <si>
    <t>$='G1.2 Rate 2 Bill Impact'!L134</t>
  </si>
  <si>
    <t>$='G1.3 Rate 3 Bill Impact'!L49</t>
  </si>
  <si>
    <t>$='G1.4 Rate 4 Bill Impact'!L49</t>
  </si>
  <si>
    <t>$='G1.4 Rate 4 Bill Impact'!L101</t>
  </si>
  <si>
    <t>$='G1.4 Rate 4 Bill Impact'!L134</t>
  </si>
  <si>
    <t>$='G1.5 Rate 5 Bill Impact'!L49</t>
  </si>
  <si>
    <t>$='G1.6 Rate 6 Bill Impact'!L49</t>
  </si>
  <si>
    <t>Rates 1 - 5</t>
  </si>
  <si>
    <t>REDA (excl. DSM)</t>
  </si>
  <si>
    <t>DSM</t>
  </si>
  <si>
    <t>Number of Customers to Allocate</t>
  </si>
  <si>
    <t>Disposition Rate ($ / customer / month)</t>
  </si>
  <si>
    <t>REDA Cost Type</t>
  </si>
  <si>
    <t>2020 Rate including previously disallowed ratebase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</si>
</sst>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??_-;_-@_-"/>
    <numFmt numFmtId="168" formatCode="0.0000"/>
    <numFmt numFmtId="169" formatCode="_-* #,##0.0000_-;\-* #,##0.0000_-;_-* &quot;-&quot;??_-;_-@_-"/>
    <numFmt numFmtId="170" formatCode="0.0%"/>
    <numFmt numFmtId="171" formatCode="#,##0.0_);\(#,##0.0\)"/>
    <numFmt numFmtId="172" formatCode="_-* #,##0.00000_-;\-* #,##0.00000_-;_-* &quot;-&quot;??_-;_-@_-"/>
    <numFmt numFmtId="173" formatCode="_(* #,##0_);_(* \(#,##0\);_(* &quot;-&quot;??_);_(@_)"/>
    <numFmt numFmtId="174" formatCode="#,##0.0000_);\(#,##0.0000\)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name val="Arial"/>
      <family val="2"/>
    </font>
    <font>
      <i/>
      <sz val="12"/>
      <color rgb="FF0070C0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1" fillId="7" borderId="0" applyNumberFormat="0" applyBorder="0" applyAlignment="0" applyProtection="0"/>
    <xf numFmtId="0" fontId="7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7" applyNumberFormat="0" applyAlignment="0" applyProtection="0"/>
    <xf numFmtId="0" fontId="25" fillId="22" borderId="18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17" applyNumberFormat="0" applyAlignment="0" applyProtection="0"/>
    <xf numFmtId="0" fontId="32" fillId="0" borderId="22" applyNumberFormat="0" applyFill="0" applyAlignment="0" applyProtection="0"/>
    <xf numFmtId="0" fontId="33" fillId="12" borderId="0" applyNumberFormat="0" applyBorder="0" applyAlignment="0" applyProtection="0"/>
    <xf numFmtId="0" fontId="7" fillId="0" borderId="0"/>
    <xf numFmtId="0" fontId="7" fillId="9" borderId="23" applyNumberFormat="0" applyFont="0" applyAlignment="0" applyProtection="0"/>
    <xf numFmtId="0" fontId="34" fillId="21" borderId="24" applyNumberFormat="0" applyAlignment="0" applyProtection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2" fillId="0" borderId="0" applyNumberFormat="0" applyFill="0" applyBorder="0" applyAlignment="0" applyProtection="0"/>
    <xf numFmtId="41" fontId="3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Protection="1">
      <protection locked="0"/>
    </xf>
    <xf numFmtId="0" fontId="10" fillId="4" borderId="0" xfId="0" applyFont="1" applyFill="1" applyBorder="1" applyAlignment="1" applyProtection="1"/>
    <xf numFmtId="0" fontId="9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8" fillId="0" borderId="0" xfId="0" applyFont="1" applyProtection="1"/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14" fillId="0" borderId="0" xfId="0" applyFont="1" applyProtection="1"/>
    <xf numFmtId="165" fontId="0" fillId="0" borderId="0" xfId="0" applyNumberFormat="1" applyProtection="1"/>
    <xf numFmtId="10" fontId="0" fillId="0" borderId="0" xfId="0" applyNumberFormat="1" applyProtection="1"/>
    <xf numFmtId="0" fontId="0" fillId="0" borderId="0" xfId="0" applyAlignment="1" applyProtection="1">
      <alignment horizontal="right" wrapText="1"/>
    </xf>
    <xf numFmtId="171" fontId="0" fillId="0" borderId="0" xfId="0" applyNumberFormat="1" applyProtection="1"/>
    <xf numFmtId="0" fontId="15" fillId="0" borderId="0" xfId="0" applyFont="1" applyProtection="1"/>
    <xf numFmtId="0" fontId="2" fillId="0" borderId="0" xfId="0" applyFont="1" applyAlignment="1" applyProtection="1">
      <alignment horizontal="right" wrapText="1"/>
    </xf>
    <xf numFmtId="0" fontId="0" fillId="0" borderId="0" xfId="0" quotePrefix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right" wrapText="1"/>
    </xf>
    <xf numFmtId="166" fontId="0" fillId="5" borderId="0" xfId="1" applyNumberFormat="1" applyFont="1" applyFill="1" applyProtection="1"/>
    <xf numFmtId="166" fontId="0" fillId="3" borderId="0" xfId="1" applyNumberFormat="1" applyFont="1" applyFill="1" applyProtection="1"/>
    <xf numFmtId="39" fontId="0" fillId="3" borderId="0" xfId="1" applyNumberFormat="1" applyFont="1" applyFill="1" applyProtection="1"/>
    <xf numFmtId="166" fontId="0" fillId="3" borderId="2" xfId="0" applyNumberFormat="1" applyFill="1" applyBorder="1" applyProtection="1"/>
    <xf numFmtId="167" fontId="0" fillId="3" borderId="0" xfId="2" applyNumberFormat="1" applyFont="1" applyFill="1" applyProtection="1"/>
    <xf numFmtId="167" fontId="0" fillId="3" borderId="1" xfId="0" applyNumberFormat="1" applyFill="1" applyBorder="1" applyProtection="1"/>
    <xf numFmtId="39" fontId="0" fillId="5" borderId="0" xfId="1" applyNumberFormat="1" applyFont="1" applyFill="1" applyProtection="1"/>
    <xf numFmtId="10" fontId="0" fillId="3" borderId="0" xfId="0" applyNumberFormat="1" applyFill="1" applyProtection="1"/>
    <xf numFmtId="165" fontId="0" fillId="3" borderId="0" xfId="1" applyFont="1" applyFill="1" applyProtection="1"/>
    <xf numFmtId="169" fontId="0" fillId="3" borderId="0" xfId="1" applyNumberFormat="1" applyFont="1" applyFill="1" applyProtection="1"/>
    <xf numFmtId="10" fontId="0" fillId="5" borderId="0" xfId="0" applyNumberFormat="1" applyFill="1" applyProtection="1"/>
    <xf numFmtId="10" fontId="0" fillId="3" borderId="2" xfId="0" applyNumberFormat="1" applyFill="1" applyBorder="1" applyProtection="1"/>
    <xf numFmtId="169" fontId="0" fillId="3" borderId="0" xfId="0" applyNumberFormat="1" applyFill="1" applyProtection="1"/>
    <xf numFmtId="165" fontId="15" fillId="3" borderId="2" xfId="0" applyNumberFormat="1" applyFont="1" applyFill="1" applyBorder="1" applyProtection="1"/>
    <xf numFmtId="165" fontId="15" fillId="3" borderId="2" xfId="1" applyFont="1" applyFill="1" applyBorder="1" applyProtection="1"/>
    <xf numFmtId="170" fontId="15" fillId="3" borderId="2" xfId="7" applyNumberFormat="1" applyFont="1" applyFill="1" applyBorder="1" applyAlignment="1" applyProtection="1">
      <alignment horizontal="center"/>
    </xf>
    <xf numFmtId="39" fontId="15" fillId="3" borderId="2" xfId="0" applyNumberFormat="1" applyFont="1" applyFill="1" applyBorder="1" applyProtection="1"/>
    <xf numFmtId="165" fontId="15" fillId="3" borderId="1" xfId="0" applyNumberFormat="1" applyFont="1" applyFill="1" applyBorder="1" applyProtection="1"/>
    <xf numFmtId="170" fontId="15" fillId="3" borderId="1" xfId="7" applyNumberFormat="1" applyFont="1" applyFill="1" applyBorder="1" applyAlignment="1" applyProtection="1">
      <alignment horizontal="center"/>
    </xf>
    <xf numFmtId="166" fontId="0" fillId="2" borderId="0" xfId="1" applyNumberFormat="1" applyFont="1" applyFill="1" applyProtection="1"/>
    <xf numFmtId="172" fontId="0" fillId="0" borderId="0" xfId="0" applyNumberFormat="1" applyProtection="1"/>
    <xf numFmtId="0" fontId="17" fillId="0" borderId="0" xfId="0" applyFont="1" applyAlignment="1" applyProtection="1">
      <alignment horizontal="left" vertical="top"/>
    </xf>
    <xf numFmtId="0" fontId="1" fillId="3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left" indent="1"/>
    </xf>
    <xf numFmtId="0" fontId="1" fillId="0" borderId="0" xfId="0" applyFont="1" applyProtection="1"/>
    <xf numFmtId="166" fontId="0" fillId="3" borderId="1" xfId="0" applyNumberFormat="1" applyFill="1" applyBorder="1" applyProtection="1"/>
    <xf numFmtId="0" fontId="18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</xf>
    <xf numFmtId="165" fontId="1" fillId="3" borderId="0" xfId="1" applyFont="1" applyFill="1" applyProtection="1"/>
    <xf numFmtId="169" fontId="1" fillId="3" borderId="0" xfId="1" applyNumberFormat="1" applyFont="1" applyFill="1" applyProtection="1"/>
    <xf numFmtId="39" fontId="1" fillId="3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166" fontId="1" fillId="3" borderId="0" xfId="1" applyNumberFormat="1" applyFont="1" applyFill="1" applyProtection="1"/>
    <xf numFmtId="165" fontId="1" fillId="3" borderId="0" xfId="0" applyNumberFormat="1" applyFont="1" applyFill="1" applyProtection="1"/>
    <xf numFmtId="170" fontId="1" fillId="3" borderId="0" xfId="7" applyNumberFormat="1" applyFont="1" applyFill="1" applyAlignment="1" applyProtection="1">
      <alignment horizontal="center"/>
    </xf>
    <xf numFmtId="39" fontId="1" fillId="0" borderId="0" xfId="0" applyNumberFormat="1" applyFont="1" applyProtection="1"/>
    <xf numFmtId="167" fontId="0" fillId="0" borderId="0" xfId="0" applyNumberFormat="1" applyProtection="1"/>
    <xf numFmtId="167" fontId="0" fillId="0" borderId="1" xfId="0" applyNumberFormat="1" applyBorder="1" applyProtection="1"/>
    <xf numFmtId="167" fontId="0" fillId="0" borderId="0" xfId="2" applyNumberFormat="1" applyFont="1" applyProtection="1"/>
    <xf numFmtId="10" fontId="0" fillId="0" borderId="0" xfId="7" applyNumberFormat="1" applyFont="1" applyProtection="1"/>
    <xf numFmtId="165" fontId="0" fillId="3" borderId="0" xfId="0" applyNumberFormat="1" applyFill="1" applyProtection="1"/>
    <xf numFmtId="0" fontId="0" fillId="0" borderId="0" xfId="0" applyAlignment="1" applyProtection="1">
      <alignment horizontal="center"/>
    </xf>
    <xf numFmtId="170" fontId="0" fillId="0" borderId="0" xfId="7" applyNumberFormat="1" applyFont="1" applyAlignment="1" applyProtection="1">
      <alignment horizontal="center"/>
    </xf>
    <xf numFmtId="10" fontId="0" fillId="0" borderId="0" xfId="7" applyNumberFormat="1" applyFont="1" applyAlignment="1" applyProtection="1">
      <alignment horizontal="center"/>
    </xf>
    <xf numFmtId="0" fontId="1" fillId="6" borderId="3" xfId="0" applyFont="1" applyFill="1" applyBorder="1" applyProtection="1"/>
    <xf numFmtId="0" fontId="1" fillId="6" borderId="4" xfId="0" applyFont="1" applyFill="1" applyBorder="1" applyProtection="1"/>
    <xf numFmtId="0" fontId="1" fillId="6" borderId="5" xfId="0" applyFont="1" applyFill="1" applyBorder="1" applyAlignment="1" applyProtection="1">
      <alignment horizont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4" fillId="0" borderId="8" xfId="0" applyFont="1" applyBorder="1" applyProtection="1"/>
    <xf numFmtId="0" fontId="14" fillId="0" borderId="9" xfId="0" applyFont="1" applyBorder="1" applyProtection="1"/>
    <xf numFmtId="165" fontId="14" fillId="0" borderId="10" xfId="1" applyFont="1" applyFill="1" applyBorder="1" applyProtection="1"/>
    <xf numFmtId="0" fontId="14" fillId="0" borderId="10" xfId="0" applyFont="1" applyFill="1" applyBorder="1" applyProtection="1"/>
    <xf numFmtId="0" fontId="14" fillId="0" borderId="11" xfId="0" applyFont="1" applyFill="1" applyBorder="1" applyProtection="1"/>
    <xf numFmtId="0" fontId="14" fillId="0" borderId="12" xfId="0" applyFont="1" applyFill="1" applyBorder="1" applyProtection="1"/>
    <xf numFmtId="168" fontId="14" fillId="0" borderId="10" xfId="0" applyNumberFormat="1" applyFont="1" applyFill="1" applyBorder="1" applyProtection="1"/>
    <xf numFmtId="0" fontId="16" fillId="0" borderId="9" xfId="0" applyFont="1" applyFill="1" applyBorder="1" applyAlignment="1" applyProtection="1">
      <alignment horizontal="left" vertical="top"/>
    </xf>
    <xf numFmtId="0" fontId="14" fillId="0" borderId="8" xfId="0" applyFont="1" applyBorder="1" applyAlignment="1" applyProtection="1">
      <alignment wrapText="1"/>
    </xf>
    <xf numFmtId="0" fontId="14" fillId="0" borderId="9" xfId="0" applyFont="1" applyBorder="1" applyAlignment="1" applyProtection="1">
      <alignment wrapText="1"/>
    </xf>
    <xf numFmtId="0" fontId="1" fillId="6" borderId="3" xfId="0" applyFont="1" applyFill="1" applyBorder="1" applyAlignment="1" applyProtection="1">
      <alignment vertical="center"/>
    </xf>
    <xf numFmtId="0" fontId="1" fillId="6" borderId="4" xfId="0" applyFont="1" applyFill="1" applyBorder="1" applyAlignment="1" applyProtection="1">
      <alignment vertical="center"/>
    </xf>
    <xf numFmtId="0" fontId="14" fillId="0" borderId="2" xfId="0" applyFont="1" applyBorder="1" applyProtection="1"/>
    <xf numFmtId="165" fontId="14" fillId="0" borderId="10" xfId="1" applyFont="1" applyFill="1" applyBorder="1" applyAlignment="1" applyProtection="1"/>
    <xf numFmtId="169" fontId="14" fillId="0" borderId="10" xfId="1" applyNumberFormat="1" applyFont="1" applyFill="1" applyBorder="1" applyAlignment="1" applyProtection="1"/>
    <xf numFmtId="0" fontId="14" fillId="0" borderId="10" xfId="0" applyFont="1" applyFill="1" applyBorder="1" applyAlignment="1" applyProtection="1"/>
    <xf numFmtId="0" fontId="14" fillId="0" borderId="12" xfId="0" applyFont="1" applyFill="1" applyBorder="1" applyAlignment="1" applyProtection="1"/>
    <xf numFmtId="0" fontId="14" fillId="0" borderId="2" xfId="0" applyFont="1" applyBorder="1" applyAlignment="1" applyProtection="1">
      <alignment wrapText="1"/>
    </xf>
    <xf numFmtId="0" fontId="0" fillId="0" borderId="8" xfId="0" applyBorder="1" applyAlignment="1" applyProtection="1"/>
    <xf numFmtId="0" fontId="0" fillId="0" borderId="2" xfId="0" applyBorder="1" applyAlignment="1" applyProtection="1"/>
    <xf numFmtId="0" fontId="14" fillId="0" borderId="15" xfId="0" applyFont="1" applyBorder="1" applyAlignment="1" applyProtection="1"/>
    <xf numFmtId="0" fontId="14" fillId="0" borderId="1" xfId="0" applyFont="1" applyBorder="1" applyAlignment="1" applyProtection="1"/>
    <xf numFmtId="0" fontId="14" fillId="0" borderId="16" xfId="0" applyFont="1" applyBorder="1" applyAlignment="1" applyProtection="1"/>
    <xf numFmtId="0" fontId="14" fillId="6" borderId="13" xfId="0" applyFont="1" applyFill="1" applyBorder="1" applyProtection="1"/>
    <xf numFmtId="0" fontId="14" fillId="6" borderId="9" xfId="0" applyFont="1" applyFill="1" applyBorder="1" applyProtection="1"/>
    <xf numFmtId="0" fontId="1" fillId="6" borderId="10" xfId="0" applyFont="1" applyFill="1" applyBorder="1" applyAlignment="1" applyProtection="1">
      <alignment horizontal="center" wrapText="1"/>
    </xf>
    <xf numFmtId="0" fontId="14" fillId="0" borderId="13" xfId="0" applyFont="1" applyBorder="1" applyProtection="1"/>
    <xf numFmtId="0" fontId="15" fillId="0" borderId="13" xfId="0" applyFont="1" applyBorder="1" applyProtection="1"/>
    <xf numFmtId="0" fontId="15" fillId="0" borderId="9" xfId="0" applyFont="1" applyBorder="1" applyProtection="1"/>
    <xf numFmtId="0" fontId="14" fillId="0" borderId="13" xfId="0" applyFont="1" applyBorder="1" applyAlignment="1" applyProtection="1">
      <alignment wrapText="1"/>
    </xf>
    <xf numFmtId="0" fontId="19" fillId="6" borderId="10" xfId="0" applyFont="1" applyFill="1" applyBorder="1"/>
    <xf numFmtId="0" fontId="14" fillId="0" borderId="10" xfId="0" applyFont="1" applyBorder="1"/>
    <xf numFmtId="164" fontId="19" fillId="0" borderId="10" xfId="2" applyFont="1" applyBorder="1"/>
    <xf numFmtId="0" fontId="1" fillId="0" borderId="0" xfId="0" applyFont="1" applyAlignment="1" applyProtection="1">
      <alignment horizontal="center" wrapText="1"/>
    </xf>
    <xf numFmtId="0" fontId="1" fillId="2" borderId="0" xfId="0" applyFont="1" applyFill="1" applyProtection="1"/>
    <xf numFmtId="0" fontId="0" fillId="0" borderId="2" xfId="0" applyFill="1" applyBorder="1" applyAlignment="1" applyProtection="1"/>
    <xf numFmtId="0" fontId="0" fillId="0" borderId="14" xfId="0" applyFill="1" applyBorder="1" applyAlignment="1" applyProtection="1"/>
    <xf numFmtId="0" fontId="1" fillId="0" borderId="10" xfId="0" applyFont="1" applyBorder="1" applyAlignment="1" applyProtection="1">
      <alignment horizontal="center"/>
    </xf>
    <xf numFmtId="0" fontId="6" fillId="0" borderId="0" xfId="0" applyFont="1" applyFill="1" applyProtection="1"/>
    <xf numFmtId="0" fontId="0" fillId="0" borderId="0" xfId="0" applyFill="1" applyProtection="1"/>
    <xf numFmtId="169" fontId="14" fillId="0" borderId="12" xfId="1" applyNumberFormat="1" applyFont="1" applyFill="1" applyBorder="1" applyAlignment="1" applyProtection="1"/>
    <xf numFmtId="0" fontId="20" fillId="0" borderId="0" xfId="0" applyFont="1" applyProtection="1"/>
    <xf numFmtId="0" fontId="0" fillId="0" borderId="0" xfId="0" applyProtection="1"/>
    <xf numFmtId="0" fontId="0" fillId="6" borderId="27" xfId="0" applyFill="1" applyBorder="1" applyAlignment="1" applyProtection="1">
      <alignment horizontal="center" wrapText="1"/>
    </xf>
    <xf numFmtId="0" fontId="0" fillId="6" borderId="28" xfId="0" applyFill="1" applyBorder="1" applyAlignment="1" applyProtection="1">
      <alignment horizontal="center" wrapText="1"/>
    </xf>
    <xf numFmtId="0" fontId="14" fillId="0" borderId="10" xfId="0" quotePrefix="1" applyFont="1" applyFill="1" applyBorder="1" applyAlignment="1" applyProtection="1">
      <alignment horizontal="center" wrapText="1"/>
    </xf>
    <xf numFmtId="165" fontId="15" fillId="0" borderId="0" xfId="0" applyNumberFormat="1" applyFont="1" applyFill="1" applyBorder="1" applyProtection="1"/>
    <xf numFmtId="0" fontId="1" fillId="0" borderId="0" xfId="0" applyFont="1" applyFill="1" applyProtection="1"/>
    <xf numFmtId="39" fontId="15" fillId="0" borderId="0" xfId="0" applyNumberFormat="1" applyFont="1" applyFill="1" applyBorder="1" applyProtection="1"/>
    <xf numFmtId="170" fontId="15" fillId="0" borderId="0" xfId="7" applyNumberFormat="1" applyFont="1" applyFill="1" applyBorder="1" applyAlignment="1" applyProtection="1">
      <alignment horizontal="center"/>
    </xf>
    <xf numFmtId="0" fontId="0" fillId="0" borderId="0" xfId="0" applyProtection="1"/>
    <xf numFmtId="43" fontId="0" fillId="0" borderId="0" xfId="0" applyNumberFormat="1" applyProtection="1"/>
    <xf numFmtId="168" fontId="14" fillId="0" borderId="12" xfId="0" applyNumberFormat="1" applyFont="1" applyFill="1" applyBorder="1" applyProtection="1"/>
    <xf numFmtId="0" fontId="0" fillId="6" borderId="32" xfId="0" applyFill="1" applyBorder="1" applyAlignment="1" applyProtection="1">
      <alignment horizontal="center" wrapText="1"/>
    </xf>
    <xf numFmtId="0" fontId="0" fillId="6" borderId="33" xfId="0" applyFill="1" applyBorder="1" applyAlignment="1" applyProtection="1">
      <alignment horizontal="center" wrapText="1"/>
    </xf>
    <xf numFmtId="0" fontId="37" fillId="0" borderId="0" xfId="0" applyFont="1" applyProtection="1"/>
    <xf numFmtId="169" fontId="14" fillId="23" borderId="10" xfId="1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173" fontId="0" fillId="3" borderId="0" xfId="1" applyNumberFormat="1" applyFont="1" applyFill="1" applyProtection="1"/>
    <xf numFmtId="173" fontId="0" fillId="0" borderId="0" xfId="0" applyNumberFormat="1" applyProtection="1"/>
    <xf numFmtId="0" fontId="0" fillId="6" borderId="27" xfId="0" applyFill="1" applyBorder="1" applyAlignment="1" applyProtection="1">
      <alignment horizontal="center"/>
    </xf>
    <xf numFmtId="0" fontId="0" fillId="6" borderId="26" xfId="0" applyFill="1" applyBorder="1" applyAlignment="1" applyProtection="1">
      <alignment horizontal="center" wrapText="1"/>
    </xf>
    <xf numFmtId="166" fontId="0" fillId="0" borderId="29" xfId="1" applyNumberFormat="1" applyFont="1" applyFill="1" applyBorder="1" applyProtection="1"/>
    <xf numFmtId="0" fontId="0" fillId="0" borderId="30" xfId="0" applyFill="1" applyBorder="1" applyProtection="1"/>
    <xf numFmtId="166" fontId="0" fillId="0" borderId="30" xfId="1" applyNumberFormat="1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 vertical="center" wrapText="1"/>
    </xf>
    <xf numFmtId="169" fontId="14" fillId="0" borderId="10" xfId="1" applyNumberFormat="1" applyFont="1" applyFill="1" applyBorder="1" applyAlignment="1" applyProtection="1">
      <alignment horizontal="center"/>
    </xf>
    <xf numFmtId="165" fontId="14" fillId="0" borderId="10" xfId="1" applyNumberFormat="1" applyFont="1" applyFill="1" applyBorder="1" applyAlignment="1" applyProtection="1">
      <alignment horizontal="center"/>
    </xf>
    <xf numFmtId="15" fontId="0" fillId="0" borderId="0" xfId="0" quotePrefix="1" applyNumberFormat="1" applyProtection="1"/>
    <xf numFmtId="174" fontId="0" fillId="5" borderId="0" xfId="1" applyNumberFormat="1" applyFont="1" applyFill="1" applyProtection="1"/>
    <xf numFmtId="166" fontId="0" fillId="0" borderId="10" xfId="1" applyNumberFormat="1" applyFont="1" applyFill="1" applyBorder="1" applyProtection="1"/>
    <xf numFmtId="0" fontId="0" fillId="0" borderId="10" xfId="0" applyBorder="1" applyProtection="1"/>
    <xf numFmtId="166" fontId="0" fillId="0" borderId="10" xfId="1" applyNumberFormat="1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24" borderId="10" xfId="0" applyFill="1" applyBorder="1" applyProtection="1"/>
    <xf numFmtId="166" fontId="0" fillId="0" borderId="10" xfId="1" applyNumberFormat="1" applyFont="1" applyBorder="1" applyProtection="1"/>
    <xf numFmtId="43" fontId="0" fillId="0" borderId="10" xfId="0" applyNumberFormat="1" applyBorder="1" applyProtection="1"/>
    <xf numFmtId="0" fontId="0" fillId="25" borderId="0" xfId="0" applyFill="1"/>
    <xf numFmtId="0" fontId="39" fillId="26" borderId="0" xfId="0" applyFont="1" applyFill="1"/>
    <xf numFmtId="0" fontId="40" fillId="0" borderId="0" xfId="0" applyFont="1"/>
    <xf numFmtId="165" fontId="40" fillId="0" borderId="0" xfId="1" applyFont="1"/>
    <xf numFmtId="0" fontId="38" fillId="26" borderId="10" xfId="0" applyFont="1" applyFill="1" applyBorder="1" applyAlignment="1">
      <alignment horizontal="center" vertical="center" wrapText="1"/>
    </xf>
    <xf numFmtId="169" fontId="40" fillId="0" borderId="0" xfId="1" applyNumberFormat="1" applyFont="1"/>
    <xf numFmtId="169" fontId="40" fillId="27" borderId="0" xfId="1" applyNumberFormat="1" applyFont="1" applyFill="1"/>
    <xf numFmtId="169" fontId="37" fillId="0" borderId="0" xfId="1" applyNumberFormat="1" applyFont="1"/>
    <xf numFmtId="168" fontId="40" fillId="0" borderId="0" xfId="0" applyNumberFormat="1" applyFont="1"/>
    <xf numFmtId="2" fontId="40" fillId="0" borderId="0" xfId="0" applyNumberFormat="1" applyFont="1"/>
    <xf numFmtId="0" fontId="41" fillId="0" borderId="0" xfId="0" applyFont="1"/>
    <xf numFmtId="2" fontId="37" fillId="0" borderId="0" xfId="0" applyNumberFormat="1" applyFont="1"/>
    <xf numFmtId="166" fontId="40" fillId="0" borderId="0" xfId="1" applyNumberFormat="1" applyFont="1"/>
    <xf numFmtId="166" fontId="37" fillId="0" borderId="0" xfId="1" applyNumberFormat="1" applyFont="1"/>
    <xf numFmtId="166" fontId="0" fillId="0" borderId="0" xfId="0" applyNumberFormat="1"/>
    <xf numFmtId="166" fontId="37" fillId="0" borderId="0" xfId="0" applyNumberFormat="1" applyFont="1"/>
    <xf numFmtId="169" fontId="1" fillId="0" borderId="0" xfId="0" applyNumberFormat="1" applyFont="1" applyProtection="1"/>
    <xf numFmtId="165" fontId="1" fillId="3" borderId="0" xfId="1" applyNumberFormat="1" applyFont="1" applyFill="1" applyProtection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center" vertical="center"/>
    </xf>
    <xf numFmtId="41" fontId="1" fillId="3" borderId="0" xfId="55" applyFont="1" applyFill="1" applyProtection="1"/>
    <xf numFmtId="0" fontId="19" fillId="6" borderId="10" xfId="0" applyFont="1" applyFill="1" applyBorder="1" applyAlignment="1">
      <alignment horizontal="center" vertical="center" wrapText="1"/>
    </xf>
    <xf numFmtId="10" fontId="19" fillId="0" borderId="10" xfId="7" applyNumberFormat="1" applyFont="1" applyBorder="1"/>
    <xf numFmtId="44" fontId="0" fillId="0" borderId="0" xfId="0" applyNumberFormat="1" applyProtection="1"/>
    <xf numFmtId="165" fontId="14" fillId="0" borderId="34" xfId="1" applyNumberFormat="1" applyFont="1" applyFill="1" applyBorder="1" applyAlignment="1" applyProtection="1">
      <alignment horizontal="center"/>
    </xf>
    <xf numFmtId="0" fontId="0" fillId="27" borderId="10" xfId="0" applyFill="1" applyBorder="1" applyProtection="1"/>
    <xf numFmtId="169" fontId="14" fillId="27" borderId="10" xfId="1" applyNumberFormat="1" applyFont="1" applyFill="1" applyBorder="1" applyAlignment="1" applyProtection="1">
      <alignment horizontal="center"/>
    </xf>
    <xf numFmtId="43" fontId="1" fillId="0" borderId="0" xfId="0" applyNumberFormat="1" applyFont="1" applyProtection="1"/>
    <xf numFmtId="39" fontId="0" fillId="0" borderId="0" xfId="0" applyNumberFormat="1"/>
    <xf numFmtId="9" fontId="0" fillId="0" borderId="0" xfId="7" applyFont="1"/>
    <xf numFmtId="44" fontId="0" fillId="0" borderId="0" xfId="0" applyNumberFormat="1"/>
    <xf numFmtId="0" fontId="0" fillId="6" borderId="35" xfId="0" applyFill="1" applyBorder="1" applyAlignment="1" applyProtection="1">
      <alignment horizontal="center" vertical="center" wrapText="1"/>
    </xf>
    <xf numFmtId="0" fontId="0" fillId="6" borderId="32" xfId="0" applyFill="1" applyBorder="1" applyAlignment="1" applyProtection="1">
      <alignment horizontal="center" vertical="center" wrapText="1"/>
    </xf>
    <xf numFmtId="0" fontId="0" fillId="6" borderId="32" xfId="0" applyFill="1" applyBorder="1" applyAlignment="1" applyProtection="1">
      <alignment horizontal="center"/>
    </xf>
    <xf numFmtId="0" fontId="0" fillId="0" borderId="35" xfId="0" applyBorder="1" applyProtection="1"/>
    <xf numFmtId="166" fontId="0" fillId="0" borderId="32" xfId="1" applyNumberFormat="1" applyFont="1" applyFill="1" applyBorder="1" applyProtection="1"/>
    <xf numFmtId="0" fontId="0" fillId="0" borderId="32" xfId="0" applyFill="1" applyBorder="1" applyProtection="1"/>
    <xf numFmtId="0" fontId="0" fillId="0" borderId="29" xfId="0" applyBorder="1" applyProtection="1"/>
    <xf numFmtId="0" fontId="0" fillId="0" borderId="30" xfId="0" applyBorder="1" applyProtection="1"/>
    <xf numFmtId="166" fontId="0" fillId="0" borderId="30" xfId="1" applyNumberFormat="1" applyFont="1" applyBorder="1" applyProtection="1"/>
    <xf numFmtId="39" fontId="0" fillId="0" borderId="33" xfId="1" applyNumberFormat="1" applyFont="1" applyFill="1" applyBorder="1" applyProtection="1"/>
    <xf numFmtId="39" fontId="0" fillId="0" borderId="31" xfId="1" applyNumberFormat="1" applyFont="1" applyFill="1" applyBorder="1" applyProtection="1"/>
    <xf numFmtId="174" fontId="0" fillId="0" borderId="31" xfId="1" applyNumberFormat="1" applyFont="1" applyFill="1" applyBorder="1" applyProtection="1"/>
    <xf numFmtId="174" fontId="0" fillId="0" borderId="10" xfId="1" applyNumberFormat="1" applyFont="1" applyFill="1" applyBorder="1" applyProtection="1"/>
    <xf numFmtId="0" fontId="0" fillId="0" borderId="32" xfId="0" applyBorder="1" applyProtection="1"/>
    <xf numFmtId="39" fontId="0" fillId="0" borderId="33" xfId="0" applyNumberFormat="1" applyBorder="1" applyProtection="1"/>
    <xf numFmtId="39" fontId="0" fillId="0" borderId="31" xfId="0" applyNumberFormat="1" applyBorder="1" applyProtection="1"/>
    <xf numFmtId="0" fontId="14" fillId="0" borderId="8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top"/>
    </xf>
  </cellXfs>
  <cellStyles count="56">
    <cellStyle name="20% - Accent1 2" xfId="9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1" builtinId="3"/>
    <cellStyle name="Comma [0]" xfId="55" builtinId="6"/>
    <cellStyle name="Comma 2" xfId="37"/>
    <cellStyle name="Currency" xfId="2" builtinId="4"/>
    <cellStyle name="Currency 2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2" xfId="3"/>
    <cellStyle name="Normal 2 2" xfId="48"/>
    <cellStyle name="Normal 3" xfId="4"/>
    <cellStyle name="Normal 3 2" xfId="5"/>
    <cellStyle name="Normal 3 3" xfId="8"/>
    <cellStyle name="Normal 3 4" xfId="10"/>
    <cellStyle name="Note 2" xfId="49"/>
    <cellStyle name="Output 2" xfId="50"/>
    <cellStyle name="Percent" xfId="7" builtinId="5"/>
    <cellStyle name="Percent 2" xfId="6"/>
    <cellStyle name="Percent 2 2" xfId="51"/>
    <cellStyle name="Title 2" xfId="52"/>
    <cellStyle name="Total 2" xfId="53"/>
    <cellStyle name="Warning Text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</sheetPr>
  <dimension ref="A1:T71"/>
  <sheetViews>
    <sheetView workbookViewId="0">
      <selection activeCell="F10" sqref="F10"/>
    </sheetView>
  </sheetViews>
  <sheetFormatPr defaultRowHeight="15" x14ac:dyDescent="0.25"/>
  <cols>
    <col min="1" max="2" width="2.5703125" customWidth="1"/>
    <col min="3" max="3" width="81.5703125" customWidth="1"/>
    <col min="4" max="10" width="13.140625" customWidth="1"/>
    <col min="11" max="11" width="17.5703125" customWidth="1"/>
    <col min="12" max="14" width="13.140625" customWidth="1"/>
    <col min="15" max="15" width="15.85546875" customWidth="1"/>
    <col min="17" max="17" width="28.42578125" customWidth="1"/>
  </cols>
  <sheetData>
    <row r="1" spans="1:20" ht="18.75" x14ac:dyDescent="0.3">
      <c r="A1" s="154" t="s">
        <v>113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3" spans="1:20" ht="18.75" x14ac:dyDescent="0.3">
      <c r="C3" s="163" t="s">
        <v>120</v>
      </c>
    </row>
    <row r="5" spans="1:20" ht="30" x14ac:dyDescent="0.25">
      <c r="C5" s="157" t="s">
        <v>0</v>
      </c>
      <c r="D5" s="157" t="s">
        <v>8</v>
      </c>
      <c r="E5" s="157" t="s">
        <v>119</v>
      </c>
      <c r="F5" s="157" t="s">
        <v>99</v>
      </c>
      <c r="G5" s="157" t="s">
        <v>98</v>
      </c>
      <c r="H5" s="157" t="s">
        <v>100</v>
      </c>
      <c r="I5" s="157" t="s">
        <v>134</v>
      </c>
      <c r="J5" s="157" t="s">
        <v>135</v>
      </c>
      <c r="K5" s="157" t="s">
        <v>118</v>
      </c>
      <c r="L5" s="157" t="s">
        <v>114</v>
      </c>
      <c r="M5" s="157" t="s">
        <v>115</v>
      </c>
      <c r="N5" s="157" t="s">
        <v>116</v>
      </c>
      <c r="O5" s="157" t="s">
        <v>117</v>
      </c>
    </row>
    <row r="6" spans="1:20" x14ac:dyDescent="0.25">
      <c r="C6" s="155" t="str">
        <f>'B1.1 Current Distribution Rates'!C16</f>
        <v>RATE 1 - General Service Rate - Residential</v>
      </c>
      <c r="D6" s="153">
        <f>12.8209+0.4433</f>
        <v>13.264200000000001</v>
      </c>
      <c r="E6" s="158">
        <f>'B1.1 Current Distribution Rates'!L16</f>
        <v>4.3499999999999997E-2</v>
      </c>
      <c r="F6" s="162">
        <f>'C1.1 Current Rate Riders'!E16</f>
        <v>0.59</v>
      </c>
      <c r="G6" s="161">
        <f>'C1.1 Current Rate Riders'!F16</f>
        <v>0.128</v>
      </c>
      <c r="H6" s="159" t="str">
        <f>""</f>
        <v/>
      </c>
      <c r="I6" s="153">
        <v>5.87</v>
      </c>
      <c r="J6" s="153">
        <v>2.7000000000000001E-3</v>
      </c>
      <c r="K6" s="156">
        <f>'B1.1 Current Distribution Rates'!E16</f>
        <v>16.5</v>
      </c>
      <c r="L6" s="158">
        <f>'B1.1 Current Distribution Rates'!F16</f>
        <v>13.381399999999999</v>
      </c>
      <c r="M6" s="158">
        <f>'B1.1 Current Distribution Rates'!G16</f>
        <v>10.727499999999999</v>
      </c>
      <c r="N6" s="159" t="str">
        <f>""</f>
        <v/>
      </c>
      <c r="O6" s="159" t="str">
        <f>""</f>
        <v/>
      </c>
    </row>
    <row r="7" spans="1:20" x14ac:dyDescent="0.25">
      <c r="C7" s="155" t="str">
        <f>'B1.1 Current Distribution Rates'!C17</f>
        <v>RATE 1 - General Service Rate - Commercial</v>
      </c>
      <c r="D7">
        <f>D6</f>
        <v>13.264200000000001</v>
      </c>
      <c r="E7" s="158">
        <f>'B1.1 Current Distribution Rates'!L17</f>
        <v>4.3499999999999997E-2</v>
      </c>
      <c r="F7" s="162">
        <f>'C1.1 Current Rate Riders'!E17</f>
        <v>0.59</v>
      </c>
      <c r="G7" s="161">
        <f>'C1.1 Current Rate Riders'!F17</f>
        <v>0.128</v>
      </c>
      <c r="H7" s="159" t="str">
        <f>""</f>
        <v/>
      </c>
      <c r="I7">
        <f>I$6</f>
        <v>5.87</v>
      </c>
      <c r="J7">
        <f>J$6</f>
        <v>2.7000000000000001E-3</v>
      </c>
      <c r="K7" s="156">
        <f>'B1.1 Current Distribution Rates'!E17</f>
        <v>16.5</v>
      </c>
      <c r="L7" s="158">
        <f>'B1.1 Current Distribution Rates'!F17</f>
        <v>13.381399999999999</v>
      </c>
      <c r="M7" s="158">
        <f>'B1.1 Current Distribution Rates'!G17</f>
        <v>10.727499999999999</v>
      </c>
      <c r="N7" s="159" t="str">
        <f>""</f>
        <v/>
      </c>
      <c r="O7" s="159" t="str">
        <f>""</f>
        <v/>
      </c>
    </row>
    <row r="8" spans="1:20" x14ac:dyDescent="0.25">
      <c r="C8" s="155" t="str">
        <f>'B1.1 Current Distribution Rates'!C18</f>
        <v>RATE 1 - General Service Rate - Industrial</v>
      </c>
      <c r="D8">
        <f t="shared" ref="D8:D14" si="0">D7</f>
        <v>13.264200000000001</v>
      </c>
      <c r="E8" s="158">
        <f>'B1.1 Current Distribution Rates'!L18</f>
        <v>4.3499999999999997E-2</v>
      </c>
      <c r="F8" s="162">
        <f>'C1.1 Current Rate Riders'!E18</f>
        <v>0.59</v>
      </c>
      <c r="G8" s="161">
        <f>'C1.1 Current Rate Riders'!F18</f>
        <v>0.128</v>
      </c>
      <c r="H8" s="159" t="str">
        <f>""</f>
        <v/>
      </c>
      <c r="I8">
        <f t="shared" ref="I8:J15" si="1">I$6</f>
        <v>5.87</v>
      </c>
      <c r="J8">
        <f t="shared" si="1"/>
        <v>2.7000000000000001E-3</v>
      </c>
      <c r="K8" s="156">
        <f>'B1.1 Current Distribution Rates'!E18</f>
        <v>16.5</v>
      </c>
      <c r="L8" s="158">
        <f>'B1.1 Current Distribution Rates'!F18</f>
        <v>13.381399999999999</v>
      </c>
      <c r="M8" s="158">
        <f>'B1.1 Current Distribution Rates'!G18</f>
        <v>10.727499999999999</v>
      </c>
      <c r="N8" s="159" t="str">
        <f>""</f>
        <v/>
      </c>
      <c r="O8" s="159" t="str">
        <f>""</f>
        <v/>
      </c>
    </row>
    <row r="9" spans="1:20" x14ac:dyDescent="0.25">
      <c r="C9" s="155" t="str">
        <f>'B1.1 Current Distribution Rates'!C19</f>
        <v>RATE 2 - Seasonal Service - Apr to Oct</v>
      </c>
      <c r="D9">
        <f t="shared" si="0"/>
        <v>13.264200000000001</v>
      </c>
      <c r="E9" s="158">
        <f>'B1.1 Current Distribution Rates'!L19</f>
        <v>4.3499999999999997E-2</v>
      </c>
      <c r="F9" s="162">
        <f>'C1.1 Current Rate Riders'!E19</f>
        <v>0.59</v>
      </c>
      <c r="G9" s="161">
        <f>'C1.1 Current Rate Riders'!F19</f>
        <v>0.128</v>
      </c>
      <c r="H9" s="159" t="str">
        <f>""</f>
        <v/>
      </c>
      <c r="I9">
        <f t="shared" si="1"/>
        <v>5.87</v>
      </c>
      <c r="J9">
        <f t="shared" si="1"/>
        <v>2.7000000000000001E-3</v>
      </c>
      <c r="K9" s="156">
        <f>'B1.1 Current Distribution Rates'!E19</f>
        <v>20</v>
      </c>
      <c r="L9" s="158">
        <f>'B1.1 Current Distribution Rates'!F19</f>
        <v>16.5854</v>
      </c>
      <c r="M9" s="158">
        <f>'B1.1 Current Distribution Rates'!H19</f>
        <v>8.5817999999999994</v>
      </c>
      <c r="N9" s="158">
        <f>'B1.1 Current Distribution Rates'!I19</f>
        <v>6.7868000000000004</v>
      </c>
      <c r="O9" s="159" t="str">
        <f>""</f>
        <v/>
      </c>
    </row>
    <row r="10" spans="1:20" x14ac:dyDescent="0.25">
      <c r="C10" s="155" t="str">
        <f>'B1.1 Current Distribution Rates'!C20</f>
        <v>RATE 2 - Seasonal Service - Nov to Mar</v>
      </c>
      <c r="D10">
        <f t="shared" si="0"/>
        <v>13.264200000000001</v>
      </c>
      <c r="E10" s="158">
        <f>'B1.1 Current Distribution Rates'!L20</f>
        <v>4.3499999999999997E-2</v>
      </c>
      <c r="F10" s="162">
        <f>'C1.1 Current Rate Riders'!E20</f>
        <v>0.59</v>
      </c>
      <c r="G10" s="161">
        <f>'C1.1 Current Rate Riders'!F20</f>
        <v>0.128</v>
      </c>
      <c r="H10" s="159" t="str">
        <f>""</f>
        <v/>
      </c>
      <c r="I10">
        <f t="shared" si="1"/>
        <v>5.87</v>
      </c>
      <c r="J10">
        <f t="shared" si="1"/>
        <v>2.7000000000000001E-3</v>
      </c>
      <c r="K10" s="156">
        <f>'B1.1 Current Distribution Rates'!E20</f>
        <v>20</v>
      </c>
      <c r="L10" s="158">
        <f>'B1.1 Current Distribution Rates'!F20</f>
        <v>20.9056</v>
      </c>
      <c r="M10" s="158">
        <f>'B1.1 Current Distribution Rates'!H20</f>
        <v>14.2049</v>
      </c>
      <c r="N10" s="158">
        <f>'B1.1 Current Distribution Rates'!I20</f>
        <v>15.289899999999999</v>
      </c>
      <c r="O10" s="159" t="str">
        <f>""</f>
        <v/>
      </c>
    </row>
    <row r="11" spans="1:20" x14ac:dyDescent="0.25">
      <c r="C11" s="155" t="str">
        <f>'B1.1 Current Distribution Rates'!C21</f>
        <v>RATE 3 - Special Large Volume Contract Rate</v>
      </c>
      <c r="D11">
        <f t="shared" si="0"/>
        <v>13.264200000000001</v>
      </c>
      <c r="E11" s="158">
        <f>'B1.1 Current Distribution Rates'!L21</f>
        <v>4.3499999999999997E-2</v>
      </c>
      <c r="F11" s="162">
        <f>'C1.1 Current Rate Riders'!E21</f>
        <v>0.59</v>
      </c>
      <c r="G11" s="161">
        <f>'C1.1 Current Rate Riders'!F21</f>
        <v>0.128</v>
      </c>
      <c r="H11" s="159" t="str">
        <f>""</f>
        <v/>
      </c>
      <c r="I11">
        <f t="shared" si="1"/>
        <v>5.87</v>
      </c>
      <c r="J11">
        <f t="shared" si="1"/>
        <v>2.7000000000000001E-3</v>
      </c>
      <c r="K11" s="156">
        <f>'B1.1 Current Distribution Rates'!E21</f>
        <v>200</v>
      </c>
      <c r="L11" s="160">
        <f>'B1.1 Current Distribution Rates'!J21</f>
        <v>3.6011000000000002</v>
      </c>
      <c r="M11" s="159" t="str">
        <f>""</f>
        <v/>
      </c>
      <c r="N11" s="159" t="str">
        <f>""</f>
        <v/>
      </c>
      <c r="O11" s="158">
        <f>'B1.1 Current Distribution Rates'!K21</f>
        <v>29.0974</v>
      </c>
    </row>
    <row r="12" spans="1:20" x14ac:dyDescent="0.25">
      <c r="C12" s="155" t="str">
        <f>'B1.1 Current Distribution Rates'!C22</f>
        <v>RATE 4 - General Service Peaking - Apr to Dec</v>
      </c>
      <c r="D12">
        <f t="shared" si="0"/>
        <v>13.264200000000001</v>
      </c>
      <c r="E12" s="158">
        <f>'B1.1 Current Distribution Rates'!L22</f>
        <v>4.3499999999999997E-2</v>
      </c>
      <c r="F12" s="162">
        <f>'C1.1 Current Rate Riders'!E22</f>
        <v>0.59</v>
      </c>
      <c r="G12" s="161">
        <f>'C1.1 Current Rate Riders'!F22</f>
        <v>0.128</v>
      </c>
      <c r="H12" s="159" t="str">
        <f>""</f>
        <v/>
      </c>
      <c r="I12">
        <f t="shared" si="1"/>
        <v>5.87</v>
      </c>
      <c r="J12">
        <f t="shared" si="1"/>
        <v>2.7000000000000001E-3</v>
      </c>
      <c r="K12" s="156">
        <f>'B1.1 Current Distribution Rates'!E22</f>
        <v>20</v>
      </c>
      <c r="L12" s="158">
        <f>'B1.1 Current Distribution Rates'!F22</f>
        <v>18.263400000000001</v>
      </c>
      <c r="M12" s="158">
        <f>'B1.1 Current Distribution Rates'!G22</f>
        <v>11.2057</v>
      </c>
      <c r="N12" s="159" t="str">
        <f>""</f>
        <v/>
      </c>
      <c r="O12" s="159" t="str">
        <f>""</f>
        <v/>
      </c>
    </row>
    <row r="13" spans="1:20" x14ac:dyDescent="0.25">
      <c r="C13" s="155" t="str">
        <f>'B1.1 Current Distribution Rates'!C23</f>
        <v>RATE 4 - General Service Peaking - Jan to Mar</v>
      </c>
      <c r="D13">
        <f t="shared" si="0"/>
        <v>13.264200000000001</v>
      </c>
      <c r="E13" s="158">
        <f>'B1.1 Current Distribution Rates'!L23</f>
        <v>4.3499999999999997E-2</v>
      </c>
      <c r="F13" s="162">
        <f>'C1.1 Current Rate Riders'!E23</f>
        <v>0.59</v>
      </c>
      <c r="G13" s="161">
        <f>'C1.1 Current Rate Riders'!F23</f>
        <v>0.128</v>
      </c>
      <c r="H13" s="159" t="str">
        <f>""</f>
        <v/>
      </c>
      <c r="I13">
        <f t="shared" si="1"/>
        <v>5.87</v>
      </c>
      <c r="J13">
        <f t="shared" si="1"/>
        <v>2.7000000000000001E-3</v>
      </c>
      <c r="K13" s="156">
        <f>'B1.1 Current Distribution Rates'!E23</f>
        <v>20</v>
      </c>
      <c r="L13" s="158">
        <f>'B1.1 Current Distribution Rates'!F23</f>
        <v>23.298999999999999</v>
      </c>
      <c r="M13" s="158">
        <f>'B1.1 Current Distribution Rates'!G23</f>
        <v>18.004000000000001</v>
      </c>
      <c r="N13" s="159" t="str">
        <f>""</f>
        <v/>
      </c>
      <c r="O13" s="159" t="str">
        <f>""</f>
        <v/>
      </c>
    </row>
    <row r="14" spans="1:20" x14ac:dyDescent="0.25">
      <c r="C14" s="155" t="str">
        <f>'B1.1 Current Distribution Rates'!C24</f>
        <v>RATE 5 - Interruptible Peaking Contract Rate</v>
      </c>
      <c r="D14">
        <f t="shared" si="0"/>
        <v>13.264200000000001</v>
      </c>
      <c r="E14" s="158">
        <f>'B1.1 Current Distribution Rates'!L24</f>
        <v>4.3499999999999997E-2</v>
      </c>
      <c r="F14" s="162">
        <f>'C1.1 Current Rate Riders'!E24</f>
        <v>0.59</v>
      </c>
      <c r="G14" s="161">
        <f>'C1.1 Current Rate Riders'!F24</f>
        <v>0.128</v>
      </c>
      <c r="H14" s="159" t="str">
        <f>""</f>
        <v/>
      </c>
      <c r="I14">
        <f t="shared" si="1"/>
        <v>5.87</v>
      </c>
      <c r="J14">
        <f t="shared" si="1"/>
        <v>2.7000000000000001E-3</v>
      </c>
      <c r="K14" s="156">
        <f>'B1.1 Current Distribution Rates'!E24</f>
        <v>190</v>
      </c>
      <c r="L14" s="160">
        <f>'B1.1 Current Distribution Rates'!J24</f>
        <v>7.5122178823619947</v>
      </c>
      <c r="M14" s="159" t="str">
        <f>""</f>
        <v/>
      </c>
      <c r="N14" s="159" t="str">
        <f>""</f>
        <v/>
      </c>
      <c r="O14" s="159" t="str">
        <f>""</f>
        <v/>
      </c>
    </row>
    <row r="15" spans="1:20" x14ac:dyDescent="0.25">
      <c r="C15" s="155" t="str">
        <f>'B1.1 Current Distribution Rates'!C25</f>
        <v>RATE 6 - Integrated Grain Processors Co-Operative Aylmer Ethanol Production Facility</v>
      </c>
      <c r="D15" s="159" t="str">
        <f>""</f>
        <v/>
      </c>
      <c r="E15" s="159" t="str">
        <f>""</f>
        <v/>
      </c>
      <c r="F15" s="162">
        <f>'C1.1 Current Rate Riders'!E25</f>
        <v>0.56000000000000005</v>
      </c>
      <c r="G15" s="162">
        <f>'C1.1 Current Rate Riders'!G25</f>
        <v>15413.33</v>
      </c>
      <c r="H15" s="159" t="str">
        <f>""</f>
        <v/>
      </c>
      <c r="I15" s="159" t="str">
        <f>""</f>
        <v/>
      </c>
      <c r="J15">
        <f t="shared" si="1"/>
        <v>2.7000000000000001E-3</v>
      </c>
      <c r="K15" s="156">
        <f>'B1.1 Current Distribution Rates'!E25</f>
        <v>61229.919999999998</v>
      </c>
      <c r="L15" s="159" t="str">
        <f>""</f>
        <v/>
      </c>
      <c r="M15" s="159" t="str">
        <f>""</f>
        <v/>
      </c>
      <c r="N15" s="159" t="str">
        <f>""</f>
        <v/>
      </c>
      <c r="O15" s="159" t="str">
        <f>""</f>
        <v/>
      </c>
    </row>
    <row r="17" spans="3:15" ht="18.75" x14ac:dyDescent="0.3">
      <c r="C17" s="163" t="s">
        <v>121</v>
      </c>
    </row>
    <row r="19" spans="3:15" ht="30" x14ac:dyDescent="0.25">
      <c r="C19" s="157" t="str">
        <f>C5</f>
        <v>Rate Group</v>
      </c>
      <c r="D19" s="157" t="str">
        <f t="shared" ref="D19:O19" si="2">D5</f>
        <v>Commodity</v>
      </c>
      <c r="E19" s="157" t="str">
        <f t="shared" si="2"/>
        <v>System Gas</v>
      </c>
      <c r="F19" s="157" t="str">
        <f t="shared" si="2"/>
        <v>REDA</v>
      </c>
      <c r="G19" s="157" t="str">
        <f t="shared" si="2"/>
        <v>PGTVA</v>
      </c>
      <c r="H19" s="157" t="str">
        <f t="shared" si="2"/>
        <v>ADVADA</v>
      </c>
      <c r="I19" s="157" t="str">
        <f t="shared" si="2"/>
        <v>Federal Carbon</v>
      </c>
      <c r="J19" s="157" t="str">
        <f t="shared" si="2"/>
        <v>Facility Carbon</v>
      </c>
      <c r="K19" s="157" t="str">
        <f t="shared" si="2"/>
        <v>Dist. Customer Rate</v>
      </c>
      <c r="L19" s="157" t="str">
        <f t="shared" si="2"/>
        <v>Dist. Vol. Rate Tier 1</v>
      </c>
      <c r="M19" s="157" t="str">
        <f t="shared" si="2"/>
        <v>Dist. Vol. Rate Tier 2</v>
      </c>
      <c r="N19" s="157" t="str">
        <f t="shared" si="2"/>
        <v>Dist. Vol. Rate Tier 3</v>
      </c>
      <c r="O19" s="157" t="str">
        <f t="shared" si="2"/>
        <v>Dist. Capacity Rate</v>
      </c>
    </row>
    <row r="20" spans="3:15" x14ac:dyDescent="0.25">
      <c r="C20" t="str">
        <f>C6</f>
        <v>RATE 1 - General Service Rate - Residential</v>
      </c>
      <c r="D20">
        <f>D6</f>
        <v>13.264200000000001</v>
      </c>
      <c r="E20" s="158">
        <f>'E1.1 Proposed Dist Rates '!L16</f>
        <v>4.3499999999999997E-2</v>
      </c>
      <c r="F20" s="161">
        <f>'F1.1 REDA'!$H$22</f>
        <v>0.76971281184715468</v>
      </c>
      <c r="G20" s="161">
        <f>'F1.2 PGTVA'!$G$16</f>
        <v>0.30664420626329603</v>
      </c>
      <c r="H20" s="161">
        <f>'F1.3 ADVADA'!$H$16</f>
        <v>0.14841821245417633</v>
      </c>
      <c r="I20" s="153">
        <v>5.87</v>
      </c>
      <c r="J20" s="153">
        <v>2.7000000000000001E-3</v>
      </c>
      <c r="K20" s="156">
        <f>'E1.1 Proposed Dist Rates '!E16</f>
        <v>17.5</v>
      </c>
      <c r="L20" s="158">
        <f>'E1.1 Proposed Dist Rates '!F16</f>
        <v>13.52846228945657</v>
      </c>
      <c r="M20" s="158">
        <f>'E1.1 Proposed Dist Rates '!G16</f>
        <v>10.872913111134979</v>
      </c>
      <c r="N20" s="159" t="str">
        <f>""</f>
        <v/>
      </c>
      <c r="O20" s="159" t="str">
        <f>""</f>
        <v/>
      </c>
    </row>
    <row r="21" spans="3:15" x14ac:dyDescent="0.25">
      <c r="C21" t="str">
        <f t="shared" ref="C21:C29" si="3">C7</f>
        <v>RATE 1 - General Service Rate - Commercial</v>
      </c>
      <c r="D21">
        <f>D7</f>
        <v>13.264200000000001</v>
      </c>
      <c r="E21" s="158">
        <f>'E1.1 Proposed Dist Rates '!L17</f>
        <v>4.3499999999999997E-2</v>
      </c>
      <c r="F21" s="161">
        <f>'F1.1 REDA'!$H$22</f>
        <v>0.76971281184715468</v>
      </c>
      <c r="G21" s="161">
        <f>'F1.2 PGTVA'!$G$16</f>
        <v>0.30664420626329603</v>
      </c>
      <c r="H21" s="161">
        <f>'F1.3 ADVADA'!$H$16</f>
        <v>0.14841821245417633</v>
      </c>
      <c r="I21">
        <f>I$20</f>
        <v>5.87</v>
      </c>
      <c r="J21">
        <f>J$20</f>
        <v>2.7000000000000001E-3</v>
      </c>
      <c r="K21" s="156">
        <f>'E1.1 Proposed Dist Rates '!E17</f>
        <v>17.5</v>
      </c>
      <c r="L21" s="158">
        <f>'E1.1 Proposed Dist Rates '!F17</f>
        <v>13.52846228945657</v>
      </c>
      <c r="M21" s="158">
        <f>'E1.1 Proposed Dist Rates '!G17</f>
        <v>10.872913111134979</v>
      </c>
      <c r="N21" s="159" t="str">
        <f>""</f>
        <v/>
      </c>
      <c r="O21" s="159" t="str">
        <f>""</f>
        <v/>
      </c>
    </row>
    <row r="22" spans="3:15" x14ac:dyDescent="0.25">
      <c r="C22" t="str">
        <f t="shared" si="3"/>
        <v>RATE 1 - General Service Rate - Industrial</v>
      </c>
      <c r="D22">
        <f t="shared" ref="D22:D28" si="4">D8</f>
        <v>13.264200000000001</v>
      </c>
      <c r="E22" s="158">
        <f>'E1.1 Proposed Dist Rates '!L18</f>
        <v>4.3499999999999997E-2</v>
      </c>
      <c r="F22" s="161">
        <f>'F1.1 REDA'!$H$22</f>
        <v>0.76971281184715468</v>
      </c>
      <c r="G22" s="161">
        <f>'F1.2 PGTVA'!$G$16</f>
        <v>0.30664420626329603</v>
      </c>
      <c r="H22" s="161">
        <f>'F1.3 ADVADA'!$H$16</f>
        <v>0.14841821245417633</v>
      </c>
      <c r="I22">
        <f t="shared" ref="I22:J29" si="5">I$20</f>
        <v>5.87</v>
      </c>
      <c r="J22">
        <f t="shared" si="5"/>
        <v>2.7000000000000001E-3</v>
      </c>
      <c r="K22" s="156">
        <f>'E1.1 Proposed Dist Rates '!E18</f>
        <v>17.5</v>
      </c>
      <c r="L22" s="158">
        <f>'E1.1 Proposed Dist Rates '!F18</f>
        <v>13.52846228945657</v>
      </c>
      <c r="M22" s="158">
        <f>'E1.1 Proposed Dist Rates '!G18</f>
        <v>10.872913111134979</v>
      </c>
      <c r="N22" s="159" t="str">
        <f>""</f>
        <v/>
      </c>
      <c r="O22" s="159" t="str">
        <f>""</f>
        <v/>
      </c>
    </row>
    <row r="23" spans="3:15" x14ac:dyDescent="0.25">
      <c r="C23" t="str">
        <f t="shared" si="3"/>
        <v>RATE 2 - Seasonal Service - Apr to Oct</v>
      </c>
      <c r="D23">
        <f t="shared" si="4"/>
        <v>13.264200000000001</v>
      </c>
      <c r="E23" s="158">
        <f>'E1.1 Proposed Dist Rates '!L19</f>
        <v>4.3499999999999997E-2</v>
      </c>
      <c r="F23" s="161">
        <f>'F1.1 REDA'!$H$22</f>
        <v>0.76971281184715468</v>
      </c>
      <c r="G23" s="161">
        <f>'F1.2 PGTVA'!$G$16</f>
        <v>0.30664420626329603</v>
      </c>
      <c r="H23" s="161">
        <f>'F1.3 ADVADA'!$H$16</f>
        <v>0.14841821245417633</v>
      </c>
      <c r="I23">
        <f t="shared" si="5"/>
        <v>5.87</v>
      </c>
      <c r="J23">
        <f t="shared" si="5"/>
        <v>2.7000000000000001E-3</v>
      </c>
      <c r="K23" s="156">
        <f>'E1.1 Proposed Dist Rates '!E19</f>
        <v>20</v>
      </c>
      <c r="L23" s="158">
        <f>'E1.1 Proposed Dist Rates '!F19</f>
        <v>17.047892273401757</v>
      </c>
      <c r="M23" s="158">
        <f>'E1.1 Proposed Dist Rates '!H19</f>
        <v>8.8560902110803301</v>
      </c>
      <c r="N23" s="158">
        <f>'E1.1 Proposed Dist Rates '!I19</f>
        <v>6.904120686059545</v>
      </c>
      <c r="O23" s="159" t="str">
        <f>""</f>
        <v/>
      </c>
    </row>
    <row r="24" spans="3:15" x14ac:dyDescent="0.25">
      <c r="C24" t="str">
        <f t="shared" si="3"/>
        <v>RATE 2 - Seasonal Service - Nov to Mar</v>
      </c>
      <c r="D24">
        <f t="shared" si="4"/>
        <v>13.264200000000001</v>
      </c>
      <c r="E24" s="158">
        <f>'E1.1 Proposed Dist Rates '!L20</f>
        <v>4.3499999999999997E-2</v>
      </c>
      <c r="F24" s="161">
        <f>'F1.1 REDA'!$H$22</f>
        <v>0.76971281184715468</v>
      </c>
      <c r="G24" s="161">
        <f>'F1.2 PGTVA'!$G$16</f>
        <v>0.30664420626329603</v>
      </c>
      <c r="H24" s="161">
        <f>'F1.3 ADVADA'!$H$16</f>
        <v>0.14841821245417633</v>
      </c>
      <c r="I24">
        <f t="shared" si="5"/>
        <v>5.87</v>
      </c>
      <c r="J24">
        <f t="shared" si="5"/>
        <v>2.7000000000000001E-3</v>
      </c>
      <c r="K24" s="156">
        <f>'E1.1 Proposed Dist Rates '!E20</f>
        <v>20</v>
      </c>
      <c r="L24" s="158">
        <f>'E1.1 Proposed Dist Rates '!F20</f>
        <v>21.488551732762158</v>
      </c>
      <c r="M24" s="158">
        <f>'E1.1 Proposed Dist Rates '!H20</f>
        <v>14.658998154365744</v>
      </c>
      <c r="N24" s="158">
        <f>'E1.1 Proposed Dist Rates '!I20</f>
        <v>15.554210360962722</v>
      </c>
      <c r="O24" s="159" t="str">
        <f>""</f>
        <v/>
      </c>
    </row>
    <row r="25" spans="3:15" x14ac:dyDescent="0.25">
      <c r="C25" t="str">
        <f t="shared" si="3"/>
        <v>RATE 3 - Special Large Volume Contract Rate</v>
      </c>
      <c r="D25">
        <f t="shared" si="4"/>
        <v>13.264200000000001</v>
      </c>
      <c r="E25" s="158">
        <f>'E1.1 Proposed Dist Rates '!L21</f>
        <v>4.3499999999999997E-2</v>
      </c>
      <c r="F25" s="161">
        <f>'F1.1 REDA'!$H$22</f>
        <v>0.76971281184715468</v>
      </c>
      <c r="G25" s="161">
        <f>'F1.2 PGTVA'!$G$16</f>
        <v>0.30664420626329603</v>
      </c>
      <c r="H25" s="161">
        <f>'F1.3 ADVADA'!$H$16</f>
        <v>0.14841821245417633</v>
      </c>
      <c r="I25">
        <f t="shared" si="5"/>
        <v>5.87</v>
      </c>
      <c r="J25">
        <f t="shared" si="5"/>
        <v>2.7000000000000001E-3</v>
      </c>
      <c r="K25" s="156">
        <f>'E1.1 Proposed Dist Rates '!E21</f>
        <v>200</v>
      </c>
      <c r="L25" s="160">
        <f>'E1.1 Proposed Dist Rates '!J21</f>
        <v>3.9087148718964557</v>
      </c>
      <c r="M25" s="159" t="str">
        <f>""</f>
        <v/>
      </c>
      <c r="N25" s="159" t="str">
        <f>""</f>
        <v/>
      </c>
      <c r="O25" s="158">
        <f>'E1.1 Proposed Dist Rates '!K21</f>
        <v>29.615769630893396</v>
      </c>
    </row>
    <row r="26" spans="3:15" x14ac:dyDescent="0.25">
      <c r="C26" t="str">
        <f t="shared" si="3"/>
        <v>RATE 4 - General Service Peaking - Apr to Dec</v>
      </c>
      <c r="D26">
        <f t="shared" si="4"/>
        <v>13.264200000000001</v>
      </c>
      <c r="E26" s="158">
        <f>'E1.1 Proposed Dist Rates '!L22</f>
        <v>4.3499999999999997E-2</v>
      </c>
      <c r="F26" s="161">
        <f>'F1.1 REDA'!$H$22</f>
        <v>0.76971281184715468</v>
      </c>
      <c r="G26" s="161">
        <f>'F1.2 PGTVA'!$G$16</f>
        <v>0.30664420626329603</v>
      </c>
      <c r="H26" s="161">
        <f>'F1.3 ADVADA'!$H$16</f>
        <v>0.14841821245417633</v>
      </c>
      <c r="I26">
        <f t="shared" si="5"/>
        <v>5.87</v>
      </c>
      <c r="J26">
        <f t="shared" si="5"/>
        <v>2.7000000000000001E-3</v>
      </c>
      <c r="K26" s="156">
        <f>'E1.1 Proposed Dist Rates '!E22</f>
        <v>20</v>
      </c>
      <c r="L26" s="158">
        <f>'E1.1 Proposed Dist Rates '!F22</f>
        <v>18.892793646765796</v>
      </c>
      <c r="M26" s="158">
        <f>'E1.1 Proposed Dist Rates '!G22</f>
        <v>11.591965107471317</v>
      </c>
      <c r="N26" s="159" t="str">
        <f>""</f>
        <v/>
      </c>
      <c r="O26" s="159" t="str">
        <f>""</f>
        <v/>
      </c>
    </row>
    <row r="27" spans="3:15" x14ac:dyDescent="0.25">
      <c r="C27" t="str">
        <f t="shared" si="3"/>
        <v>RATE 4 - General Service Peaking - Jan to Mar</v>
      </c>
      <c r="D27">
        <f t="shared" si="4"/>
        <v>13.264200000000001</v>
      </c>
      <c r="E27" s="158">
        <f>'E1.1 Proposed Dist Rates '!L23</f>
        <v>4.3499999999999997E-2</v>
      </c>
      <c r="F27" s="161">
        <f>'F1.1 REDA'!$H$22</f>
        <v>0.76971281184715468</v>
      </c>
      <c r="G27" s="161">
        <f>'F1.2 PGTVA'!$G$16</f>
        <v>0.30664420626329603</v>
      </c>
      <c r="H27" s="161">
        <f>'F1.3 ADVADA'!$H$16</f>
        <v>0.14841821245417633</v>
      </c>
      <c r="I27">
        <f t="shared" si="5"/>
        <v>5.87</v>
      </c>
      <c r="J27">
        <f t="shared" si="5"/>
        <v>2.7000000000000001E-3</v>
      </c>
      <c r="K27" s="156">
        <f>'E1.1 Proposed Dist Rates '!E23</f>
        <v>20</v>
      </c>
      <c r="L27" s="158">
        <f>'E1.1 Proposed Dist Rates '!F23</f>
        <v>24.102036217008624</v>
      </c>
      <c r="M27" s="158">
        <f>'E1.1 Proposed Dist Rates '!G23</f>
        <v>18.624610318956027</v>
      </c>
      <c r="N27" s="159" t="str">
        <f>""</f>
        <v/>
      </c>
      <c r="O27" s="159" t="str">
        <f>""</f>
        <v/>
      </c>
    </row>
    <row r="28" spans="3:15" x14ac:dyDescent="0.25">
      <c r="C28" t="str">
        <f t="shared" si="3"/>
        <v>RATE 5 - Interruptible Peaking Contract Rate</v>
      </c>
      <c r="D28">
        <f t="shared" si="4"/>
        <v>13.264200000000001</v>
      </c>
      <c r="E28" s="158">
        <f>'E1.1 Proposed Dist Rates '!L24</f>
        <v>4.3499999999999997E-2</v>
      </c>
      <c r="F28" s="161">
        <f>'F1.1 REDA'!$H$22</f>
        <v>0.76971281184715468</v>
      </c>
      <c r="G28" s="161">
        <f>'F1.2 PGTVA'!$G$16</f>
        <v>0.30664420626329603</v>
      </c>
      <c r="H28" s="161">
        <f>'F1.3 ADVADA'!$H$16</f>
        <v>0.14841821245417633</v>
      </c>
      <c r="I28">
        <f t="shared" si="5"/>
        <v>5.87</v>
      </c>
      <c r="J28">
        <f t="shared" si="5"/>
        <v>2.7000000000000001E-3</v>
      </c>
      <c r="K28" s="156">
        <f>'E1.1 Proposed Dist Rates '!E24</f>
        <v>190</v>
      </c>
      <c r="L28" s="160">
        <f>'E1.1 Proposed Dist Rates '!J24</f>
        <v>7.7857887797950331</v>
      </c>
      <c r="M28" s="159" t="str">
        <f>""</f>
        <v/>
      </c>
      <c r="N28" s="159" t="str">
        <f>""</f>
        <v/>
      </c>
      <c r="O28" s="159" t="str">
        <f>""</f>
        <v/>
      </c>
    </row>
    <row r="29" spans="3:15" x14ac:dyDescent="0.25">
      <c r="C29" t="str">
        <f t="shared" si="3"/>
        <v>RATE 6 - Integrated Grain Processors Co-Operative Aylmer Ethanol Production Facility</v>
      </c>
      <c r="D29" s="159" t="str">
        <f>""</f>
        <v/>
      </c>
      <c r="E29" s="159" t="str">
        <f>""</f>
        <v/>
      </c>
      <c r="F29" s="161">
        <f>'F1.1 REDA'!$H$23</f>
        <v>0.73891059734433229</v>
      </c>
      <c r="G29" s="159" t="str">
        <f>""</f>
        <v/>
      </c>
      <c r="H29" s="164">
        <f>'F1.3 ADVADA'!$H$17</f>
        <v>923.58333333333337</v>
      </c>
      <c r="I29" s="159" t="str">
        <f>""</f>
        <v/>
      </c>
      <c r="J29">
        <f t="shared" si="5"/>
        <v>2.7000000000000001E-3</v>
      </c>
      <c r="K29" s="156">
        <f>'E1.1 Proposed Dist Rates '!E25</f>
        <v>62209.598720000002</v>
      </c>
      <c r="L29" s="159" t="str">
        <f>""</f>
        <v/>
      </c>
      <c r="M29" s="159" t="str">
        <f>""</f>
        <v/>
      </c>
      <c r="N29" s="159" t="str">
        <f>""</f>
        <v/>
      </c>
      <c r="O29" s="159" t="str">
        <f>""</f>
        <v/>
      </c>
    </row>
    <row r="31" spans="3:15" ht="18.75" x14ac:dyDescent="0.3">
      <c r="C31" s="163" t="s">
        <v>127</v>
      </c>
    </row>
    <row r="33" spans="3:15" ht="30" x14ac:dyDescent="0.25">
      <c r="C33" s="157" t="str">
        <f t="shared" ref="C33:H33" si="6">C47</f>
        <v>Rate Group</v>
      </c>
      <c r="D33" s="157" t="str">
        <f t="shared" si="6"/>
        <v>Commodity</v>
      </c>
      <c r="E33" s="157" t="str">
        <f t="shared" si="6"/>
        <v>System Gas</v>
      </c>
      <c r="F33" s="157" t="str">
        <f t="shared" si="6"/>
        <v>REDA</v>
      </c>
      <c r="G33" s="157" t="str">
        <f t="shared" si="6"/>
        <v>PGTVA</v>
      </c>
      <c r="H33" s="157" t="str">
        <f t="shared" si="6"/>
        <v>ADVADA</v>
      </c>
      <c r="I33" s="157" t="str">
        <f t="shared" ref="I33:J33" si="7">I47</f>
        <v>Federal Carbon</v>
      </c>
      <c r="J33" s="157" t="str">
        <f t="shared" si="7"/>
        <v>Facility Carbon</v>
      </c>
      <c r="K33" s="157" t="str">
        <f>K47</f>
        <v>Dist. Customer Rate</v>
      </c>
      <c r="L33" s="157" t="str">
        <f>L47</f>
        <v>Dist. Vol. Rate Tier 1</v>
      </c>
      <c r="M33" s="157" t="str">
        <f>M47</f>
        <v>Dist. Vol. Rate Tier 2</v>
      </c>
      <c r="N33" s="157" t="str">
        <f>N47</f>
        <v>Dist. Vol. Rate Tier 3</v>
      </c>
      <c r="O33" s="157" t="str">
        <f>O47</f>
        <v>Dist. Capacity Rate</v>
      </c>
    </row>
    <row r="34" spans="3:15" x14ac:dyDescent="0.25">
      <c r="C34" t="str">
        <f>C6</f>
        <v>RATE 1 - General Service Rate - Residential</v>
      </c>
      <c r="D34" s="167">
        <f>SUM($L34:$N34)</f>
        <v>2113.059934587081</v>
      </c>
      <c r="E34" s="167">
        <f t="shared" ref="E34:J42" si="8">SUM($L34:$N34)</f>
        <v>2113.059934587081</v>
      </c>
      <c r="F34" s="167">
        <f>$K34</f>
        <v>12</v>
      </c>
      <c r="G34" s="167">
        <f t="shared" si="8"/>
        <v>2113.059934587081</v>
      </c>
      <c r="H34" s="167">
        <f t="shared" si="8"/>
        <v>2113.059934587081</v>
      </c>
      <c r="I34" s="167">
        <f>SUM($L34:$N34)</f>
        <v>2113.059934587081</v>
      </c>
      <c r="J34" s="167">
        <f>SUM($L34:$N34)</f>
        <v>2113.059934587081</v>
      </c>
      <c r="K34" s="153">
        <v>12</v>
      </c>
      <c r="L34" s="165">
        <f>'B1.2 Billing Determinants'!F16/'B1.2 Billing Determinants'!$E16</f>
        <v>2088.2035042635207</v>
      </c>
      <c r="M34" s="165">
        <f>'B1.2 Billing Determinants'!G16/'B1.2 Billing Determinants'!$E16</f>
        <v>24.856430323560332</v>
      </c>
      <c r="N34" s="159" t="str">
        <f>""</f>
        <v/>
      </c>
      <c r="O34" s="159" t="str">
        <f>""</f>
        <v/>
      </c>
    </row>
    <row r="35" spans="3:15" x14ac:dyDescent="0.25">
      <c r="C35" t="str">
        <f t="shared" ref="C35:C43" si="9">C7</f>
        <v>RATE 1 - General Service Rate - Commercial</v>
      </c>
      <c r="D35" s="167">
        <f t="shared" ref="D35:E42" si="10">SUM($L35:$N35)</f>
        <v>11854.476082474226</v>
      </c>
      <c r="E35" s="167">
        <f t="shared" si="10"/>
        <v>11854.476082474226</v>
      </c>
      <c r="F35" s="167">
        <f t="shared" ref="F35:H43" si="11">$K35</f>
        <v>12</v>
      </c>
      <c r="G35" s="167">
        <f t="shared" si="8"/>
        <v>11854.476082474226</v>
      </c>
      <c r="H35" s="167">
        <f t="shared" si="8"/>
        <v>11854.476082474226</v>
      </c>
      <c r="I35" s="167">
        <f t="shared" si="8"/>
        <v>11854.476082474226</v>
      </c>
      <c r="J35" s="167">
        <f t="shared" si="8"/>
        <v>11854.476082474226</v>
      </c>
      <c r="K35" s="153">
        <v>12</v>
      </c>
      <c r="L35" s="165">
        <f>'B1.2 Billing Determinants'!F17/'B1.2 Billing Determinants'!$E17</f>
        <v>5361.8688659793816</v>
      </c>
      <c r="M35" s="165">
        <f>'B1.2 Billing Determinants'!G17/'B1.2 Billing Determinants'!$E17</f>
        <v>6492.6072164948455</v>
      </c>
      <c r="N35" s="159" t="str">
        <f>""</f>
        <v/>
      </c>
      <c r="O35" s="159" t="str">
        <f>""</f>
        <v/>
      </c>
    </row>
    <row r="36" spans="3:15" x14ac:dyDescent="0.25">
      <c r="C36" t="str">
        <f t="shared" si="9"/>
        <v>RATE 1 - General Service Rate - Industrial</v>
      </c>
      <c r="D36" s="167">
        <f t="shared" si="10"/>
        <v>33573.733802816903</v>
      </c>
      <c r="E36" s="167">
        <f t="shared" si="10"/>
        <v>33573.733802816903</v>
      </c>
      <c r="F36" s="167">
        <f t="shared" si="11"/>
        <v>12</v>
      </c>
      <c r="G36" s="167">
        <f t="shared" si="8"/>
        <v>33573.733802816903</v>
      </c>
      <c r="H36" s="167">
        <f t="shared" si="8"/>
        <v>33573.733802816903</v>
      </c>
      <c r="I36" s="167">
        <f t="shared" si="8"/>
        <v>33573.733802816903</v>
      </c>
      <c r="J36" s="167">
        <f t="shared" si="8"/>
        <v>33573.733802816903</v>
      </c>
      <c r="K36" s="153">
        <v>12</v>
      </c>
      <c r="L36" s="165">
        <f>'B1.2 Billing Determinants'!F18/'B1.2 Billing Determinants'!$E18</f>
        <v>6439.2394366197186</v>
      </c>
      <c r="M36" s="165">
        <f>'B1.2 Billing Determinants'!G18/'B1.2 Billing Determinants'!$E18</f>
        <v>27134.494366197185</v>
      </c>
      <c r="N36" s="159" t="str">
        <f>""</f>
        <v/>
      </c>
      <c r="O36" s="159" t="str">
        <f>""</f>
        <v/>
      </c>
    </row>
    <row r="37" spans="3:15" x14ac:dyDescent="0.25">
      <c r="C37" t="str">
        <f t="shared" si="9"/>
        <v>RATE 2 - Seasonal Service - Apr to Oct</v>
      </c>
      <c r="D37" s="167">
        <f t="shared" si="10"/>
        <v>15791.589795918368</v>
      </c>
      <c r="E37" s="167">
        <f t="shared" si="10"/>
        <v>15791.589795918368</v>
      </c>
      <c r="F37" s="167">
        <f t="shared" si="11"/>
        <v>7</v>
      </c>
      <c r="G37" s="167">
        <f t="shared" si="8"/>
        <v>15791.589795918368</v>
      </c>
      <c r="H37" s="167">
        <f t="shared" si="8"/>
        <v>15791.589795918368</v>
      </c>
      <c r="I37" s="167">
        <f t="shared" si="8"/>
        <v>15791.589795918368</v>
      </c>
      <c r="J37" s="167">
        <f t="shared" si="8"/>
        <v>15791.589795918368</v>
      </c>
      <c r="K37" s="153">
        <v>7</v>
      </c>
      <c r="L37" s="165">
        <f>'B1.2 Billing Determinants'!F19/'B1.2 Billing Determinants'!$E19</f>
        <v>1684.8816326530612</v>
      </c>
      <c r="M37" s="166">
        <f>'B1.2 Billing Determinants'!H19/'B1.2 Billing Determinants'!$E19</f>
        <v>12110.287755102041</v>
      </c>
      <c r="N37" s="165">
        <f>'B1.2 Billing Determinants'!I19/'B1.2 Billing Determinants'!$E19</f>
        <v>1996.4204081632654</v>
      </c>
      <c r="O37" s="159" t="str">
        <f>""</f>
        <v/>
      </c>
    </row>
    <row r="38" spans="3:15" x14ac:dyDescent="0.25">
      <c r="C38" t="str">
        <f t="shared" si="9"/>
        <v>RATE 2 - Seasonal Service - Nov to Mar</v>
      </c>
      <c r="D38" s="167">
        <f t="shared" si="10"/>
        <v>9736.7510204081645</v>
      </c>
      <c r="E38" s="167">
        <f t="shared" si="10"/>
        <v>9736.7510204081645</v>
      </c>
      <c r="F38" s="167">
        <f t="shared" si="11"/>
        <v>5</v>
      </c>
      <c r="G38" s="167">
        <f t="shared" si="8"/>
        <v>9736.7510204081645</v>
      </c>
      <c r="H38" s="167">
        <f t="shared" si="8"/>
        <v>9736.7510204081645</v>
      </c>
      <c r="I38" s="167">
        <f t="shared" si="8"/>
        <v>9736.7510204081645</v>
      </c>
      <c r="J38" s="167">
        <f t="shared" si="8"/>
        <v>9736.7510204081645</v>
      </c>
      <c r="K38" s="153">
        <v>5</v>
      </c>
      <c r="L38" s="165">
        <f>'B1.2 Billing Determinants'!F20/'B1.2 Billing Determinants'!$E20</f>
        <v>1574.5469387755102</v>
      </c>
      <c r="M38" s="166">
        <f>'B1.2 Billing Determinants'!H20/'B1.2 Billing Determinants'!$E20</f>
        <v>7738.465306122449</v>
      </c>
      <c r="N38" s="165">
        <f>'B1.2 Billing Determinants'!I20/'B1.2 Billing Determinants'!$E20</f>
        <v>423.73877551020411</v>
      </c>
      <c r="O38" s="159" t="str">
        <f>""</f>
        <v/>
      </c>
    </row>
    <row r="39" spans="3:15" x14ac:dyDescent="0.25">
      <c r="C39" t="str">
        <f t="shared" si="9"/>
        <v>RATE 3 - Special Large Volume Contract Rate</v>
      </c>
      <c r="D39" s="167">
        <f t="shared" si="10"/>
        <v>257420.69999999998</v>
      </c>
      <c r="E39" s="167">
        <f t="shared" si="10"/>
        <v>257420.69999999998</v>
      </c>
      <c r="F39" s="167">
        <f t="shared" si="11"/>
        <v>12</v>
      </c>
      <c r="G39" s="167">
        <f t="shared" si="8"/>
        <v>257420.69999999998</v>
      </c>
      <c r="H39" s="167">
        <f t="shared" si="8"/>
        <v>257420.69999999998</v>
      </c>
      <c r="I39" s="167">
        <f t="shared" si="8"/>
        <v>257420.69999999998</v>
      </c>
      <c r="J39" s="167">
        <f t="shared" si="8"/>
        <v>257420.69999999998</v>
      </c>
      <c r="K39" s="153">
        <v>12</v>
      </c>
      <c r="L39" s="166">
        <f>'B1.2 Billing Determinants'!J21/'B1.2 Billing Determinants'!E21</f>
        <v>257420.69999999998</v>
      </c>
      <c r="M39" s="159" t="str">
        <f>""</f>
        <v/>
      </c>
      <c r="N39" s="159" t="str">
        <f>""</f>
        <v/>
      </c>
      <c r="O39" s="165">
        <f>'B1.2 Billing Determinants'!K21/'B1.2 Billing Determinants'!E21</f>
        <v>38737.200000000004</v>
      </c>
    </row>
    <row r="40" spans="3:15" x14ac:dyDescent="0.25">
      <c r="C40" t="str">
        <f t="shared" si="9"/>
        <v>RATE 4 - General Service Peaking - Apr to Dec</v>
      </c>
      <c r="D40" s="167">
        <f t="shared" si="10"/>
        <v>44131.638888888891</v>
      </c>
      <c r="E40" s="167">
        <f t="shared" si="10"/>
        <v>44131.638888888891</v>
      </c>
      <c r="F40" s="167">
        <f t="shared" si="11"/>
        <v>9</v>
      </c>
      <c r="G40" s="167">
        <f t="shared" si="8"/>
        <v>44131.638888888891</v>
      </c>
      <c r="H40" s="167">
        <f t="shared" si="8"/>
        <v>44131.638888888891</v>
      </c>
      <c r="I40" s="167">
        <f t="shared" si="8"/>
        <v>44131.638888888891</v>
      </c>
      <c r="J40" s="167">
        <f t="shared" si="8"/>
        <v>44131.638888888891</v>
      </c>
      <c r="K40" s="153">
        <v>9</v>
      </c>
      <c r="L40" s="165">
        <f>'B1.2 Billing Determinants'!F22/'B1.2 Billing Determinants'!$E22</f>
        <v>2410.5277777777778</v>
      </c>
      <c r="M40" s="165">
        <f>'B1.2 Billing Determinants'!G22/'B1.2 Billing Determinants'!$E22</f>
        <v>41721.111111111109</v>
      </c>
      <c r="N40" s="159" t="str">
        <f>""</f>
        <v/>
      </c>
      <c r="O40" s="159" t="str">
        <f>""</f>
        <v/>
      </c>
    </row>
    <row r="41" spans="3:15" x14ac:dyDescent="0.25">
      <c r="C41" t="str">
        <f t="shared" si="9"/>
        <v>RATE 4 - General Service Peaking - Jan to Mar</v>
      </c>
      <c r="D41" s="167">
        <f t="shared" si="10"/>
        <v>5327.969444444444</v>
      </c>
      <c r="E41" s="167">
        <f t="shared" si="10"/>
        <v>5327.969444444444</v>
      </c>
      <c r="F41" s="167">
        <f t="shared" si="11"/>
        <v>3</v>
      </c>
      <c r="G41" s="167">
        <f t="shared" si="8"/>
        <v>5327.969444444444</v>
      </c>
      <c r="H41" s="167">
        <f t="shared" si="8"/>
        <v>5327.969444444444</v>
      </c>
      <c r="I41" s="167">
        <f t="shared" si="8"/>
        <v>5327.969444444444</v>
      </c>
      <c r="J41" s="167">
        <f t="shared" si="8"/>
        <v>5327.969444444444</v>
      </c>
      <c r="K41" s="153">
        <v>3</v>
      </c>
      <c r="L41" s="165">
        <f>'B1.2 Billing Determinants'!F23/'B1.2 Billing Determinants'!$E23</f>
        <v>954.23888888888882</v>
      </c>
      <c r="M41" s="165">
        <f>'B1.2 Billing Determinants'!G23/'B1.2 Billing Determinants'!$E23</f>
        <v>4373.7305555555549</v>
      </c>
      <c r="N41" s="159" t="str">
        <f>""</f>
        <v/>
      </c>
      <c r="O41" s="159" t="str">
        <f>""</f>
        <v/>
      </c>
    </row>
    <row r="42" spans="3:15" x14ac:dyDescent="0.25">
      <c r="C42" t="str">
        <f t="shared" si="9"/>
        <v>RATE 5 - Interruptible Peaking Contract Rate</v>
      </c>
      <c r="D42" s="167">
        <f t="shared" si="10"/>
        <v>198871.1</v>
      </c>
      <c r="E42" s="167">
        <f t="shared" si="10"/>
        <v>198871.1</v>
      </c>
      <c r="F42" s="167">
        <f t="shared" si="11"/>
        <v>12</v>
      </c>
      <c r="G42" s="167">
        <f t="shared" si="8"/>
        <v>198871.1</v>
      </c>
      <c r="H42" s="167">
        <f t="shared" si="8"/>
        <v>198871.1</v>
      </c>
      <c r="I42" s="167">
        <f t="shared" si="8"/>
        <v>198871.1</v>
      </c>
      <c r="J42" s="167">
        <f t="shared" si="8"/>
        <v>198871.1</v>
      </c>
      <c r="K42" s="153">
        <v>12</v>
      </c>
      <c r="L42" s="166">
        <f>'B1.2 Billing Determinants'!J24/'B1.2 Billing Determinants'!E24</f>
        <v>198871.1</v>
      </c>
      <c r="M42" s="159" t="str">
        <f>""</f>
        <v/>
      </c>
      <c r="N42" s="159" t="str">
        <f>""</f>
        <v/>
      </c>
      <c r="O42" s="159" t="str">
        <f>""</f>
        <v/>
      </c>
    </row>
    <row r="43" spans="3:15" x14ac:dyDescent="0.25">
      <c r="C43" t="str">
        <f t="shared" si="9"/>
        <v>RATE 6 - Integrated Grain Processors Co-Operative Aylmer Ethanol Production Facility</v>
      </c>
      <c r="D43" s="159" t="str">
        <f>""</f>
        <v/>
      </c>
      <c r="E43" s="159" t="str">
        <f>""</f>
        <v/>
      </c>
      <c r="F43" s="167">
        <f t="shared" si="11"/>
        <v>12</v>
      </c>
      <c r="G43" s="167">
        <f t="shared" si="11"/>
        <v>12</v>
      </c>
      <c r="H43" s="167">
        <f t="shared" si="11"/>
        <v>12</v>
      </c>
      <c r="I43" s="159" t="str">
        <f>""</f>
        <v/>
      </c>
      <c r="J43" s="168">
        <f>'B1.2 Billing Determinants'!J25</f>
        <v>62382456</v>
      </c>
      <c r="K43" s="153">
        <v>12</v>
      </c>
      <c r="L43" s="159" t="str">
        <f>""</f>
        <v/>
      </c>
      <c r="M43" s="159" t="str">
        <f>""</f>
        <v/>
      </c>
      <c r="N43" s="159" t="str">
        <f>""</f>
        <v/>
      </c>
      <c r="O43" s="159" t="str">
        <f>""</f>
        <v/>
      </c>
    </row>
    <row r="45" spans="3:15" ht="18.75" x14ac:dyDescent="0.3">
      <c r="C45" s="163" t="s">
        <v>122</v>
      </c>
    </row>
    <row r="47" spans="3:15" ht="30" x14ac:dyDescent="0.25">
      <c r="C47" s="157" t="str">
        <f t="shared" ref="C47:H47" si="12">C19</f>
        <v>Rate Group</v>
      </c>
      <c r="D47" s="157" t="str">
        <f t="shared" si="12"/>
        <v>Commodity</v>
      </c>
      <c r="E47" s="157" t="str">
        <f t="shared" si="12"/>
        <v>System Gas</v>
      </c>
      <c r="F47" s="157" t="str">
        <f t="shared" si="12"/>
        <v>REDA</v>
      </c>
      <c r="G47" s="157" t="str">
        <f t="shared" si="12"/>
        <v>PGTVA</v>
      </c>
      <c r="H47" s="157" t="str">
        <f t="shared" si="12"/>
        <v>ADVADA</v>
      </c>
      <c r="I47" s="157" t="str">
        <f t="shared" ref="I47:J47" si="13">I19</f>
        <v>Federal Carbon</v>
      </c>
      <c r="J47" s="157" t="str">
        <f t="shared" si="13"/>
        <v>Facility Carbon</v>
      </c>
      <c r="K47" s="157" t="str">
        <f>K19</f>
        <v>Dist. Customer Rate</v>
      </c>
      <c r="L47" s="157" t="str">
        <f>L19</f>
        <v>Dist. Vol. Rate Tier 1</v>
      </c>
      <c r="M47" s="157" t="str">
        <f>M19</f>
        <v>Dist. Vol. Rate Tier 2</v>
      </c>
      <c r="N47" s="157" t="str">
        <f>N19</f>
        <v>Dist. Vol. Rate Tier 3</v>
      </c>
      <c r="O47" s="157" t="str">
        <f>O19</f>
        <v>Dist. Capacity Rate</v>
      </c>
    </row>
    <row r="48" spans="3:15" x14ac:dyDescent="0.25">
      <c r="C48" t="str">
        <f>C6</f>
        <v>RATE 1 - General Service Rate - Residential</v>
      </c>
      <c r="D48" s="153" t="s">
        <v>8</v>
      </c>
      <c r="E48" s="153" t="s">
        <v>53</v>
      </c>
      <c r="F48" s="153" t="s">
        <v>99</v>
      </c>
      <c r="G48" s="153" t="s">
        <v>98</v>
      </c>
      <c r="H48" s="153" t="s">
        <v>100</v>
      </c>
      <c r="I48" s="153" t="s">
        <v>134</v>
      </c>
      <c r="J48" s="153" t="s">
        <v>135</v>
      </c>
      <c r="K48" s="153" t="s">
        <v>150</v>
      </c>
      <c r="L48" s="153" t="s">
        <v>123</v>
      </c>
      <c r="M48" s="153" t="s">
        <v>124</v>
      </c>
      <c r="N48" s="159" t="str">
        <f>""</f>
        <v/>
      </c>
      <c r="O48" s="159" t="str">
        <f>""</f>
        <v/>
      </c>
    </row>
    <row r="49" spans="3:15" x14ac:dyDescent="0.25">
      <c r="C49" t="str">
        <f t="shared" ref="C49:C57" si="14">C7</f>
        <v>RATE 1 - General Service Rate - Commercial</v>
      </c>
      <c r="D49" s="153" t="s">
        <v>8</v>
      </c>
      <c r="E49" s="153" t="s">
        <v>53</v>
      </c>
      <c r="F49" s="153" t="s">
        <v>99</v>
      </c>
      <c r="G49" s="153" t="s">
        <v>98</v>
      </c>
      <c r="H49" s="153" t="s">
        <v>100</v>
      </c>
      <c r="I49" s="153" t="s">
        <v>134</v>
      </c>
      <c r="J49" s="153" t="s">
        <v>135</v>
      </c>
      <c r="K49" s="153" t="s">
        <v>150</v>
      </c>
      <c r="L49" s="153" t="s">
        <v>123</v>
      </c>
      <c r="M49" s="153" t="s">
        <v>124</v>
      </c>
      <c r="N49" s="159" t="str">
        <f>""</f>
        <v/>
      </c>
      <c r="O49" s="159" t="str">
        <f>""</f>
        <v/>
      </c>
    </row>
    <row r="50" spans="3:15" x14ac:dyDescent="0.25">
      <c r="C50" t="str">
        <f t="shared" si="14"/>
        <v>RATE 1 - General Service Rate - Industrial</v>
      </c>
      <c r="D50" s="153" t="s">
        <v>8</v>
      </c>
      <c r="E50" s="153" t="s">
        <v>53</v>
      </c>
      <c r="F50" s="153" t="s">
        <v>99</v>
      </c>
      <c r="G50" s="153" t="s">
        <v>98</v>
      </c>
      <c r="H50" s="153" t="s">
        <v>100</v>
      </c>
      <c r="I50" s="153" t="s">
        <v>134</v>
      </c>
      <c r="J50" s="153" t="s">
        <v>135</v>
      </c>
      <c r="K50" s="153" t="s">
        <v>150</v>
      </c>
      <c r="L50" s="153" t="s">
        <v>123</v>
      </c>
      <c r="M50" s="153" t="s">
        <v>124</v>
      </c>
      <c r="N50" s="159" t="str">
        <f>""</f>
        <v/>
      </c>
      <c r="O50" s="159" t="str">
        <f>""</f>
        <v/>
      </c>
    </row>
    <row r="51" spans="3:15" x14ac:dyDescent="0.25">
      <c r="C51" t="str">
        <f t="shared" si="14"/>
        <v>RATE 2 - Seasonal Service - Apr to Oct</v>
      </c>
      <c r="D51" s="153" t="s">
        <v>8</v>
      </c>
      <c r="E51" s="153" t="s">
        <v>53</v>
      </c>
      <c r="F51" s="153" t="s">
        <v>99</v>
      </c>
      <c r="G51" s="153" t="s">
        <v>98</v>
      </c>
      <c r="H51" s="153" t="s">
        <v>100</v>
      </c>
      <c r="I51" s="153" t="s">
        <v>134</v>
      </c>
      <c r="J51" s="153" t="s">
        <v>135</v>
      </c>
      <c r="K51" s="153" t="s">
        <v>150</v>
      </c>
      <c r="L51" s="153" t="s">
        <v>123</v>
      </c>
      <c r="M51" s="153" t="s">
        <v>125</v>
      </c>
      <c r="N51" s="153" t="s">
        <v>126</v>
      </c>
      <c r="O51" s="159" t="str">
        <f>""</f>
        <v/>
      </c>
    </row>
    <row r="52" spans="3:15" x14ac:dyDescent="0.25">
      <c r="C52" t="str">
        <f t="shared" si="14"/>
        <v>RATE 2 - Seasonal Service - Nov to Mar</v>
      </c>
      <c r="D52" s="153" t="s">
        <v>8</v>
      </c>
      <c r="E52" s="153" t="s">
        <v>53</v>
      </c>
      <c r="F52" s="153" t="s">
        <v>99</v>
      </c>
      <c r="G52" s="153" t="s">
        <v>98</v>
      </c>
      <c r="H52" s="153" t="s">
        <v>100</v>
      </c>
      <c r="I52" s="153" t="s">
        <v>134</v>
      </c>
      <c r="J52" s="153" t="s">
        <v>135</v>
      </c>
      <c r="K52" s="153" t="s">
        <v>150</v>
      </c>
      <c r="L52" s="153" t="s">
        <v>123</v>
      </c>
      <c r="M52" s="153" t="s">
        <v>125</v>
      </c>
      <c r="N52" s="153" t="s">
        <v>126</v>
      </c>
      <c r="O52" s="159" t="str">
        <f>""</f>
        <v/>
      </c>
    </row>
    <row r="53" spans="3:15" x14ac:dyDescent="0.25">
      <c r="C53" t="str">
        <f t="shared" si="14"/>
        <v>RATE 3 - Special Large Volume Contract Rate</v>
      </c>
      <c r="D53" s="153" t="s">
        <v>8</v>
      </c>
      <c r="E53" s="153" t="s">
        <v>53</v>
      </c>
      <c r="F53" s="153" t="s">
        <v>99</v>
      </c>
      <c r="G53" s="153" t="s">
        <v>98</v>
      </c>
      <c r="H53" s="153" t="s">
        <v>100</v>
      </c>
      <c r="I53" s="153" t="s">
        <v>134</v>
      </c>
      <c r="J53" s="153" t="s">
        <v>135</v>
      </c>
      <c r="K53" s="153" t="s">
        <v>150</v>
      </c>
      <c r="L53" s="153" t="s">
        <v>6</v>
      </c>
      <c r="M53" s="159" t="str">
        <f>""</f>
        <v/>
      </c>
      <c r="N53" s="159" t="str">
        <f>""</f>
        <v/>
      </c>
      <c r="O53" s="153" t="s">
        <v>7</v>
      </c>
    </row>
    <row r="54" spans="3:15" x14ac:dyDescent="0.25">
      <c r="C54" t="str">
        <f t="shared" si="14"/>
        <v>RATE 4 - General Service Peaking - Apr to Dec</v>
      </c>
      <c r="D54" s="153" t="s">
        <v>8</v>
      </c>
      <c r="E54" s="153" t="s">
        <v>53</v>
      </c>
      <c r="F54" s="153" t="s">
        <v>99</v>
      </c>
      <c r="G54" s="153" t="s">
        <v>98</v>
      </c>
      <c r="H54" s="153" t="s">
        <v>100</v>
      </c>
      <c r="I54" s="153" t="s">
        <v>134</v>
      </c>
      <c r="J54" s="153" t="s">
        <v>135</v>
      </c>
      <c r="K54" s="153" t="s">
        <v>150</v>
      </c>
      <c r="L54" s="153" t="s">
        <v>123</v>
      </c>
      <c r="M54" s="153" t="s">
        <v>124</v>
      </c>
      <c r="N54" s="159" t="str">
        <f>""</f>
        <v/>
      </c>
      <c r="O54" s="159" t="str">
        <f>""</f>
        <v/>
      </c>
    </row>
    <row r="55" spans="3:15" x14ac:dyDescent="0.25">
      <c r="C55" t="str">
        <f t="shared" si="14"/>
        <v>RATE 4 - General Service Peaking - Jan to Mar</v>
      </c>
      <c r="D55" s="153" t="s">
        <v>8</v>
      </c>
      <c r="E55" s="153" t="s">
        <v>53</v>
      </c>
      <c r="F55" s="153" t="s">
        <v>99</v>
      </c>
      <c r="G55" s="153" t="s">
        <v>98</v>
      </c>
      <c r="H55" s="153" t="s">
        <v>100</v>
      </c>
      <c r="I55" s="153" t="s">
        <v>134</v>
      </c>
      <c r="J55" s="153" t="s">
        <v>135</v>
      </c>
      <c r="K55" s="153" t="s">
        <v>150</v>
      </c>
      <c r="L55" s="153" t="s">
        <v>123</v>
      </c>
      <c r="M55" s="153" t="s">
        <v>124</v>
      </c>
      <c r="N55" s="159" t="str">
        <f>""</f>
        <v/>
      </c>
      <c r="O55" s="159" t="str">
        <f>""</f>
        <v/>
      </c>
    </row>
    <row r="56" spans="3:15" x14ac:dyDescent="0.25">
      <c r="C56" t="str">
        <f t="shared" si="14"/>
        <v>RATE 5 - Interruptible Peaking Contract Rate</v>
      </c>
      <c r="D56" s="153" t="s">
        <v>8</v>
      </c>
      <c r="E56" s="153" t="s">
        <v>53</v>
      </c>
      <c r="F56" s="153" t="s">
        <v>99</v>
      </c>
      <c r="G56" s="153" t="s">
        <v>98</v>
      </c>
      <c r="H56" s="153" t="s">
        <v>100</v>
      </c>
      <c r="I56" s="153" t="s">
        <v>134</v>
      </c>
      <c r="J56" s="153" t="s">
        <v>135</v>
      </c>
      <c r="K56" s="153" t="s">
        <v>150</v>
      </c>
      <c r="L56" s="153" t="s">
        <v>6</v>
      </c>
      <c r="M56" s="159" t="str">
        <f>""</f>
        <v/>
      </c>
      <c r="N56" s="159" t="str">
        <f>""</f>
        <v/>
      </c>
      <c r="O56" s="159" t="str">
        <f>""</f>
        <v/>
      </c>
    </row>
    <row r="57" spans="3:15" x14ac:dyDescent="0.25">
      <c r="C57" t="str">
        <f t="shared" si="14"/>
        <v>RATE 6 - Integrated Grain Processors Co-Operative Aylmer Ethanol Production Facility</v>
      </c>
      <c r="D57" s="159" t="str">
        <f>""</f>
        <v/>
      </c>
      <c r="E57" s="159" t="str">
        <f>""</f>
        <v/>
      </c>
      <c r="F57" s="153" t="s">
        <v>99</v>
      </c>
      <c r="G57" s="153" t="s">
        <v>98</v>
      </c>
      <c r="H57" s="153" t="s">
        <v>100</v>
      </c>
      <c r="I57" s="159" t="str">
        <f>""</f>
        <v/>
      </c>
      <c r="J57" s="153" t="s">
        <v>135</v>
      </c>
      <c r="K57" s="153" t="s">
        <v>150</v>
      </c>
      <c r="L57" s="159" t="str">
        <f>""</f>
        <v/>
      </c>
      <c r="M57" s="159" t="str">
        <f>""</f>
        <v/>
      </c>
      <c r="N57" s="159" t="str">
        <f>""</f>
        <v/>
      </c>
      <c r="O57" s="159" t="str">
        <f>""</f>
        <v/>
      </c>
    </row>
    <row r="59" spans="3:15" ht="18.75" x14ac:dyDescent="0.3">
      <c r="C59" s="163" t="s">
        <v>128</v>
      </c>
    </row>
    <row r="61" spans="3:15" ht="30" x14ac:dyDescent="0.25">
      <c r="C61" s="157" t="str">
        <f t="shared" ref="C61:H61" si="15">C33</f>
        <v>Rate Group</v>
      </c>
      <c r="D61" s="157" t="str">
        <f t="shared" si="15"/>
        <v>Commodity</v>
      </c>
      <c r="E61" s="157" t="str">
        <f t="shared" si="15"/>
        <v>System Gas</v>
      </c>
      <c r="F61" s="157" t="str">
        <f t="shared" si="15"/>
        <v>REDA</v>
      </c>
      <c r="G61" s="157" t="str">
        <f t="shared" si="15"/>
        <v>PGTVA</v>
      </c>
      <c r="H61" s="157" t="str">
        <f t="shared" si="15"/>
        <v>ADVADA</v>
      </c>
      <c r="I61" s="157" t="str">
        <f t="shared" ref="I61:J61" si="16">I33</f>
        <v>Federal Carbon</v>
      </c>
      <c r="J61" s="157" t="str">
        <f t="shared" si="16"/>
        <v>Facility Carbon</v>
      </c>
      <c r="K61" s="157" t="str">
        <f>K33</f>
        <v>Dist. Customer Rate</v>
      </c>
      <c r="L61" s="157" t="str">
        <f>L33</f>
        <v>Dist. Vol. Rate Tier 1</v>
      </c>
      <c r="M61" s="157" t="str">
        <f>M33</f>
        <v>Dist. Vol. Rate Tier 2</v>
      </c>
      <c r="N61" s="157" t="str">
        <f>N33</f>
        <v>Dist. Vol. Rate Tier 3</v>
      </c>
      <c r="O61" s="157" t="str">
        <f>O33</f>
        <v>Dist. Capacity Rate</v>
      </c>
    </row>
    <row r="62" spans="3:15" x14ac:dyDescent="0.25">
      <c r="C62" t="str">
        <f>C20</f>
        <v>RATE 1 - General Service Rate - Residential</v>
      </c>
      <c r="D62" s="153" t="s">
        <v>107</v>
      </c>
      <c r="E62" s="153" t="s">
        <v>107</v>
      </c>
      <c r="F62" s="153" t="s">
        <v>129</v>
      </c>
      <c r="G62" s="153" t="s">
        <v>107</v>
      </c>
      <c r="H62" s="153" t="s">
        <v>107</v>
      </c>
      <c r="I62" s="153" t="s">
        <v>107</v>
      </c>
      <c r="J62" s="153" t="s">
        <v>107</v>
      </c>
      <c r="K62" s="153" t="s">
        <v>129</v>
      </c>
      <c r="L62" s="153" t="s">
        <v>107</v>
      </c>
      <c r="M62" s="153" t="s">
        <v>107</v>
      </c>
      <c r="N62" s="159" t="str">
        <f>""</f>
        <v/>
      </c>
      <c r="O62" s="159" t="str">
        <f>""</f>
        <v/>
      </c>
    </row>
    <row r="63" spans="3:15" x14ac:dyDescent="0.25">
      <c r="C63" t="str">
        <f t="shared" ref="C63:C71" si="17">C21</f>
        <v>RATE 1 - General Service Rate - Commercial</v>
      </c>
      <c r="D63" s="153" t="s">
        <v>107</v>
      </c>
      <c r="E63" s="153" t="s">
        <v>107</v>
      </c>
      <c r="F63" s="153" t="s">
        <v>129</v>
      </c>
      <c r="G63" s="153" t="s">
        <v>107</v>
      </c>
      <c r="H63" s="153" t="s">
        <v>107</v>
      </c>
      <c r="I63" s="153" t="s">
        <v>107</v>
      </c>
      <c r="J63" s="153" t="s">
        <v>107</v>
      </c>
      <c r="K63" s="153" t="s">
        <v>129</v>
      </c>
      <c r="L63" s="153" t="s">
        <v>107</v>
      </c>
      <c r="M63" s="153" t="s">
        <v>107</v>
      </c>
      <c r="N63" s="159" t="str">
        <f>""</f>
        <v/>
      </c>
      <c r="O63" s="159" t="str">
        <f>""</f>
        <v/>
      </c>
    </row>
    <row r="64" spans="3:15" x14ac:dyDescent="0.25">
      <c r="C64" t="str">
        <f t="shared" si="17"/>
        <v>RATE 1 - General Service Rate - Industrial</v>
      </c>
      <c r="D64" s="153" t="s">
        <v>107</v>
      </c>
      <c r="E64" s="153" t="s">
        <v>107</v>
      </c>
      <c r="F64" s="153" t="s">
        <v>129</v>
      </c>
      <c r="G64" s="153" t="s">
        <v>107</v>
      </c>
      <c r="H64" s="153" t="s">
        <v>107</v>
      </c>
      <c r="I64" s="153" t="s">
        <v>107</v>
      </c>
      <c r="J64" s="153" t="s">
        <v>107</v>
      </c>
      <c r="K64" s="153" t="s">
        <v>129</v>
      </c>
      <c r="L64" s="153" t="s">
        <v>107</v>
      </c>
      <c r="M64" s="153" t="s">
        <v>107</v>
      </c>
      <c r="N64" s="159" t="str">
        <f>""</f>
        <v/>
      </c>
      <c r="O64" s="159" t="str">
        <f>""</f>
        <v/>
      </c>
    </row>
    <row r="65" spans="3:15" x14ac:dyDescent="0.25">
      <c r="C65" t="str">
        <f t="shared" si="17"/>
        <v>RATE 2 - Seasonal Service - Apr to Oct</v>
      </c>
      <c r="D65" s="153" t="s">
        <v>107</v>
      </c>
      <c r="E65" s="153" t="s">
        <v>107</v>
      </c>
      <c r="F65" s="153" t="s">
        <v>129</v>
      </c>
      <c r="G65" s="153" t="s">
        <v>107</v>
      </c>
      <c r="H65" s="153" t="s">
        <v>107</v>
      </c>
      <c r="I65" s="153" t="s">
        <v>107</v>
      </c>
      <c r="J65" s="153" t="s">
        <v>107</v>
      </c>
      <c r="K65" s="153" t="s">
        <v>129</v>
      </c>
      <c r="L65" s="153" t="s">
        <v>107</v>
      </c>
      <c r="M65" s="153" t="s">
        <v>107</v>
      </c>
      <c r="N65" s="153" t="s">
        <v>107</v>
      </c>
      <c r="O65" s="159" t="str">
        <f>""</f>
        <v/>
      </c>
    </row>
    <row r="66" spans="3:15" x14ac:dyDescent="0.25">
      <c r="C66" t="str">
        <f t="shared" si="17"/>
        <v>RATE 2 - Seasonal Service - Nov to Mar</v>
      </c>
      <c r="D66" s="153" t="s">
        <v>107</v>
      </c>
      <c r="E66" s="153" t="s">
        <v>107</v>
      </c>
      <c r="F66" s="153" t="s">
        <v>129</v>
      </c>
      <c r="G66" s="153" t="s">
        <v>107</v>
      </c>
      <c r="H66" s="153" t="s">
        <v>107</v>
      </c>
      <c r="I66" s="153" t="s">
        <v>107</v>
      </c>
      <c r="J66" s="153" t="s">
        <v>107</v>
      </c>
      <c r="K66" s="153" t="s">
        <v>129</v>
      </c>
      <c r="L66" s="153" t="s">
        <v>107</v>
      </c>
      <c r="M66" s="153" t="s">
        <v>107</v>
      </c>
      <c r="N66" s="153" t="s">
        <v>107</v>
      </c>
      <c r="O66" s="159" t="str">
        <f>""</f>
        <v/>
      </c>
    </row>
    <row r="67" spans="3:15" x14ac:dyDescent="0.25">
      <c r="C67" t="str">
        <f t="shared" si="17"/>
        <v>RATE 3 - Special Large Volume Contract Rate</v>
      </c>
      <c r="D67" s="153" t="s">
        <v>107</v>
      </c>
      <c r="E67" s="153" t="s">
        <v>107</v>
      </c>
      <c r="F67" s="153" t="s">
        <v>129</v>
      </c>
      <c r="G67" s="153" t="s">
        <v>107</v>
      </c>
      <c r="H67" s="153" t="s">
        <v>107</v>
      </c>
      <c r="I67" s="153" t="s">
        <v>107</v>
      </c>
      <c r="J67" s="153" t="s">
        <v>107</v>
      </c>
      <c r="K67" s="153" t="s">
        <v>129</v>
      </c>
      <c r="L67" s="153" t="s">
        <v>107</v>
      </c>
      <c r="M67" s="159" t="str">
        <f>""</f>
        <v/>
      </c>
      <c r="N67" s="159" t="str">
        <f>""</f>
        <v/>
      </c>
      <c r="O67" s="153" t="s">
        <v>107</v>
      </c>
    </row>
    <row r="68" spans="3:15" x14ac:dyDescent="0.25">
      <c r="C68" t="str">
        <f t="shared" si="17"/>
        <v>RATE 4 - General Service Peaking - Apr to Dec</v>
      </c>
      <c r="D68" s="153" t="s">
        <v>107</v>
      </c>
      <c r="E68" s="153" t="s">
        <v>107</v>
      </c>
      <c r="F68" s="153" t="s">
        <v>129</v>
      </c>
      <c r="G68" s="153" t="s">
        <v>107</v>
      </c>
      <c r="H68" s="153" t="s">
        <v>107</v>
      </c>
      <c r="I68" s="153" t="s">
        <v>107</v>
      </c>
      <c r="J68" s="153" t="s">
        <v>107</v>
      </c>
      <c r="K68" s="153" t="s">
        <v>129</v>
      </c>
      <c r="L68" s="153" t="s">
        <v>107</v>
      </c>
      <c r="M68" s="153" t="s">
        <v>107</v>
      </c>
      <c r="N68" s="159" t="str">
        <f>""</f>
        <v/>
      </c>
      <c r="O68" s="159" t="str">
        <f>""</f>
        <v/>
      </c>
    </row>
    <row r="69" spans="3:15" x14ac:dyDescent="0.25">
      <c r="C69" t="str">
        <f t="shared" si="17"/>
        <v>RATE 4 - General Service Peaking - Jan to Mar</v>
      </c>
      <c r="D69" s="153" t="s">
        <v>107</v>
      </c>
      <c r="E69" s="153" t="s">
        <v>107</v>
      </c>
      <c r="F69" s="153" t="s">
        <v>129</v>
      </c>
      <c r="G69" s="153" t="s">
        <v>107</v>
      </c>
      <c r="H69" s="153" t="s">
        <v>107</v>
      </c>
      <c r="I69" s="153" t="s">
        <v>107</v>
      </c>
      <c r="J69" s="153" t="s">
        <v>107</v>
      </c>
      <c r="K69" s="153" t="s">
        <v>129</v>
      </c>
      <c r="L69" s="153" t="s">
        <v>107</v>
      </c>
      <c r="M69" s="153" t="s">
        <v>107</v>
      </c>
      <c r="N69" s="159" t="str">
        <f>""</f>
        <v/>
      </c>
      <c r="O69" s="159" t="str">
        <f>""</f>
        <v/>
      </c>
    </row>
    <row r="70" spans="3:15" x14ac:dyDescent="0.25">
      <c r="C70" t="str">
        <f t="shared" si="17"/>
        <v>RATE 5 - Interruptible Peaking Contract Rate</v>
      </c>
      <c r="D70" s="153" t="s">
        <v>107</v>
      </c>
      <c r="E70" s="153" t="s">
        <v>107</v>
      </c>
      <c r="F70" s="153" t="s">
        <v>129</v>
      </c>
      <c r="G70" s="153" t="s">
        <v>107</v>
      </c>
      <c r="H70" s="153" t="s">
        <v>107</v>
      </c>
      <c r="I70" s="153" t="s">
        <v>107</v>
      </c>
      <c r="J70" s="153" t="s">
        <v>107</v>
      </c>
      <c r="K70" s="153" t="s">
        <v>129</v>
      </c>
      <c r="L70" s="153" t="s">
        <v>107</v>
      </c>
      <c r="M70" s="159" t="str">
        <f>""</f>
        <v/>
      </c>
      <c r="N70" s="159" t="str">
        <f>""</f>
        <v/>
      </c>
      <c r="O70" s="159" t="str">
        <f>""</f>
        <v/>
      </c>
    </row>
    <row r="71" spans="3:15" x14ac:dyDescent="0.25">
      <c r="C71" t="str">
        <f t="shared" si="17"/>
        <v>RATE 6 - Integrated Grain Processors Co-Operative Aylmer Ethanol Production Facility</v>
      </c>
      <c r="D71" s="159" t="str">
        <f>""</f>
        <v/>
      </c>
      <c r="E71" s="159" t="str">
        <f>""</f>
        <v/>
      </c>
      <c r="F71" s="153" t="s">
        <v>129</v>
      </c>
      <c r="G71" s="153" t="s">
        <v>129</v>
      </c>
      <c r="H71" s="153" t="s">
        <v>129</v>
      </c>
      <c r="I71" s="159" t="str">
        <f>""</f>
        <v/>
      </c>
      <c r="J71" s="153" t="s">
        <v>107</v>
      </c>
      <c r="K71" s="153" t="s">
        <v>129</v>
      </c>
      <c r="L71" s="159" t="str">
        <f>""</f>
        <v/>
      </c>
      <c r="M71" s="159" t="str">
        <f>""</f>
        <v/>
      </c>
      <c r="N71" s="159" t="str">
        <f>""</f>
        <v/>
      </c>
      <c r="O71" s="159" t="str">
        <f>""</f>
        <v/>
      </c>
    </row>
  </sheetData>
  <sheetProtection algorithmName="SHA-512" hashValue="TlFHVfs/MvJAyIIItXuM+BQlqerXZlgl0XaabP/xPgzDBNsLDk6zjCyVwAk5sRCa7HiJNCHUIlUJviUTO7a4iA==" saltValue="EqqZAybeGQ/gu2qC6cQfrQ==" spinCount="100000" sheet="1" objects="1" scenarios="1"/>
  <pageMargins left="0.7" right="0.7" top="0.75" bottom="0.75" header="0.3" footer="0.3"/>
  <pageSetup orientation="portrait" r:id="rId1"/>
  <ignoredErrors>
    <ignoredError sqref="F34:F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5"/>
  <sheetViews>
    <sheetView showGridLines="0" workbookViewId="0">
      <selection activeCell="L17" sqref="L17"/>
    </sheetView>
  </sheetViews>
  <sheetFormatPr defaultColWidth="0" defaultRowHeight="15" customHeight="1" zeroHeight="1" x14ac:dyDescent="0.25"/>
  <cols>
    <col min="1" max="1" width="15.7109375" style="1" customWidth="1"/>
    <col min="2" max="2" width="0" style="1" hidden="1" customWidth="1"/>
    <col min="3" max="3" width="35.7109375" style="1" customWidth="1"/>
    <col min="4" max="4" width="2.7109375" style="1" customWidth="1"/>
    <col min="5" max="5" width="12.140625" style="1" bestFit="1" customWidth="1"/>
    <col min="6" max="6" width="22.28515625" style="1" customWidth="1"/>
    <col min="7" max="7" width="9.140625" style="1" bestFit="1" customWidth="1"/>
    <col min="8" max="8" width="14.42578125" style="1" bestFit="1" customWidth="1"/>
    <col min="9" max="9" width="13.28515625" style="1" bestFit="1" customWidth="1"/>
    <col min="10" max="10" width="12.7109375" style="1" bestFit="1" customWidth="1"/>
    <col min="11" max="11" width="12.28515625" style="1" bestFit="1" customWidth="1"/>
    <col min="12" max="12" width="14.42578125" style="1" bestFit="1" customWidth="1"/>
    <col min="13" max="13" width="12.7109375" style="1" bestFit="1" customWidth="1"/>
    <col min="14" max="15" width="15.7109375" style="1" customWidth="1"/>
    <col min="16" max="16" width="15.7109375" style="1" hidden="1" customWidth="1"/>
    <col min="17" max="16384" width="0" style="1" hidden="1"/>
  </cols>
  <sheetData>
    <row r="1" spans="1:15" ht="15.75" x14ac:dyDescent="0.25">
      <c r="A1" s="117"/>
      <c r="B1" s="117"/>
      <c r="C1" s="5"/>
      <c r="D1" s="117"/>
      <c r="E1" s="117"/>
      <c r="F1" s="125"/>
      <c r="G1" s="117"/>
      <c r="H1" s="117"/>
      <c r="I1" s="117"/>
      <c r="J1" s="117"/>
      <c r="K1" s="117"/>
      <c r="L1" s="117"/>
      <c r="M1" s="117"/>
    </row>
    <row r="2" spans="1:15" s="117" customFormat="1" ht="18" x14ac:dyDescent="0.25">
      <c r="C2" s="6" t="str">
        <f>'A1.1 Distributor Information'!C3</f>
        <v>Name of LDC:       EPCOR Natural Gas Limited Partnership</v>
      </c>
      <c r="F2" s="125"/>
    </row>
    <row r="3" spans="1:15" s="117" customFormat="1" ht="18" x14ac:dyDescent="0.25">
      <c r="C3" s="6" t="str">
        <f>'A1.1 Distributor Information'!C4</f>
        <v>OEB Application Number:          EB-2020-0234 Exhibit A - 2021 IRM Application</v>
      </c>
      <c r="F3" s="125"/>
    </row>
    <row r="4" spans="1:15" s="117" customFormat="1" ht="15" customHeight="1" x14ac:dyDescent="0.25">
      <c r="F4" s="125"/>
    </row>
    <row r="5" spans="1:15" s="117" customFormat="1" ht="15" customHeight="1" x14ac:dyDescent="0.25">
      <c r="F5" s="125"/>
    </row>
    <row r="6" spans="1:15" s="117" customFormat="1" ht="15" customHeight="1" x14ac:dyDescent="0.25">
      <c r="F6" s="125"/>
    </row>
    <row r="7" spans="1:15" s="117" customFormat="1" ht="15" customHeight="1" x14ac:dyDescent="0.25">
      <c r="F7" s="125"/>
    </row>
    <row r="8" spans="1:15" s="117" customFormat="1" ht="20.25" x14ac:dyDescent="0.3">
      <c r="C8" s="3" t="s">
        <v>79</v>
      </c>
      <c r="F8" s="125"/>
    </row>
    <row r="9" spans="1:15" s="117" customFormat="1" ht="15" customHeight="1" x14ac:dyDescent="0.25">
      <c r="F9" s="125"/>
    </row>
    <row r="10" spans="1:15" s="117" customFormat="1" ht="15" customHeight="1" x14ac:dyDescent="0.25">
      <c r="F10" s="125"/>
    </row>
    <row r="11" spans="1:15" s="117" customFormat="1" x14ac:dyDescent="0.25">
      <c r="C11" s="117" t="s">
        <v>31</v>
      </c>
      <c r="E11" s="29">
        <f>'D1.1 Rate 1 Adjustment'!E11</f>
        <v>0.02</v>
      </c>
      <c r="F11" s="125"/>
    </row>
    <row r="12" spans="1:15" s="117" customFormat="1" x14ac:dyDescent="0.25">
      <c r="C12" s="117" t="s">
        <v>32</v>
      </c>
      <c r="E12" s="29">
        <f>'D1.1 Rate 1 Adjustment'!E12</f>
        <v>0</v>
      </c>
      <c r="F12" s="125"/>
      <c r="G12" s="125"/>
    </row>
    <row r="13" spans="1:15" s="117" customFormat="1" x14ac:dyDescent="0.25">
      <c r="C13" s="117" t="s">
        <v>33</v>
      </c>
      <c r="E13" s="29">
        <f>'D1.1 Rate 1 Adjustment'!E13</f>
        <v>4.0000000000000001E-3</v>
      </c>
      <c r="F13" s="125"/>
      <c r="G13" s="125"/>
      <c r="I13" s="13"/>
      <c r="J13" s="13"/>
      <c r="K13" s="13"/>
      <c r="L13" s="13"/>
      <c r="M13" s="13"/>
      <c r="O13" s="13"/>
    </row>
    <row r="14" spans="1:15" s="117" customFormat="1" x14ac:dyDescent="0.25">
      <c r="C14" s="117" t="s">
        <v>34</v>
      </c>
      <c r="E14" s="33">
        <f>E11-E12-E13</f>
        <v>1.6E-2</v>
      </c>
      <c r="F14" s="125"/>
      <c r="G14" s="125"/>
    </row>
    <row r="15" spans="1:15" s="117" customFormat="1" ht="15" customHeight="1" x14ac:dyDescent="0.25">
      <c r="F15" s="125"/>
    </row>
    <row r="16" spans="1:15" s="117" customFormat="1" ht="45" x14ac:dyDescent="0.25">
      <c r="E16" s="132" t="s">
        <v>152</v>
      </c>
      <c r="F16" s="132" t="str">
        <f>'D1.1 Rate 1 Adjustment'!F16</f>
        <v>2020 Rate including previously disallowed ratebase</v>
      </c>
      <c r="G16" s="15" t="s">
        <v>36</v>
      </c>
      <c r="H16" s="132" t="s">
        <v>153</v>
      </c>
      <c r="I16" s="15" t="s">
        <v>37</v>
      </c>
      <c r="J16" s="15" t="s">
        <v>90</v>
      </c>
      <c r="K16" s="15"/>
      <c r="L16" s="15" t="s">
        <v>38</v>
      </c>
      <c r="M16" s="15" t="s">
        <v>90</v>
      </c>
    </row>
    <row r="17" spans="3:13" s="117" customFormat="1" x14ac:dyDescent="0.25">
      <c r="C17" s="117" t="s">
        <v>28</v>
      </c>
      <c r="E17" s="65">
        <f>'B1.1 Current Distribution Rates'!E24</f>
        <v>190</v>
      </c>
      <c r="F17" s="65">
        <v>190</v>
      </c>
      <c r="G17" s="29">
        <f>E14</f>
        <v>1.6E-2</v>
      </c>
      <c r="H17" s="30">
        <f>F17*(1+G17)</f>
        <v>193.04</v>
      </c>
      <c r="I17" s="23">
        <f>'B1.2 Billing Determinants'!E24</f>
        <v>4</v>
      </c>
      <c r="J17" s="23">
        <f>H17*I17*12</f>
        <v>9265.92</v>
      </c>
      <c r="K17" s="41" t="s">
        <v>73</v>
      </c>
      <c r="L17" s="30">
        <f>E17+I11</f>
        <v>190</v>
      </c>
      <c r="M17" s="23">
        <f>I17*L17*12</f>
        <v>9120</v>
      </c>
    </row>
    <row r="18" spans="3:13" s="117" customFormat="1" x14ac:dyDescent="0.25">
      <c r="C18" s="117" t="s">
        <v>45</v>
      </c>
      <c r="E18" s="34">
        <f>'B1.1 Current Distribution Rates'!J24</f>
        <v>7.5122178823619947</v>
      </c>
      <c r="F18" s="34">
        <f>8.2908/8.1474*E18</f>
        <v>7.6444382280343213</v>
      </c>
      <c r="G18" s="29">
        <f>E14</f>
        <v>1.6E-2</v>
      </c>
      <c r="H18" s="34">
        <f t="shared" ref="H18:H19" si="0">F18*(1+G18)</f>
        <v>7.7667492396828708</v>
      </c>
      <c r="I18" s="23">
        <f>'B1.2 Billing Determinants'!J24</f>
        <v>795484.4</v>
      </c>
      <c r="J18" s="23">
        <f>H18*I18/100</f>
        <v>61783.278588795845</v>
      </c>
      <c r="K18" s="41" t="s">
        <v>74</v>
      </c>
      <c r="L18" s="31">
        <f>M18/I18*100</f>
        <v>7.7857887797950331</v>
      </c>
      <c r="M18" s="23">
        <f>J20-M17-M19</f>
        <v>61934.735160219847</v>
      </c>
    </row>
    <row r="19" spans="3:13" s="117" customFormat="1" x14ac:dyDescent="0.25">
      <c r="C19" s="117" t="s">
        <v>8</v>
      </c>
      <c r="E19" s="34">
        <f>'B1.1 Current Distribution Rates'!L24</f>
        <v>4.3499999999999997E-2</v>
      </c>
      <c r="F19" s="34">
        <f>E19</f>
        <v>4.3499999999999997E-2</v>
      </c>
      <c r="G19" s="29">
        <f>E14</f>
        <v>1.6E-2</v>
      </c>
      <c r="H19" s="34">
        <f t="shared" si="0"/>
        <v>4.4195999999999999E-2</v>
      </c>
      <c r="I19" s="23">
        <f>'B1.2 Billing Determinants'!L24</f>
        <v>795484.4</v>
      </c>
      <c r="J19" s="23">
        <f t="shared" ref="J19" si="1">H19*I19/100</f>
        <v>351.57228542400003</v>
      </c>
      <c r="K19" s="41" t="s">
        <v>73</v>
      </c>
      <c r="L19" s="31">
        <f>E19</f>
        <v>4.3499999999999997E-2</v>
      </c>
      <c r="M19" s="23">
        <f>I19*L19/100</f>
        <v>346.03571399999998</v>
      </c>
    </row>
    <row r="20" spans="3:13" s="117" customFormat="1" x14ac:dyDescent="0.25">
      <c r="F20" s="125"/>
      <c r="J20" s="25">
        <f>SUM(J17:J19)</f>
        <v>71400.770874219845</v>
      </c>
      <c r="M20" s="25">
        <f>SUM(M17:M19)</f>
        <v>71400.770874219845</v>
      </c>
    </row>
    <row r="21" spans="3:13" s="117" customFormat="1" ht="15" customHeight="1" x14ac:dyDescent="0.25">
      <c r="F21" s="125"/>
    </row>
    <row r="22" spans="3:13" s="117" customFormat="1" ht="15" customHeight="1" x14ac:dyDescent="0.25">
      <c r="F22" s="125"/>
      <c r="M22" s="9">
        <f>(I17*L17)*12+SUMPRODUCT(I18:I19,L18:L19)/100-M20</f>
        <v>0</v>
      </c>
    </row>
    <row r="23" spans="3:13" s="117" customFormat="1" ht="15" customHeight="1" x14ac:dyDescent="0.25">
      <c r="F23" s="125"/>
    </row>
    <row r="24" spans="3:13" s="117" customFormat="1" ht="15" customHeight="1" x14ac:dyDescent="0.25">
      <c r="F24" s="125"/>
    </row>
    <row r="25" spans="3:13" s="117" customFormat="1" ht="15" customHeight="1" x14ac:dyDescent="0.25">
      <c r="F25" s="125"/>
    </row>
    <row r="26" spans="3:13" s="117" customFormat="1" ht="15" customHeight="1" x14ac:dyDescent="0.25">
      <c r="C26" s="117" t="str">
        <f ca="1">MID(CELL("filename",A1),FIND("]",CELL("filename",A1))+1,255)</f>
        <v>D1.5 Rate 5 Adjustment</v>
      </c>
      <c r="F26" s="125"/>
    </row>
    <row r="27" spans="3:13" s="117" customFormat="1" ht="15" customHeight="1" x14ac:dyDescent="0.25">
      <c r="F27" s="125"/>
    </row>
    <row r="28" spans="3:13" s="117" customFormat="1" ht="15" customHeight="1" x14ac:dyDescent="0.25">
      <c r="F28" s="125"/>
    </row>
    <row r="29" spans="3:13" s="117" customFormat="1" ht="15" customHeight="1" x14ac:dyDescent="0.25">
      <c r="F29" s="125"/>
    </row>
    <row r="30" spans="3:13" s="117" customFormat="1" ht="15" customHeight="1" x14ac:dyDescent="0.25">
      <c r="F30" s="125"/>
    </row>
    <row r="31" spans="3:13" s="117" customFormat="1" ht="15" customHeight="1" x14ac:dyDescent="0.25">
      <c r="F31" s="125"/>
    </row>
    <row r="32" spans="3:13" s="117" customFormat="1" ht="15" customHeight="1" x14ac:dyDescent="0.25">
      <c r="F32" s="125"/>
    </row>
    <row r="33" spans="6:6" s="117" customFormat="1" ht="15" customHeight="1" x14ac:dyDescent="0.25">
      <c r="F33" s="125"/>
    </row>
    <row r="34" spans="6:6" s="117" customFormat="1" ht="15" customHeight="1" x14ac:dyDescent="0.25">
      <c r="F34" s="125"/>
    </row>
    <row r="35" spans="6:6" s="117" customFormat="1" ht="15" customHeight="1" x14ac:dyDescent="0.25">
      <c r="F35" s="125"/>
    </row>
    <row r="36" spans="6:6" s="117" customFormat="1" ht="15" customHeight="1" x14ac:dyDescent="0.25">
      <c r="F36" s="125"/>
    </row>
    <row r="37" spans="6:6" s="117" customFormat="1" ht="15" customHeight="1" x14ac:dyDescent="0.25">
      <c r="F37" s="125"/>
    </row>
    <row r="38" spans="6:6" s="117" customFormat="1" ht="15" customHeight="1" x14ac:dyDescent="0.25">
      <c r="F38" s="125"/>
    </row>
    <row r="39" spans="6:6" s="117" customFormat="1" ht="15" customHeight="1" x14ac:dyDescent="0.25">
      <c r="F39" s="125"/>
    </row>
    <row r="40" spans="6:6" s="117" customFormat="1" ht="15" customHeight="1" x14ac:dyDescent="0.25">
      <c r="F40" s="125"/>
    </row>
    <row r="41" spans="6:6" s="117" customFormat="1" ht="15" customHeight="1" x14ac:dyDescent="0.25">
      <c r="F41" s="125"/>
    </row>
    <row r="42" spans="6:6" s="117" customFormat="1" ht="15" customHeight="1" x14ac:dyDescent="0.25">
      <c r="F42" s="125"/>
    </row>
    <row r="43" spans="6:6" s="117" customFormat="1" ht="15" customHeight="1" x14ac:dyDescent="0.25">
      <c r="F43" s="125"/>
    </row>
    <row r="44" spans="6:6" s="117" customFormat="1" ht="15" customHeight="1" x14ac:dyDescent="0.25">
      <c r="F44" s="125"/>
    </row>
    <row r="45" spans="6:6" s="117" customFormat="1" ht="15" customHeight="1" x14ac:dyDescent="0.25">
      <c r="F45" s="125"/>
    </row>
  </sheetData>
  <sheetProtection algorithmName="SHA-512" hashValue="RNBY+yTjtgiSIv8LFekixUDlyCaUDbVS6ZVDVq4MGZdFPnj/3Xu1ObgHK1VOFoG5PGg2ikiLfJNoXog2PB1VwA==" saltValue="ytHwj87TUxf0A70CkQeE6g==" spinCount="100000" sheet="1" objects="1" scenarios="1"/>
  <dataValidations count="1">
    <dataValidation type="list" allowBlank="1" showInputMessage="1" showErrorMessage="1" sqref="K17:K19">
      <formula1>"Change,No Change,Re-Balance"</formula1>
    </dataValidation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showGridLines="0" topLeftCell="A7" workbookViewId="0">
      <selection activeCell="F42" sqref="F42"/>
    </sheetView>
  </sheetViews>
  <sheetFormatPr defaultColWidth="0" defaultRowHeight="15" customHeight="1" zeroHeight="1" x14ac:dyDescent="0.25"/>
  <cols>
    <col min="1" max="1" width="15.7109375" style="1" customWidth="1"/>
    <col min="2" max="2" width="0" style="1" hidden="1" customWidth="1"/>
    <col min="3" max="3" width="35.7109375" style="1" customWidth="1"/>
    <col min="4" max="4" width="2.7109375" style="1" customWidth="1"/>
    <col min="5" max="5" width="12.140625" style="1" bestFit="1" customWidth="1"/>
    <col min="6" max="6" width="19.7109375" style="1" bestFit="1" customWidth="1"/>
    <col min="7" max="7" width="9.140625" style="1" bestFit="1" customWidth="1"/>
    <col min="8" max="8" width="14.42578125" style="1" bestFit="1" customWidth="1"/>
    <col min="9" max="9" width="13.28515625" style="1" bestFit="1" customWidth="1"/>
    <col min="10" max="10" width="12.7109375" style="1" bestFit="1" customWidth="1"/>
    <col min="11" max="11" width="12.28515625" style="1" bestFit="1" customWidth="1"/>
    <col min="12" max="12" width="14.42578125" style="1" bestFit="1" customWidth="1"/>
    <col min="13" max="13" width="12.7109375" style="1" bestFit="1" customWidth="1"/>
    <col min="14" max="15" width="15.7109375" style="1" customWidth="1"/>
    <col min="16" max="16" width="15.7109375" style="1" hidden="1" customWidth="1"/>
    <col min="17" max="16384" width="0" style="1" hidden="1"/>
  </cols>
  <sheetData>
    <row r="1" spans="1:15" ht="15.75" x14ac:dyDescent="0.25">
      <c r="A1" s="117"/>
      <c r="B1" s="117"/>
      <c r="C1" s="5"/>
      <c r="D1" s="117"/>
      <c r="E1" s="117"/>
      <c r="F1" s="125"/>
      <c r="G1" s="117"/>
      <c r="H1" s="117"/>
      <c r="I1" s="117"/>
      <c r="J1" s="117"/>
      <c r="K1" s="117"/>
      <c r="L1" s="117"/>
      <c r="M1" s="117"/>
    </row>
    <row r="2" spans="1:15" s="117" customFormat="1" ht="18" x14ac:dyDescent="0.25">
      <c r="C2" s="6" t="str">
        <f>'A1.1 Distributor Information'!C3</f>
        <v>Name of LDC:       EPCOR Natural Gas Limited Partnership</v>
      </c>
      <c r="F2" s="125"/>
    </row>
    <row r="3" spans="1:15" s="117" customFormat="1" ht="18" x14ac:dyDescent="0.25">
      <c r="C3" s="6" t="str">
        <f>'A1.1 Distributor Information'!C4</f>
        <v>OEB Application Number:          EB-2020-0234 Exhibit A - 2021 IRM Application</v>
      </c>
      <c r="F3" s="125"/>
    </row>
    <row r="4" spans="1:15" s="117" customFormat="1" ht="15" customHeight="1" x14ac:dyDescent="0.25">
      <c r="F4" s="125"/>
    </row>
    <row r="5" spans="1:15" s="117" customFormat="1" ht="15" customHeight="1" x14ac:dyDescent="0.25">
      <c r="F5" s="125"/>
    </row>
    <row r="6" spans="1:15" s="117" customFormat="1" ht="15" customHeight="1" x14ac:dyDescent="0.25">
      <c r="F6" s="125"/>
    </row>
    <row r="7" spans="1:15" s="117" customFormat="1" ht="15" customHeight="1" x14ac:dyDescent="0.25">
      <c r="F7" s="125"/>
    </row>
    <row r="8" spans="1:15" s="117" customFormat="1" ht="20.25" x14ac:dyDescent="0.3">
      <c r="C8" s="3" t="s">
        <v>80</v>
      </c>
      <c r="F8" s="125"/>
    </row>
    <row r="9" spans="1:15" s="117" customFormat="1" ht="15" customHeight="1" x14ac:dyDescent="0.25">
      <c r="F9" s="125"/>
    </row>
    <row r="10" spans="1:15" s="117" customFormat="1" ht="15" customHeight="1" x14ac:dyDescent="0.25">
      <c r="F10" s="125"/>
    </row>
    <row r="11" spans="1:15" s="117" customFormat="1" x14ac:dyDescent="0.25">
      <c r="C11" s="117" t="s">
        <v>31</v>
      </c>
      <c r="E11" s="29">
        <f>'D1.1 Rate 1 Adjustment'!E11</f>
        <v>0.02</v>
      </c>
      <c r="F11" s="125"/>
    </row>
    <row r="12" spans="1:15" s="117" customFormat="1" x14ac:dyDescent="0.25">
      <c r="C12" s="117" t="s">
        <v>32</v>
      </c>
      <c r="E12" s="29">
        <f>'D1.1 Rate 1 Adjustment'!E12</f>
        <v>0</v>
      </c>
      <c r="F12" s="125"/>
    </row>
    <row r="13" spans="1:15" s="117" customFormat="1" x14ac:dyDescent="0.25">
      <c r="C13" s="117" t="s">
        <v>33</v>
      </c>
      <c r="E13" s="29">
        <f>'D1.1 Rate 1 Adjustment'!E13</f>
        <v>4.0000000000000001E-3</v>
      </c>
      <c r="F13" s="125"/>
      <c r="I13" s="13"/>
      <c r="J13" s="13"/>
      <c r="K13" s="13"/>
      <c r="L13" s="13"/>
      <c r="M13" s="13"/>
      <c r="O13" s="13"/>
    </row>
    <row r="14" spans="1:15" s="117" customFormat="1" x14ac:dyDescent="0.25">
      <c r="C14" s="117" t="s">
        <v>34</v>
      </c>
      <c r="E14" s="33">
        <f>E11-E12-E13</f>
        <v>1.6E-2</v>
      </c>
      <c r="F14" s="125"/>
    </row>
    <row r="15" spans="1:15" s="117" customFormat="1" ht="15" customHeight="1" x14ac:dyDescent="0.25">
      <c r="F15" s="125"/>
    </row>
    <row r="16" spans="1:15" s="117" customFormat="1" ht="45" x14ac:dyDescent="0.25">
      <c r="E16" s="132" t="s">
        <v>152</v>
      </c>
      <c r="F16" s="132" t="str">
        <f>'D1.1 Rate 1 Adjustment'!F16</f>
        <v>2020 Rate including previously disallowed ratebase</v>
      </c>
      <c r="G16" s="15" t="s">
        <v>36</v>
      </c>
      <c r="H16" s="132" t="s">
        <v>153</v>
      </c>
      <c r="I16" s="15" t="s">
        <v>37</v>
      </c>
      <c r="J16" s="15" t="s">
        <v>90</v>
      </c>
      <c r="K16" s="15"/>
      <c r="L16" s="15" t="s">
        <v>38</v>
      </c>
      <c r="M16" s="15" t="s">
        <v>90</v>
      </c>
    </row>
    <row r="17" spans="3:13" s="117" customFormat="1" x14ac:dyDescent="0.25">
      <c r="C17" s="117" t="s">
        <v>28</v>
      </c>
      <c r="E17" s="65">
        <f>'B1.1 Current Distribution Rates'!E25</f>
        <v>61229.919999999998</v>
      </c>
      <c r="F17" s="65">
        <v>61229.919999999998</v>
      </c>
      <c r="G17" s="29">
        <f>E14</f>
        <v>1.6E-2</v>
      </c>
      <c r="H17" s="30">
        <f>F17*(1+G17)</f>
        <v>62209.598720000002</v>
      </c>
      <c r="I17" s="23">
        <f>'B1.2 Billing Determinants'!E25</f>
        <v>1</v>
      </c>
      <c r="J17" s="23">
        <f>H17*I17*12</f>
        <v>746515.18463999999</v>
      </c>
      <c r="K17" s="41" t="s">
        <v>74</v>
      </c>
      <c r="L17" s="30">
        <f>H17</f>
        <v>62209.598720000002</v>
      </c>
      <c r="M17" s="23">
        <f>I17*L17*12</f>
        <v>746515.18463999999</v>
      </c>
    </row>
    <row r="18" spans="3:13" s="117" customFormat="1" x14ac:dyDescent="0.25">
      <c r="C18" s="117" t="s">
        <v>45</v>
      </c>
      <c r="E18" s="34">
        <f>'B1.1 Current Distribution Rates'!J25</f>
        <v>0</v>
      </c>
      <c r="F18" s="34"/>
      <c r="G18" s="29">
        <f>E14</f>
        <v>1.6E-2</v>
      </c>
      <c r="H18" s="30">
        <f t="shared" ref="H18:H19" si="0">F18*(1+G18)</f>
        <v>0</v>
      </c>
      <c r="I18" s="23">
        <f>'B1.2 Billing Determinants'!J25</f>
        <v>62382456</v>
      </c>
      <c r="J18" s="23">
        <f>H18*I18/100</f>
        <v>0</v>
      </c>
      <c r="K18" s="41" t="s">
        <v>73</v>
      </c>
      <c r="L18" s="31"/>
      <c r="M18" s="23">
        <f>J20-M17-M19</f>
        <v>0</v>
      </c>
    </row>
    <row r="19" spans="3:13" s="117" customFormat="1" x14ac:dyDescent="0.25">
      <c r="C19" s="117" t="s">
        <v>46</v>
      </c>
      <c r="E19" s="34">
        <f>'B1.1 Current Distribution Rates'!K25</f>
        <v>0</v>
      </c>
      <c r="F19" s="34"/>
      <c r="G19" s="29">
        <f>E14</f>
        <v>1.6E-2</v>
      </c>
      <c r="H19" s="30">
        <f t="shared" si="0"/>
        <v>0</v>
      </c>
      <c r="I19" s="23">
        <f>'B1.2 Billing Determinants'!K25</f>
        <v>0</v>
      </c>
      <c r="J19" s="23">
        <f t="shared" ref="J19" si="1">H19*I19/100</f>
        <v>0</v>
      </c>
      <c r="K19" s="41" t="s">
        <v>73</v>
      </c>
      <c r="L19" s="31"/>
      <c r="M19" s="23">
        <f>I19*L19/100</f>
        <v>0</v>
      </c>
    </row>
    <row r="20" spans="3:13" s="117" customFormat="1" x14ac:dyDescent="0.25">
      <c r="F20" s="125"/>
      <c r="J20" s="25">
        <f>SUM(J17:J19)</f>
        <v>746515.18463999999</v>
      </c>
      <c r="M20" s="25">
        <f>SUM(M17:M19)</f>
        <v>746515.18463999999</v>
      </c>
    </row>
    <row r="21" spans="3:13" s="117" customFormat="1" ht="15" customHeight="1" x14ac:dyDescent="0.25">
      <c r="F21" s="125"/>
    </row>
    <row r="22" spans="3:13" s="117" customFormat="1" ht="15" customHeight="1" x14ac:dyDescent="0.25">
      <c r="F22" s="125"/>
      <c r="M22" s="42">
        <f>J20-M20</f>
        <v>0</v>
      </c>
    </row>
    <row r="23" spans="3:13" s="117" customFormat="1" ht="15" customHeight="1" x14ac:dyDescent="0.25">
      <c r="F23" s="125"/>
    </row>
    <row r="24" spans="3:13" s="117" customFormat="1" ht="15" customHeight="1" x14ac:dyDescent="0.25">
      <c r="C24" s="117" t="str">
        <f ca="1">MID(CELL("filename",A1),FIND("]",CELL("filename",A1))+1,255)</f>
        <v>D1.6 Rate 6 Adjustment</v>
      </c>
      <c r="F24" s="125"/>
    </row>
    <row r="25" spans="3:13" s="117" customFormat="1" ht="15" customHeight="1" x14ac:dyDescent="0.25">
      <c r="F25" s="125"/>
    </row>
    <row r="26" spans="3:13" s="117" customFormat="1" ht="15" customHeight="1" x14ac:dyDescent="0.25">
      <c r="F26" s="125"/>
    </row>
    <row r="27" spans="3:13" s="117" customFormat="1" ht="15" customHeight="1" x14ac:dyDescent="0.25">
      <c r="F27" s="125"/>
    </row>
    <row r="28" spans="3:13" s="117" customFormat="1" ht="15" customHeight="1" x14ac:dyDescent="0.25">
      <c r="F28" s="125"/>
    </row>
    <row r="29" spans="3:13" s="117" customFormat="1" ht="15" customHeight="1" x14ac:dyDescent="0.25">
      <c r="F29" s="125"/>
    </row>
    <row r="30" spans="3:13" s="117" customFormat="1" ht="15" customHeight="1" x14ac:dyDescent="0.25">
      <c r="F30" s="125"/>
    </row>
    <row r="31" spans="3:13" s="117" customFormat="1" ht="15" customHeight="1" x14ac:dyDescent="0.25">
      <c r="F31" s="125"/>
    </row>
    <row r="32" spans="3:13" s="117" customFormat="1" ht="15" customHeight="1" x14ac:dyDescent="0.25">
      <c r="F32" s="125"/>
    </row>
    <row r="33" spans="6:6" s="117" customFormat="1" ht="15" customHeight="1" x14ac:dyDescent="0.25">
      <c r="F33" s="125"/>
    </row>
    <row r="34" spans="6:6" s="117" customFormat="1" ht="15" customHeight="1" x14ac:dyDescent="0.25">
      <c r="F34" s="125"/>
    </row>
    <row r="35" spans="6:6" s="117" customFormat="1" ht="15" customHeight="1" x14ac:dyDescent="0.25">
      <c r="F35" s="125"/>
    </row>
    <row r="36" spans="6:6" s="117" customFormat="1" ht="15" customHeight="1" x14ac:dyDescent="0.25">
      <c r="F36" s="125"/>
    </row>
    <row r="37" spans="6:6" s="117" customFormat="1" ht="15" customHeight="1" x14ac:dyDescent="0.25">
      <c r="F37" s="125"/>
    </row>
    <row r="38" spans="6:6" s="117" customFormat="1" ht="15" customHeight="1" x14ac:dyDescent="0.25">
      <c r="F38" s="125"/>
    </row>
    <row r="39" spans="6:6" s="117" customFormat="1" ht="15" customHeight="1" x14ac:dyDescent="0.25">
      <c r="F39" s="125"/>
    </row>
    <row r="40" spans="6:6" s="117" customFormat="1" ht="15" customHeight="1" x14ac:dyDescent="0.25">
      <c r="F40" s="125"/>
    </row>
    <row r="41" spans="6:6" s="117" customFormat="1" ht="15" customHeight="1" x14ac:dyDescent="0.25">
      <c r="F41" s="125"/>
    </row>
    <row r="42" spans="6:6" s="117" customFormat="1" ht="15" customHeight="1" x14ac:dyDescent="0.25">
      <c r="F42" s="125"/>
    </row>
    <row r="43" spans="6:6" s="117" customFormat="1" ht="15" customHeight="1" x14ac:dyDescent="0.25">
      <c r="F43" s="125"/>
    </row>
  </sheetData>
  <sheetProtection algorithmName="SHA-512" hashValue="84OKiwE39aRasNjBxmTSejo0ZbSDWRMzoZlAeJTZtHL9IaMgttlCzMG2kDdFpjXvnBC/mPz8k0160DhTTonklA==" saltValue="i/VVkjTDWwNGrbVzTefr6Q==" spinCount="100000" sheet="1" objects="1" scenarios="1"/>
  <dataValidations count="1">
    <dataValidation type="list" allowBlank="1" showInputMessage="1" showErrorMessage="1" sqref="K17:K19">
      <formula1>"Change,No Change,Re-Balance"</formula1>
    </dataValidation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3"/>
  <sheetViews>
    <sheetView showGridLines="0" topLeftCell="A7" zoomScaleNormal="100" workbookViewId="0">
      <selection activeCell="E19" sqref="E19"/>
    </sheetView>
  </sheetViews>
  <sheetFormatPr defaultColWidth="0" defaultRowHeight="0" customHeight="1" zeroHeight="1" x14ac:dyDescent="0.25"/>
  <cols>
    <col min="1" max="1" width="15.7109375" style="1" customWidth="1"/>
    <col min="2" max="2" width="1.7109375" style="1" hidden="1" customWidth="1"/>
    <col min="3" max="3" width="55.7109375" style="1" customWidth="1"/>
    <col min="4" max="4" width="2.7109375" style="1" customWidth="1"/>
    <col min="5" max="5" width="19.85546875" style="1" customWidth="1"/>
    <col min="6" max="6" width="12" style="1" bestFit="1" customWidth="1"/>
    <col min="7" max="7" width="12.28515625" style="1" bestFit="1" customWidth="1"/>
    <col min="8" max="9" width="11.5703125" style="1" bestFit="1" customWidth="1"/>
    <col min="10" max="10" width="10.5703125" style="1" bestFit="1" customWidth="1"/>
    <col min="11" max="11" width="11.140625" style="1" bestFit="1" customWidth="1"/>
    <col min="12" max="12" width="12.7109375" style="1" customWidth="1"/>
    <col min="13" max="14" width="11.42578125" style="1" bestFit="1" customWidth="1"/>
    <col min="15" max="15" width="11.7109375" style="1" hidden="1" customWidth="1"/>
    <col min="16" max="16384" width="0" style="1" hidden="1"/>
  </cols>
  <sheetData>
    <row r="1" spans="1:14" ht="15.75" x14ac:dyDescent="0.25">
      <c r="A1" s="117"/>
      <c r="B1" s="117"/>
      <c r="C1" s="5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117" customFormat="1" ht="18" x14ac:dyDescent="0.25">
      <c r="C2" s="6" t="str">
        <f>'A1.1 Distributor Information'!C3</f>
        <v>Name of LDC:       EPCOR Natural Gas Limited Partnership</v>
      </c>
    </row>
    <row r="3" spans="1:14" s="117" customFormat="1" ht="18" x14ac:dyDescent="0.25">
      <c r="C3" s="6" t="str">
        <f>'A1.1 Distributor Information'!C4</f>
        <v>OEB Application Number:          EB-2020-0234 Exhibit A - 2021 IRM Application</v>
      </c>
    </row>
    <row r="4" spans="1:14" s="117" customFormat="1" ht="15" customHeight="1" x14ac:dyDescent="0.25"/>
    <row r="5" spans="1:14" s="117" customFormat="1" ht="15" customHeight="1" x14ac:dyDescent="0.25"/>
    <row r="6" spans="1:14" s="117" customFormat="1" ht="15" customHeight="1" x14ac:dyDescent="0.25"/>
    <row r="7" spans="1:14" s="117" customFormat="1" ht="15" customHeight="1" x14ac:dyDescent="0.25"/>
    <row r="8" spans="1:14" s="117" customFormat="1" ht="15" customHeight="1" x14ac:dyDescent="0.25"/>
    <row r="9" spans="1:14" s="117" customFormat="1" ht="15" customHeight="1" x14ac:dyDescent="0.25"/>
    <row r="10" spans="1:14" s="117" customFormat="1" ht="20.25" x14ac:dyDescent="0.3">
      <c r="C10" s="7" t="s">
        <v>63</v>
      </c>
    </row>
    <row r="11" spans="1:14" s="117" customFormat="1" ht="15" customHeight="1" x14ac:dyDescent="0.25"/>
    <row r="12" spans="1:14" s="117" customFormat="1" ht="15" customHeight="1" x14ac:dyDescent="0.25"/>
    <row r="13" spans="1:14" s="117" customFormat="1" ht="15" customHeight="1" x14ac:dyDescent="0.25"/>
    <row r="14" spans="1:14" s="117" customFormat="1" ht="15" customHeight="1" thickBot="1" x14ac:dyDescent="0.3"/>
    <row r="15" spans="1:14" s="4" customFormat="1" ht="60" x14ac:dyDescent="0.2">
      <c r="C15" s="85" t="s">
        <v>0</v>
      </c>
      <c r="D15" s="86"/>
      <c r="E15" s="71" t="s">
        <v>151</v>
      </c>
      <c r="F15" s="72" t="s">
        <v>24</v>
      </c>
      <c r="G15" s="72" t="s">
        <v>25</v>
      </c>
      <c r="H15" s="72" t="s">
        <v>26</v>
      </c>
      <c r="I15" s="72" t="s">
        <v>27</v>
      </c>
      <c r="J15" s="72" t="s">
        <v>6</v>
      </c>
      <c r="K15" s="72" t="s">
        <v>7</v>
      </c>
      <c r="L15" s="72" t="s">
        <v>8</v>
      </c>
      <c r="M15" s="72" t="s">
        <v>9</v>
      </c>
      <c r="N15" s="74" t="s">
        <v>10</v>
      </c>
    </row>
    <row r="16" spans="1:14" s="117" customFormat="1" ht="15" x14ac:dyDescent="0.25">
      <c r="C16" s="75" t="s">
        <v>12</v>
      </c>
      <c r="D16" s="87"/>
      <c r="E16" s="88">
        <f>'D1.1 Rate 1 Adjustment'!L17</f>
        <v>17.5</v>
      </c>
      <c r="F16" s="89">
        <f>'D1.1 Rate 1 Adjustment'!L18</f>
        <v>13.52846228945657</v>
      </c>
      <c r="G16" s="89">
        <f>'D1.1 Rate 1 Adjustment'!L19</f>
        <v>10.872913111134979</v>
      </c>
      <c r="H16" s="90"/>
      <c r="I16" s="90"/>
      <c r="J16" s="90"/>
      <c r="K16" s="90"/>
      <c r="L16" s="89">
        <f>'D1.1 Rate 1 Adjustment'!L20</f>
        <v>4.3499999999999997E-2</v>
      </c>
      <c r="M16" s="90"/>
      <c r="N16" s="91"/>
    </row>
    <row r="17" spans="3:14" s="117" customFormat="1" ht="15" x14ac:dyDescent="0.25">
      <c r="C17" s="75" t="s">
        <v>13</v>
      </c>
      <c r="D17" s="87"/>
      <c r="E17" s="88">
        <f>'D1.1 Rate 1 Adjustment'!L17</f>
        <v>17.5</v>
      </c>
      <c r="F17" s="89">
        <f>'D1.1 Rate 1 Adjustment'!L18</f>
        <v>13.52846228945657</v>
      </c>
      <c r="G17" s="89">
        <f>'D1.1 Rate 1 Adjustment'!L19</f>
        <v>10.872913111134979</v>
      </c>
      <c r="H17" s="90"/>
      <c r="I17" s="90"/>
      <c r="J17" s="90"/>
      <c r="K17" s="90"/>
      <c r="L17" s="89">
        <f>'D1.1 Rate 1 Adjustment'!L20</f>
        <v>4.3499999999999997E-2</v>
      </c>
      <c r="M17" s="90"/>
      <c r="N17" s="91"/>
    </row>
    <row r="18" spans="3:14" s="117" customFormat="1" ht="15" x14ac:dyDescent="0.25">
      <c r="C18" s="75" t="s">
        <v>14</v>
      </c>
      <c r="D18" s="87"/>
      <c r="E18" s="88">
        <f>'D1.1 Rate 1 Adjustment'!L17</f>
        <v>17.5</v>
      </c>
      <c r="F18" s="89">
        <f>'D1.1 Rate 1 Adjustment'!L18</f>
        <v>13.52846228945657</v>
      </c>
      <c r="G18" s="89">
        <f>'D1.1 Rate 1 Adjustment'!L19</f>
        <v>10.872913111134979</v>
      </c>
      <c r="H18" s="90"/>
      <c r="I18" s="90"/>
      <c r="J18" s="90"/>
      <c r="K18" s="90"/>
      <c r="L18" s="89">
        <f>'D1.1 Rate 1 Adjustment'!L20</f>
        <v>4.3499999999999997E-2</v>
      </c>
      <c r="M18" s="90"/>
      <c r="N18" s="91"/>
    </row>
    <row r="19" spans="3:14" s="117" customFormat="1" ht="15" x14ac:dyDescent="0.25">
      <c r="C19" s="75" t="s">
        <v>15</v>
      </c>
      <c r="D19" s="87"/>
      <c r="E19" s="88">
        <f>'D1.2 Rate 2 Adjustment'!L17</f>
        <v>20</v>
      </c>
      <c r="F19" s="89">
        <f>'D1.2 Rate 2 Adjustment'!L18</f>
        <v>17.047892273401757</v>
      </c>
      <c r="G19" s="90"/>
      <c r="H19" s="89">
        <f>'D1.2 Rate 2 Adjustment'!L19</f>
        <v>8.8560902110803301</v>
      </c>
      <c r="I19" s="89">
        <f>'D1.2 Rate 2 Adjustment'!L20</f>
        <v>6.904120686059545</v>
      </c>
      <c r="J19" s="90"/>
      <c r="K19" s="90"/>
      <c r="L19" s="89">
        <f>'D1.2 Rate 2 Adjustment'!L24</f>
        <v>4.3499999999999997E-2</v>
      </c>
      <c r="M19" s="90"/>
      <c r="N19" s="91"/>
    </row>
    <row r="20" spans="3:14" s="117" customFormat="1" ht="15" x14ac:dyDescent="0.25">
      <c r="C20" s="75" t="s">
        <v>16</v>
      </c>
      <c r="D20" s="87"/>
      <c r="E20" s="88">
        <f>'D1.2 Rate 2 Adjustment'!L17</f>
        <v>20</v>
      </c>
      <c r="F20" s="89">
        <f>'D1.2 Rate 2 Adjustment'!L21</f>
        <v>21.488551732762158</v>
      </c>
      <c r="G20" s="90"/>
      <c r="H20" s="89">
        <f>'D1.2 Rate 2 Adjustment'!L22</f>
        <v>14.658998154365744</v>
      </c>
      <c r="I20" s="89">
        <f>'D1.2 Rate 2 Adjustment'!L23</f>
        <v>15.554210360962722</v>
      </c>
      <c r="J20" s="90"/>
      <c r="K20" s="90"/>
      <c r="L20" s="89">
        <f>'D1.2 Rate 2 Adjustment'!L24</f>
        <v>4.3499999999999997E-2</v>
      </c>
      <c r="M20" s="90"/>
      <c r="N20" s="91"/>
    </row>
    <row r="21" spans="3:14" s="117" customFormat="1" ht="15" x14ac:dyDescent="0.25">
      <c r="C21" s="75" t="s">
        <v>17</v>
      </c>
      <c r="D21" s="87"/>
      <c r="E21" s="88">
        <f>'D1.3 Rate 3 Adjustment'!L17</f>
        <v>200</v>
      </c>
      <c r="F21" s="89"/>
      <c r="G21" s="90"/>
      <c r="H21" s="90"/>
      <c r="I21" s="90"/>
      <c r="J21" s="89">
        <f>'D1.3 Rate 3 Adjustment'!L18</f>
        <v>3.9087148718964557</v>
      </c>
      <c r="K21" s="89">
        <f>'D1.3 Rate 3 Adjustment'!L19</f>
        <v>29.615769630893396</v>
      </c>
      <c r="L21" s="89">
        <f>'D1.3 Rate 3 Adjustment'!L20</f>
        <v>4.3499999999999997E-2</v>
      </c>
      <c r="M21" s="89">
        <f>'B1.1 Current Distribution Rates'!M21*(1+'D1.3 Rate 3 Adjustment'!$E$14)</f>
        <v>7.7374495999999997</v>
      </c>
      <c r="N21" s="115">
        <f>'B1.1 Current Distribution Rates'!N21*(1+'D1.3 Rate 3 Adjustment'!$E$14)</f>
        <v>10.679988799999999</v>
      </c>
    </row>
    <row r="22" spans="3:14" s="117" customFormat="1" ht="15" x14ac:dyDescent="0.25">
      <c r="C22" s="75" t="s">
        <v>18</v>
      </c>
      <c r="D22" s="87"/>
      <c r="E22" s="88">
        <f>'D1.4 Rate 4 Adjustment'!L17</f>
        <v>20</v>
      </c>
      <c r="F22" s="89">
        <f>'D1.4 Rate 4 Adjustment'!L18</f>
        <v>18.892793646765796</v>
      </c>
      <c r="G22" s="89">
        <f>'D1.4 Rate 4 Adjustment'!L19</f>
        <v>11.591965107471317</v>
      </c>
      <c r="H22" s="90"/>
      <c r="I22" s="90"/>
      <c r="J22" s="90"/>
      <c r="K22" s="90"/>
      <c r="L22" s="89">
        <f>'D1.4 Rate 4 Adjustment'!L22</f>
        <v>4.3499999999999997E-2</v>
      </c>
      <c r="M22" s="90"/>
      <c r="N22" s="91"/>
    </row>
    <row r="23" spans="3:14" s="117" customFormat="1" ht="15" x14ac:dyDescent="0.25">
      <c r="C23" s="75" t="s">
        <v>19</v>
      </c>
      <c r="D23" s="87"/>
      <c r="E23" s="88">
        <f>'D1.4 Rate 4 Adjustment'!L17</f>
        <v>20</v>
      </c>
      <c r="F23" s="89">
        <f>'D1.4 Rate 4 Adjustment'!L20</f>
        <v>24.102036217008624</v>
      </c>
      <c r="G23" s="89">
        <f>'D1.4 Rate 4 Adjustment'!L21</f>
        <v>18.624610318956027</v>
      </c>
      <c r="H23" s="90"/>
      <c r="I23" s="90"/>
      <c r="J23" s="90"/>
      <c r="K23" s="90"/>
      <c r="L23" s="89">
        <f>'D1.4 Rate 4 Adjustment'!L22</f>
        <v>4.3499999999999997E-2</v>
      </c>
      <c r="M23" s="90"/>
      <c r="N23" s="91"/>
    </row>
    <row r="24" spans="3:14" s="117" customFormat="1" ht="15" x14ac:dyDescent="0.25">
      <c r="C24" s="75" t="s">
        <v>20</v>
      </c>
      <c r="D24" s="87"/>
      <c r="E24" s="88">
        <f>'D1.5 Rate 5 Adjustment'!L17</f>
        <v>190</v>
      </c>
      <c r="F24" s="90"/>
      <c r="G24" s="90"/>
      <c r="H24" s="90"/>
      <c r="I24" s="90"/>
      <c r="J24" s="131">
        <f>'D1.5 Rate 5 Adjustment'!L18</f>
        <v>7.7857887797950331</v>
      </c>
      <c r="K24" s="82">
        <v>1</v>
      </c>
      <c r="L24" s="89">
        <f>'D1.5 Rate 5 Adjustment'!L19</f>
        <v>4.3499999999999997E-2</v>
      </c>
      <c r="M24" s="89">
        <f>'B1.1 Current Distribution Rates'!M24*(1+'D1.3 Rate 3 Adjustment'!$E$14)</f>
        <v>6.0756800000000002</v>
      </c>
      <c r="N24" s="115">
        <f>'B1.1 Current Distribution Rates'!N24*(1+'D1.3 Rate 3 Adjustment'!$E$14)</f>
        <v>9.4132400000000001</v>
      </c>
    </row>
    <row r="25" spans="3:14" s="117" customFormat="1" ht="29.25" x14ac:dyDescent="0.25">
      <c r="C25" s="83" t="s">
        <v>21</v>
      </c>
      <c r="D25" s="92"/>
      <c r="E25" s="88">
        <f>'D1.6 Rate 6 Adjustment'!L17</f>
        <v>62209.598720000002</v>
      </c>
      <c r="F25" s="90"/>
      <c r="G25" s="90"/>
      <c r="H25" s="90"/>
      <c r="I25" s="90"/>
      <c r="J25" s="89">
        <f>'D1.6 Rate 6 Adjustment'!L18</f>
        <v>0</v>
      </c>
      <c r="K25" s="89">
        <f>'D1.6 Rate 6 Adjustment'!L19</f>
        <v>0</v>
      </c>
      <c r="L25" s="90"/>
      <c r="M25" s="89">
        <f>'B1.1 Current Distribution Rates'!M25</f>
        <v>0</v>
      </c>
      <c r="N25" s="115">
        <f>'B1.1 Current Distribution Rates'!N25</f>
        <v>0</v>
      </c>
    </row>
    <row r="26" spans="3:14" s="117" customFormat="1" ht="15" customHeight="1" x14ac:dyDescent="0.25">
      <c r="C26" s="93"/>
      <c r="D26" s="94"/>
      <c r="E26" s="94"/>
      <c r="F26" s="94"/>
      <c r="G26" s="110"/>
      <c r="H26" s="110"/>
      <c r="I26" s="110"/>
      <c r="J26" s="110"/>
      <c r="K26" s="110"/>
      <c r="L26" s="110"/>
      <c r="M26" s="110"/>
      <c r="N26" s="111"/>
    </row>
    <row r="27" spans="3:14" s="117" customFormat="1" ht="15" customHeight="1" thickBot="1" x14ac:dyDescent="0.3">
      <c r="C27" s="95" t="s">
        <v>86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</row>
    <row r="28" spans="3:14" s="117" customFormat="1" ht="15" customHeight="1" x14ac:dyDescent="0.25"/>
    <row r="29" spans="3:14" s="117" customFormat="1" ht="15" customHeight="1" x14ac:dyDescent="0.25"/>
    <row r="30" spans="3:14" s="117" customFormat="1" ht="15" customHeight="1" x14ac:dyDescent="0.25">
      <c r="C30" s="117" t="str">
        <f ca="1">MID(CELL("filename",A1),FIND("]",CELL("filename",A1))+1,255)</f>
        <v xml:space="preserve">E1.1 Proposed Dist Rates </v>
      </c>
    </row>
    <row r="31" spans="3:14" s="117" customFormat="1" ht="15" customHeight="1" x14ac:dyDescent="0.25"/>
    <row r="32" spans="3:14" s="117" customFormat="1" ht="15" customHeight="1" x14ac:dyDescent="0.25"/>
    <row r="33" spans="3:3" ht="15" hidden="1" customHeight="1" x14ac:dyDescent="0.25">
      <c r="C33" s="117"/>
    </row>
  </sheetData>
  <sheetProtection algorithmName="SHA-512" hashValue="VicpmjpBvfzsu5n/qieP0Eg2LolupJzNU7egA5jKey+AVrA7ADLVIP9PuO1lOQ1Ke2e9OliDPcpuf2RBgnaOaA==" saltValue="I4A4DbMjTX/Y2e16fpn75w==" spinCount="100000" sheet="1" objects="1" scenarios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9"/>
  <sheetViews>
    <sheetView showGridLines="0" topLeftCell="A7" workbookViewId="0">
      <selection activeCell="F16" sqref="F16:G16"/>
    </sheetView>
  </sheetViews>
  <sheetFormatPr defaultColWidth="0" defaultRowHeight="15" customHeight="1" zeroHeight="1" x14ac:dyDescent="0.25"/>
  <cols>
    <col min="1" max="1" width="15.7109375" style="1" customWidth="1"/>
    <col min="2" max="2" width="1.7109375" style="1" hidden="1" customWidth="1"/>
    <col min="3" max="3" width="55.7109375" style="1" customWidth="1"/>
    <col min="4" max="4" width="2.7109375" style="1" customWidth="1"/>
    <col min="5" max="5" width="8.42578125" style="1" bestFit="1" customWidth="1"/>
    <col min="6" max="6" width="12.7109375" style="1" customWidth="1"/>
    <col min="7" max="7" width="10.5703125" style="1" bestFit="1" customWidth="1"/>
    <col min="8" max="9" width="11.28515625" style="1" bestFit="1" customWidth="1"/>
    <col min="10" max="10" width="11.5703125" style="1" bestFit="1" customWidth="1"/>
    <col min="11" max="11" width="10.5703125" style="1" bestFit="1" customWidth="1"/>
    <col min="12" max="12" width="11.5703125" style="1" bestFit="1" customWidth="1"/>
    <col min="13" max="14" width="12.42578125" style="1" bestFit="1" customWidth="1"/>
    <col min="15" max="16384" width="0" style="1" hidden="1"/>
  </cols>
  <sheetData>
    <row r="1" spans="1:14" ht="15.75" x14ac:dyDescent="0.25">
      <c r="A1" s="117"/>
      <c r="B1" s="117"/>
      <c r="C1" s="5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117" customFormat="1" ht="18" x14ac:dyDescent="0.25">
      <c r="C2" s="6" t="str">
        <f>'A1.1 Distributor Information'!C3</f>
        <v>Name of LDC:       EPCOR Natural Gas Limited Partnership</v>
      </c>
    </row>
    <row r="3" spans="1:14" s="117" customFormat="1" ht="18" x14ac:dyDescent="0.25">
      <c r="C3" s="6" t="str">
        <f>'A1.1 Distributor Information'!C4</f>
        <v>OEB Application Number:          EB-2020-0234 Exhibit A - 2021 IRM Application</v>
      </c>
    </row>
    <row r="4" spans="1:14" s="117" customFormat="1" ht="15" customHeight="1" x14ac:dyDescent="0.25"/>
    <row r="5" spans="1:14" s="117" customFormat="1" ht="15" customHeight="1" x14ac:dyDescent="0.25"/>
    <row r="6" spans="1:14" s="117" customFormat="1" ht="15" customHeight="1" x14ac:dyDescent="0.25"/>
    <row r="7" spans="1:14" s="117" customFormat="1" ht="15" customHeight="1" x14ac:dyDescent="0.25"/>
    <row r="8" spans="1:14" s="117" customFormat="1" x14ac:dyDescent="0.25">
      <c r="C8" s="12"/>
    </row>
    <row r="9" spans="1:14" s="117" customFormat="1" ht="15" customHeight="1" x14ac:dyDescent="0.25"/>
    <row r="10" spans="1:14" s="117" customFormat="1" ht="20.25" x14ac:dyDescent="0.3">
      <c r="C10" s="3" t="str">
        <f>'B1.2 Billing Determinants'!C10</f>
        <v>Billing Determinants - Actuals January 1, 2019 to December 31, 2019</v>
      </c>
    </row>
    <row r="11" spans="1:14" s="117" customFormat="1" ht="15" customHeight="1" x14ac:dyDescent="0.25"/>
    <row r="12" spans="1:14" s="117" customFormat="1" ht="15" customHeight="1" x14ac:dyDescent="0.25"/>
    <row r="13" spans="1:14" s="117" customFormat="1" ht="15" customHeight="1" x14ac:dyDescent="0.25"/>
    <row r="14" spans="1:14" s="117" customFormat="1" ht="15" customHeight="1" x14ac:dyDescent="0.25"/>
    <row r="15" spans="1:14" s="117" customFormat="1" ht="47.25" x14ac:dyDescent="0.25">
      <c r="C15" s="117" t="s">
        <v>0</v>
      </c>
      <c r="E15" s="11" t="s">
        <v>1</v>
      </c>
      <c r="F15" s="11" t="s">
        <v>2</v>
      </c>
      <c r="G15" s="11" t="s">
        <v>3</v>
      </c>
      <c r="H15" s="11" t="s">
        <v>4</v>
      </c>
      <c r="I15" s="11" t="s">
        <v>5</v>
      </c>
      <c r="J15" s="11" t="s">
        <v>6</v>
      </c>
      <c r="K15" s="11" t="s">
        <v>7</v>
      </c>
      <c r="L15" s="11" t="s">
        <v>8</v>
      </c>
      <c r="M15" s="11" t="s">
        <v>9</v>
      </c>
      <c r="N15" s="11" t="s">
        <v>10</v>
      </c>
    </row>
    <row r="16" spans="1:14" s="117" customFormat="1" x14ac:dyDescent="0.25">
      <c r="C16" s="117" t="s">
        <v>12</v>
      </c>
      <c r="E16" s="23">
        <f>'B1.2 Billing Determinants'!E16</f>
        <v>8561</v>
      </c>
      <c r="F16" s="23">
        <f>'B1.2 Billing Determinants'!F16</f>
        <v>17877110.199999999</v>
      </c>
      <c r="G16" s="23">
        <f>'B1.2 Billing Determinants'!G16</f>
        <v>212795.9</v>
      </c>
      <c r="H16" s="23">
        <f>'B1.2 Billing Determinants'!H16</f>
        <v>0</v>
      </c>
      <c r="I16" s="23">
        <f>'B1.2 Billing Determinants'!I16</f>
        <v>0</v>
      </c>
      <c r="J16" s="23">
        <f>'B1.2 Billing Determinants'!J16</f>
        <v>0</v>
      </c>
      <c r="K16" s="23">
        <f>'B1.2 Billing Determinants'!K16</f>
        <v>0</v>
      </c>
      <c r="L16" s="23">
        <f>'B1.2 Billing Determinants'!L16</f>
        <v>18063122.899999999</v>
      </c>
      <c r="M16" s="23">
        <f>'B1.2 Billing Determinants'!M16</f>
        <v>0</v>
      </c>
      <c r="N16" s="23">
        <f>'B1.2 Billing Determinants'!N16</f>
        <v>0</v>
      </c>
    </row>
    <row r="17" spans="3:14" s="117" customFormat="1" x14ac:dyDescent="0.25">
      <c r="C17" s="117" t="s">
        <v>13</v>
      </c>
      <c r="E17" s="23">
        <f>'B1.2 Billing Determinants'!E17</f>
        <v>485</v>
      </c>
      <c r="F17" s="23">
        <f>'B1.2 Billing Determinants'!F17</f>
        <v>2600506.4</v>
      </c>
      <c r="G17" s="23">
        <f>'B1.2 Billing Determinants'!G17</f>
        <v>3148914.5</v>
      </c>
      <c r="H17" s="23">
        <f>'B1.2 Billing Determinants'!H17</f>
        <v>0</v>
      </c>
      <c r="I17" s="23">
        <f>'B1.2 Billing Determinants'!I17</f>
        <v>0</v>
      </c>
      <c r="J17" s="23">
        <f>'B1.2 Billing Determinants'!J17</f>
        <v>0</v>
      </c>
      <c r="K17" s="23">
        <f>'B1.2 Billing Determinants'!K17</f>
        <v>0</v>
      </c>
      <c r="L17" s="23">
        <f>'B1.2 Billing Determinants'!L17</f>
        <v>5070409.4000000004</v>
      </c>
      <c r="M17" s="23">
        <f>'B1.2 Billing Determinants'!M17</f>
        <v>0</v>
      </c>
      <c r="N17" s="23">
        <f>'B1.2 Billing Determinants'!N17</f>
        <v>0</v>
      </c>
    </row>
    <row r="18" spans="3:14" s="117" customFormat="1" x14ac:dyDescent="0.25">
      <c r="C18" s="117" t="s">
        <v>14</v>
      </c>
      <c r="E18" s="23">
        <f>'B1.2 Billing Determinants'!E18</f>
        <v>71</v>
      </c>
      <c r="F18" s="23">
        <f>'B1.2 Billing Determinants'!F18</f>
        <v>457186</v>
      </c>
      <c r="G18" s="23">
        <f>'B1.2 Billing Determinants'!G18</f>
        <v>1926549.1</v>
      </c>
      <c r="H18" s="23">
        <f>'B1.2 Billing Determinants'!H18</f>
        <v>0</v>
      </c>
      <c r="I18" s="23">
        <f>'B1.2 Billing Determinants'!I18</f>
        <v>0</v>
      </c>
      <c r="J18" s="23">
        <f>'B1.2 Billing Determinants'!J18</f>
        <v>0</v>
      </c>
      <c r="K18" s="23">
        <f>'B1.2 Billing Determinants'!K18</f>
        <v>0</v>
      </c>
      <c r="L18" s="23">
        <f>'B1.2 Billing Determinants'!L18</f>
        <v>2195898</v>
      </c>
      <c r="M18" s="23">
        <f>'B1.2 Billing Determinants'!M18</f>
        <v>0</v>
      </c>
      <c r="N18" s="23">
        <f>'B1.2 Billing Determinants'!N18</f>
        <v>0</v>
      </c>
    </row>
    <row r="19" spans="3:14" s="117" customFormat="1" x14ac:dyDescent="0.25">
      <c r="C19" s="117" t="s">
        <v>15</v>
      </c>
      <c r="E19" s="23">
        <f>'B1.2 Billing Determinants'!E19</f>
        <v>49</v>
      </c>
      <c r="F19" s="23">
        <f>'B1.2 Billing Determinants'!F19</f>
        <v>82559.199999999997</v>
      </c>
      <c r="G19" s="23">
        <f>'B1.2 Billing Determinants'!G19</f>
        <v>0</v>
      </c>
      <c r="H19" s="23">
        <f>'B1.2 Billing Determinants'!H19</f>
        <v>593404.1</v>
      </c>
      <c r="I19" s="23">
        <f>'B1.2 Billing Determinants'!I19</f>
        <v>97824.6</v>
      </c>
      <c r="J19" s="23">
        <f>'B1.2 Billing Determinants'!J19</f>
        <v>0</v>
      </c>
      <c r="K19" s="23">
        <f>'B1.2 Billing Determinants'!K19</f>
        <v>0</v>
      </c>
      <c r="L19" s="23">
        <f>'B1.2 Billing Determinants'!L19</f>
        <v>773787.9</v>
      </c>
      <c r="M19" s="23">
        <f>'B1.2 Billing Determinants'!M19</f>
        <v>0</v>
      </c>
      <c r="N19" s="23">
        <f>'B1.2 Billing Determinants'!N19</f>
        <v>0</v>
      </c>
    </row>
    <row r="20" spans="3:14" s="117" customFormat="1" x14ac:dyDescent="0.25">
      <c r="C20" s="117" t="s">
        <v>16</v>
      </c>
      <c r="E20" s="23">
        <f>'B1.2 Billing Determinants'!E20</f>
        <v>49</v>
      </c>
      <c r="F20" s="23">
        <f>'B1.2 Billing Determinants'!F20</f>
        <v>77152.800000000003</v>
      </c>
      <c r="G20" s="23">
        <f>'B1.2 Billing Determinants'!G20</f>
        <v>0</v>
      </c>
      <c r="H20" s="23">
        <f>'B1.2 Billing Determinants'!H20</f>
        <v>379184.8</v>
      </c>
      <c r="I20" s="23">
        <f>'B1.2 Billing Determinants'!I20</f>
        <v>20763.2</v>
      </c>
      <c r="J20" s="23">
        <f>'B1.2 Billing Determinants'!J20</f>
        <v>0</v>
      </c>
      <c r="K20" s="23">
        <f>'B1.2 Billing Determinants'!K20</f>
        <v>0</v>
      </c>
      <c r="L20" s="23">
        <f>'B1.2 Billing Determinants'!L20</f>
        <v>477100.79999999999</v>
      </c>
      <c r="M20" s="23">
        <f>'B1.2 Billing Determinants'!M20</f>
        <v>0</v>
      </c>
      <c r="N20" s="23">
        <f>'B1.2 Billing Determinants'!N20</f>
        <v>0</v>
      </c>
    </row>
    <row r="21" spans="3:14" s="117" customFormat="1" x14ac:dyDescent="0.25">
      <c r="C21" s="117" t="s">
        <v>17</v>
      </c>
      <c r="E21" s="23">
        <f>'B1.2 Billing Determinants'!E21</f>
        <v>6</v>
      </c>
      <c r="F21" s="23">
        <f>'B1.2 Billing Determinants'!F21</f>
        <v>0</v>
      </c>
      <c r="G21" s="23">
        <f>'B1.2 Billing Determinants'!G21</f>
        <v>0</v>
      </c>
      <c r="H21" s="23">
        <f>'B1.2 Billing Determinants'!H21</f>
        <v>0</v>
      </c>
      <c r="I21" s="23">
        <f>'B1.2 Billing Determinants'!I21</f>
        <v>0</v>
      </c>
      <c r="J21" s="23">
        <f>'B1.2 Billing Determinants'!J21</f>
        <v>1544524.2</v>
      </c>
      <c r="K21" s="23">
        <f>'B1.2 Billing Determinants'!K21</f>
        <v>232423.2</v>
      </c>
      <c r="L21" s="23">
        <f>'B1.2 Billing Determinants'!L21</f>
        <v>1163879.6000000001</v>
      </c>
      <c r="M21" s="23">
        <f>'B1.2 Billing Determinants'!M21</f>
        <v>0</v>
      </c>
      <c r="N21" s="23">
        <f>'B1.2 Billing Determinants'!N21</f>
        <v>0</v>
      </c>
    </row>
    <row r="22" spans="3:14" s="117" customFormat="1" x14ac:dyDescent="0.25">
      <c r="C22" s="117" t="s">
        <v>18</v>
      </c>
      <c r="E22" s="23">
        <f>'B1.2 Billing Determinants'!E22</f>
        <v>36</v>
      </c>
      <c r="F22" s="23">
        <f>'B1.2 Billing Determinants'!F22</f>
        <v>86779</v>
      </c>
      <c r="G22" s="23">
        <f>'B1.2 Billing Determinants'!G22</f>
        <v>1501960</v>
      </c>
      <c r="H22" s="23">
        <f>'B1.2 Billing Determinants'!H22</f>
        <v>0</v>
      </c>
      <c r="I22" s="23">
        <f>'B1.2 Billing Determinants'!I22</f>
        <v>0</v>
      </c>
      <c r="J22" s="23">
        <f>'B1.2 Billing Determinants'!J22</f>
        <v>0</v>
      </c>
      <c r="K22" s="23">
        <f>'B1.2 Billing Determinants'!K22</f>
        <v>0</v>
      </c>
      <c r="L22" s="23">
        <f>'B1.2 Billing Determinants'!L22</f>
        <v>1587048.6</v>
      </c>
      <c r="M22" s="23">
        <f>'B1.2 Billing Determinants'!M22</f>
        <v>0</v>
      </c>
      <c r="N22" s="23">
        <f>'B1.2 Billing Determinants'!N22</f>
        <v>0</v>
      </c>
    </row>
    <row r="23" spans="3:14" s="117" customFormat="1" x14ac:dyDescent="0.25">
      <c r="C23" s="117" t="s">
        <v>19</v>
      </c>
      <c r="E23" s="23">
        <f>'B1.2 Billing Determinants'!E23</f>
        <v>36</v>
      </c>
      <c r="F23" s="23">
        <f>'B1.2 Billing Determinants'!F23</f>
        <v>34352.6</v>
      </c>
      <c r="G23" s="23">
        <f>'B1.2 Billing Determinants'!G23</f>
        <v>157454.29999999999</v>
      </c>
      <c r="H23" s="23">
        <f>'B1.2 Billing Determinants'!H23</f>
        <v>0</v>
      </c>
      <c r="I23" s="23">
        <f>'B1.2 Billing Determinants'!I23</f>
        <v>0</v>
      </c>
      <c r="J23" s="23">
        <f>'B1.2 Billing Determinants'!J23</f>
        <v>0</v>
      </c>
      <c r="K23" s="23">
        <f>'B1.2 Billing Determinants'!K23</f>
        <v>0</v>
      </c>
      <c r="L23" s="23">
        <f>'B1.2 Billing Determinants'!L23</f>
        <v>175801.2</v>
      </c>
      <c r="M23" s="23">
        <f>'B1.2 Billing Determinants'!M23</f>
        <v>0</v>
      </c>
      <c r="N23" s="23">
        <f>'B1.2 Billing Determinants'!N23</f>
        <v>0</v>
      </c>
    </row>
    <row r="24" spans="3:14" s="117" customFormat="1" x14ac:dyDescent="0.25">
      <c r="C24" s="117" t="s">
        <v>20</v>
      </c>
      <c r="E24" s="23">
        <f>'B1.2 Billing Determinants'!E24</f>
        <v>4</v>
      </c>
      <c r="F24" s="23">
        <f>'B1.2 Billing Determinants'!F24</f>
        <v>0</v>
      </c>
      <c r="G24" s="23">
        <f>'B1.2 Billing Determinants'!G24</f>
        <v>0</v>
      </c>
      <c r="H24" s="23">
        <f>'B1.2 Billing Determinants'!H24</f>
        <v>0</v>
      </c>
      <c r="I24" s="23">
        <f>'B1.2 Billing Determinants'!I24</f>
        <v>0</v>
      </c>
      <c r="J24" s="23">
        <f>'B1.2 Billing Determinants'!J24</f>
        <v>795484.4</v>
      </c>
      <c r="K24" s="23">
        <f>'B1.2 Billing Determinants'!K24</f>
        <v>0</v>
      </c>
      <c r="L24" s="23">
        <f>'B1.2 Billing Determinants'!L24</f>
        <v>795484.4</v>
      </c>
      <c r="M24" s="23">
        <f>'B1.2 Billing Determinants'!M24</f>
        <v>0</v>
      </c>
      <c r="N24" s="23">
        <f>'B1.2 Billing Determinants'!N24</f>
        <v>0</v>
      </c>
    </row>
    <row r="25" spans="3:14" s="117" customFormat="1" ht="30" x14ac:dyDescent="0.25">
      <c r="C25" s="10" t="s">
        <v>21</v>
      </c>
      <c r="E25" s="23">
        <f>'B1.2 Billing Determinants'!E25</f>
        <v>1</v>
      </c>
      <c r="F25" s="23">
        <f>'B1.2 Billing Determinants'!F25</f>
        <v>0</v>
      </c>
      <c r="G25" s="23">
        <f>'B1.2 Billing Determinants'!G25</f>
        <v>0</v>
      </c>
      <c r="H25" s="23">
        <f>'B1.2 Billing Determinants'!H25</f>
        <v>0</v>
      </c>
      <c r="I25" s="23">
        <f>'B1.2 Billing Determinants'!I25</f>
        <v>0</v>
      </c>
      <c r="J25" s="23">
        <f>'B1.2 Billing Determinants'!J25</f>
        <v>62382456</v>
      </c>
      <c r="K25" s="23">
        <f>'B1.2 Billing Determinants'!K25</f>
        <v>0</v>
      </c>
      <c r="L25" s="23">
        <f>'B1.2 Billing Determinants'!L25</f>
        <v>0</v>
      </c>
      <c r="M25" s="23">
        <f>'B1.2 Billing Determinants'!M25</f>
        <v>0</v>
      </c>
      <c r="N25" s="23">
        <f>'B1.2 Billing Determinants'!N25</f>
        <v>0</v>
      </c>
    </row>
    <row r="26" spans="3:14" s="117" customFormat="1" ht="15" customHeight="1" thickBot="1" x14ac:dyDescent="0.3">
      <c r="E26" s="49">
        <f>SUM(E16:E19,E21:E22,E24:E25)</f>
        <v>9213</v>
      </c>
      <c r="F26" s="49">
        <f t="shared" ref="F26:N26" si="0">SUM(F16:F25)</f>
        <v>21215646.199999999</v>
      </c>
      <c r="G26" s="49">
        <f t="shared" si="0"/>
        <v>6947673.7999999998</v>
      </c>
      <c r="H26" s="49">
        <f t="shared" si="0"/>
        <v>972588.89999999991</v>
      </c>
      <c r="I26" s="49">
        <f t="shared" si="0"/>
        <v>118587.8</v>
      </c>
      <c r="J26" s="49">
        <f t="shared" si="0"/>
        <v>64722464.600000001</v>
      </c>
      <c r="K26" s="49">
        <f t="shared" si="0"/>
        <v>232423.2</v>
      </c>
      <c r="L26" s="49">
        <f t="shared" si="0"/>
        <v>30302532.799999997</v>
      </c>
      <c r="M26" s="49">
        <f t="shared" si="0"/>
        <v>0</v>
      </c>
      <c r="N26" s="49">
        <f t="shared" si="0"/>
        <v>0</v>
      </c>
    </row>
    <row r="27" spans="3:14" s="117" customFormat="1" ht="15" customHeight="1" x14ac:dyDescent="0.25"/>
    <row r="28" spans="3:14" s="117" customFormat="1" ht="15" customHeight="1" x14ac:dyDescent="0.25"/>
    <row r="29" spans="3:14" s="117" customFormat="1" ht="15" customHeight="1" x14ac:dyDescent="0.25"/>
    <row r="30" spans="3:14" s="117" customFormat="1" ht="15" customHeight="1" x14ac:dyDescent="0.25">
      <c r="C30" s="117" t="str">
        <f ca="1">MID(CELL("filename",A1),FIND("]",CELL("filename",A1))+1,255)</f>
        <v>E1.2 Billing Determinants</v>
      </c>
    </row>
    <row r="31" spans="3:14" s="117" customFormat="1" ht="15" customHeight="1" x14ac:dyDescent="0.25"/>
    <row r="32" spans="3:14" s="117" customFormat="1" ht="15" customHeight="1" x14ac:dyDescent="0.25"/>
    <row r="33" s="117" customFormat="1" ht="15" customHeight="1" x14ac:dyDescent="0.25"/>
    <row r="34" s="117" customFormat="1" ht="15" customHeight="1" x14ac:dyDescent="0.25"/>
    <row r="35" s="117" customFormat="1" ht="15" customHeight="1" x14ac:dyDescent="0.25"/>
    <row r="36" s="117" customFormat="1" ht="15" customHeight="1" x14ac:dyDescent="0.25"/>
    <row r="37" s="117" customFormat="1" ht="15" customHeight="1" x14ac:dyDescent="0.25"/>
    <row r="38" s="117" customFormat="1" ht="15" customHeight="1" x14ac:dyDescent="0.25"/>
    <row r="39" s="117" customFormat="1" ht="15" customHeight="1" x14ac:dyDescent="0.25"/>
    <row r="40" s="117" customFormat="1" ht="15" customHeight="1" x14ac:dyDescent="0.25"/>
    <row r="41" s="117" customFormat="1" ht="15" customHeight="1" x14ac:dyDescent="0.25"/>
    <row r="42" s="117" customFormat="1" ht="15" customHeight="1" x14ac:dyDescent="0.25"/>
    <row r="43" s="117" customFormat="1" ht="15" customHeight="1" x14ac:dyDescent="0.25"/>
    <row r="44" s="117" customFormat="1" ht="15" customHeight="1" x14ac:dyDescent="0.25"/>
    <row r="45" s="117" customFormat="1" ht="15" customHeight="1" x14ac:dyDescent="0.25"/>
    <row r="46" s="117" customFormat="1" ht="15" customHeight="1" x14ac:dyDescent="0.25"/>
    <row r="47" s="117" customFormat="1" ht="15" customHeight="1" x14ac:dyDescent="0.25"/>
    <row r="48" s="117" customFormat="1" ht="15" customHeight="1" x14ac:dyDescent="0.25"/>
    <row r="49" s="117" customFormat="1" ht="15" customHeight="1" x14ac:dyDescent="0.25"/>
  </sheetData>
  <sheetProtection algorithmName="SHA-512" hashValue="aq5IkfLg76MUGHulMEQgiHE7GpPLDiF2pFKjQS7h0o7GMr61EW41sshK+83K0WmHuwiwszODwczpOp/odfwLUw==" saltValue="raRBz73wWKpDx2zKc5FYXw==" spinCount="100000" sheet="1" objects="1" scenarios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52"/>
  <sheetViews>
    <sheetView showGridLines="0" topLeftCell="A8" workbookViewId="0">
      <selection activeCell="K26" sqref="E26:K26"/>
    </sheetView>
  </sheetViews>
  <sheetFormatPr defaultColWidth="0" defaultRowHeight="15" customHeight="1" zeroHeight="1" x14ac:dyDescent="0.25"/>
  <cols>
    <col min="1" max="1" width="15.7109375" style="1" customWidth="1"/>
    <col min="2" max="2" width="14.85546875" style="1" hidden="1" customWidth="1"/>
    <col min="3" max="3" width="55.7109375" style="1" customWidth="1"/>
    <col min="4" max="4" width="2.7109375" style="1" customWidth="1"/>
    <col min="5" max="5" width="11.5703125" style="1" bestFit="1" customWidth="1"/>
    <col min="6" max="6" width="12.7109375" style="1" customWidth="1"/>
    <col min="7" max="7" width="10.28515625" style="1" bestFit="1" customWidth="1"/>
    <col min="8" max="9" width="11.28515625" style="1" bestFit="1" customWidth="1"/>
    <col min="10" max="10" width="11.5703125" style="1" bestFit="1" customWidth="1"/>
    <col min="11" max="11" width="10" style="1" bestFit="1" customWidth="1"/>
    <col min="12" max="12" width="11.28515625" style="1" bestFit="1" customWidth="1"/>
    <col min="13" max="13" width="12.42578125" style="1" bestFit="1" customWidth="1"/>
    <col min="14" max="14" width="30.5703125" style="1" bestFit="1" customWidth="1"/>
    <col min="15" max="15" width="11.5703125" style="1" bestFit="1" customWidth="1"/>
    <col min="16" max="16" width="2.7109375" style="1" customWidth="1"/>
    <col min="17" max="16384" width="0" style="1" hidden="1"/>
  </cols>
  <sheetData>
    <row r="1" spans="1:15" ht="15.75" x14ac:dyDescent="0.25">
      <c r="A1" s="117"/>
      <c r="B1" s="117"/>
      <c r="C1" s="5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117" customFormat="1" ht="18" x14ac:dyDescent="0.25">
      <c r="C2" s="6" t="str">
        <f>'A1.1 Distributor Information'!C3</f>
        <v>Name of LDC:       EPCOR Natural Gas Limited Partnership</v>
      </c>
    </row>
    <row r="3" spans="1:15" s="117" customFormat="1" ht="18" x14ac:dyDescent="0.25">
      <c r="C3" s="6" t="str">
        <f>'A1.1 Distributor Information'!C4</f>
        <v>OEB Application Number:          EB-2020-0234 Exhibit A - 2021 IRM Application</v>
      </c>
    </row>
    <row r="4" spans="1:15" s="117" customFormat="1" ht="15" customHeight="1" x14ac:dyDescent="0.25"/>
    <row r="5" spans="1:15" s="117" customFormat="1" ht="15" customHeight="1" x14ac:dyDescent="0.25"/>
    <row r="6" spans="1:15" s="117" customFormat="1" ht="15" customHeight="1" x14ac:dyDescent="0.25"/>
    <row r="7" spans="1:15" s="117" customFormat="1" ht="15" customHeight="1" x14ac:dyDescent="0.25"/>
    <row r="8" spans="1:15" s="117" customFormat="1" ht="15" customHeight="1" x14ac:dyDescent="0.25"/>
    <row r="9" spans="1:15" s="117" customFormat="1" ht="15" customHeight="1" x14ac:dyDescent="0.25"/>
    <row r="10" spans="1:15" s="117" customFormat="1" ht="20.25" x14ac:dyDescent="0.3">
      <c r="C10" s="3" t="s">
        <v>91</v>
      </c>
    </row>
    <row r="11" spans="1:15" s="117" customFormat="1" ht="15" customHeight="1" x14ac:dyDescent="0.25"/>
    <row r="12" spans="1:15" s="117" customFormat="1" ht="15" customHeight="1" x14ac:dyDescent="0.25"/>
    <row r="13" spans="1:15" s="117" customFormat="1" ht="15" customHeight="1" x14ac:dyDescent="0.25"/>
    <row r="14" spans="1:15" s="117" customFormat="1" ht="15" customHeight="1" x14ac:dyDescent="0.25"/>
    <row r="15" spans="1:15" s="117" customFormat="1" ht="47.25" x14ac:dyDescent="0.25">
      <c r="C15" s="117" t="s">
        <v>0</v>
      </c>
      <c r="E15" s="11" t="s">
        <v>1</v>
      </c>
      <c r="F15" s="11" t="s">
        <v>2</v>
      </c>
      <c r="G15" s="11" t="s">
        <v>3</v>
      </c>
      <c r="H15" s="11" t="s">
        <v>4</v>
      </c>
      <c r="I15" s="11" t="s">
        <v>5</v>
      </c>
      <c r="J15" s="11" t="s">
        <v>7</v>
      </c>
      <c r="K15" s="11" t="s">
        <v>6</v>
      </c>
      <c r="L15" s="11" t="s">
        <v>8</v>
      </c>
      <c r="M15" s="11" t="s">
        <v>9</v>
      </c>
      <c r="N15" s="11" t="s">
        <v>10</v>
      </c>
      <c r="O15" s="11" t="s">
        <v>11</v>
      </c>
    </row>
    <row r="16" spans="1:15" s="117" customFormat="1" x14ac:dyDescent="0.25">
      <c r="C16" s="117" t="s">
        <v>12</v>
      </c>
      <c r="E16" s="26">
        <f>'E1.1 Proposed Dist Rates '!E16*'E1.2 Billing Determinants'!E16*12</f>
        <v>1797810</v>
      </c>
      <c r="F16" s="26">
        <f>'E1.1 Proposed Dist Rates '!F16*'E1.2 Billing Determinants'!F16/100</f>
        <v>2418498.1118515939</v>
      </c>
      <c r="G16" s="26">
        <f>'E1.1 Proposed Dist Rates '!G16*'E1.2 Billing Determinants'!G16/100</f>
        <v>23137.113311057677</v>
      </c>
      <c r="H16" s="26">
        <f>'E1.1 Proposed Dist Rates '!H16*'E1.2 Billing Determinants'!H16/100</f>
        <v>0</v>
      </c>
      <c r="I16" s="26">
        <f>'E1.1 Proposed Dist Rates '!I16*'E1.2 Billing Determinants'!I16/100</f>
        <v>0</v>
      </c>
      <c r="J16" s="26">
        <f>'E1.1 Proposed Dist Rates '!J16*'E1.2 Billing Determinants'!J16/100</f>
        <v>0</v>
      </c>
      <c r="K16" s="26">
        <f>'E1.1 Proposed Dist Rates '!K16*'E1.2 Billing Determinants'!K16/100</f>
        <v>0</v>
      </c>
      <c r="L16" s="26">
        <f>'E1.1 Proposed Dist Rates '!L16*'E1.2 Billing Determinants'!L16/100</f>
        <v>7857.4584614999985</v>
      </c>
      <c r="M16" s="26">
        <f>'E1.1 Proposed Dist Rates '!M16*'E1.2 Billing Determinants'!M16/100</f>
        <v>0</v>
      </c>
      <c r="N16" s="26">
        <f>'E1.1 Proposed Dist Rates '!N16*'E1.2 Billing Determinants'!N16/100</f>
        <v>0</v>
      </c>
      <c r="O16" s="26">
        <f>SUM(E16:N16)</f>
        <v>4247302.6836241512</v>
      </c>
    </row>
    <row r="17" spans="3:15" s="117" customFormat="1" x14ac:dyDescent="0.25">
      <c r="C17" s="117" t="s">
        <v>13</v>
      </c>
      <c r="E17" s="26">
        <f>'E1.1 Proposed Dist Rates '!E17*'E1.2 Billing Determinants'!E17*12</f>
        <v>101850</v>
      </c>
      <c r="F17" s="26">
        <f>'E1.1 Proposed Dist Rates '!F17*'E1.2 Billing Determinants'!F17/100</f>
        <v>351808.52765890467</v>
      </c>
      <c r="G17" s="26">
        <f>'E1.1 Proposed Dist Rates '!G17*'E1.2 Billing Determinants'!G17/100</f>
        <v>342378.73752893048</v>
      </c>
      <c r="H17" s="26">
        <f>'E1.1 Proposed Dist Rates '!H17*'E1.2 Billing Determinants'!H17/100</f>
        <v>0</v>
      </c>
      <c r="I17" s="26">
        <f>'E1.1 Proposed Dist Rates '!I17*'E1.2 Billing Determinants'!I17/100</f>
        <v>0</v>
      </c>
      <c r="J17" s="26">
        <f>'E1.1 Proposed Dist Rates '!J17*'E1.2 Billing Determinants'!J17/100</f>
        <v>0</v>
      </c>
      <c r="K17" s="26">
        <f>'E1.1 Proposed Dist Rates '!K17*'E1.2 Billing Determinants'!K17/100</f>
        <v>0</v>
      </c>
      <c r="L17" s="26">
        <f>'E1.1 Proposed Dist Rates '!L17*'E1.2 Billing Determinants'!L17/100</f>
        <v>2205.6280889999998</v>
      </c>
      <c r="M17" s="26">
        <f>'E1.1 Proposed Dist Rates '!M17*'E1.2 Billing Determinants'!M17/100</f>
        <v>0</v>
      </c>
      <c r="N17" s="26">
        <f>'E1.1 Proposed Dist Rates '!N17*'E1.2 Billing Determinants'!N17/100</f>
        <v>0</v>
      </c>
      <c r="O17" s="26">
        <f t="shared" ref="O17:O25" si="0">SUM(E17:N17)</f>
        <v>798242.89327683509</v>
      </c>
    </row>
    <row r="18" spans="3:15" s="117" customFormat="1" x14ac:dyDescent="0.25">
      <c r="C18" s="117" t="s">
        <v>14</v>
      </c>
      <c r="E18" s="26">
        <f>'E1.1 Proposed Dist Rates '!E18*'E1.2 Billing Determinants'!E18*12</f>
        <v>14910</v>
      </c>
      <c r="F18" s="26">
        <f>'E1.1 Proposed Dist Rates '!F18*'E1.2 Billing Determinants'!F18/100</f>
        <v>61850.235602674911</v>
      </c>
      <c r="G18" s="26">
        <f>'E1.1 Proposed Dist Rates '!G18*'E1.2 Billing Determinants'!G18/100</f>
        <v>209472.00968635295</v>
      </c>
      <c r="H18" s="26">
        <f>'E1.1 Proposed Dist Rates '!H18*'E1.2 Billing Determinants'!H18/100</f>
        <v>0</v>
      </c>
      <c r="I18" s="26">
        <f>'E1.1 Proposed Dist Rates '!I18*'E1.2 Billing Determinants'!I18/100</f>
        <v>0</v>
      </c>
      <c r="J18" s="26">
        <f>'E1.1 Proposed Dist Rates '!J18*'E1.2 Billing Determinants'!J18/100</f>
        <v>0</v>
      </c>
      <c r="K18" s="26">
        <f>'E1.1 Proposed Dist Rates '!K18*'E1.2 Billing Determinants'!K18/100</f>
        <v>0</v>
      </c>
      <c r="L18" s="26">
        <f>'E1.1 Proposed Dist Rates '!L18*'E1.2 Billing Determinants'!L18/100</f>
        <v>955.21562999999992</v>
      </c>
      <c r="M18" s="26">
        <f>'E1.1 Proposed Dist Rates '!M18*'E1.2 Billing Determinants'!M18/100</f>
        <v>0</v>
      </c>
      <c r="N18" s="26">
        <f>'E1.1 Proposed Dist Rates '!N18*'E1.2 Billing Determinants'!N18/100</f>
        <v>0</v>
      </c>
      <c r="O18" s="26">
        <f t="shared" si="0"/>
        <v>287187.46091902786</v>
      </c>
    </row>
    <row r="19" spans="3:15" s="117" customFormat="1" x14ac:dyDescent="0.25">
      <c r="C19" s="117" t="s">
        <v>15</v>
      </c>
      <c r="E19" s="26">
        <f>'E1.1 Proposed Dist Rates '!E19*'E1.2 Billing Determinants'!E19*7</f>
        <v>6860</v>
      </c>
      <c r="F19" s="26">
        <f>'E1.1 Proposed Dist Rates '!F19*'E1.2 Billing Determinants'!F19/100</f>
        <v>14074.603477782302</v>
      </c>
      <c r="G19" s="26">
        <f>'E1.1 Proposed Dist Rates '!G19*'E1.2 Billing Determinants'!G19/100</f>
        <v>0</v>
      </c>
      <c r="H19" s="26">
        <f>'E1.1 Proposed Dist Rates '!H19*'E1.2 Billing Determinants'!H19/100</f>
        <v>52552.402412249336</v>
      </c>
      <c r="I19" s="26">
        <f>'E1.1 Proposed Dist Rates '!I19*'E1.2 Billing Determinants'!I19/100</f>
        <v>6753.9284446550055</v>
      </c>
      <c r="J19" s="26">
        <f>'E1.1 Proposed Dist Rates '!J19*'E1.2 Billing Determinants'!J19/100</f>
        <v>0</v>
      </c>
      <c r="K19" s="26">
        <f>'E1.1 Proposed Dist Rates '!K19*'E1.2 Billing Determinants'!K19/100</f>
        <v>0</v>
      </c>
      <c r="L19" s="26">
        <f>'E1.1 Proposed Dist Rates '!L19*'E1.2 Billing Determinants'!L19/100</f>
        <v>336.59773649999994</v>
      </c>
      <c r="M19" s="26">
        <f>'E1.1 Proposed Dist Rates '!M19*'E1.2 Billing Determinants'!M19/100</f>
        <v>0</v>
      </c>
      <c r="N19" s="26">
        <f>'E1.1 Proposed Dist Rates '!N19*'E1.2 Billing Determinants'!N19/100</f>
        <v>0</v>
      </c>
      <c r="O19" s="26">
        <f t="shared" si="0"/>
        <v>80577.532071186637</v>
      </c>
    </row>
    <row r="20" spans="3:15" s="117" customFormat="1" x14ac:dyDescent="0.25">
      <c r="C20" s="117" t="s">
        <v>16</v>
      </c>
      <c r="E20" s="26">
        <f>'E1.1 Proposed Dist Rates '!E20*'E1.2 Billing Determinants'!E20*5</f>
        <v>4900</v>
      </c>
      <c r="F20" s="26">
        <f>'E1.1 Proposed Dist Rates '!F20*'E1.2 Billing Determinants'!F20/100</f>
        <v>16579.019341274525</v>
      </c>
      <c r="G20" s="26">
        <f>'E1.1 Proposed Dist Rates '!G20*'E1.2 Billing Determinants'!G20/100</f>
        <v>0</v>
      </c>
      <c r="H20" s="26">
        <f>'E1.1 Proposed Dist Rates '!H20*'E1.2 Billing Determinants'!H20/100</f>
        <v>55584.692833635432</v>
      </c>
      <c r="I20" s="26">
        <f>'E1.1 Proposed Dist Rates '!I20*'E1.2 Billing Determinants'!I20/100</f>
        <v>3229.5518056674123</v>
      </c>
      <c r="J20" s="26">
        <f>'E1.1 Proposed Dist Rates '!J20*'E1.2 Billing Determinants'!J20/100</f>
        <v>0</v>
      </c>
      <c r="K20" s="26">
        <f>'E1.1 Proposed Dist Rates '!K20*'E1.2 Billing Determinants'!K20/100</f>
        <v>0</v>
      </c>
      <c r="L20" s="26">
        <f>'E1.1 Proposed Dist Rates '!L20*'E1.2 Billing Determinants'!L20/100</f>
        <v>207.538848</v>
      </c>
      <c r="M20" s="26">
        <f>'E1.1 Proposed Dist Rates '!M20*'E1.2 Billing Determinants'!M20/100</f>
        <v>0</v>
      </c>
      <c r="N20" s="26">
        <f>'E1.1 Proposed Dist Rates '!N20*'E1.2 Billing Determinants'!N20/100</f>
        <v>0</v>
      </c>
      <c r="O20" s="26">
        <f t="shared" si="0"/>
        <v>80500.802828577376</v>
      </c>
    </row>
    <row r="21" spans="3:15" s="117" customFormat="1" x14ac:dyDescent="0.25">
      <c r="C21" s="117" t="s">
        <v>17</v>
      </c>
      <c r="E21" s="26">
        <f>'E1.1 Proposed Dist Rates '!E21*'E1.2 Billing Determinants'!E21*12</f>
        <v>14400</v>
      </c>
      <c r="F21" s="26">
        <f>'E1.1 Proposed Dist Rates '!F21*'E1.2 Billing Determinants'!F21/100</f>
        <v>0</v>
      </c>
      <c r="G21" s="26">
        <f>'E1.1 Proposed Dist Rates '!G21*'E1.2 Billing Determinants'!G21/100</f>
        <v>0</v>
      </c>
      <c r="H21" s="26">
        <f>'E1.1 Proposed Dist Rates '!H21*'E1.2 Billing Determinants'!H21/100</f>
        <v>0</v>
      </c>
      <c r="I21" s="26">
        <f>'E1.1 Proposed Dist Rates '!I21*'E1.2 Billing Determinants'!I21/100</f>
        <v>0</v>
      </c>
      <c r="J21" s="26">
        <f>'E1.1 Proposed Dist Rates '!J21*'E1.2 Billing Determinants'!J21/100</f>
        <v>60371.047105439749</v>
      </c>
      <c r="K21" s="26">
        <f>'E1.1 Proposed Dist Rates '!K21*'E1.2 Billing Determinants'!K21/100</f>
        <v>68833.919480750628</v>
      </c>
      <c r="L21" s="26">
        <f>'E1.1 Proposed Dist Rates '!L21*'E1.2 Billing Determinants'!L21/100</f>
        <v>506.28762600000005</v>
      </c>
      <c r="M21" s="26">
        <f>'E1.1 Proposed Dist Rates '!M21*'E1.2 Billing Determinants'!M21/100</f>
        <v>0</v>
      </c>
      <c r="N21" s="26">
        <f>'E1.1 Proposed Dist Rates '!N21*'E1.2 Billing Determinants'!N21/100</f>
        <v>0</v>
      </c>
      <c r="O21" s="26">
        <f t="shared" si="0"/>
        <v>144111.2542121904</v>
      </c>
    </row>
    <row r="22" spans="3:15" s="117" customFormat="1" x14ac:dyDescent="0.25">
      <c r="C22" s="117" t="s">
        <v>18</v>
      </c>
      <c r="E22" s="26">
        <f>'E1.1 Proposed Dist Rates '!E22*'E1.2 Billing Determinants'!E22*9</f>
        <v>6480</v>
      </c>
      <c r="F22" s="26">
        <f>'E1.1 Proposed Dist Rates '!F22*'E1.2 Billing Determinants'!F22/100</f>
        <v>16394.977398726889</v>
      </c>
      <c r="G22" s="26">
        <f>'E1.1 Proposed Dist Rates '!G22*'E1.2 Billing Determinants'!G22/100</f>
        <v>174106.67912817618</v>
      </c>
      <c r="H22" s="26">
        <f>'E1.1 Proposed Dist Rates '!H22*'E1.2 Billing Determinants'!H22/100</f>
        <v>0</v>
      </c>
      <c r="I22" s="26">
        <f>'E1.1 Proposed Dist Rates '!I22*'E1.2 Billing Determinants'!I22/100</f>
        <v>0</v>
      </c>
      <c r="J22" s="26">
        <f>'E1.1 Proposed Dist Rates '!J22*'E1.2 Billing Determinants'!J22/100</f>
        <v>0</v>
      </c>
      <c r="K22" s="26">
        <f>'E1.1 Proposed Dist Rates '!K22*'E1.2 Billing Determinants'!K22/100</f>
        <v>0</v>
      </c>
      <c r="L22" s="26">
        <f>'E1.1 Proposed Dist Rates '!L22*'E1.2 Billing Determinants'!L22/100</f>
        <v>690.36614100000008</v>
      </c>
      <c r="M22" s="26">
        <f>'E1.1 Proposed Dist Rates '!M22*'E1.2 Billing Determinants'!M22/100</f>
        <v>0</v>
      </c>
      <c r="N22" s="26">
        <f>'E1.1 Proposed Dist Rates '!N22*'E1.2 Billing Determinants'!N22/100</f>
        <v>0</v>
      </c>
      <c r="O22" s="26">
        <f t="shared" si="0"/>
        <v>197672.02266790307</v>
      </c>
    </row>
    <row r="23" spans="3:15" s="117" customFormat="1" x14ac:dyDescent="0.25">
      <c r="C23" s="117" t="s">
        <v>19</v>
      </c>
      <c r="E23" s="26">
        <f>'E1.1 Proposed Dist Rates '!E23*'E1.2 Billing Determinants'!E23*3</f>
        <v>2160</v>
      </c>
      <c r="F23" s="26">
        <f>'E1.1 Proposed Dist Rates '!F23*'E1.2 Billing Determinants'!F23/100</f>
        <v>8279.6760934841041</v>
      </c>
      <c r="G23" s="26">
        <f>'E1.1 Proposed Dist Rates '!G23*'E1.2 Billing Determinants'!G23/100</f>
        <v>29325.249805439977</v>
      </c>
      <c r="H23" s="26">
        <f>'E1.1 Proposed Dist Rates '!H23*'E1.2 Billing Determinants'!H23/100</f>
        <v>0</v>
      </c>
      <c r="I23" s="26">
        <f>'E1.1 Proposed Dist Rates '!I23*'E1.2 Billing Determinants'!I23/100</f>
        <v>0</v>
      </c>
      <c r="J23" s="26">
        <f>'E1.1 Proposed Dist Rates '!J23*'E1.2 Billing Determinants'!J23/100</f>
        <v>0</v>
      </c>
      <c r="K23" s="26">
        <f>'E1.1 Proposed Dist Rates '!K23*'E1.2 Billing Determinants'!K23/100</f>
        <v>0</v>
      </c>
      <c r="L23" s="26">
        <f>'E1.1 Proposed Dist Rates '!L23*'E1.2 Billing Determinants'!L23/100</f>
        <v>76.473522000000003</v>
      </c>
      <c r="M23" s="26">
        <f>'E1.1 Proposed Dist Rates '!M23*'E1.2 Billing Determinants'!M23/100</f>
        <v>0</v>
      </c>
      <c r="N23" s="26">
        <f>'E1.1 Proposed Dist Rates '!N23*'E1.2 Billing Determinants'!N23/100</f>
        <v>0</v>
      </c>
      <c r="O23" s="26">
        <f t="shared" si="0"/>
        <v>39841.399420924077</v>
      </c>
    </row>
    <row r="24" spans="3:15" s="117" customFormat="1" x14ac:dyDescent="0.25">
      <c r="C24" s="117" t="s">
        <v>20</v>
      </c>
      <c r="E24" s="26">
        <f>'E1.1 Proposed Dist Rates '!E24*'E1.2 Billing Determinants'!E24*12</f>
        <v>9120</v>
      </c>
      <c r="F24" s="26">
        <f>'E1.1 Proposed Dist Rates '!F24*'E1.2 Billing Determinants'!F24/100</f>
        <v>0</v>
      </c>
      <c r="G24" s="26">
        <f>'E1.1 Proposed Dist Rates '!G24*'E1.2 Billing Determinants'!G24/100</f>
        <v>0</v>
      </c>
      <c r="H24" s="26">
        <f>'E1.1 Proposed Dist Rates '!H24*'E1.2 Billing Determinants'!H24/100</f>
        <v>0</v>
      </c>
      <c r="I24" s="26">
        <f>'E1.1 Proposed Dist Rates '!I24*'E1.2 Billing Determinants'!I24/100</f>
        <v>0</v>
      </c>
      <c r="J24" s="26">
        <f>'E1.1 Proposed Dist Rates '!J24*'E1.2 Billing Determinants'!J24/100</f>
        <v>61934.735160219847</v>
      </c>
      <c r="K24" s="26">
        <f>'E1.1 Proposed Dist Rates '!K24*'E1.2 Billing Determinants'!K24/100</f>
        <v>0</v>
      </c>
      <c r="L24" s="26">
        <f>'E1.1 Proposed Dist Rates '!L24*'E1.2 Billing Determinants'!L24/100</f>
        <v>346.03571399999998</v>
      </c>
      <c r="M24" s="26">
        <f>'E1.1 Proposed Dist Rates '!M24*'E1.2 Billing Determinants'!M24/100</f>
        <v>0</v>
      </c>
      <c r="N24" s="26">
        <f>'E1.1 Proposed Dist Rates '!N24*'E1.2 Billing Determinants'!N24/100</f>
        <v>0</v>
      </c>
      <c r="O24" s="26">
        <f t="shared" si="0"/>
        <v>71400.770874219845</v>
      </c>
    </row>
    <row r="25" spans="3:15" s="117" customFormat="1" x14ac:dyDescent="0.25">
      <c r="C25" s="117" t="s">
        <v>21</v>
      </c>
      <c r="E25" s="26">
        <f>'E1.1 Proposed Dist Rates '!E25*'E1.2 Billing Determinants'!E25*12</f>
        <v>746515.18463999999</v>
      </c>
      <c r="F25" s="26">
        <f>'E1.1 Proposed Dist Rates '!F25*'E1.2 Billing Determinants'!F25/100</f>
        <v>0</v>
      </c>
      <c r="G25" s="26">
        <f>'E1.1 Proposed Dist Rates '!G25*'E1.2 Billing Determinants'!G25/100</f>
        <v>0</v>
      </c>
      <c r="H25" s="26">
        <f>'E1.1 Proposed Dist Rates '!H25*'E1.2 Billing Determinants'!H25/100</f>
        <v>0</v>
      </c>
      <c r="I25" s="26">
        <f>'E1.1 Proposed Dist Rates '!I25*'E1.2 Billing Determinants'!I25/100</f>
        <v>0</v>
      </c>
      <c r="J25" s="26">
        <f>'E1.1 Proposed Dist Rates '!J25*'E1.2 Billing Determinants'!J25/100</f>
        <v>0</v>
      </c>
      <c r="K25" s="26">
        <f>'E1.1 Proposed Dist Rates '!K25*'E1.2 Billing Determinants'!K25/100</f>
        <v>0</v>
      </c>
      <c r="L25" s="26">
        <f>'E1.1 Proposed Dist Rates '!L25*'E1.2 Billing Determinants'!L25/100</f>
        <v>0</v>
      </c>
      <c r="M25" s="26">
        <f>'E1.1 Proposed Dist Rates '!M25*'E1.2 Billing Determinants'!M25/100</f>
        <v>0</v>
      </c>
      <c r="N25" s="26">
        <f>'E1.1 Proposed Dist Rates '!N25*'E1.2 Billing Determinants'!N25/100</f>
        <v>0</v>
      </c>
      <c r="O25" s="26">
        <f t="shared" si="0"/>
        <v>746515.18463999999</v>
      </c>
    </row>
    <row r="26" spans="3:15" s="117" customFormat="1" ht="15.75" thickBot="1" x14ac:dyDescent="0.3">
      <c r="E26" s="27">
        <f>SUM(E16:E25)</f>
        <v>2705005.1846400001</v>
      </c>
      <c r="F26" s="27">
        <f t="shared" ref="F26:O26" si="1">SUM(F16:F25)</f>
        <v>2887485.1514244415</v>
      </c>
      <c r="G26" s="27">
        <f t="shared" si="1"/>
        <v>778419.78945995728</v>
      </c>
      <c r="H26" s="27">
        <f t="shared" si="1"/>
        <v>108137.09524588476</v>
      </c>
      <c r="I26" s="27">
        <f t="shared" si="1"/>
        <v>9983.4802503224182</v>
      </c>
      <c r="J26" s="27">
        <f t="shared" si="1"/>
        <v>122305.7822656596</v>
      </c>
      <c r="K26" s="27">
        <f t="shared" si="1"/>
        <v>68833.919480750628</v>
      </c>
      <c r="L26" s="27">
        <f t="shared" si="1"/>
        <v>13181.601767999999</v>
      </c>
      <c r="M26" s="27">
        <f t="shared" si="1"/>
        <v>0</v>
      </c>
      <c r="N26" s="27">
        <f t="shared" si="1"/>
        <v>0</v>
      </c>
      <c r="O26" s="27">
        <f t="shared" si="1"/>
        <v>6693352.0045350157</v>
      </c>
    </row>
    <row r="27" spans="3:15" s="117" customFormat="1" ht="15" customHeight="1" x14ac:dyDescent="0.25"/>
    <row r="28" spans="3:15" s="117" customFormat="1" ht="15" customHeight="1" x14ac:dyDescent="0.25">
      <c r="K28" s="117">
        <f>13.36/13</f>
        <v>1.0276923076923077</v>
      </c>
      <c r="N28" s="46" t="s">
        <v>92</v>
      </c>
      <c r="O28" s="61">
        <f>O26</f>
        <v>6693352.0045350157</v>
      </c>
    </row>
    <row r="29" spans="3:15" s="117" customFormat="1" ht="15" customHeight="1" x14ac:dyDescent="0.25">
      <c r="N29" s="46" t="s">
        <v>93</v>
      </c>
      <c r="O29" s="63">
        <f>'B1.3 Current Rev From Rates'!O26</f>
        <v>6513631.0938022994</v>
      </c>
    </row>
    <row r="30" spans="3:15" s="117" customFormat="1" ht="15" customHeight="1" thickBot="1" x14ac:dyDescent="0.3">
      <c r="N30" s="46" t="s">
        <v>74</v>
      </c>
      <c r="O30" s="62">
        <f>O28-O29</f>
        <v>179720.91073271632</v>
      </c>
    </row>
    <row r="31" spans="3:15" s="117" customFormat="1" ht="15" customHeight="1" x14ac:dyDescent="0.25">
      <c r="O31" s="64">
        <f>O30/O29</f>
        <v>2.7591508967052224E-2</v>
      </c>
    </row>
    <row r="32" spans="3:15" s="117" customFormat="1" ht="15" customHeight="1" x14ac:dyDescent="0.25"/>
    <row r="33" spans="3:15" s="117" customFormat="1" ht="15" customHeight="1" x14ac:dyDescent="0.25">
      <c r="C33" s="117" t="str">
        <f ca="1">MID(CELL("filename",A1),FIND("]",CELL("filename",A1))+1,255)</f>
        <v>E1.3 Proposed Rev From Rate</v>
      </c>
      <c r="O33" s="64"/>
    </row>
    <row r="34" spans="3:15" s="117" customFormat="1" ht="15" customHeight="1" x14ac:dyDescent="0.25">
      <c r="O34" s="14"/>
    </row>
    <row r="35" spans="3:15" s="117" customFormat="1" ht="15" customHeight="1" x14ac:dyDescent="0.25"/>
    <row r="36" spans="3:15" s="117" customFormat="1" ht="15" customHeight="1" x14ac:dyDescent="0.25"/>
    <row r="37" spans="3:15" s="117" customFormat="1" ht="15" customHeight="1" x14ac:dyDescent="0.25"/>
    <row r="38" spans="3:15" s="117" customFormat="1" ht="15" customHeight="1" x14ac:dyDescent="0.25"/>
    <row r="39" spans="3:15" s="117" customFormat="1" ht="15" customHeight="1" x14ac:dyDescent="0.25"/>
    <row r="40" spans="3:15" s="117" customFormat="1" ht="15" customHeight="1" x14ac:dyDescent="0.25"/>
    <row r="41" spans="3:15" s="117" customFormat="1" ht="15" customHeight="1" x14ac:dyDescent="0.25"/>
    <row r="42" spans="3:15" s="117" customFormat="1" ht="15" customHeight="1" x14ac:dyDescent="0.25"/>
    <row r="43" spans="3:15" s="117" customFormat="1" ht="15" customHeight="1" x14ac:dyDescent="0.25"/>
    <row r="44" spans="3:15" s="117" customFormat="1" ht="15" customHeight="1" x14ac:dyDescent="0.25"/>
    <row r="45" spans="3:15" s="117" customFormat="1" ht="15" customHeight="1" x14ac:dyDescent="0.25"/>
    <row r="46" spans="3:15" s="117" customFormat="1" ht="15" customHeight="1" x14ac:dyDescent="0.25"/>
    <row r="47" spans="3:15" s="117" customFormat="1" ht="15" customHeight="1" x14ac:dyDescent="0.25"/>
    <row r="48" spans="3:15" s="117" customFormat="1" ht="15" customHeight="1" x14ac:dyDescent="0.25"/>
    <row r="49" s="117" customFormat="1" ht="15" customHeight="1" x14ac:dyDescent="0.25"/>
    <row r="50" s="117" customFormat="1" ht="15" customHeight="1" x14ac:dyDescent="0.25"/>
    <row r="51" s="117" customFormat="1" ht="15" customHeight="1" x14ac:dyDescent="0.25"/>
    <row r="52" s="117" customFormat="1" ht="15" customHeight="1" x14ac:dyDescent="0.25"/>
  </sheetData>
  <sheetProtection algorithmName="SHA-512" hashValue="EK6k+boUaPAClTcDuX0ZyATDqIIQujf90idd7Wk+odM5KnKSYsZtaLd9BkhfKCF3XT93aaY2sLWeW+Uscox9cQ==" saltValue="4Q96yTaDi3skHEfEboAmvg==" spinCount="100000" sheet="1" objects="1" scenarios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54"/>
  <sheetViews>
    <sheetView showGridLines="0" workbookViewId="0">
      <selection activeCell="C15" sqref="C15:H17"/>
    </sheetView>
  </sheetViews>
  <sheetFormatPr defaultColWidth="0" defaultRowHeight="15" zeroHeight="1" x14ac:dyDescent="0.25"/>
  <cols>
    <col min="1" max="1" width="15.7109375" style="1" customWidth="1"/>
    <col min="2" max="2" width="9.140625" style="1" hidden="1" customWidth="1"/>
    <col min="3" max="3" width="24" style="1" customWidth="1"/>
    <col min="4" max="4" width="14.140625" style="1" customWidth="1"/>
    <col min="5" max="5" width="2.7109375" style="1" customWidth="1"/>
    <col min="6" max="6" width="11.42578125" style="1" bestFit="1" customWidth="1"/>
    <col min="7" max="7" width="2.7109375" style="1" customWidth="1"/>
    <col min="8" max="8" width="17" style="1" customWidth="1"/>
    <col min="9" max="9" width="2.7109375" style="1" customWidth="1"/>
    <col min="10" max="16384" width="0" style="1" hidden="1"/>
  </cols>
  <sheetData>
    <row r="1" spans="1:9" ht="15.75" x14ac:dyDescent="0.25">
      <c r="A1" s="125"/>
      <c r="B1" s="125"/>
      <c r="C1" s="5"/>
      <c r="D1" s="5"/>
      <c r="E1" s="125"/>
      <c r="F1" s="125"/>
      <c r="G1" s="125"/>
      <c r="H1" s="125"/>
      <c r="I1" s="125"/>
    </row>
    <row r="2" spans="1:9" s="125" customFormat="1" ht="18" x14ac:dyDescent="0.25">
      <c r="C2" s="6" t="str">
        <f>'A1.1 Distributor Information'!C3</f>
        <v>Name of LDC:       EPCOR Natural Gas Limited Partnership</v>
      </c>
      <c r="D2" s="6"/>
    </row>
    <row r="3" spans="1:9" s="125" customFormat="1" ht="18" x14ac:dyDescent="0.25">
      <c r="C3" s="6" t="str">
        <f>'A1.1 Distributor Information'!C4</f>
        <v>OEB Application Number:          EB-2020-0234 Exhibit A - 2021 IRM Application</v>
      </c>
      <c r="D3" s="6"/>
    </row>
    <row r="4" spans="1:9" s="125" customFormat="1" x14ac:dyDescent="0.25"/>
    <row r="5" spans="1:9" s="125" customFormat="1" x14ac:dyDescent="0.25"/>
    <row r="6" spans="1:9" s="125" customFormat="1" x14ac:dyDescent="0.25"/>
    <row r="7" spans="1:9" s="125" customFormat="1" x14ac:dyDescent="0.25"/>
    <row r="8" spans="1:9" s="125" customFormat="1" x14ac:dyDescent="0.25"/>
    <row r="9" spans="1:9" s="125" customFormat="1" x14ac:dyDescent="0.25"/>
    <row r="10" spans="1:9" s="125" customFormat="1" ht="15.75" x14ac:dyDescent="0.25">
      <c r="C10" s="17" t="s">
        <v>99</v>
      </c>
      <c r="D10" s="17"/>
    </row>
    <row r="11" spans="1:9" s="125" customFormat="1" x14ac:dyDescent="0.25"/>
    <row r="12" spans="1:9" s="125" customFormat="1" x14ac:dyDescent="0.25"/>
    <row r="13" spans="1:9" s="125" customFormat="1" x14ac:dyDescent="0.25"/>
    <row r="14" spans="1:9" s="125" customFormat="1" x14ac:dyDescent="0.25">
      <c r="C14" s="114"/>
      <c r="D14" s="114"/>
      <c r="E14" s="114"/>
      <c r="F14" s="114"/>
      <c r="G14" s="114"/>
      <c r="H14" s="114"/>
      <c r="I14" s="114"/>
    </row>
    <row r="15" spans="1:9" s="125" customFormat="1" ht="45" x14ac:dyDescent="0.25">
      <c r="C15" s="184" t="s">
        <v>261</v>
      </c>
      <c r="D15" s="185" t="s">
        <v>259</v>
      </c>
      <c r="E15" s="186"/>
      <c r="F15" s="128" t="s">
        <v>96</v>
      </c>
      <c r="G15" s="186"/>
      <c r="H15" s="129" t="s">
        <v>260</v>
      </c>
    </row>
    <row r="16" spans="1:9" s="125" customFormat="1" x14ac:dyDescent="0.25">
      <c r="C16" s="187" t="s">
        <v>257</v>
      </c>
      <c r="D16" s="188">
        <f>'E1.2 Billing Determinants'!E26</f>
        <v>9213</v>
      </c>
      <c r="E16" s="189"/>
      <c r="F16" s="188">
        <v>81691</v>
      </c>
      <c r="G16" s="189"/>
      <c r="H16" s="193">
        <f>F16/D16/12</f>
        <v>0.73891059734433229</v>
      </c>
    </row>
    <row r="17" spans="3:8" s="125" customFormat="1" x14ac:dyDescent="0.25">
      <c r="C17" s="190" t="s">
        <v>258</v>
      </c>
      <c r="D17" s="192">
        <f>'E1.2 Billing Determinants'!E26-'E1.2 Billing Determinants'!E25</f>
        <v>9212</v>
      </c>
      <c r="E17" s="191"/>
      <c r="F17" s="192">
        <v>3405</v>
      </c>
      <c r="G17" s="191"/>
      <c r="H17" s="194">
        <f>F17/D17/12</f>
        <v>3.0802214502822407E-2</v>
      </c>
    </row>
    <row r="18" spans="3:8" s="125" customFormat="1" x14ac:dyDescent="0.25"/>
    <row r="19" spans="3:8" s="125" customFormat="1" x14ac:dyDescent="0.25"/>
    <row r="20" spans="3:8" s="125" customFormat="1" x14ac:dyDescent="0.25"/>
    <row r="21" spans="3:8" s="125" customFormat="1" ht="60" x14ac:dyDescent="0.25">
      <c r="C21" s="184" t="s">
        <v>83</v>
      </c>
      <c r="D21" s="185"/>
      <c r="E21" s="185"/>
      <c r="F21" s="185"/>
      <c r="G21" s="185"/>
      <c r="H21" s="129" t="s">
        <v>101</v>
      </c>
    </row>
    <row r="22" spans="3:8" s="125" customFormat="1" x14ac:dyDescent="0.25">
      <c r="C22" s="187" t="s">
        <v>256</v>
      </c>
      <c r="D22" s="197"/>
      <c r="E22" s="197"/>
      <c r="F22" s="197"/>
      <c r="G22" s="197"/>
      <c r="H22" s="198">
        <f>H16+H17</f>
        <v>0.76971281184715468</v>
      </c>
    </row>
    <row r="23" spans="3:8" s="125" customFormat="1" x14ac:dyDescent="0.25">
      <c r="C23" s="190" t="s">
        <v>110</v>
      </c>
      <c r="D23" s="191"/>
      <c r="E23" s="191"/>
      <c r="F23" s="191"/>
      <c r="G23" s="191"/>
      <c r="H23" s="199">
        <f>H16</f>
        <v>0.73891059734433229</v>
      </c>
    </row>
    <row r="24" spans="3:8" s="125" customFormat="1" x14ac:dyDescent="0.25"/>
    <row r="25" spans="3:8" s="125" customFormat="1" x14ac:dyDescent="0.25"/>
    <row r="26" spans="3:8" s="125" customFormat="1" x14ac:dyDescent="0.25"/>
    <row r="27" spans="3:8" s="125" customFormat="1" x14ac:dyDescent="0.25"/>
    <row r="28" spans="3:8" s="125" customFormat="1" x14ac:dyDescent="0.25">
      <c r="C28" s="125" t="str">
        <f ca="1">MID(CELL("filename",A1),FIND("]",CELL("filename",A1))+1,255)</f>
        <v>F1.1 REDA</v>
      </c>
    </row>
    <row r="29" spans="3:8" s="125" customFormat="1" x14ac:dyDescent="0.25"/>
    <row r="30" spans="3:8" s="125" customFormat="1" x14ac:dyDescent="0.25"/>
    <row r="31" spans="3:8" s="125" customFormat="1" x14ac:dyDescent="0.25"/>
    <row r="32" spans="3:8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s="125" customFormat="1" x14ac:dyDescent="0.25"/>
    <row r="42" s="125" customFormat="1" x14ac:dyDescent="0.25"/>
    <row r="43" s="125" customFormat="1" x14ac:dyDescent="0.25"/>
    <row r="44" s="125" customFormat="1" x14ac:dyDescent="0.25"/>
    <row r="45" s="125" customFormat="1" x14ac:dyDescent="0.25"/>
    <row r="46" s="125" customFormat="1" x14ac:dyDescent="0.25"/>
    <row r="47" s="125" customFormat="1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sheetProtection algorithmName="SHA-512" hashValue="Uun2oTWkveb5a6Y3Wb76liYU3zgujaB1NeEXcicO0U+A2v99oCDOf0HByO62mgZEDpV+4KkD+moaUpfX50kTJw==" saltValue="B2VthjQDTfzVEdfohXj/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H55"/>
  <sheetViews>
    <sheetView showGridLines="0" view="pageLayout" zoomScaleNormal="100" workbookViewId="0">
      <selection activeCell="G15" sqref="G15"/>
    </sheetView>
  </sheetViews>
  <sheetFormatPr defaultColWidth="0" defaultRowHeight="15" zeroHeight="1" x14ac:dyDescent="0.25"/>
  <cols>
    <col min="1" max="1" width="15.7109375" style="1" customWidth="1"/>
    <col min="2" max="2" width="9.140625" style="1" hidden="1" customWidth="1"/>
    <col min="3" max="3" width="55.7109375" style="1" customWidth="1"/>
    <col min="4" max="4" width="2.7109375" style="1" customWidth="1"/>
    <col min="5" max="5" width="11.42578125" style="1" bestFit="1" customWidth="1"/>
    <col min="6" max="6" width="2.7109375" style="1" customWidth="1"/>
    <col min="7" max="7" width="18.140625" style="1" customWidth="1"/>
    <col min="8" max="8" width="2.7109375" style="1" customWidth="1"/>
    <col min="9" max="16384" width="0" style="1" hidden="1"/>
  </cols>
  <sheetData>
    <row r="1" spans="1:8" ht="15.75" x14ac:dyDescent="0.25">
      <c r="A1" s="117"/>
      <c r="B1" s="117"/>
      <c r="C1" s="5"/>
      <c r="D1" s="117"/>
      <c r="E1" s="117"/>
      <c r="F1" s="117"/>
      <c r="G1" s="117"/>
      <c r="H1" s="117"/>
    </row>
    <row r="2" spans="1:8" s="117" customFormat="1" ht="18" x14ac:dyDescent="0.25">
      <c r="C2" s="6" t="str">
        <f>'A1.1 Distributor Information'!C3</f>
        <v>Name of LDC:       EPCOR Natural Gas Limited Partnership</v>
      </c>
    </row>
    <row r="3" spans="1:8" s="117" customFormat="1" ht="18" x14ac:dyDescent="0.25">
      <c r="C3" s="6" t="str">
        <f>'A1.1 Distributor Information'!C4</f>
        <v>OEB Application Number:          EB-2020-0234 Exhibit A - 2021 IRM Application</v>
      </c>
    </row>
    <row r="4" spans="1:8" s="117" customFormat="1" x14ac:dyDescent="0.25"/>
    <row r="5" spans="1:8" s="117" customFormat="1" x14ac:dyDescent="0.25"/>
    <row r="6" spans="1:8" s="117" customFormat="1" x14ac:dyDescent="0.25"/>
    <row r="7" spans="1:8" s="117" customFormat="1" x14ac:dyDescent="0.25"/>
    <row r="8" spans="1:8" s="117" customFormat="1" x14ac:dyDescent="0.25"/>
    <row r="9" spans="1:8" s="117" customFormat="1" x14ac:dyDescent="0.25"/>
    <row r="10" spans="1:8" s="117" customFormat="1" ht="15.75" x14ac:dyDescent="0.25">
      <c r="C10" s="17" t="s">
        <v>104</v>
      </c>
    </row>
    <row r="11" spans="1:8" s="117" customFormat="1" x14ac:dyDescent="0.25"/>
    <row r="12" spans="1:8" s="117" customFormat="1" x14ac:dyDescent="0.25"/>
    <row r="13" spans="1:8" s="117" customFormat="1" x14ac:dyDescent="0.25"/>
    <row r="14" spans="1:8" s="117" customFormat="1" x14ac:dyDescent="0.25">
      <c r="C14" s="114"/>
      <c r="D14" s="114"/>
      <c r="E14" s="114"/>
      <c r="F14" s="114"/>
      <c r="G14" s="114"/>
      <c r="H14" s="114"/>
    </row>
    <row r="15" spans="1:8" s="117" customFormat="1" ht="30" x14ac:dyDescent="0.25">
      <c r="C15" s="136" t="s">
        <v>95</v>
      </c>
      <c r="D15" s="135"/>
      <c r="E15" s="118" t="s">
        <v>96</v>
      </c>
      <c r="F15" s="135"/>
      <c r="G15" s="119" t="s">
        <v>97</v>
      </c>
    </row>
    <row r="16" spans="1:8" s="117" customFormat="1" x14ac:dyDescent="0.25">
      <c r="C16" s="137">
        <f>SUM('E1.2 Billing Determinants'!F16:J24)</f>
        <v>31594505.300000001</v>
      </c>
      <c r="D16" s="138"/>
      <c r="E16" s="139">
        <v>96882.72</v>
      </c>
      <c r="F16" s="138"/>
      <c r="G16" s="195">
        <f>E16/C16*100</f>
        <v>0.30664420626329603</v>
      </c>
      <c r="H16" s="125"/>
    </row>
    <row r="17" spans="3:8" s="117" customFormat="1" x14ac:dyDescent="0.25">
      <c r="H17" s="125"/>
    </row>
    <row r="18" spans="3:8" s="125" customFormat="1" x14ac:dyDescent="0.25"/>
    <row r="19" spans="3:8" s="125" customFormat="1" x14ac:dyDescent="0.25"/>
    <row r="20" spans="3:8" s="125" customFormat="1" x14ac:dyDescent="0.25"/>
    <row r="21" spans="3:8" s="117" customFormat="1" x14ac:dyDescent="0.25">
      <c r="C21" s="117" t="str">
        <f ca="1">MID(CELL("filename",A1),FIND("]",CELL("filename",A1))+1,255)</f>
        <v>F1.2 PGTVA</v>
      </c>
    </row>
    <row r="22" spans="3:8" s="117" customFormat="1" x14ac:dyDescent="0.25"/>
    <row r="23" spans="3:8" s="117" customFormat="1" x14ac:dyDescent="0.25"/>
    <row r="24" spans="3:8" s="117" customFormat="1" x14ac:dyDescent="0.25"/>
    <row r="25" spans="3:8" s="117" customFormat="1" x14ac:dyDescent="0.25"/>
    <row r="26" spans="3:8" s="117" customFormat="1" x14ac:dyDescent="0.25"/>
    <row r="27" spans="3:8" s="117" customFormat="1" x14ac:dyDescent="0.25"/>
    <row r="28" spans="3:8" s="117" customFormat="1" x14ac:dyDescent="0.25"/>
    <row r="29" spans="3:8" s="117" customFormat="1" x14ac:dyDescent="0.25"/>
    <row r="30" spans="3:8" s="117" customFormat="1" x14ac:dyDescent="0.25"/>
    <row r="31" spans="3:8" s="117" customFormat="1" x14ac:dyDescent="0.25"/>
    <row r="32" spans="3:8" s="117" customFormat="1" x14ac:dyDescent="0.25"/>
    <row r="33" s="117" customFormat="1" x14ac:dyDescent="0.25"/>
    <row r="34" s="117" customFormat="1" x14ac:dyDescent="0.25"/>
    <row r="35" s="117" customFormat="1" x14ac:dyDescent="0.25"/>
    <row r="36" s="117" customFormat="1" x14ac:dyDescent="0.25"/>
    <row r="37" s="117" customFormat="1" x14ac:dyDescent="0.25"/>
    <row r="38" s="117" customFormat="1" x14ac:dyDescent="0.25"/>
    <row r="39" s="117" customFormat="1" x14ac:dyDescent="0.25"/>
    <row r="40" s="117" customFormat="1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</sheetData>
  <sheetProtection algorithmName="SHA-512" hashValue="1Ma5jcYiEGtyVSxrKD8fJrh0YXgBhjTgaa+q3krxukCz8XtsMJeZMhXX7tmgCtx2/pFtlYHBZqxDS8oWZv2ong==" saltValue="QAl6f3eKL2n8ECmi4OQc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I47"/>
  <sheetViews>
    <sheetView showGridLines="0" workbookViewId="0">
      <selection activeCell="F21" sqref="F21"/>
    </sheetView>
  </sheetViews>
  <sheetFormatPr defaultColWidth="0" defaultRowHeight="15" zeroHeight="1" x14ac:dyDescent="0.25"/>
  <cols>
    <col min="1" max="1" width="15.7109375" style="1" customWidth="1"/>
    <col min="2" max="2" width="11.28515625" style="1" hidden="1" customWidth="1"/>
    <col min="3" max="3" width="11.28515625" style="1" customWidth="1"/>
    <col min="4" max="4" width="55.7109375" style="1" customWidth="1"/>
    <col min="5" max="5" width="11.42578125" style="1" bestFit="1" customWidth="1"/>
    <col min="6" max="6" width="18.140625" style="1" customWidth="1"/>
    <col min="7" max="7" width="20.5703125" style="1" customWidth="1"/>
    <col min="8" max="8" width="18.140625" style="1" customWidth="1"/>
    <col min="9" max="9" width="2.7109375" style="1" customWidth="1"/>
    <col min="10" max="16384" width="0" style="1" hidden="1"/>
  </cols>
  <sheetData>
    <row r="1" spans="1:9" ht="15.75" x14ac:dyDescent="0.25">
      <c r="A1" s="125"/>
      <c r="B1" s="125"/>
      <c r="C1" s="125"/>
      <c r="D1" s="5"/>
      <c r="E1" s="125"/>
      <c r="F1" s="125"/>
      <c r="G1" s="125"/>
      <c r="H1" s="125"/>
      <c r="I1" s="125"/>
    </row>
    <row r="2" spans="1:9" s="125" customFormat="1" ht="18" x14ac:dyDescent="0.25">
      <c r="D2" s="6" t="str">
        <f>'A1.1 Distributor Information'!C3</f>
        <v>Name of LDC:       EPCOR Natural Gas Limited Partnership</v>
      </c>
    </row>
    <row r="3" spans="1:9" s="125" customFormat="1" ht="18" x14ac:dyDescent="0.25">
      <c r="D3" s="6" t="str">
        <f>'A1.1 Distributor Information'!C4</f>
        <v>OEB Application Number:          EB-2020-0234 Exhibit A - 2021 IRM Application</v>
      </c>
    </row>
    <row r="4" spans="1:9" s="125" customFormat="1" x14ac:dyDescent="0.25"/>
    <row r="5" spans="1:9" s="125" customFormat="1" x14ac:dyDescent="0.25"/>
    <row r="6" spans="1:9" s="125" customFormat="1" x14ac:dyDescent="0.25"/>
    <row r="7" spans="1:9" s="125" customFormat="1" x14ac:dyDescent="0.25"/>
    <row r="8" spans="1:9" s="125" customFormat="1" x14ac:dyDescent="0.25"/>
    <row r="9" spans="1:9" s="125" customFormat="1" x14ac:dyDescent="0.25"/>
    <row r="10" spans="1:9" s="125" customFormat="1" ht="15.75" x14ac:dyDescent="0.25">
      <c r="C10" s="17" t="s">
        <v>100</v>
      </c>
    </row>
    <row r="11" spans="1:9" s="125" customFormat="1" x14ac:dyDescent="0.25"/>
    <row r="12" spans="1:9" s="125" customFormat="1" x14ac:dyDescent="0.25"/>
    <row r="13" spans="1:9" s="125" customFormat="1" x14ac:dyDescent="0.25"/>
    <row r="14" spans="1:9" s="125" customFormat="1" x14ac:dyDescent="0.25">
      <c r="D14" s="114"/>
      <c r="E14" s="114"/>
      <c r="F14" s="114"/>
      <c r="G14" s="114"/>
      <c r="H14" s="114"/>
      <c r="I14" s="114"/>
    </row>
    <row r="15" spans="1:9" s="125" customFormat="1" ht="30" x14ac:dyDescent="0.25">
      <c r="C15" s="128" t="s">
        <v>83</v>
      </c>
      <c r="D15" s="128" t="s">
        <v>71</v>
      </c>
      <c r="E15" s="128" t="s">
        <v>95</v>
      </c>
      <c r="F15" s="128" t="s">
        <v>96</v>
      </c>
      <c r="G15" s="128" t="s">
        <v>111</v>
      </c>
      <c r="H15" s="129" t="s">
        <v>112</v>
      </c>
    </row>
    <row r="16" spans="1:9" s="125" customFormat="1" x14ac:dyDescent="0.25">
      <c r="C16" s="146" t="s">
        <v>109</v>
      </c>
      <c r="D16" s="147">
        <f>'E1.2 Billing Determinants'!E26-'E1.2 Billing Determinants'!E25</f>
        <v>9212</v>
      </c>
      <c r="E16" s="146">
        <f>SUM('E1.2 Billing Determinants'!F16:J24)</f>
        <v>31594505.300000001</v>
      </c>
      <c r="F16" s="146">
        <f>-2276+980-1215+3187+213+56732+794+75-22+131+29-8976+(-7704+4944)*1</f>
        <v>46892</v>
      </c>
      <c r="G16" s="148" t="s">
        <v>107</v>
      </c>
      <c r="H16" s="196">
        <f>F16/E16*100</f>
        <v>0.14841821245417633</v>
      </c>
    </row>
    <row r="17" spans="3:8" s="125" customFormat="1" x14ac:dyDescent="0.25">
      <c r="C17" s="146" t="s">
        <v>110</v>
      </c>
      <c r="D17" s="147">
        <f>'E1.2 Billing Determinants'!E25</f>
        <v>1</v>
      </c>
      <c r="E17" s="150"/>
      <c r="F17" s="151">
        <f>10475+608+(-7704+4944)*0/SUM(D16:D17)</f>
        <v>11083</v>
      </c>
      <c r="G17" s="149" t="s">
        <v>103</v>
      </c>
      <c r="H17" s="152">
        <f>F17/D17/12</f>
        <v>923.58333333333337</v>
      </c>
    </row>
    <row r="18" spans="3:8" s="125" customFormat="1" x14ac:dyDescent="0.25">
      <c r="F18" s="9"/>
    </row>
    <row r="19" spans="3:8" s="125" customFormat="1" x14ac:dyDescent="0.25"/>
    <row r="20" spans="3:8" s="125" customFormat="1" x14ac:dyDescent="0.25">
      <c r="F20" s="13"/>
    </row>
    <row r="21" spans="3:8" s="125" customFormat="1" x14ac:dyDescent="0.25">
      <c r="C21" s="125" t="str">
        <f ca="1">MID(CELL("filename",A1),FIND("]",CELL("filename",A1))+1,255)</f>
        <v>F1.3 ADVADA</v>
      </c>
    </row>
    <row r="22" spans="3:8" s="125" customFormat="1" x14ac:dyDescent="0.25"/>
    <row r="23" spans="3:8" s="125" customFormat="1" x14ac:dyDescent="0.25"/>
    <row r="24" spans="3:8" s="125" customFormat="1" x14ac:dyDescent="0.25"/>
    <row r="25" spans="3:8" s="125" customFormat="1" x14ac:dyDescent="0.25"/>
    <row r="26" spans="3:8" s="125" customFormat="1" x14ac:dyDescent="0.25"/>
    <row r="27" spans="3:8" s="125" customFormat="1" x14ac:dyDescent="0.25"/>
    <row r="28" spans="3:8" s="125" customFormat="1" x14ac:dyDescent="0.25"/>
    <row r="29" spans="3:8" s="125" customFormat="1" x14ac:dyDescent="0.25"/>
    <row r="30" spans="3:8" s="125" customFormat="1" x14ac:dyDescent="0.25"/>
    <row r="31" spans="3:8" s="125" customFormat="1" x14ac:dyDescent="0.25"/>
    <row r="32" spans="3:8" s="125" customFormat="1" x14ac:dyDescent="0.25"/>
    <row r="33" s="125" customFormat="1" x14ac:dyDescent="0.25"/>
    <row r="34" s="125" customFormat="1" x14ac:dyDescent="0.25"/>
    <row r="35" s="125" customFormat="1" x14ac:dyDescent="0.25"/>
    <row r="36" s="125" customFormat="1" x14ac:dyDescent="0.25"/>
    <row r="37" s="125" customFormat="1" x14ac:dyDescent="0.25"/>
    <row r="38" s="125" customFormat="1" x14ac:dyDescent="0.25"/>
    <row r="39" s="125" customFormat="1" x14ac:dyDescent="0.25"/>
    <row r="40" s="125" customFormat="1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</sheetData>
  <sheetProtection algorithmName="SHA-512" hashValue="kzz9ajviM62l33HkyfkXYdh9SAGsvvdHk90h7dA42eWqcJvBydVkXX0/jxmaE1SEzy9gtmHxVvi1S2hEgdAJ2w==" saltValue="k2rNzGA07e+IA8pUjEldcQ==" spinCount="100000" sheet="1" objects="1" scenarios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showGridLines="0" zoomScaleNormal="100" workbookViewId="0">
      <selection activeCell="E19" sqref="E19"/>
    </sheetView>
  </sheetViews>
  <sheetFormatPr defaultColWidth="0" defaultRowHeight="15" customHeight="1" zeroHeight="1" x14ac:dyDescent="0.25"/>
  <cols>
    <col min="1" max="1" width="15.7109375" style="1" customWidth="1"/>
    <col min="2" max="2" width="1.7109375" style="1" hidden="1" customWidth="1"/>
    <col min="3" max="3" width="55.7109375" style="1" customWidth="1"/>
    <col min="4" max="4" width="2.7109375" style="1" customWidth="1"/>
    <col min="5" max="5" width="15" style="1" bestFit="1" customWidth="1"/>
    <col min="6" max="8" width="15" style="1" customWidth="1"/>
    <col min="9" max="9" width="2.7109375" style="1" customWidth="1"/>
    <col min="10" max="10" width="18.5703125" style="1" hidden="1" customWidth="1"/>
    <col min="11" max="17" width="15.7109375" style="1" hidden="1" customWidth="1"/>
    <col min="18" max="18" width="2.7109375" style="1" hidden="1" customWidth="1"/>
    <col min="19" max="16384" width="0" style="1" hidden="1"/>
  </cols>
  <sheetData>
    <row r="1" spans="1:10" ht="15.75" x14ac:dyDescent="0.25">
      <c r="A1" s="117"/>
      <c r="B1" s="117"/>
      <c r="C1" s="5"/>
      <c r="D1" s="117"/>
      <c r="E1" s="117"/>
      <c r="F1" s="125"/>
      <c r="G1" s="125"/>
      <c r="H1" s="125"/>
      <c r="I1" s="117"/>
      <c r="J1" s="117"/>
    </row>
    <row r="2" spans="1:10" s="117" customFormat="1" ht="18" x14ac:dyDescent="0.25">
      <c r="C2" s="6" t="str">
        <f>'A1.1 Distributor Information'!C3</f>
        <v>Name of LDC:       EPCOR Natural Gas Limited Partnership</v>
      </c>
      <c r="F2" s="125"/>
      <c r="G2" s="125"/>
      <c r="H2" s="125"/>
    </row>
    <row r="3" spans="1:10" s="117" customFormat="1" ht="18" x14ac:dyDescent="0.25">
      <c r="C3" s="6" t="str">
        <f>'A1.1 Distributor Information'!C4</f>
        <v>OEB Application Number:          EB-2020-0234 Exhibit A - 2021 IRM Application</v>
      </c>
      <c r="F3" s="125"/>
      <c r="G3" s="125"/>
      <c r="H3" s="125"/>
    </row>
    <row r="4" spans="1:10" s="117" customFormat="1" ht="15" customHeight="1" x14ac:dyDescent="0.25">
      <c r="F4" s="125"/>
      <c r="G4" s="125"/>
      <c r="H4" s="125"/>
    </row>
    <row r="5" spans="1:10" s="117" customFormat="1" ht="15" customHeight="1" x14ac:dyDescent="0.25">
      <c r="F5" s="125"/>
      <c r="G5" s="125"/>
      <c r="H5" s="125"/>
    </row>
    <row r="6" spans="1:10" s="117" customFormat="1" ht="15" customHeight="1" x14ac:dyDescent="0.25">
      <c r="F6" s="125"/>
      <c r="G6" s="125"/>
      <c r="H6" s="125"/>
    </row>
    <row r="7" spans="1:10" s="117" customFormat="1" ht="20.25" x14ac:dyDescent="0.3">
      <c r="C7" s="3" t="s">
        <v>147</v>
      </c>
      <c r="F7" s="125"/>
      <c r="G7" s="125"/>
      <c r="H7" s="125"/>
    </row>
    <row r="8" spans="1:10" s="117" customFormat="1" ht="15" customHeight="1" x14ac:dyDescent="0.25">
      <c r="F8" s="125"/>
      <c r="G8" s="125"/>
      <c r="H8" s="125"/>
    </row>
    <row r="9" spans="1:10" s="117" customFormat="1" ht="45.75" x14ac:dyDescent="0.25">
      <c r="C9" s="98" t="s">
        <v>64</v>
      </c>
      <c r="D9" s="99"/>
      <c r="E9" s="100" t="s">
        <v>99</v>
      </c>
      <c r="F9" s="100" t="s">
        <v>98</v>
      </c>
      <c r="G9" s="100" t="s">
        <v>146</v>
      </c>
      <c r="H9" s="100" t="s">
        <v>145</v>
      </c>
      <c r="J9" s="18" t="s">
        <v>84</v>
      </c>
    </row>
    <row r="10" spans="1:10" s="117" customFormat="1" ht="29.25" x14ac:dyDescent="0.25">
      <c r="C10" s="101"/>
      <c r="D10" s="76"/>
      <c r="E10" s="120" t="s">
        <v>88</v>
      </c>
      <c r="F10" s="120" t="s">
        <v>88</v>
      </c>
      <c r="G10" s="120" t="s">
        <v>88</v>
      </c>
      <c r="H10" s="120" t="s">
        <v>88</v>
      </c>
      <c r="J10" s="19" t="s">
        <v>85</v>
      </c>
    </row>
    <row r="11" spans="1:10" s="117" customFormat="1" ht="22.5" x14ac:dyDescent="0.25">
      <c r="C11" s="101"/>
      <c r="D11" s="76"/>
      <c r="E11" s="141" t="s">
        <v>144</v>
      </c>
      <c r="F11" s="141" t="s">
        <v>143</v>
      </c>
      <c r="G11" s="141" t="s">
        <v>143</v>
      </c>
      <c r="H11" s="141" t="s">
        <v>144</v>
      </c>
      <c r="J11" s="21" t="s">
        <v>72</v>
      </c>
    </row>
    <row r="12" spans="1:10" s="4" customFormat="1" ht="15.75" x14ac:dyDescent="0.25">
      <c r="C12" s="102" t="s">
        <v>0</v>
      </c>
      <c r="D12" s="103"/>
      <c r="E12" s="112"/>
      <c r="F12" s="140"/>
      <c r="G12" s="140"/>
      <c r="H12" s="140"/>
    </row>
    <row r="13" spans="1:10" s="117" customFormat="1" x14ac:dyDescent="0.25">
      <c r="C13" s="101" t="s">
        <v>12</v>
      </c>
      <c r="D13" s="76"/>
      <c r="E13" s="143">
        <f>'F1.1 REDA'!$H$22</f>
        <v>0.76971281184715468</v>
      </c>
      <c r="F13" s="142">
        <f>'F1.2 PGTVA'!$G$16</f>
        <v>0.30664420626329603</v>
      </c>
      <c r="G13" s="142">
        <f>'F1.3 ADVADA'!$H$16</f>
        <v>0.14841821245417633</v>
      </c>
      <c r="H13" s="179"/>
      <c r="J13" s="24" t="e">
        <f>#REF!</f>
        <v>#REF!</v>
      </c>
    </row>
    <row r="14" spans="1:10" s="117" customFormat="1" x14ac:dyDescent="0.25">
      <c r="C14" s="101" t="s">
        <v>13</v>
      </c>
      <c r="D14" s="76"/>
      <c r="E14" s="143">
        <f>'F1.1 REDA'!$H$22</f>
        <v>0.76971281184715468</v>
      </c>
      <c r="F14" s="142">
        <f>'F1.2 PGTVA'!$G$16</f>
        <v>0.30664420626329603</v>
      </c>
      <c r="G14" s="142">
        <f>'F1.3 ADVADA'!$H$16</f>
        <v>0.14841821245417633</v>
      </c>
      <c r="H14" s="179"/>
      <c r="J14" s="24" t="e">
        <f>J13</f>
        <v>#REF!</v>
      </c>
    </row>
    <row r="15" spans="1:10" s="117" customFormat="1" x14ac:dyDescent="0.25">
      <c r="C15" s="101" t="s">
        <v>14</v>
      </c>
      <c r="D15" s="76"/>
      <c r="E15" s="143">
        <f>'F1.1 REDA'!$H$22</f>
        <v>0.76971281184715468</v>
      </c>
      <c r="F15" s="142">
        <f>'F1.2 PGTVA'!$G$16</f>
        <v>0.30664420626329603</v>
      </c>
      <c r="G15" s="142">
        <f>'F1.3 ADVADA'!$H$16</f>
        <v>0.14841821245417633</v>
      </c>
      <c r="H15" s="179"/>
      <c r="J15" s="24" t="e">
        <f>J14</f>
        <v>#REF!</v>
      </c>
    </row>
    <row r="16" spans="1:10" s="117" customFormat="1" x14ac:dyDescent="0.25">
      <c r="C16" s="101" t="s">
        <v>15</v>
      </c>
      <c r="D16" s="76"/>
      <c r="E16" s="143">
        <f>'F1.1 REDA'!$H$22</f>
        <v>0.76971281184715468</v>
      </c>
      <c r="F16" s="142">
        <f>'F1.2 PGTVA'!$G$16</f>
        <v>0.30664420626329603</v>
      </c>
      <c r="G16" s="142">
        <f>'F1.3 ADVADA'!$H$16</f>
        <v>0.14841821245417633</v>
      </c>
      <c r="H16" s="179"/>
      <c r="J16" s="24" t="e">
        <f>#REF!</f>
        <v>#REF!</v>
      </c>
    </row>
    <row r="17" spans="3:10" s="117" customFormat="1" x14ac:dyDescent="0.25">
      <c r="C17" s="101" t="s">
        <v>16</v>
      </c>
      <c r="D17" s="76"/>
      <c r="E17" s="143">
        <f>'F1.1 REDA'!$H$22</f>
        <v>0.76971281184715468</v>
      </c>
      <c r="F17" s="142">
        <f>'F1.2 PGTVA'!$G$16</f>
        <v>0.30664420626329603</v>
      </c>
      <c r="G17" s="142">
        <f>'F1.3 ADVADA'!$H$16</f>
        <v>0.14841821245417633</v>
      </c>
      <c r="H17" s="179"/>
      <c r="J17" s="24" t="e">
        <f>J16</f>
        <v>#REF!</v>
      </c>
    </row>
    <row r="18" spans="3:10" s="117" customFormat="1" x14ac:dyDescent="0.25">
      <c r="C18" s="101" t="s">
        <v>17</v>
      </c>
      <c r="D18" s="76"/>
      <c r="E18" s="143">
        <f>'F1.1 REDA'!$H$22</f>
        <v>0.76971281184715468</v>
      </c>
      <c r="F18" s="142">
        <f>'F1.2 PGTVA'!$G$16</f>
        <v>0.30664420626329603</v>
      </c>
      <c r="G18" s="142">
        <f>'F1.3 ADVADA'!$H$16</f>
        <v>0.14841821245417633</v>
      </c>
      <c r="H18" s="179"/>
      <c r="J18" s="24" t="e">
        <f>#REF!</f>
        <v>#REF!</v>
      </c>
    </row>
    <row r="19" spans="3:10" s="117" customFormat="1" x14ac:dyDescent="0.25">
      <c r="C19" s="101" t="s">
        <v>18</v>
      </c>
      <c r="D19" s="76"/>
      <c r="E19" s="143">
        <f>'F1.1 REDA'!$H$22</f>
        <v>0.76971281184715468</v>
      </c>
      <c r="F19" s="142">
        <f>'F1.2 PGTVA'!$G$16</f>
        <v>0.30664420626329603</v>
      </c>
      <c r="G19" s="142">
        <f>'F1.3 ADVADA'!$H$16</f>
        <v>0.14841821245417633</v>
      </c>
      <c r="H19" s="179"/>
      <c r="J19" s="24" t="e">
        <f>#REF!</f>
        <v>#REF!</v>
      </c>
    </row>
    <row r="20" spans="3:10" s="117" customFormat="1" x14ac:dyDescent="0.25">
      <c r="C20" s="101" t="s">
        <v>19</v>
      </c>
      <c r="D20" s="76"/>
      <c r="E20" s="143">
        <f>'F1.1 REDA'!$H$22</f>
        <v>0.76971281184715468</v>
      </c>
      <c r="F20" s="142">
        <f>'F1.2 PGTVA'!$G$16</f>
        <v>0.30664420626329603</v>
      </c>
      <c r="G20" s="142">
        <f>'F1.3 ADVADA'!$H$16</f>
        <v>0.14841821245417633</v>
      </c>
      <c r="H20" s="179"/>
      <c r="J20" s="24" t="e">
        <f>J19</f>
        <v>#REF!</v>
      </c>
    </row>
    <row r="21" spans="3:10" s="117" customFormat="1" x14ac:dyDescent="0.25">
      <c r="C21" s="101" t="s">
        <v>20</v>
      </c>
      <c r="D21" s="76"/>
      <c r="E21" s="143">
        <f>'F1.1 REDA'!$H$22</f>
        <v>0.76971281184715468</v>
      </c>
      <c r="F21" s="142">
        <f>'F1.2 PGTVA'!$G$16</f>
        <v>0.30664420626329603</v>
      </c>
      <c r="G21" s="142">
        <f>'F1.3 ADVADA'!$H$16</f>
        <v>0.14841821245417633</v>
      </c>
      <c r="H21" s="179"/>
      <c r="J21" s="24" t="e">
        <f>#REF!</f>
        <v>#REF!</v>
      </c>
    </row>
    <row r="22" spans="3:10" s="117" customFormat="1" ht="29.25" x14ac:dyDescent="0.25">
      <c r="C22" s="104" t="s">
        <v>21</v>
      </c>
      <c r="D22" s="84"/>
      <c r="E22" s="143">
        <f>'F1.1 REDA'!$H$23</f>
        <v>0.73891059734433229</v>
      </c>
      <c r="F22" s="142"/>
      <c r="G22" s="178"/>
      <c r="H22" s="177">
        <f>'F1.3 ADVADA'!H17</f>
        <v>923.58333333333337</v>
      </c>
      <c r="J22" s="24" t="e">
        <f>#REF!</f>
        <v>#REF!</v>
      </c>
    </row>
    <row r="23" spans="3:10" s="117" customFormat="1" ht="15" customHeight="1" x14ac:dyDescent="0.25">
      <c r="F23" s="125"/>
      <c r="G23" s="125"/>
      <c r="H23" s="125"/>
    </row>
    <row r="24" spans="3:10" s="117" customFormat="1" ht="15" customHeight="1" x14ac:dyDescent="0.25">
      <c r="F24" s="125"/>
      <c r="G24" s="125"/>
      <c r="H24" s="125"/>
    </row>
    <row r="25" spans="3:10" s="117" customFormat="1" ht="15" customHeight="1" x14ac:dyDescent="0.25">
      <c r="F25" s="125"/>
      <c r="G25" s="125"/>
      <c r="H25" s="125"/>
    </row>
    <row r="26" spans="3:10" s="117" customFormat="1" ht="15" customHeight="1" x14ac:dyDescent="0.25">
      <c r="F26" s="125"/>
      <c r="G26" s="125"/>
      <c r="H26" s="125"/>
    </row>
    <row r="27" spans="3:10" s="117" customFormat="1" ht="15" customHeight="1" x14ac:dyDescent="0.25">
      <c r="F27" s="125"/>
      <c r="G27" s="125"/>
      <c r="H27" s="125"/>
    </row>
    <row r="28" spans="3:10" s="117" customFormat="1" ht="15" customHeight="1" x14ac:dyDescent="0.25">
      <c r="C28" s="117" t="str">
        <f ca="1">MID(CELL("filename",A15),FIND("]",CELL("filename",A15))+1,255)</f>
        <v>F1.4 Proposed Rate Riders</v>
      </c>
      <c r="F28" s="125"/>
      <c r="G28" s="125"/>
      <c r="H28" s="125"/>
    </row>
    <row r="29" spans="3:10" s="117" customFormat="1" ht="15" customHeight="1" x14ac:dyDescent="0.25">
      <c r="F29" s="125"/>
      <c r="G29" s="125"/>
      <c r="H29" s="125"/>
    </row>
    <row r="30" spans="3:10" s="117" customFormat="1" ht="15" customHeight="1" x14ac:dyDescent="0.25">
      <c r="F30" s="125"/>
      <c r="G30" s="125"/>
      <c r="H30" s="125"/>
    </row>
    <row r="31" spans="3:10" s="117" customFormat="1" ht="15" customHeight="1" x14ac:dyDescent="0.25">
      <c r="F31" s="125"/>
      <c r="G31" s="125"/>
      <c r="H31" s="125"/>
    </row>
    <row r="32" spans="3:10" s="117" customFormat="1" ht="15" customHeight="1" x14ac:dyDescent="0.25">
      <c r="F32" s="125"/>
      <c r="G32" s="125"/>
      <c r="H32" s="125"/>
    </row>
    <row r="33" spans="6:8" s="117" customFormat="1" ht="15" customHeight="1" x14ac:dyDescent="0.25">
      <c r="F33" s="125"/>
      <c r="G33" s="125"/>
      <c r="H33" s="125"/>
    </row>
    <row r="34" spans="6:8" s="117" customFormat="1" ht="15" customHeight="1" x14ac:dyDescent="0.25">
      <c r="F34" s="125"/>
      <c r="G34" s="125"/>
      <c r="H34" s="125"/>
    </row>
    <row r="35" spans="6:8" s="117" customFormat="1" ht="15" customHeight="1" x14ac:dyDescent="0.25">
      <c r="F35" s="125"/>
      <c r="G35" s="125"/>
      <c r="H35" s="125"/>
    </row>
    <row r="36" spans="6:8" s="117" customFormat="1" ht="15" customHeight="1" x14ac:dyDescent="0.25">
      <c r="F36" s="125"/>
      <c r="G36" s="125"/>
      <c r="H36" s="125"/>
    </row>
    <row r="37" spans="6:8" s="117" customFormat="1" ht="15" customHeight="1" x14ac:dyDescent="0.25">
      <c r="F37" s="125"/>
      <c r="G37" s="125"/>
      <c r="H37" s="125"/>
    </row>
    <row r="38" spans="6:8" s="117" customFormat="1" ht="15" customHeight="1" x14ac:dyDescent="0.25">
      <c r="F38" s="125"/>
      <c r="G38" s="125"/>
      <c r="H38" s="125"/>
    </row>
    <row r="39" spans="6:8" s="117" customFormat="1" ht="15" customHeight="1" x14ac:dyDescent="0.25">
      <c r="F39" s="125"/>
      <c r="G39" s="125"/>
      <c r="H39" s="125"/>
    </row>
    <row r="40" spans="6:8" s="117" customFormat="1" ht="15" customHeight="1" x14ac:dyDescent="0.25">
      <c r="F40" s="125"/>
      <c r="G40" s="125"/>
      <c r="H40" s="125"/>
    </row>
    <row r="41" spans="6:8" s="117" customFormat="1" ht="15" customHeight="1" x14ac:dyDescent="0.25">
      <c r="F41" s="125"/>
      <c r="G41" s="125"/>
      <c r="H41" s="125"/>
    </row>
    <row r="42" spans="6:8" s="117" customFormat="1" ht="15" customHeight="1" x14ac:dyDescent="0.25">
      <c r="F42" s="125"/>
      <c r="G42" s="125"/>
      <c r="H42" s="125"/>
    </row>
    <row r="43" spans="6:8" s="117" customFormat="1" ht="15" customHeight="1" x14ac:dyDescent="0.25">
      <c r="F43" s="125"/>
      <c r="G43" s="125"/>
      <c r="H43" s="125"/>
    </row>
    <row r="44" spans="6:8" s="117" customFormat="1" ht="15" customHeight="1" x14ac:dyDescent="0.25">
      <c r="F44" s="125"/>
      <c r="G44" s="125"/>
      <c r="H44" s="125"/>
    </row>
    <row r="45" spans="6:8" s="117" customFormat="1" ht="15" customHeight="1" x14ac:dyDescent="0.25">
      <c r="F45" s="125"/>
      <c r="G45" s="125"/>
      <c r="H45" s="125"/>
    </row>
    <row r="46" spans="6:8" s="117" customFormat="1" ht="15" customHeight="1" x14ac:dyDescent="0.25">
      <c r="F46" s="125"/>
      <c r="G46" s="125"/>
      <c r="H46" s="125"/>
    </row>
    <row r="47" spans="6:8" s="117" customFormat="1" ht="15" customHeight="1" x14ac:dyDescent="0.25">
      <c r="F47" s="125"/>
      <c r="G47" s="125"/>
      <c r="H47" s="125"/>
    </row>
  </sheetData>
  <sheetProtection algorithmName="SHA-512" hashValue="4Xe/D6DxIJQ3j5+u4uJjkxKIGidApOpEMygVsWAwMcdq7DStg95vFWg9jisvACPv+AT1D7wNKUn1ygtNqJqUAA==" saltValue="5fkdeqis7tt87iKS1DmYf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48"/>
  <sheetViews>
    <sheetView showGridLines="0" zoomScale="80" zoomScaleNormal="80" workbookViewId="0">
      <selection activeCell="G25" sqref="G25"/>
    </sheetView>
  </sheetViews>
  <sheetFormatPr defaultColWidth="0" defaultRowHeight="15" customHeight="1" zeroHeight="1" x14ac:dyDescent="0.25"/>
  <cols>
    <col min="1" max="1" width="15.7109375" style="1" customWidth="1"/>
    <col min="2" max="2" width="1.7109375" style="1" hidden="1" customWidth="1"/>
    <col min="3" max="3" width="55.7109375" style="1" customWidth="1"/>
    <col min="4" max="4" width="2.7109375" style="1" customWidth="1"/>
    <col min="5" max="5" width="20.140625" style="1" bestFit="1" customWidth="1"/>
    <col min="6" max="7" width="15.7109375" style="1" customWidth="1"/>
    <col min="8" max="8" width="2.7109375" style="1" customWidth="1"/>
    <col min="9" max="10" width="15.7109375" style="1" hidden="1" customWidth="1"/>
    <col min="11" max="12" width="2.7109375" style="1" hidden="1" customWidth="1"/>
    <col min="13" max="13" width="15.7109375" style="1" hidden="1" customWidth="1"/>
    <col min="14" max="15" width="2.7109375" style="1" hidden="1" customWidth="1"/>
    <col min="16" max="16384" width="0" style="1" hidden="1"/>
  </cols>
  <sheetData>
    <row r="1" spans="1:7" ht="15.75" x14ac:dyDescent="0.25">
      <c r="A1" s="117"/>
      <c r="B1" s="117"/>
      <c r="C1" s="5"/>
      <c r="D1" s="117"/>
      <c r="E1" s="117"/>
    </row>
    <row r="2" spans="1:7" s="117" customFormat="1" ht="18" x14ac:dyDescent="0.25">
      <c r="C2" s="6" t="str">
        <f>'A1.1 Distributor Information'!C3</f>
        <v>Name of LDC:       EPCOR Natural Gas Limited Partnership</v>
      </c>
    </row>
    <row r="3" spans="1:7" s="117" customFormat="1" ht="18" x14ac:dyDescent="0.25">
      <c r="C3" s="6" t="str">
        <f>'A1.1 Distributor Information'!C4</f>
        <v>OEB Application Number:          EB-2020-0234 Exhibit A - 2021 IRM Application</v>
      </c>
    </row>
    <row r="4" spans="1:7" s="117" customFormat="1" ht="15" customHeight="1" x14ac:dyDescent="0.25"/>
    <row r="5" spans="1:7" s="117" customFormat="1" ht="15" customHeight="1" x14ac:dyDescent="0.25"/>
    <row r="6" spans="1:7" s="117" customFormat="1" ht="15" customHeight="1" x14ac:dyDescent="0.25"/>
    <row r="7" spans="1:7" s="117" customFormat="1" ht="15" customHeight="1" x14ac:dyDescent="0.25"/>
    <row r="8" spans="1:7" s="117" customFormat="1" ht="15" customHeight="1" x14ac:dyDescent="0.25"/>
    <row r="9" spans="1:7" s="117" customFormat="1" ht="15" customHeight="1" x14ac:dyDescent="0.25"/>
    <row r="10" spans="1:7" s="117" customFormat="1" ht="20.25" x14ac:dyDescent="0.3">
      <c r="C10" s="3" t="s">
        <v>66</v>
      </c>
    </row>
    <row r="11" spans="1:7" s="117" customFormat="1" ht="15" customHeight="1" x14ac:dyDescent="0.25"/>
    <row r="12" spans="1:7" s="117" customFormat="1" ht="30.75" x14ac:dyDescent="0.25">
      <c r="C12" s="117" t="s">
        <v>64</v>
      </c>
      <c r="E12" s="45" t="s">
        <v>99</v>
      </c>
      <c r="F12" s="45" t="s">
        <v>105</v>
      </c>
      <c r="G12" s="45" t="s">
        <v>106</v>
      </c>
    </row>
    <row r="13" spans="1:7" s="117" customFormat="1" x14ac:dyDescent="0.25">
      <c r="C13" s="117" t="s">
        <v>65</v>
      </c>
      <c r="E13" s="144">
        <v>44196</v>
      </c>
      <c r="F13" s="144">
        <v>44196</v>
      </c>
      <c r="G13" s="144">
        <v>44196</v>
      </c>
    </row>
    <row r="14" spans="1:7" s="117" customFormat="1" ht="30.75" x14ac:dyDescent="0.25">
      <c r="E14" s="108" t="s">
        <v>103</v>
      </c>
      <c r="F14" s="108" t="s">
        <v>107</v>
      </c>
      <c r="G14" s="108" t="s">
        <v>103</v>
      </c>
    </row>
    <row r="15" spans="1:7" s="4" customFormat="1" ht="15.75" x14ac:dyDescent="0.25">
      <c r="C15" s="17" t="s">
        <v>0</v>
      </c>
    </row>
    <row r="16" spans="1:7" s="117" customFormat="1" x14ac:dyDescent="0.25">
      <c r="C16" s="117" t="s">
        <v>12</v>
      </c>
      <c r="E16" s="28">
        <v>0.59</v>
      </c>
      <c r="F16" s="145">
        <v>0.128</v>
      </c>
    </row>
    <row r="17" spans="3:7" s="117" customFormat="1" x14ac:dyDescent="0.25">
      <c r="C17" s="117" t="s">
        <v>13</v>
      </c>
      <c r="E17" s="28">
        <v>0.59</v>
      </c>
      <c r="F17" s="145">
        <v>0.128</v>
      </c>
    </row>
    <row r="18" spans="3:7" s="117" customFormat="1" x14ac:dyDescent="0.25">
      <c r="C18" s="117" t="s">
        <v>14</v>
      </c>
      <c r="E18" s="28">
        <v>0.59</v>
      </c>
      <c r="F18" s="145">
        <v>0.128</v>
      </c>
    </row>
    <row r="19" spans="3:7" s="117" customFormat="1" x14ac:dyDescent="0.25">
      <c r="C19" s="117" t="s">
        <v>15</v>
      </c>
      <c r="E19" s="28">
        <v>0.59</v>
      </c>
      <c r="F19" s="145">
        <v>0.128</v>
      </c>
    </row>
    <row r="20" spans="3:7" s="117" customFormat="1" x14ac:dyDescent="0.25">
      <c r="C20" s="117" t="s">
        <v>16</v>
      </c>
      <c r="E20" s="28">
        <v>0.59</v>
      </c>
      <c r="F20" s="145">
        <v>0.128</v>
      </c>
    </row>
    <row r="21" spans="3:7" s="117" customFormat="1" x14ac:dyDescent="0.25">
      <c r="C21" s="117" t="s">
        <v>17</v>
      </c>
      <c r="E21" s="28">
        <v>0.59</v>
      </c>
      <c r="F21" s="145">
        <v>0.128</v>
      </c>
    </row>
    <row r="22" spans="3:7" s="117" customFormat="1" x14ac:dyDescent="0.25">
      <c r="C22" s="117" t="s">
        <v>18</v>
      </c>
      <c r="E22" s="28">
        <v>0.59</v>
      </c>
      <c r="F22" s="145">
        <v>0.128</v>
      </c>
    </row>
    <row r="23" spans="3:7" s="117" customFormat="1" x14ac:dyDescent="0.25">
      <c r="C23" s="117" t="s">
        <v>19</v>
      </c>
      <c r="E23" s="28">
        <v>0.59</v>
      </c>
      <c r="F23" s="145">
        <v>0.128</v>
      </c>
    </row>
    <row r="24" spans="3:7" s="117" customFormat="1" x14ac:dyDescent="0.25">
      <c r="C24" s="117" t="s">
        <v>20</v>
      </c>
      <c r="E24" s="28">
        <v>0.59</v>
      </c>
      <c r="F24" s="145">
        <v>0.128</v>
      </c>
    </row>
    <row r="25" spans="3:7" s="117" customFormat="1" ht="30" x14ac:dyDescent="0.25">
      <c r="C25" s="10" t="s">
        <v>21</v>
      </c>
      <c r="E25" s="28">
        <v>0.56000000000000005</v>
      </c>
      <c r="G25" s="28">
        <v>15413.33</v>
      </c>
    </row>
    <row r="26" spans="3:7" s="117" customFormat="1" ht="15" customHeight="1" x14ac:dyDescent="0.25"/>
    <row r="27" spans="3:7" s="117" customFormat="1" ht="15" customHeight="1" x14ac:dyDescent="0.25"/>
    <row r="28" spans="3:7" s="117" customFormat="1" ht="15" customHeight="1" x14ac:dyDescent="0.25"/>
    <row r="29" spans="3:7" s="117" customFormat="1" ht="15" customHeight="1" x14ac:dyDescent="0.25">
      <c r="C29" s="117" t="str">
        <f ca="1">MID(CELL("filename",A1),FIND("]",CELL("filename",A1))+1,255)</f>
        <v>C1.1 Current Rate Riders</v>
      </c>
    </row>
    <row r="30" spans="3:7" s="117" customFormat="1" ht="15" customHeight="1" x14ac:dyDescent="0.25"/>
    <row r="31" spans="3:7" s="117" customFormat="1" ht="15" customHeight="1" x14ac:dyDescent="0.25"/>
    <row r="32" spans="3:7" s="117" customFormat="1" ht="15" customHeight="1" x14ac:dyDescent="0.25"/>
    <row r="33" s="117" customFormat="1" ht="15" customHeight="1" x14ac:dyDescent="0.25"/>
    <row r="34" s="117" customFormat="1" ht="15" customHeight="1" x14ac:dyDescent="0.25"/>
    <row r="35" s="117" customFormat="1" ht="15" customHeight="1" x14ac:dyDescent="0.25"/>
    <row r="36" s="117" customFormat="1" ht="15" customHeight="1" x14ac:dyDescent="0.25"/>
    <row r="37" s="117" customFormat="1" ht="15" customHeight="1" x14ac:dyDescent="0.25"/>
    <row r="38" s="117" customFormat="1" ht="15" customHeight="1" x14ac:dyDescent="0.25"/>
    <row r="39" s="117" customFormat="1" ht="15" customHeight="1" x14ac:dyDescent="0.25"/>
    <row r="40" s="117" customFormat="1" ht="15" customHeight="1" x14ac:dyDescent="0.25"/>
    <row r="41" s="117" customFormat="1" ht="15" customHeight="1" x14ac:dyDescent="0.25"/>
    <row r="42" s="117" customFormat="1" ht="15" customHeight="1" x14ac:dyDescent="0.25"/>
    <row r="43" s="117" customFormat="1" ht="15" customHeight="1" x14ac:dyDescent="0.25"/>
    <row r="44" s="117" customFormat="1" ht="15" customHeight="1" x14ac:dyDescent="0.25"/>
    <row r="45" s="117" customFormat="1" ht="15" customHeight="1" x14ac:dyDescent="0.25"/>
    <row r="46" s="117" customFormat="1" ht="15" customHeight="1" x14ac:dyDescent="0.25"/>
    <row r="47" s="117" customFormat="1" ht="15" customHeight="1" x14ac:dyDescent="0.25"/>
    <row r="48" s="117" customFormat="1" ht="15" customHeight="1" x14ac:dyDescent="0.25"/>
  </sheetData>
  <sheetProtection algorithmName="SHA-512" hashValue="dhE+hWbOEIpU5OgmbsdXkI/nHvngQV834fX5aWgKn7leWxO3WT17jvjywVZljhOcznTaqFb1xbJh+DnfCL5W5g==" saltValue="0spkkNigvyTMCDkXy7Iuvg==" spinCount="100000" sheet="1" objects="1" scenarios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2"/>
  <sheetViews>
    <sheetView showGridLines="0" tabSelected="1" zoomScaleNormal="100" workbookViewId="0">
      <selection activeCell="C31" sqref="C31"/>
    </sheetView>
  </sheetViews>
  <sheetFormatPr defaultColWidth="0" defaultRowHeight="15" zeroHeight="1" x14ac:dyDescent="0.25"/>
  <cols>
    <col min="1" max="1" width="15.7109375" style="1" customWidth="1"/>
    <col min="2" max="2" width="0" style="1" hidden="1" customWidth="1"/>
    <col min="3" max="3" width="55.7109375" style="1" customWidth="1"/>
    <col min="4" max="4" width="40.7109375" style="1" customWidth="1"/>
    <col min="5" max="5" width="2.7109375" style="1" customWidth="1"/>
    <col min="6" max="16384" width="0" style="1" hidden="1"/>
  </cols>
  <sheetData>
    <row r="1" spans="1:4" x14ac:dyDescent="0.25">
      <c r="A1" s="117"/>
      <c r="B1" s="117"/>
      <c r="C1" s="117"/>
      <c r="D1" s="117"/>
    </row>
    <row r="2" spans="1:4" s="117" customFormat="1" x14ac:dyDescent="0.25"/>
    <row r="3" spans="1:4" s="117" customFormat="1" ht="18" x14ac:dyDescent="0.25">
      <c r="C3" s="2" t="str">
        <f xml:space="preserve"> "Name of LDC:       " &amp;D21</f>
        <v>Name of LDC:       EPCOR Natural Gas Limited Partnership</v>
      </c>
    </row>
    <row r="4" spans="1:4" s="117" customFormat="1" ht="18" x14ac:dyDescent="0.25">
      <c r="C4" s="2" t="str">
        <f xml:space="preserve"> "OEB Application Number:          " &amp; D23</f>
        <v>OEB Application Number:          EB-2020-0234 Exhibit A - 2021 IRM Application</v>
      </c>
    </row>
    <row r="5" spans="1:4" s="117" customFormat="1" x14ac:dyDescent="0.25"/>
    <row r="6" spans="1:4" s="117" customFormat="1" x14ac:dyDescent="0.25"/>
    <row r="7" spans="1:4" s="117" customFormat="1" x14ac:dyDescent="0.25"/>
    <row r="8" spans="1:4" s="117" customFormat="1" x14ac:dyDescent="0.25"/>
    <row r="9" spans="1:4" s="117" customFormat="1" x14ac:dyDescent="0.25"/>
    <row r="10" spans="1:4" s="117" customFormat="1" x14ac:dyDescent="0.25"/>
    <row r="11" spans="1:4" s="117" customFormat="1" ht="20.25" x14ac:dyDescent="0.3">
      <c r="C11" s="3" t="s">
        <v>22</v>
      </c>
    </row>
    <row r="12" spans="1:4" s="117" customFormat="1" x14ac:dyDescent="0.25"/>
    <row r="13" spans="1:4" s="117" customFormat="1" x14ac:dyDescent="0.25"/>
    <row r="14" spans="1:4" s="117" customFormat="1" x14ac:dyDescent="0.25"/>
    <row r="15" spans="1:4" s="117" customFormat="1" x14ac:dyDescent="0.25"/>
    <row r="16" spans="1:4" s="117" customFormat="1" x14ac:dyDescent="0.25"/>
    <row r="17" spans="3:4" s="117" customFormat="1" x14ac:dyDescent="0.25"/>
    <row r="18" spans="3:4" s="117" customFormat="1" x14ac:dyDescent="0.25"/>
    <row r="19" spans="3:4" s="117" customFormat="1" x14ac:dyDescent="0.25"/>
    <row r="20" spans="3:4" s="117" customFormat="1" x14ac:dyDescent="0.25"/>
    <row r="21" spans="3:4" s="117" customFormat="1" ht="15.75" x14ac:dyDescent="0.25">
      <c r="C21" s="4" t="s">
        <v>23</v>
      </c>
      <c r="D21" s="109" t="s">
        <v>87</v>
      </c>
    </row>
    <row r="22" spans="3:4" s="117" customFormat="1" ht="15.75" x14ac:dyDescent="0.25">
      <c r="C22" s="113"/>
      <c r="D22" s="4"/>
    </row>
    <row r="23" spans="3:4" s="117" customFormat="1" ht="15.75" x14ac:dyDescent="0.25">
      <c r="C23" s="113" t="s">
        <v>51</v>
      </c>
      <c r="D23" s="44" t="s">
        <v>94</v>
      </c>
    </row>
    <row r="24" spans="3:4" s="117" customFormat="1" x14ac:dyDescent="0.25">
      <c r="C24" s="114"/>
    </row>
    <row r="25" spans="3:4" s="117" customFormat="1" x14ac:dyDescent="0.25"/>
    <row r="26" spans="3:4" s="117" customFormat="1" x14ac:dyDescent="0.25"/>
    <row r="27" spans="3:4" s="117" customFormat="1" x14ac:dyDescent="0.25"/>
    <row r="28" spans="3:4" s="117" customFormat="1" x14ac:dyDescent="0.25"/>
    <row r="29" spans="3:4" s="117" customFormat="1" x14ac:dyDescent="0.25"/>
    <row r="30" spans="3:4" s="117" customFormat="1" x14ac:dyDescent="0.25">
      <c r="C30" s="117" t="str">
        <f ca="1">MID(CELL("filename",A1),FIND("]",CELL("filename",A1))+1,255)</f>
        <v>A1.1 Distributor Information</v>
      </c>
    </row>
    <row r="31" spans="3:4" s="117" customFormat="1" x14ac:dyDescent="0.25"/>
    <row r="32" spans="3:4" s="117" customFormat="1" x14ac:dyDescent="0.25"/>
    <row r="33" s="117" customFormat="1" x14ac:dyDescent="0.25"/>
    <row r="34" s="117" customFormat="1" x14ac:dyDescent="0.25"/>
    <row r="35" s="117" customFormat="1" x14ac:dyDescent="0.25"/>
    <row r="36" s="117" customFormat="1" x14ac:dyDescent="0.25"/>
    <row r="37" s="117" customFormat="1" x14ac:dyDescent="0.25"/>
    <row r="38" s="117" customFormat="1" x14ac:dyDescent="0.25"/>
    <row r="39" s="117" customFormat="1" x14ac:dyDescent="0.25"/>
    <row r="40" s="117" customFormat="1" x14ac:dyDescent="0.25"/>
    <row r="41" s="117" customFormat="1" x14ac:dyDescent="0.25"/>
    <row r="42" s="117" customFormat="1" x14ac:dyDescent="0.25"/>
  </sheetData>
  <sheetProtection algorithmName="SHA-512" hashValue="W8Q8B8gMgfXGb/twRBSLl/vEKQ/4WiIALK8RdU3YtUl6MUgY0gPCschnwGVUocdKNZJ3uYyJ8E9h0zlSud1QHQ==" saltValue="THRhx0CzJ0rFfHkSIF4ag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264"/>
  <sheetViews>
    <sheetView showGridLines="0" view="pageBreakPreview" topLeftCell="A133" zoomScaleNormal="100" zoomScaleSheetLayoutView="100" workbookViewId="0">
      <selection activeCell="Q147" sqref="Q147"/>
    </sheetView>
  </sheetViews>
  <sheetFormatPr defaultColWidth="9.140625" defaultRowHeight="0" customHeight="1" zeroHeight="1" x14ac:dyDescent="0.25"/>
  <cols>
    <col min="1" max="1" width="15.7109375" style="51" customWidth="1"/>
    <col min="2" max="2" width="13.28515625" style="51" customWidth="1"/>
    <col min="3" max="3" width="55.7109375" style="51" customWidth="1"/>
    <col min="4" max="4" width="13.85546875" style="1" customWidth="1"/>
    <col min="5" max="5" width="2.7109375" style="51" customWidth="1"/>
    <col min="6" max="6" width="14" style="51" bestFit="1" customWidth="1"/>
    <col min="7" max="7" width="2.7109375" style="51" customWidth="1"/>
    <col min="8" max="8" width="16.5703125" style="51" bestFit="1" customWidth="1"/>
    <col min="9" max="9" width="2.7109375" style="51" customWidth="1"/>
    <col min="10" max="10" width="12.28515625" style="51" customWidth="1"/>
    <col min="11" max="11" width="2.7109375" style="51" customWidth="1"/>
    <col min="12" max="12" width="11.7109375" style="51" bestFit="1" customWidth="1"/>
    <col min="13" max="13" width="2.7109375" style="51" customWidth="1"/>
    <col min="14" max="14" width="12.7109375" style="51" customWidth="1"/>
    <col min="15" max="16384" width="9.140625" style="51"/>
  </cols>
  <sheetData>
    <row r="1" spans="1:15" ht="15" x14ac:dyDescent="0.2">
      <c r="A1" s="48"/>
      <c r="B1" s="48"/>
      <c r="C1" s="5"/>
      <c r="D1" s="48"/>
      <c r="E1" s="48"/>
      <c r="F1" s="48"/>
      <c r="G1" s="48"/>
      <c r="H1" s="48"/>
      <c r="I1" s="48"/>
      <c r="J1" s="48"/>
      <c r="K1" s="48"/>
      <c r="L1" s="48"/>
    </row>
    <row r="2" spans="1:15" s="48" customFormat="1" ht="18" x14ac:dyDescent="0.25">
      <c r="C2" s="6" t="str">
        <f>'A1.1 Distributor Information'!C3</f>
        <v>Name of LDC:       EPCOR Natural Gas Limited Partnership</v>
      </c>
    </row>
    <row r="3" spans="1:15" s="48" customFormat="1" ht="18" x14ac:dyDescent="0.25">
      <c r="C3" s="6" t="str">
        <f>'A1.1 Distributor Information'!C4</f>
        <v>OEB Application Number:          EB-2020-0234 Exhibit A - 2021 IRM Application</v>
      </c>
    </row>
    <row r="4" spans="1:15" s="48" customFormat="1" ht="15" x14ac:dyDescent="0.2"/>
    <row r="5" spans="1:15" s="48" customFormat="1" ht="15" x14ac:dyDescent="0.2"/>
    <row r="6" spans="1:15" s="48" customFormat="1" ht="15" x14ac:dyDescent="0.2"/>
    <row r="7" spans="1:15" s="48" customFormat="1" ht="20.25" x14ac:dyDescent="0.3">
      <c r="C7" s="3" t="s">
        <v>57</v>
      </c>
    </row>
    <row r="8" spans="1:15" s="48" customFormat="1" ht="15" x14ac:dyDescent="0.2"/>
    <row r="9" spans="1:15" s="48" customFormat="1" ht="15" x14ac:dyDescent="0.2"/>
    <row r="10" spans="1:15" s="48" customFormat="1" ht="20.25" x14ac:dyDescent="0.3">
      <c r="C10" s="3" t="str">
        <f>'For Bill Impact(HideBeforeFile)'!C6</f>
        <v>RATE 1 - General Service Rate - Residential</v>
      </c>
      <c r="E10" s="52"/>
      <c r="F10" s="172" t="s">
        <v>130</v>
      </c>
      <c r="G10" s="172"/>
      <c r="H10" s="172" t="s">
        <v>131</v>
      </c>
      <c r="I10" s="172"/>
      <c r="J10" s="172" t="s">
        <v>133</v>
      </c>
      <c r="O10" s="48" t="s">
        <v>132</v>
      </c>
    </row>
    <row r="11" spans="1:15" s="48" customFormat="1" ht="15" x14ac:dyDescent="0.2"/>
    <row r="12" spans="1:15" s="48" customFormat="1" ht="15" x14ac:dyDescent="0.2"/>
    <row r="13" spans="1:15" s="48" customFormat="1" ht="15" x14ac:dyDescent="0.2"/>
    <row r="14" spans="1:15" s="48" customFormat="1" ht="15" x14ac:dyDescent="0.2">
      <c r="C14" s="48" t="str">
        <f>INDEX('For Bill Impact(HideBeforeFile)'!$D$48:$O$57,MATCH(C10,'For Bill Impact(HideBeforeFile)'!$C$62:$C$71,0),MATCH($O14,'For Bill Impact(HideBeforeFile)'!$D$61:$O$61,0))</f>
        <v>Commodity</v>
      </c>
      <c r="D14" s="48" t="str">
        <f>INDEX('For Bill Impact(HideBeforeFile)'!$D$62:$O$71,MATCH(C10,'For Bill Impact(HideBeforeFile)'!$C$62:$C$71,0),MATCH($O14,'For Bill Impact(HideBeforeFile)'!$D$61:$O$61,0))</f>
        <v>cents / m3</v>
      </c>
      <c r="E14" s="169"/>
      <c r="F14" s="54">
        <f>INDEX('For Bill Impact(HideBeforeFile)'!$D$6:$O$15,MATCH(C10,'For Bill Impact(HideBeforeFile)'!$C$62:$C$71,0),MATCH($O14,'For Bill Impact(HideBeforeFile)'!$D$61:$O$61,0))</f>
        <v>13.264200000000001</v>
      </c>
      <c r="G14" s="169"/>
      <c r="H14" s="54">
        <f>INDEX('For Bill Impact(HideBeforeFile)'!$D$20:$O$29,MATCH(C10,'For Bill Impact(HideBeforeFile)'!$C$62:$C$71,0),MATCH($O14,'For Bill Impact(HideBeforeFile)'!$D$61:$O$61,0))</f>
        <v>13.264200000000001</v>
      </c>
      <c r="J14" s="57">
        <f>INDEX('For Bill Impact(HideBeforeFile)'!$D$34:$O$43,MATCH(C10,'For Bill Impact(HideBeforeFile)'!$C$62:$C$71,0),MATCH($O14,'For Bill Impact(HideBeforeFile)'!$D$61:$O$61,0))</f>
        <v>2113.059934587081</v>
      </c>
      <c r="O14" s="48" t="str">
        <f>'For Bill Impact(HideBeforeFile)'!$D$5</f>
        <v>Commodity</v>
      </c>
    </row>
    <row r="15" spans="1:15" s="48" customFormat="1" ht="15" x14ac:dyDescent="0.2"/>
    <row r="16" spans="1:15" s="48" customFormat="1" ht="15" x14ac:dyDescent="0.2">
      <c r="C16" s="48" t="str">
        <f>INDEX('For Bill Impact(HideBeforeFile)'!$D$48:$O$57,MATCH(C10,'For Bill Impact(HideBeforeFile)'!$C$62:$C$71,0),MATCH($O16,'For Bill Impact(HideBeforeFile)'!$D$61:$O$61,0))</f>
        <v>Customer (excl. Bill 32)</v>
      </c>
      <c r="D16" s="48" t="str">
        <f>INDEX('For Bill Impact(HideBeforeFile)'!$D$62:$O$71,MATCH(C10,'For Bill Impact(HideBeforeFile)'!$C$62:$C$71,0),MATCH($O16,'For Bill Impact(HideBeforeFile)'!$D$61:$O$61,0))</f>
        <v>$ / month</v>
      </c>
      <c r="E16" s="171"/>
      <c r="F16" s="170">
        <f>INDEX('For Bill Impact(HideBeforeFile)'!$D$6:$O$15,MATCH(C10,'For Bill Impact(HideBeforeFile)'!$C$62:$C$71,0),MATCH($O16,'For Bill Impact(HideBeforeFile)'!$D$61:$O$61,0))</f>
        <v>16.5</v>
      </c>
      <c r="G16" s="171"/>
      <c r="H16" s="170">
        <f>INDEX('For Bill Impact(HideBeforeFile)'!$D$20:$O$29,MATCH(C10,'For Bill Impact(HideBeforeFile)'!$C$62:$C$71,0),MATCH($O16,'For Bill Impact(HideBeforeFile)'!$D$61:$O$61,0))</f>
        <v>17.5</v>
      </c>
      <c r="J16" s="57">
        <f>INDEX('For Bill Impact(HideBeforeFile)'!$D$34:$O$43,MATCH(C10,'For Bill Impact(HideBeforeFile)'!$C$62:$C$71,0),MATCH($O16,'For Bill Impact(HideBeforeFile)'!$D$61:$O$61,0))</f>
        <v>12</v>
      </c>
      <c r="O16" s="48" t="str">
        <f>'For Bill Impact(HideBeforeFile)'!$K$5</f>
        <v>Dist. Customer Rate</v>
      </c>
    </row>
    <row r="17" spans="3:15" s="48" customFormat="1" ht="15" x14ac:dyDescent="0.2">
      <c r="C17" s="48" t="str">
        <f>INDEX('For Bill Impact(HideBeforeFile)'!$D$48:$O$57,MATCH(C10,'For Bill Impact(HideBeforeFile)'!$C$62:$C$71,0),MATCH($O17,'For Bill Impact(HideBeforeFile)'!$D$61:$O$61,0))</f>
        <v>Block 1 (First 1,000 m3 per month)</v>
      </c>
      <c r="D17" s="48" t="str">
        <f>INDEX('For Bill Impact(HideBeforeFile)'!$D$62:$O$71,MATCH(C10,'For Bill Impact(HideBeforeFile)'!$C$62:$C$71,0),MATCH($O17,'For Bill Impact(HideBeforeFile)'!$D$61:$O$61,0))</f>
        <v>cents / m3</v>
      </c>
      <c r="E17" s="169"/>
      <c r="F17" s="54">
        <f>INDEX('For Bill Impact(HideBeforeFile)'!$D$6:$O$15,MATCH(C10,'For Bill Impact(HideBeforeFile)'!$C$62:$C$71,0),MATCH($O17,'For Bill Impact(HideBeforeFile)'!$D$61:$O$61,0))</f>
        <v>13.381399999999999</v>
      </c>
      <c r="G17" s="169"/>
      <c r="H17" s="54">
        <f>INDEX('For Bill Impact(HideBeforeFile)'!$D$20:$O$29,MATCH(C10,'For Bill Impact(HideBeforeFile)'!$C$62:$C$71,0),MATCH($O17,'For Bill Impact(HideBeforeFile)'!$D$61:$O$61,0))</f>
        <v>13.52846228945657</v>
      </c>
      <c r="J17" s="57">
        <f>INDEX('For Bill Impact(HideBeforeFile)'!$D$34:$O$43,MATCH(C10,'For Bill Impact(HideBeforeFile)'!$C$62:$C$71,0),MATCH($O17,'For Bill Impact(HideBeforeFile)'!$D$61:$O$61,0))</f>
        <v>2088.2035042635207</v>
      </c>
      <c r="O17" s="48" t="str">
        <f>'For Bill Impact(HideBeforeFile)'!$L$5</f>
        <v>Dist. Vol. Rate Tier 1</v>
      </c>
    </row>
    <row r="18" spans="3:15" s="48" customFormat="1" ht="15" x14ac:dyDescent="0.2">
      <c r="C18" s="48" t="str">
        <f>INDEX('For Bill Impact(HideBeforeFile)'!$D$48:$O$57,MATCH(C10,'For Bill Impact(HideBeforeFile)'!$C$62:$C$71,0),MATCH($O18,'For Bill Impact(HideBeforeFile)'!$D$61:$O$61,0))</f>
        <v>Block 2 (Over 1,000 m3 per month)</v>
      </c>
      <c r="D18" s="48" t="str">
        <f>INDEX('For Bill Impact(HideBeforeFile)'!$D$62:$O$71,MATCH(C10,'For Bill Impact(HideBeforeFile)'!$C$62:$C$71,0),MATCH($O18,'For Bill Impact(HideBeforeFile)'!$D$61:$O$61,0))</f>
        <v>cents / m3</v>
      </c>
      <c r="E18" s="169"/>
      <c r="F18" s="54">
        <f>INDEX('For Bill Impact(HideBeforeFile)'!$D$6:$O$15,MATCH(C10,'For Bill Impact(HideBeforeFile)'!$C$62:$C$71,0),MATCH($O18,'For Bill Impact(HideBeforeFile)'!$D$61:$O$61,0))</f>
        <v>10.727499999999999</v>
      </c>
      <c r="G18" s="169"/>
      <c r="H18" s="54">
        <f>INDEX('For Bill Impact(HideBeforeFile)'!$D$20:$O$29,MATCH(C10,'For Bill Impact(HideBeforeFile)'!$C$62:$C$71,0),MATCH($O18,'For Bill Impact(HideBeforeFile)'!$D$61:$O$61,0))</f>
        <v>10.872913111134979</v>
      </c>
      <c r="J18" s="57">
        <f>INDEX('For Bill Impact(HideBeforeFile)'!$D$34:$O$43,MATCH(C10,'For Bill Impact(HideBeforeFile)'!$C$62:$C$71,0),MATCH($O18,'For Bill Impact(HideBeforeFile)'!$D$61:$O$61,0))</f>
        <v>24.856430323560332</v>
      </c>
      <c r="O18" s="48" t="str">
        <f>'For Bill Impact(HideBeforeFile)'!$M$5</f>
        <v>Dist. Vol. Rate Tier 2</v>
      </c>
    </row>
    <row r="19" spans="3:15" s="48" customFormat="1" ht="15" x14ac:dyDescent="0.2">
      <c r="C19" s="48" t="str">
        <f>INDEX('For Bill Impact(HideBeforeFile)'!$D$48:$O$57,MATCH(C10,'For Bill Impact(HideBeforeFile)'!$C$62:$C$71,0),MATCH($O19,'For Bill Impact(HideBeforeFile)'!$D$61:$O$61,0))</f>
        <v/>
      </c>
      <c r="D19" s="48" t="str">
        <f>INDEX('For Bill Impact(HideBeforeFile)'!$D$62:$O$71,MATCH(C10,'For Bill Impact(HideBeforeFile)'!$C$62:$C$71,0),MATCH($O19,'For Bill Impact(HideBeforeFile)'!$D$61:$O$61,0))</f>
        <v/>
      </c>
      <c r="E19" s="169"/>
      <c r="F19" s="54" t="str">
        <f>INDEX('For Bill Impact(HideBeforeFile)'!$D$6:$O$15,MATCH(C10,'For Bill Impact(HideBeforeFile)'!$C$62:$C$71,0),MATCH($O19,'For Bill Impact(HideBeforeFile)'!$D$61:$O$61,0))</f>
        <v/>
      </c>
      <c r="G19" s="169"/>
      <c r="H19" s="54" t="str">
        <f>INDEX('For Bill Impact(HideBeforeFile)'!$D$20:$O$29,MATCH(C10,'For Bill Impact(HideBeforeFile)'!$C$62:$C$71,0),MATCH($O19,'For Bill Impact(HideBeforeFile)'!$D$61:$O$61,0))</f>
        <v/>
      </c>
      <c r="J19" s="57" t="str">
        <f>INDEX('For Bill Impact(HideBeforeFile)'!$D$34:$O$43,MATCH(C10,'For Bill Impact(HideBeforeFile)'!$C$62:$C$71,0),MATCH($O19,'For Bill Impact(HideBeforeFile)'!$D$61:$O$61,0))</f>
        <v/>
      </c>
      <c r="O19" s="48" t="str">
        <f>'For Bill Impact(HideBeforeFile)'!$N$5</f>
        <v>Dist. Vol. Rate Tier 3</v>
      </c>
    </row>
    <row r="20" spans="3:15" s="48" customFormat="1" ht="15" x14ac:dyDescent="0.2">
      <c r="C20" s="48" t="str">
        <f>INDEX('For Bill Impact(HideBeforeFile)'!$D$48:$O$57,MATCH(C10,'For Bill Impact(HideBeforeFile)'!$C$62:$C$71,0),MATCH($O20,'For Bill Impact(HideBeforeFile)'!$D$61:$O$61,0))</f>
        <v/>
      </c>
      <c r="D20" s="48" t="str">
        <f>INDEX('For Bill Impact(HideBeforeFile)'!$D$62:$O$71,MATCH(C10,'For Bill Impact(HideBeforeFile)'!$C$62:$C$71,0),MATCH($O20,'For Bill Impact(HideBeforeFile)'!$D$61:$O$61,0))</f>
        <v/>
      </c>
      <c r="E20" s="169"/>
      <c r="F20" s="54" t="str">
        <f>INDEX('For Bill Impact(HideBeforeFile)'!$D$6:$O$15,MATCH(C10,'For Bill Impact(HideBeforeFile)'!$C$62:$C$71,0),MATCH($O20,'For Bill Impact(HideBeforeFile)'!$D$61:$O$61,0))</f>
        <v/>
      </c>
      <c r="G20" s="169"/>
      <c r="H20" s="54" t="str">
        <f>INDEX('For Bill Impact(HideBeforeFile)'!$D$20:$O$29,MATCH(C10,'For Bill Impact(HideBeforeFile)'!$C$62:$C$71,0),MATCH($O20,'For Bill Impact(HideBeforeFile)'!$D$61:$O$61,0))</f>
        <v/>
      </c>
      <c r="J20" s="57" t="str">
        <f>INDEX('For Bill Impact(HideBeforeFile)'!$D$34:$O$43,MATCH(C10,'For Bill Impact(HideBeforeFile)'!$C$62:$C$71,0),MATCH($O20,'For Bill Impact(HideBeforeFile)'!$D$61:$O$61,0))</f>
        <v/>
      </c>
      <c r="O20" s="48" t="str">
        <f>'For Bill Impact(HideBeforeFile)'!$O$5</f>
        <v>Dist. Capacity Rate</v>
      </c>
    </row>
    <row r="21" spans="3:15" s="48" customFormat="1" ht="15" x14ac:dyDescent="0.2">
      <c r="C21" s="48" t="str">
        <f>INDEX('For Bill Impact(HideBeforeFile)'!$D$48:$O$57,MATCH(C10,'For Bill Impact(HideBeforeFile)'!$C$62:$C$71,0),MATCH($O21,'For Bill Impact(HideBeforeFile)'!$D$61:$O$61,0))</f>
        <v>System Gas Charge</v>
      </c>
      <c r="D21" s="48" t="str">
        <f>INDEX('For Bill Impact(HideBeforeFile)'!$D$62:$O$71,MATCH(C10,'For Bill Impact(HideBeforeFile)'!$C$62:$C$71,0),MATCH($O21,'For Bill Impact(HideBeforeFile)'!$D$61:$O$61,0))</f>
        <v>cents / m3</v>
      </c>
      <c r="E21" s="169"/>
      <c r="F21" s="54">
        <f>INDEX('For Bill Impact(HideBeforeFile)'!$D$6:$O$15,MATCH(C10,'For Bill Impact(HideBeforeFile)'!$C$62:$C$71,0),MATCH($O21,'For Bill Impact(HideBeforeFile)'!$D$61:$O$61,0))</f>
        <v>4.3499999999999997E-2</v>
      </c>
      <c r="G21" s="169"/>
      <c r="H21" s="54">
        <f>INDEX('For Bill Impact(HideBeforeFile)'!$D$20:$O$29,MATCH(C10,'For Bill Impact(HideBeforeFile)'!$C$62:$C$71,0),MATCH($O21,'For Bill Impact(HideBeforeFile)'!$D$61:$O$61,0))</f>
        <v>4.3499999999999997E-2</v>
      </c>
      <c r="J21" s="57">
        <f>INDEX('For Bill Impact(HideBeforeFile)'!$D$34:$O$43,MATCH(C10,'For Bill Impact(HideBeforeFile)'!$C$62:$C$71,0),MATCH($O21,'For Bill Impact(HideBeforeFile)'!$D$61:$O$61,0))</f>
        <v>2113.059934587081</v>
      </c>
      <c r="O21" s="48" t="str">
        <f>'For Bill Impact(HideBeforeFile)'!$E$5</f>
        <v>System Gas</v>
      </c>
    </row>
    <row r="22" spans="3:15" s="48" customFormat="1" ht="15" x14ac:dyDescent="0.2"/>
    <row r="23" spans="3:15" s="48" customFormat="1" ht="15" x14ac:dyDescent="0.2">
      <c r="C23" s="48" t="str">
        <f>INDEX('For Bill Impact(HideBeforeFile)'!$D$48:$O$57,MATCH(C10,'For Bill Impact(HideBeforeFile)'!$C$62:$C$71,0),MATCH($O23,'For Bill Impact(HideBeforeFile)'!$D$61:$O$61,0))</f>
        <v>REDA</v>
      </c>
      <c r="D23" s="48" t="str">
        <f>INDEX('For Bill Impact(HideBeforeFile)'!$D$62:$O$71,MATCH(C10,'For Bill Impact(HideBeforeFile)'!$C$62:$C$71,0),MATCH($O23,'For Bill Impact(HideBeforeFile)'!$D$61:$O$61,0))</f>
        <v>$ / month</v>
      </c>
      <c r="E23" s="171"/>
      <c r="F23" s="170">
        <f>INDEX('For Bill Impact(HideBeforeFile)'!$D$6:$O$15,MATCH(C10,'For Bill Impact(HideBeforeFile)'!$C$62:$C$71,0),MATCH($O23,'For Bill Impact(HideBeforeFile)'!$D$61:$O$61,0))</f>
        <v>0.59</v>
      </c>
      <c r="G23" s="171"/>
      <c r="H23" s="170">
        <f>INDEX('For Bill Impact(HideBeforeFile)'!$D$20:$O$29,MATCH(C10,'For Bill Impact(HideBeforeFile)'!$C$62:$C$71,0),MATCH($O23,'For Bill Impact(HideBeforeFile)'!$D$61:$O$61,0))</f>
        <v>0.76971281184715468</v>
      </c>
      <c r="J23" s="57">
        <f>INDEX('For Bill Impact(HideBeforeFile)'!$D$34:$O$43,MATCH(C10,'For Bill Impact(HideBeforeFile)'!$C$62:$C$71,0),MATCH($O23,'For Bill Impact(HideBeforeFile)'!$D$61:$O$61,0))</f>
        <v>12</v>
      </c>
      <c r="O23" s="48" t="str">
        <f>'For Bill Impact(HideBeforeFile)'!$F$5</f>
        <v>REDA</v>
      </c>
    </row>
    <row r="24" spans="3:15" s="48" customFormat="1" ht="15" x14ac:dyDescent="0.2">
      <c r="C24" s="48" t="str">
        <f>INDEX('For Bill Impact(HideBeforeFile)'!$D$48:$O$57,MATCH(C10,'For Bill Impact(HideBeforeFile)'!$C$62:$C$71,0),MATCH($O24,'For Bill Impact(HideBeforeFile)'!$D$61:$O$61,0))</f>
        <v>PGTVA</v>
      </c>
      <c r="D24" s="48" t="str">
        <f>INDEX('For Bill Impact(HideBeforeFile)'!$D$62:$O$71,MATCH(C10,'For Bill Impact(HideBeforeFile)'!$C$62:$C$71,0),MATCH($O24,'For Bill Impact(HideBeforeFile)'!$D$61:$O$61,0))</f>
        <v>cents / m3</v>
      </c>
      <c r="E24" s="169"/>
      <c r="F24" s="54">
        <f>INDEX('For Bill Impact(HideBeforeFile)'!$D$6:$O$15,MATCH(C10,'For Bill Impact(HideBeforeFile)'!$C$62:$C$71,0),MATCH($O24,'For Bill Impact(HideBeforeFile)'!$D$61:$O$61,0))</f>
        <v>0.128</v>
      </c>
      <c r="G24" s="169"/>
      <c r="H24" s="54">
        <f>INDEX('For Bill Impact(HideBeforeFile)'!$D$20:$O$29,MATCH(C10,'For Bill Impact(HideBeforeFile)'!$C$62:$C$71,0),MATCH($O24,'For Bill Impact(HideBeforeFile)'!$D$61:$O$61,0))</f>
        <v>0.30664420626329603</v>
      </c>
      <c r="J24" s="57">
        <f>INDEX('For Bill Impact(HideBeforeFile)'!$D$34:$O$43,MATCH(C10,'For Bill Impact(HideBeforeFile)'!$C$62:$C$71,0),MATCH($O24,'For Bill Impact(HideBeforeFile)'!$D$61:$O$61,0))</f>
        <v>2113.059934587081</v>
      </c>
      <c r="O24" s="48" t="str">
        <f>'For Bill Impact(HideBeforeFile)'!$G$5</f>
        <v>PGTVA</v>
      </c>
    </row>
    <row r="25" spans="3:15" s="48" customFormat="1" ht="15" x14ac:dyDescent="0.2">
      <c r="C25" s="48" t="str">
        <f>INDEX('For Bill Impact(HideBeforeFile)'!$D$48:$O$57,MATCH(C10,'For Bill Impact(HideBeforeFile)'!$C$62:$C$71,0),MATCH($O25,'For Bill Impact(HideBeforeFile)'!$D$61:$O$61,0))</f>
        <v>ADVADA</v>
      </c>
      <c r="D25" s="48" t="str">
        <f>INDEX('For Bill Impact(HideBeforeFile)'!$D$62:$O$71,MATCH(C10,'For Bill Impact(HideBeforeFile)'!$C$62:$C$71,0),MATCH($O25,'For Bill Impact(HideBeforeFile)'!$D$61:$O$61,0))</f>
        <v>cents / m3</v>
      </c>
      <c r="F25" s="54" t="str">
        <f>INDEX('For Bill Impact(HideBeforeFile)'!$D$6:$O$15,MATCH(C10,'For Bill Impact(HideBeforeFile)'!$C$62:$C$71,0),MATCH($O25,'For Bill Impact(HideBeforeFile)'!$D$61:$O$61,0))</f>
        <v/>
      </c>
      <c r="H25" s="54">
        <f>INDEX('For Bill Impact(HideBeforeFile)'!$D$20:$O$29,MATCH(C10,'For Bill Impact(HideBeforeFile)'!$C$62:$C$71,0),MATCH($O25,'For Bill Impact(HideBeforeFile)'!$D$61:$O$61,0))</f>
        <v>0.14841821245417633</v>
      </c>
      <c r="J25" s="57">
        <f>INDEX('For Bill Impact(HideBeforeFile)'!$D$34:$O$43,MATCH(C10,'For Bill Impact(HideBeforeFile)'!$C$62:$C$71,0),MATCH($O25,'For Bill Impact(HideBeforeFile)'!$D$61:$O$61,0))</f>
        <v>2113.059934587081</v>
      </c>
      <c r="O25" s="48" t="str">
        <f>'For Bill Impact(HideBeforeFile)'!$H$5</f>
        <v>ADVADA</v>
      </c>
    </row>
    <row r="26" spans="3:15" s="48" customFormat="1" ht="15" x14ac:dyDescent="0.2"/>
    <row r="27" spans="3:15" s="48" customFormat="1" ht="15.75" x14ac:dyDescent="0.25">
      <c r="C27" s="48" t="str">
        <f>INDEX('For Bill Impact(HideBeforeFile)'!$D$48:$O$57,MATCH(C10,'For Bill Impact(HideBeforeFile)'!$C$62:$C$71,0),MATCH($O27,'For Bill Impact(HideBeforeFile)'!$D$61:$O$61,0))</f>
        <v>Federal Carbon</v>
      </c>
      <c r="D27" s="48" t="str">
        <f>INDEX('For Bill Impact(HideBeforeFile)'!$D$62:$O$71,MATCH(C10,'For Bill Impact(HideBeforeFile)'!$C$62:$C$71,0),MATCH($O27,'For Bill Impact(HideBeforeFile)'!$D$61:$O$61,0))</f>
        <v>cents / m3</v>
      </c>
      <c r="E27" s="169"/>
      <c r="F27" s="54">
        <f>INDEX('For Bill Impact(HideBeforeFile)'!$D$6:$O$15,MATCH(C10,'For Bill Impact(HideBeforeFile)'!$C$62:$C$71,0),MATCH($O27,'For Bill Impact(HideBeforeFile)'!$D$61:$O$61,0))</f>
        <v>5.87</v>
      </c>
      <c r="G27" s="169"/>
      <c r="H27" s="54">
        <f>INDEX('For Bill Impact(HideBeforeFile)'!$D$20:$O$29,MATCH(C10,'For Bill Impact(HideBeforeFile)'!$C$62:$C$71,0),MATCH($O27,'For Bill Impact(HideBeforeFile)'!$D$61:$O$61,0))</f>
        <v>5.87</v>
      </c>
      <c r="J27" s="57">
        <f>INDEX('For Bill Impact(HideBeforeFile)'!$D$34:$O$43,MATCH(C10,'For Bill Impact(HideBeforeFile)'!$C$62:$C$71,0),MATCH($O27,'For Bill Impact(HideBeforeFile)'!$D$61:$O$61,0))</f>
        <v>2113.059934587081</v>
      </c>
      <c r="N27" s="16"/>
      <c r="O27" s="48" t="str">
        <f>'For Bill Impact(HideBeforeFile)'!$I$5</f>
        <v>Federal Carbon</v>
      </c>
    </row>
    <row r="28" spans="3:15" s="48" customFormat="1" ht="15" x14ac:dyDescent="0.2">
      <c r="C28" s="48" t="str">
        <f>INDEX('For Bill Impact(HideBeforeFile)'!$D$48:$O$57,MATCH(C10,'For Bill Impact(HideBeforeFile)'!$C$62:$C$71,0),MATCH($O28,'For Bill Impact(HideBeforeFile)'!$D$61:$O$61,0))</f>
        <v>Facility Carbon</v>
      </c>
      <c r="D28" s="48" t="str">
        <f>INDEX('For Bill Impact(HideBeforeFile)'!$D$62:$O$71,MATCH(C10,'For Bill Impact(HideBeforeFile)'!$C$62:$C$71,0),MATCH($O28,'For Bill Impact(HideBeforeFile)'!$D$61:$O$61,0))</f>
        <v>cents / m3</v>
      </c>
      <c r="E28" s="169"/>
      <c r="F28" s="54">
        <f>INDEX('For Bill Impact(HideBeforeFile)'!$D$6:$O$15,MATCH(C10,'For Bill Impact(HideBeforeFile)'!$C$62:$C$71,0),MATCH($O28,'For Bill Impact(HideBeforeFile)'!$D$61:$O$61,0))</f>
        <v>2.7000000000000001E-3</v>
      </c>
      <c r="G28" s="169"/>
      <c r="H28" s="54">
        <f>INDEX('For Bill Impact(HideBeforeFile)'!$D$20:$O$29,MATCH(C10,'For Bill Impact(HideBeforeFile)'!$C$62:$C$71,0),MATCH($O28,'For Bill Impact(HideBeforeFile)'!$D$61:$O$61,0))</f>
        <v>2.7000000000000001E-3</v>
      </c>
      <c r="J28" s="57">
        <f>INDEX('For Bill Impact(HideBeforeFile)'!$D$34:$O$43,MATCH(C10,'For Bill Impact(HideBeforeFile)'!$C$62:$C$71,0),MATCH($O28,'For Bill Impact(HideBeforeFile)'!$D$61:$O$61,0))</f>
        <v>2113.059934587081</v>
      </c>
      <c r="O28" s="48" t="str">
        <f>'For Bill Impact(HideBeforeFile)'!$J$5</f>
        <v>Facility Carbon</v>
      </c>
    </row>
    <row r="29" spans="3:15" s="48" customFormat="1" ht="15" x14ac:dyDescent="0.2"/>
    <row r="30" spans="3:15" s="48" customFormat="1" ht="15" x14ac:dyDescent="0.2"/>
    <row r="31" spans="3:15" s="48" customFormat="1" ht="15.75" x14ac:dyDescent="0.25">
      <c r="C31" s="17" t="s">
        <v>8</v>
      </c>
      <c r="E31" s="52"/>
      <c r="F31" s="172" t="s">
        <v>130</v>
      </c>
      <c r="G31" s="172"/>
      <c r="H31" s="172" t="s">
        <v>131</v>
      </c>
      <c r="J31" s="48" t="s">
        <v>55</v>
      </c>
      <c r="L31" s="56" t="s">
        <v>56</v>
      </c>
    </row>
    <row r="32" spans="3:15" s="48" customFormat="1" ht="15" x14ac:dyDescent="0.2">
      <c r="F32" s="58">
        <f>F14*$J14/100</f>
        <v>280.28049584349958</v>
      </c>
      <c r="G32" s="171"/>
      <c r="H32" s="58">
        <f>H14*$J14/100</f>
        <v>280.28049584349958</v>
      </c>
      <c r="J32" s="53">
        <f>H32-F32</f>
        <v>0</v>
      </c>
      <c r="L32" s="59">
        <f>IFERROR(J32/F32,"")</f>
        <v>0</v>
      </c>
      <c r="O32" s="48" t="str">
        <f>'For Bill Impact(HideBeforeFile)'!$D$5</f>
        <v>Commodity</v>
      </c>
    </row>
    <row r="33" spans="3:15" s="48" customFormat="1" ht="15" x14ac:dyDescent="0.2"/>
    <row r="34" spans="3:15" s="48" customFormat="1" ht="15.75" x14ac:dyDescent="0.25">
      <c r="C34" s="17" t="s">
        <v>68</v>
      </c>
      <c r="E34" s="52"/>
      <c r="F34" s="52" t="s">
        <v>35</v>
      </c>
      <c r="G34" s="52"/>
      <c r="H34" s="52" t="s">
        <v>52</v>
      </c>
      <c r="J34" s="48" t="s">
        <v>55</v>
      </c>
      <c r="L34" s="56" t="s">
        <v>56</v>
      </c>
    </row>
    <row r="35" spans="3:15" s="48" customFormat="1" ht="15" x14ac:dyDescent="0.2">
      <c r="C35" s="47" t="str">
        <f>IF(C16&lt;&gt;"",C16,"")</f>
        <v>Customer (excl. Bill 32)</v>
      </c>
      <c r="F35" s="58">
        <f>F16*$J16</f>
        <v>198</v>
      </c>
      <c r="G35" s="171"/>
      <c r="H35" s="58">
        <f>H16*$J16</f>
        <v>210</v>
      </c>
      <c r="J35" s="53">
        <f>IFERROR(H35-F35,"")</f>
        <v>12</v>
      </c>
      <c r="L35" s="59">
        <f>IFERROR(J35/F35,"")</f>
        <v>6.0606060606060608E-2</v>
      </c>
      <c r="O35" s="48" t="str">
        <f>'For Bill Impact(HideBeforeFile)'!$K$5</f>
        <v>Dist. Customer Rate</v>
      </c>
    </row>
    <row r="36" spans="3:15" s="48" customFormat="1" ht="15" x14ac:dyDescent="0.2">
      <c r="C36" s="47" t="s">
        <v>149</v>
      </c>
      <c r="F36" s="58">
        <v>12</v>
      </c>
      <c r="G36" s="171"/>
      <c r="H36" s="58">
        <v>12</v>
      </c>
      <c r="J36" s="53">
        <f>IFERROR(H36-F36,"")</f>
        <v>0</v>
      </c>
      <c r="L36" s="59">
        <f>IFERROR(J36/F36,"")</f>
        <v>0</v>
      </c>
    </row>
    <row r="37" spans="3:15" s="48" customFormat="1" ht="15" x14ac:dyDescent="0.2">
      <c r="C37" s="47" t="str">
        <f>IF(C17&lt;&gt;"",C17,"")</f>
        <v>Block 1 (First 1,000 m3 per month)</v>
      </c>
      <c r="F37" s="58">
        <f>IFERROR(F17*$J17/100,"")</f>
        <v>279.43086371951875</v>
      </c>
      <c r="H37" s="58">
        <f>IFERROR(H17*$J17/100,"")</f>
        <v>282.50182360140099</v>
      </c>
      <c r="J37" s="53">
        <f t="shared" ref="J37:J41" si="0">IFERROR(H37-F37,"")</f>
        <v>3.0709598818822315</v>
      </c>
      <c r="L37" s="59">
        <f t="shared" ref="L37:L41" si="1">IFERROR(J37/F37,"")</f>
        <v>1.0990052569728787E-2</v>
      </c>
      <c r="O37" s="48" t="str">
        <f>'For Bill Impact(HideBeforeFile)'!$L$5</f>
        <v>Dist. Vol. Rate Tier 1</v>
      </c>
    </row>
    <row r="38" spans="3:15" s="48" customFormat="1" ht="15" x14ac:dyDescent="0.2">
      <c r="C38" s="47" t="str">
        <f>IF(C18&lt;&gt;"",C18,"")</f>
        <v>Block 2 (Over 1,000 m3 per month)</v>
      </c>
      <c r="F38" s="58">
        <f>IFERROR(F18*$J18/100,"")</f>
        <v>2.6664735629599345</v>
      </c>
      <c r="H38" s="58">
        <f>IFERROR(H18*$J18/100,"")</f>
        <v>2.7026180716105221</v>
      </c>
      <c r="J38" s="53">
        <f t="shared" si="0"/>
        <v>3.6144508650587603E-2</v>
      </c>
      <c r="L38" s="59">
        <f t="shared" si="1"/>
        <v>1.3555172326728484E-2</v>
      </c>
      <c r="O38" s="48" t="str">
        <f>'For Bill Impact(HideBeforeFile)'!$M$5</f>
        <v>Dist. Vol. Rate Tier 2</v>
      </c>
    </row>
    <row r="39" spans="3:15" s="48" customFormat="1" ht="15" x14ac:dyDescent="0.2">
      <c r="C39" s="47" t="str">
        <f>IF(C19&lt;&gt;"",C19,"")</f>
        <v/>
      </c>
      <c r="F39" s="58" t="str">
        <f>IFERROR(F19*$J19/100,"")</f>
        <v/>
      </c>
      <c r="H39" s="58" t="str">
        <f>IFERROR(H19*$J19/100,"")</f>
        <v/>
      </c>
      <c r="J39" s="53" t="str">
        <f t="shared" si="0"/>
        <v/>
      </c>
      <c r="L39" s="59" t="str">
        <f t="shared" si="1"/>
        <v/>
      </c>
      <c r="O39" s="48" t="str">
        <f>'For Bill Impact(HideBeforeFile)'!$N$5</f>
        <v>Dist. Vol. Rate Tier 3</v>
      </c>
    </row>
    <row r="40" spans="3:15" s="48" customFormat="1" ht="15" x14ac:dyDescent="0.2">
      <c r="C40" s="47" t="str">
        <f>IF(C20&lt;&gt;"",C20,"")</f>
        <v/>
      </c>
      <c r="F40" s="58" t="str">
        <f>IFERROR(F20*$J20/100,"")</f>
        <v/>
      </c>
      <c r="H40" s="58" t="str">
        <f>IFERROR(H20*$J20/100,"")</f>
        <v/>
      </c>
      <c r="J40" s="53" t="str">
        <f t="shared" si="0"/>
        <v/>
      </c>
      <c r="L40" s="59" t="str">
        <f t="shared" si="1"/>
        <v/>
      </c>
      <c r="O40" s="48" t="str">
        <f>'For Bill Impact(HideBeforeFile)'!$O$5</f>
        <v>Dist. Capacity Rate</v>
      </c>
    </row>
    <row r="41" spans="3:15" s="48" customFormat="1" ht="15" x14ac:dyDescent="0.2">
      <c r="C41" s="47" t="str">
        <f>IF(C21&lt;&gt;"",C21,"")</f>
        <v>System Gas Charge</v>
      </c>
      <c r="F41" s="58">
        <f>IFERROR(F21*$J21/100,"")</f>
        <v>0.9191810715453802</v>
      </c>
      <c r="H41" s="58">
        <f>IFERROR(H21*$J21/100,"")</f>
        <v>0.9191810715453802</v>
      </c>
      <c r="J41" s="53">
        <f t="shared" si="0"/>
        <v>0</v>
      </c>
      <c r="L41" s="59">
        <f t="shared" si="1"/>
        <v>0</v>
      </c>
      <c r="O41" s="48" t="str">
        <f>'For Bill Impact(HideBeforeFile)'!$E$5</f>
        <v>System Gas</v>
      </c>
    </row>
    <row r="42" spans="3:15" s="48" customFormat="1" ht="15.75" x14ac:dyDescent="0.25">
      <c r="C42" s="17" t="s">
        <v>54</v>
      </c>
      <c r="F42" s="35">
        <f>SUM(F35:F41)</f>
        <v>493.01651835402407</v>
      </c>
      <c r="H42" s="35">
        <f>SUM(H35:H41)</f>
        <v>508.12362274455688</v>
      </c>
      <c r="J42" s="36">
        <f t="shared" ref="J42" si="2">H42-F42</f>
        <v>15.107104390532811</v>
      </c>
      <c r="L42" s="37">
        <f>IF(ISERROR(J42/F42),0,J42/F42)</f>
        <v>3.064218708324239E-2</v>
      </c>
    </row>
    <row r="43" spans="3:15" s="48" customFormat="1" ht="15" x14ac:dyDescent="0.2">
      <c r="J43" s="180"/>
    </row>
    <row r="44" spans="3:15" s="48" customFormat="1" ht="15.75" x14ac:dyDescent="0.25">
      <c r="C44" s="17" t="s">
        <v>67</v>
      </c>
    </row>
    <row r="45" spans="3:15" s="48" customFormat="1" ht="15" x14ac:dyDescent="0.2"/>
    <row r="46" spans="3:15" s="48" customFormat="1" ht="15.75" x14ac:dyDescent="0.25">
      <c r="C46" s="17" t="s">
        <v>67</v>
      </c>
      <c r="E46" s="52"/>
      <c r="F46" s="52" t="s">
        <v>35</v>
      </c>
      <c r="G46" s="52"/>
      <c r="H46" s="52" t="s">
        <v>52</v>
      </c>
      <c r="J46" s="48" t="s">
        <v>55</v>
      </c>
      <c r="L46" s="56" t="s">
        <v>56</v>
      </c>
    </row>
    <row r="47" spans="3:15" s="48" customFormat="1" ht="15" x14ac:dyDescent="0.2">
      <c r="C47" s="48" t="s">
        <v>99</v>
      </c>
      <c r="E47" s="60"/>
      <c r="F47" s="58">
        <f>F23*$J23</f>
        <v>7.08</v>
      </c>
      <c r="G47" s="60"/>
      <c r="H47" s="58">
        <f>H23*$J23</f>
        <v>9.2365537421658566</v>
      </c>
      <c r="I47" s="60"/>
      <c r="J47" s="53">
        <f>IFERROR(H47-F47,"")</f>
        <v>2.1565537421658565</v>
      </c>
      <c r="L47" s="59">
        <f t="shared" ref="L47:L48" si="3">IFERROR(J47/F47,"")</f>
        <v>0.30459798618161815</v>
      </c>
      <c r="O47" s="48" t="str">
        <f>'For Bill Impact(HideBeforeFile)'!$F$5</f>
        <v>REDA</v>
      </c>
    </row>
    <row r="48" spans="3:15" s="48" customFormat="1" ht="15" x14ac:dyDescent="0.2">
      <c r="C48" s="48" t="s">
        <v>98</v>
      </c>
      <c r="E48" s="60"/>
      <c r="F48" s="55">
        <f>IFERROR(F24*$J24/100,"")</f>
        <v>2.7047167162714634</v>
      </c>
      <c r="G48" s="60"/>
      <c r="H48" s="55">
        <f>IFERROR(H24*$J24/100,"")</f>
        <v>6.4795758642822774</v>
      </c>
      <c r="I48" s="60"/>
      <c r="J48" s="53">
        <f t="shared" ref="J48" si="4">IFERROR(H48-F48,"")</f>
        <v>3.774859148010814</v>
      </c>
      <c r="L48" s="59">
        <f t="shared" si="3"/>
        <v>1.3956578614320008</v>
      </c>
      <c r="O48" s="48" t="str">
        <f>'For Bill Impact(HideBeforeFile)'!$G$5</f>
        <v>PGTVA</v>
      </c>
    </row>
    <row r="49" spans="3:15" s="48" customFormat="1" ht="15" x14ac:dyDescent="0.2">
      <c r="C49" s="48" t="s">
        <v>100</v>
      </c>
      <c r="E49" s="60"/>
      <c r="F49" s="55" t="str">
        <f>IFERROR(F25*$J25/100,"")</f>
        <v/>
      </c>
      <c r="G49" s="60"/>
      <c r="H49" s="55">
        <f>IFERROR(H25*$J25/100,"")</f>
        <v>3.1361657829995333</v>
      </c>
      <c r="I49" s="60"/>
      <c r="J49" s="53">
        <f>H49</f>
        <v>3.1361657829995333</v>
      </c>
      <c r="L49" s="59">
        <f>J49/H49</f>
        <v>1</v>
      </c>
      <c r="O49" s="48" t="str">
        <f>'For Bill Impact(HideBeforeFile)'!$H$5</f>
        <v>ADVADA</v>
      </c>
    </row>
    <row r="50" spans="3:15" s="48" customFormat="1" ht="15.75" x14ac:dyDescent="0.25">
      <c r="C50" s="20" t="s">
        <v>69</v>
      </c>
      <c r="F50" s="38">
        <f>SUM(F47:F49)</f>
        <v>9.784716716271463</v>
      </c>
      <c r="H50" s="38">
        <f>SUM(H47:H49)</f>
        <v>18.852295389447669</v>
      </c>
      <c r="J50" s="38">
        <f>SUM(J47:J49)</f>
        <v>9.0675786731762038</v>
      </c>
      <c r="L50" s="37">
        <f t="shared" ref="L50" si="5">IF(ISERROR(J50/F50),0,J50/F50)</f>
        <v>0.92670834895989407</v>
      </c>
    </row>
    <row r="51" spans="3:15" s="48" customFormat="1" ht="15" x14ac:dyDescent="0.2">
      <c r="C51" s="47"/>
    </row>
    <row r="52" spans="3:15" s="48" customFormat="1" ht="15.75" x14ac:dyDescent="0.25">
      <c r="C52" s="17" t="s">
        <v>108</v>
      </c>
    </row>
    <row r="53" spans="3:15" s="48" customFormat="1" ht="15" x14ac:dyDescent="0.2">
      <c r="C53" s="47" t="s">
        <v>134</v>
      </c>
      <c r="F53" s="58">
        <f>F27*$J27/100</f>
        <v>124.03661816026165</v>
      </c>
      <c r="G53" s="60"/>
      <c r="H53" s="58">
        <f>H27*$J27/100</f>
        <v>124.03661816026165</v>
      </c>
      <c r="J53" s="53">
        <f>IFERROR(H53-F53,"")</f>
        <v>0</v>
      </c>
      <c r="L53" s="59">
        <f t="shared" ref="L53:L54" si="6">IFERROR(J53/F53,"")</f>
        <v>0</v>
      </c>
    </row>
    <row r="54" spans="3:15" s="48" customFormat="1" ht="15" x14ac:dyDescent="0.2">
      <c r="C54" s="47" t="s">
        <v>135</v>
      </c>
      <c r="F54" s="58">
        <f>F28*$J28/100</f>
        <v>5.7052618233851195E-2</v>
      </c>
      <c r="G54" s="60"/>
      <c r="H54" s="58">
        <f>H28*$J28/100</f>
        <v>5.7052618233851195E-2</v>
      </c>
      <c r="J54" s="53">
        <f>IFERROR(H54-F54,"")</f>
        <v>0</v>
      </c>
      <c r="L54" s="59">
        <f t="shared" si="6"/>
        <v>0</v>
      </c>
    </row>
    <row r="55" spans="3:15" s="48" customFormat="1" ht="18" customHeight="1" x14ac:dyDescent="0.25">
      <c r="C55" s="20" t="s">
        <v>136</v>
      </c>
      <c r="F55" s="38">
        <f>SUM(F53:F54)</f>
        <v>124.09367077849551</v>
      </c>
      <c r="H55" s="38">
        <f>SUM(H53:H54)</f>
        <v>124.09367077849551</v>
      </c>
      <c r="J55" s="38">
        <f>SUM(J53:J54)</f>
        <v>0</v>
      </c>
      <c r="L55" s="37">
        <f t="shared" ref="L55" si="7">IF(ISERROR(J55/F55),0,J55/F55)</f>
        <v>0</v>
      </c>
    </row>
    <row r="56" spans="3:15" s="48" customFormat="1" ht="18" customHeight="1" x14ac:dyDescent="0.2">
      <c r="C56" s="47"/>
    </row>
    <row r="57" spans="3:15" s="48" customFormat="1" ht="16.5" thickBot="1" x14ac:dyDescent="0.3">
      <c r="C57" s="20" t="s">
        <v>70</v>
      </c>
      <c r="F57" s="39">
        <f>SUM(F32,F42,F50,F55)</f>
        <v>907.17540169229051</v>
      </c>
      <c r="H57" s="39">
        <f>SUM(H32,H42,H50,H55)</f>
        <v>931.35008475599966</v>
      </c>
      <c r="J57" s="39">
        <f>SUM(J32,J42,J50,J55)</f>
        <v>24.174683063709015</v>
      </c>
      <c r="L57" s="40">
        <f t="shared" ref="L57" si="8">IFERROR(J57/F57,"")</f>
        <v>2.6648300889345486E-2</v>
      </c>
    </row>
    <row r="58" spans="3:15" s="48" customFormat="1" ht="15.75" x14ac:dyDescent="0.25">
      <c r="C58" s="20"/>
      <c r="E58" s="122"/>
      <c r="F58" s="121"/>
      <c r="G58" s="122"/>
      <c r="H58" s="121"/>
      <c r="I58" s="122"/>
      <c r="J58" s="123"/>
      <c r="K58" s="122"/>
      <c r="L58" s="124"/>
    </row>
    <row r="59" spans="3:15" s="48" customFormat="1" ht="15.75" x14ac:dyDescent="0.25">
      <c r="C59" s="20"/>
      <c r="E59" s="122"/>
      <c r="F59" s="121"/>
      <c r="G59" s="122"/>
      <c r="H59" s="121"/>
      <c r="I59" s="122"/>
      <c r="J59" s="123"/>
      <c r="K59" s="122"/>
      <c r="L59" s="124"/>
    </row>
    <row r="60" spans="3:15" s="48" customFormat="1" ht="15.75" customHeight="1" x14ac:dyDescent="0.25">
      <c r="C60" s="116" t="str">
        <f ca="1">MID(CELL("filename",A1),FIND("]",CELL("filename",A1))+1,255)</f>
        <v>G1.1 Rate 1 Bill Impact</v>
      </c>
      <c r="E60" s="122"/>
      <c r="F60" s="121"/>
      <c r="G60" s="122"/>
      <c r="H60" s="121"/>
      <c r="I60" s="122"/>
      <c r="J60" s="123"/>
      <c r="K60" s="122"/>
      <c r="L60" s="124"/>
    </row>
    <row r="61" spans="3:15" s="48" customFormat="1" ht="15.75" customHeight="1" x14ac:dyDescent="0.25">
      <c r="C61" s="116"/>
      <c r="E61" s="122"/>
      <c r="F61" s="121"/>
      <c r="G61" s="122"/>
      <c r="H61" s="121"/>
      <c r="I61" s="122"/>
      <c r="J61" s="123"/>
      <c r="K61" s="122"/>
      <c r="L61" s="124"/>
    </row>
    <row r="62" spans="3:15" s="48" customFormat="1" ht="20.25" x14ac:dyDescent="0.3">
      <c r="C62" s="3" t="str">
        <f>'For Bill Impact(HideBeforeFile)'!C7</f>
        <v>RATE 1 - General Service Rate - Commercial</v>
      </c>
      <c r="E62" s="52"/>
      <c r="F62" s="172" t="s">
        <v>130</v>
      </c>
      <c r="G62" s="172"/>
      <c r="H62" s="172" t="s">
        <v>131</v>
      </c>
      <c r="I62" s="172"/>
      <c r="J62" s="172" t="s">
        <v>133</v>
      </c>
      <c r="O62" s="48" t="s">
        <v>132</v>
      </c>
    </row>
    <row r="63" spans="3:15" s="48" customFormat="1" ht="15" x14ac:dyDescent="0.2"/>
    <row r="64" spans="3:15" s="48" customFormat="1" ht="15" x14ac:dyDescent="0.2"/>
    <row r="65" spans="3:15" s="48" customFormat="1" ht="15" x14ac:dyDescent="0.2"/>
    <row r="66" spans="3:15" s="48" customFormat="1" ht="15" x14ac:dyDescent="0.2">
      <c r="C66" s="48" t="str">
        <f>INDEX('For Bill Impact(HideBeforeFile)'!$D$48:$O$57,MATCH(C62,'For Bill Impact(HideBeforeFile)'!$C$62:$C$71,0),MATCH($O66,'For Bill Impact(HideBeforeFile)'!$D$61:$O$61,0))</f>
        <v>Commodity</v>
      </c>
      <c r="D66" s="48" t="str">
        <f>INDEX('For Bill Impact(HideBeforeFile)'!$D$62:$O$71,MATCH(C62,'For Bill Impact(HideBeforeFile)'!$C$62:$C$71,0),MATCH($O66,'For Bill Impact(HideBeforeFile)'!$D$61:$O$61,0))</f>
        <v>cents / m3</v>
      </c>
      <c r="E66" s="169"/>
      <c r="F66" s="54">
        <f>INDEX('For Bill Impact(HideBeforeFile)'!$D$6:$O$15,MATCH(C62,'For Bill Impact(HideBeforeFile)'!$C$62:$C$71,0),MATCH($O66,'For Bill Impact(HideBeforeFile)'!$D$61:$O$61,0))</f>
        <v>13.264200000000001</v>
      </c>
      <c r="G66" s="169"/>
      <c r="H66" s="54">
        <f>INDEX('For Bill Impact(HideBeforeFile)'!$D$20:$O$29,MATCH(C62,'For Bill Impact(HideBeforeFile)'!$C$62:$C$71,0),MATCH($O66,'For Bill Impact(HideBeforeFile)'!$D$61:$O$61,0))</f>
        <v>13.264200000000001</v>
      </c>
      <c r="J66" s="57">
        <f>INDEX('For Bill Impact(HideBeforeFile)'!$D$34:$O$43,MATCH(C62,'For Bill Impact(HideBeforeFile)'!$C$62:$C$71,0),MATCH($O66,'For Bill Impact(HideBeforeFile)'!$D$61:$O$61,0))</f>
        <v>11854.476082474226</v>
      </c>
      <c r="O66" s="48" t="str">
        <f>'For Bill Impact(HideBeforeFile)'!$D$5</f>
        <v>Commodity</v>
      </c>
    </row>
    <row r="67" spans="3:15" s="48" customFormat="1" ht="15" x14ac:dyDescent="0.2"/>
    <row r="68" spans="3:15" s="48" customFormat="1" ht="15" x14ac:dyDescent="0.2">
      <c r="C68" s="48" t="str">
        <f>INDEX('For Bill Impact(HideBeforeFile)'!$D$48:$O$57,MATCH(C62,'For Bill Impact(HideBeforeFile)'!$C$62:$C$71,0),MATCH($O68,'For Bill Impact(HideBeforeFile)'!$D$61:$O$61,0))</f>
        <v>Customer (excl. Bill 32)</v>
      </c>
      <c r="D68" s="48" t="str">
        <f>INDEX('For Bill Impact(HideBeforeFile)'!$D$62:$O$71,MATCH(C62,'For Bill Impact(HideBeforeFile)'!$C$62:$C$71,0),MATCH($O68,'For Bill Impact(HideBeforeFile)'!$D$61:$O$61,0))</f>
        <v>$ / month</v>
      </c>
      <c r="E68" s="171"/>
      <c r="F68" s="170">
        <f>INDEX('For Bill Impact(HideBeforeFile)'!$D$6:$O$15,MATCH(C62,'For Bill Impact(HideBeforeFile)'!$C$62:$C$71,0),MATCH($O68,'For Bill Impact(HideBeforeFile)'!$D$61:$O$61,0))</f>
        <v>16.5</v>
      </c>
      <c r="G68" s="171"/>
      <c r="H68" s="170">
        <f>INDEX('For Bill Impact(HideBeforeFile)'!$D$20:$O$29,MATCH(C62,'For Bill Impact(HideBeforeFile)'!$C$62:$C$71,0),MATCH($O68,'For Bill Impact(HideBeforeFile)'!$D$61:$O$61,0))</f>
        <v>17.5</v>
      </c>
      <c r="J68" s="57">
        <f>INDEX('For Bill Impact(HideBeforeFile)'!$D$34:$O$43,MATCH(C62,'For Bill Impact(HideBeforeFile)'!$C$62:$C$71,0),MATCH($O68,'For Bill Impact(HideBeforeFile)'!$D$61:$O$61,0))</f>
        <v>12</v>
      </c>
      <c r="O68" s="48" t="str">
        <f>'For Bill Impact(HideBeforeFile)'!$K$5</f>
        <v>Dist. Customer Rate</v>
      </c>
    </row>
    <row r="69" spans="3:15" s="48" customFormat="1" ht="15" x14ac:dyDescent="0.2">
      <c r="C69" s="48" t="str">
        <f>INDEX('For Bill Impact(HideBeforeFile)'!$D$48:$O$57,MATCH(C62,'For Bill Impact(HideBeforeFile)'!$C$62:$C$71,0),MATCH($O69,'For Bill Impact(HideBeforeFile)'!$D$61:$O$61,0))</f>
        <v>Block 1 (First 1,000 m3 per month)</v>
      </c>
      <c r="D69" s="48" t="str">
        <f>INDEX('For Bill Impact(HideBeforeFile)'!$D$62:$O$71,MATCH(C62,'For Bill Impact(HideBeforeFile)'!$C$62:$C$71,0),MATCH($O69,'For Bill Impact(HideBeforeFile)'!$D$61:$O$61,0))</f>
        <v>cents / m3</v>
      </c>
      <c r="E69" s="169"/>
      <c r="F69" s="54">
        <f>INDEX('For Bill Impact(HideBeforeFile)'!$D$6:$O$15,MATCH(C62,'For Bill Impact(HideBeforeFile)'!$C$62:$C$71,0),MATCH($O69,'For Bill Impact(HideBeforeFile)'!$D$61:$O$61,0))</f>
        <v>13.381399999999999</v>
      </c>
      <c r="G69" s="169"/>
      <c r="H69" s="54">
        <f>INDEX('For Bill Impact(HideBeforeFile)'!$D$20:$O$29,MATCH(C62,'For Bill Impact(HideBeforeFile)'!$C$62:$C$71,0),MATCH($O69,'For Bill Impact(HideBeforeFile)'!$D$61:$O$61,0))</f>
        <v>13.52846228945657</v>
      </c>
      <c r="J69" s="57">
        <f>INDEX('For Bill Impact(HideBeforeFile)'!$D$34:$O$43,MATCH(C62,'For Bill Impact(HideBeforeFile)'!$C$62:$C$71,0),MATCH($O69,'For Bill Impact(HideBeforeFile)'!$D$61:$O$61,0))</f>
        <v>5361.8688659793816</v>
      </c>
      <c r="O69" s="48" t="str">
        <f>'For Bill Impact(HideBeforeFile)'!$L$5</f>
        <v>Dist. Vol. Rate Tier 1</v>
      </c>
    </row>
    <row r="70" spans="3:15" s="48" customFormat="1" ht="15" x14ac:dyDescent="0.2">
      <c r="C70" s="48" t="str">
        <f>INDEX('For Bill Impact(HideBeforeFile)'!$D$48:$O$57,MATCH(C62,'For Bill Impact(HideBeforeFile)'!$C$62:$C$71,0),MATCH($O70,'For Bill Impact(HideBeforeFile)'!$D$61:$O$61,0))</f>
        <v>Block 2 (Over 1,000 m3 per month)</v>
      </c>
      <c r="D70" s="48" t="str">
        <f>INDEX('For Bill Impact(HideBeforeFile)'!$D$62:$O$71,MATCH(C62,'For Bill Impact(HideBeforeFile)'!$C$62:$C$71,0),MATCH($O70,'For Bill Impact(HideBeforeFile)'!$D$61:$O$61,0))</f>
        <v>cents / m3</v>
      </c>
      <c r="E70" s="169"/>
      <c r="F70" s="54">
        <f>INDEX('For Bill Impact(HideBeforeFile)'!$D$6:$O$15,MATCH(C62,'For Bill Impact(HideBeforeFile)'!$C$62:$C$71,0),MATCH($O70,'For Bill Impact(HideBeforeFile)'!$D$61:$O$61,0))</f>
        <v>10.727499999999999</v>
      </c>
      <c r="G70" s="169"/>
      <c r="H70" s="54">
        <f>INDEX('For Bill Impact(HideBeforeFile)'!$D$20:$O$29,MATCH(C62,'For Bill Impact(HideBeforeFile)'!$C$62:$C$71,0),MATCH($O70,'For Bill Impact(HideBeforeFile)'!$D$61:$O$61,0))</f>
        <v>10.872913111134979</v>
      </c>
      <c r="J70" s="57">
        <f>INDEX('For Bill Impact(HideBeforeFile)'!$D$34:$O$43,MATCH(C62,'For Bill Impact(HideBeforeFile)'!$C$62:$C$71,0),MATCH($O70,'For Bill Impact(HideBeforeFile)'!$D$61:$O$61,0))</f>
        <v>6492.6072164948455</v>
      </c>
      <c r="O70" s="48" t="str">
        <f>'For Bill Impact(HideBeforeFile)'!$M$5</f>
        <v>Dist. Vol. Rate Tier 2</v>
      </c>
    </row>
    <row r="71" spans="3:15" s="48" customFormat="1" ht="15" x14ac:dyDescent="0.2">
      <c r="C71" s="48" t="str">
        <f>INDEX('For Bill Impact(HideBeforeFile)'!$D$48:$O$57,MATCH(C62,'For Bill Impact(HideBeforeFile)'!$C$62:$C$71,0),MATCH($O71,'For Bill Impact(HideBeforeFile)'!$D$61:$O$61,0))</f>
        <v/>
      </c>
      <c r="D71" s="48" t="str">
        <f>INDEX('For Bill Impact(HideBeforeFile)'!$D$62:$O$71,MATCH(C62,'For Bill Impact(HideBeforeFile)'!$C$62:$C$71,0),MATCH($O71,'For Bill Impact(HideBeforeFile)'!$D$61:$O$61,0))</f>
        <v/>
      </c>
      <c r="E71" s="169"/>
      <c r="F71" s="54" t="str">
        <f>INDEX('For Bill Impact(HideBeforeFile)'!$D$6:$O$15,MATCH(C62,'For Bill Impact(HideBeforeFile)'!$C$62:$C$71,0),MATCH($O71,'For Bill Impact(HideBeforeFile)'!$D$61:$O$61,0))</f>
        <v/>
      </c>
      <c r="G71" s="169"/>
      <c r="H71" s="54" t="str">
        <f>INDEX('For Bill Impact(HideBeforeFile)'!$D$20:$O$29,MATCH(C62,'For Bill Impact(HideBeforeFile)'!$C$62:$C$71,0),MATCH($O71,'For Bill Impact(HideBeforeFile)'!$D$61:$O$61,0))</f>
        <v/>
      </c>
      <c r="J71" s="57" t="str">
        <f>INDEX('For Bill Impact(HideBeforeFile)'!$D$34:$O$43,MATCH(C62,'For Bill Impact(HideBeforeFile)'!$C$62:$C$71,0),MATCH($O71,'For Bill Impact(HideBeforeFile)'!$D$61:$O$61,0))</f>
        <v/>
      </c>
      <c r="O71" s="48" t="str">
        <f>'For Bill Impact(HideBeforeFile)'!$N$5</f>
        <v>Dist. Vol. Rate Tier 3</v>
      </c>
    </row>
    <row r="72" spans="3:15" s="48" customFormat="1" ht="15" x14ac:dyDescent="0.2">
      <c r="C72" s="48" t="str">
        <f>INDEX('For Bill Impact(HideBeforeFile)'!$D$48:$O$57,MATCH(C62,'For Bill Impact(HideBeforeFile)'!$C$62:$C$71,0),MATCH($O72,'For Bill Impact(HideBeforeFile)'!$D$61:$O$61,0))</f>
        <v/>
      </c>
      <c r="D72" s="48" t="str">
        <f>INDEX('For Bill Impact(HideBeforeFile)'!$D$62:$O$71,MATCH(C62,'For Bill Impact(HideBeforeFile)'!$C$62:$C$71,0),MATCH($O72,'For Bill Impact(HideBeforeFile)'!$D$61:$O$61,0))</f>
        <v/>
      </c>
      <c r="E72" s="169"/>
      <c r="F72" s="54" t="str">
        <f>INDEX('For Bill Impact(HideBeforeFile)'!$D$6:$O$15,MATCH(C62,'For Bill Impact(HideBeforeFile)'!$C$62:$C$71,0),MATCH($O72,'For Bill Impact(HideBeforeFile)'!$D$61:$O$61,0))</f>
        <v/>
      </c>
      <c r="G72" s="169"/>
      <c r="H72" s="54" t="str">
        <f>INDEX('For Bill Impact(HideBeforeFile)'!$D$20:$O$29,MATCH(C62,'For Bill Impact(HideBeforeFile)'!$C$62:$C$71,0),MATCH($O72,'For Bill Impact(HideBeforeFile)'!$D$61:$O$61,0))</f>
        <v/>
      </c>
      <c r="J72" s="57" t="str">
        <f>INDEX('For Bill Impact(HideBeforeFile)'!$D$34:$O$43,MATCH(C62,'For Bill Impact(HideBeforeFile)'!$C$62:$C$71,0),MATCH($O72,'For Bill Impact(HideBeforeFile)'!$D$61:$O$61,0))</f>
        <v/>
      </c>
      <c r="O72" s="48" t="str">
        <f>'For Bill Impact(HideBeforeFile)'!$O$5</f>
        <v>Dist. Capacity Rate</v>
      </c>
    </row>
    <row r="73" spans="3:15" s="48" customFormat="1" ht="15" x14ac:dyDescent="0.2">
      <c r="C73" s="48" t="str">
        <f>INDEX('For Bill Impact(HideBeforeFile)'!$D$48:$O$57,MATCH(C62,'For Bill Impact(HideBeforeFile)'!$C$62:$C$71,0),MATCH($O73,'For Bill Impact(HideBeforeFile)'!$D$61:$O$61,0))</f>
        <v>System Gas Charge</v>
      </c>
      <c r="D73" s="48" t="str">
        <f>INDEX('For Bill Impact(HideBeforeFile)'!$D$62:$O$71,MATCH(C62,'For Bill Impact(HideBeforeFile)'!$C$62:$C$71,0),MATCH($O73,'For Bill Impact(HideBeforeFile)'!$D$61:$O$61,0))</f>
        <v>cents / m3</v>
      </c>
      <c r="E73" s="169"/>
      <c r="F73" s="54">
        <f>INDEX('For Bill Impact(HideBeforeFile)'!$D$6:$O$15,MATCH(C62,'For Bill Impact(HideBeforeFile)'!$C$62:$C$71,0),MATCH($O73,'For Bill Impact(HideBeforeFile)'!$D$61:$O$61,0))</f>
        <v>4.3499999999999997E-2</v>
      </c>
      <c r="G73" s="169"/>
      <c r="H73" s="54">
        <f>INDEX('For Bill Impact(HideBeforeFile)'!$D$20:$O$29,MATCH(C62,'For Bill Impact(HideBeforeFile)'!$C$62:$C$71,0),MATCH($O73,'For Bill Impact(HideBeforeFile)'!$D$61:$O$61,0))</f>
        <v>4.3499999999999997E-2</v>
      </c>
      <c r="J73" s="57">
        <f>INDEX('For Bill Impact(HideBeforeFile)'!$D$34:$O$43,MATCH(C62,'For Bill Impact(HideBeforeFile)'!$C$62:$C$71,0),MATCH($O73,'For Bill Impact(HideBeforeFile)'!$D$61:$O$61,0))</f>
        <v>11854.476082474226</v>
      </c>
      <c r="O73" s="48" t="str">
        <f>'For Bill Impact(HideBeforeFile)'!$E$5</f>
        <v>System Gas</v>
      </c>
    </row>
    <row r="74" spans="3:15" s="48" customFormat="1" ht="15" x14ac:dyDescent="0.2"/>
    <row r="75" spans="3:15" s="48" customFormat="1" ht="15" x14ac:dyDescent="0.2">
      <c r="C75" s="48" t="str">
        <f>INDEX('For Bill Impact(HideBeforeFile)'!$D$48:$O$57,MATCH(C62,'For Bill Impact(HideBeforeFile)'!$C$62:$C$71,0),MATCH($O75,'For Bill Impact(HideBeforeFile)'!$D$61:$O$61,0))</f>
        <v>REDA</v>
      </c>
      <c r="D75" s="48" t="str">
        <f>INDEX('For Bill Impact(HideBeforeFile)'!$D$62:$O$71,MATCH(C62,'For Bill Impact(HideBeforeFile)'!$C$62:$C$71,0),MATCH($O75,'For Bill Impact(HideBeforeFile)'!$D$61:$O$61,0))</f>
        <v>$ / month</v>
      </c>
      <c r="E75" s="171"/>
      <c r="F75" s="170">
        <f>INDEX('For Bill Impact(HideBeforeFile)'!$D$6:$O$15,MATCH(C62,'For Bill Impact(HideBeforeFile)'!$C$62:$C$71,0),MATCH($O75,'For Bill Impact(HideBeforeFile)'!$D$61:$O$61,0))</f>
        <v>0.59</v>
      </c>
      <c r="G75" s="171"/>
      <c r="H75" s="170">
        <f>INDEX('For Bill Impact(HideBeforeFile)'!$D$20:$O$29,MATCH(C62,'For Bill Impact(HideBeforeFile)'!$C$62:$C$71,0),MATCH($O75,'For Bill Impact(HideBeforeFile)'!$D$61:$O$61,0))</f>
        <v>0.76971281184715468</v>
      </c>
      <c r="J75" s="57">
        <f>INDEX('For Bill Impact(HideBeforeFile)'!$D$34:$O$43,MATCH(C62,'For Bill Impact(HideBeforeFile)'!$C$62:$C$71,0),MATCH($O75,'For Bill Impact(HideBeforeFile)'!$D$61:$O$61,0))</f>
        <v>12</v>
      </c>
      <c r="O75" s="48" t="str">
        <f>'For Bill Impact(HideBeforeFile)'!$F$5</f>
        <v>REDA</v>
      </c>
    </row>
    <row r="76" spans="3:15" s="48" customFormat="1" ht="15" x14ac:dyDescent="0.2">
      <c r="C76" s="48" t="str">
        <f>INDEX('For Bill Impact(HideBeforeFile)'!$D$48:$O$57,MATCH(C62,'For Bill Impact(HideBeforeFile)'!$C$62:$C$71,0),MATCH($O76,'For Bill Impact(HideBeforeFile)'!$D$61:$O$61,0))</f>
        <v>PGTVA</v>
      </c>
      <c r="D76" s="48" t="str">
        <f>INDEX('For Bill Impact(HideBeforeFile)'!$D$62:$O$71,MATCH(C62,'For Bill Impact(HideBeforeFile)'!$C$62:$C$71,0),MATCH($O76,'For Bill Impact(HideBeforeFile)'!$D$61:$O$61,0))</f>
        <v>cents / m3</v>
      </c>
      <c r="E76" s="169"/>
      <c r="F76" s="54">
        <f>INDEX('For Bill Impact(HideBeforeFile)'!$D$6:$O$15,MATCH(C62,'For Bill Impact(HideBeforeFile)'!$C$62:$C$71,0),MATCH($O76,'For Bill Impact(HideBeforeFile)'!$D$61:$O$61,0))</f>
        <v>0.128</v>
      </c>
      <c r="G76" s="169"/>
      <c r="H76" s="54">
        <f>INDEX('For Bill Impact(HideBeforeFile)'!$D$20:$O$29,MATCH(C62,'For Bill Impact(HideBeforeFile)'!$C$62:$C$71,0),MATCH($O76,'For Bill Impact(HideBeforeFile)'!$D$61:$O$61,0))</f>
        <v>0.30664420626329603</v>
      </c>
      <c r="J76" s="57">
        <f>INDEX('For Bill Impact(HideBeforeFile)'!$D$34:$O$43,MATCH(C62,'For Bill Impact(HideBeforeFile)'!$C$62:$C$71,0),MATCH($O76,'For Bill Impact(HideBeforeFile)'!$D$61:$O$61,0))</f>
        <v>11854.476082474226</v>
      </c>
      <c r="O76" s="48" t="str">
        <f>'For Bill Impact(HideBeforeFile)'!$G$5</f>
        <v>PGTVA</v>
      </c>
    </row>
    <row r="77" spans="3:15" s="48" customFormat="1" ht="15" x14ac:dyDescent="0.2">
      <c r="C77" s="48" t="str">
        <f>INDEX('For Bill Impact(HideBeforeFile)'!$D$48:$O$57,MATCH(C62,'For Bill Impact(HideBeforeFile)'!$C$62:$C$71,0),MATCH($O77,'For Bill Impact(HideBeforeFile)'!$D$61:$O$61,0))</f>
        <v>ADVADA</v>
      </c>
      <c r="D77" s="48" t="str">
        <f>INDEX('For Bill Impact(HideBeforeFile)'!$D$62:$O$71,MATCH(C62,'For Bill Impact(HideBeforeFile)'!$C$62:$C$71,0),MATCH($O77,'For Bill Impact(HideBeforeFile)'!$D$61:$O$61,0))</f>
        <v>cents / m3</v>
      </c>
      <c r="F77" s="54" t="str">
        <f>INDEX('For Bill Impact(HideBeforeFile)'!$D$6:$O$15,MATCH(C62,'For Bill Impact(HideBeforeFile)'!$C$62:$C$71,0),MATCH($O77,'For Bill Impact(HideBeforeFile)'!$D$61:$O$61,0))</f>
        <v/>
      </c>
      <c r="H77" s="54">
        <f>INDEX('For Bill Impact(HideBeforeFile)'!$D$20:$O$29,MATCH(C62,'For Bill Impact(HideBeforeFile)'!$C$62:$C$71,0),MATCH($O77,'For Bill Impact(HideBeforeFile)'!$D$61:$O$61,0))</f>
        <v>0.14841821245417633</v>
      </c>
      <c r="J77" s="57">
        <f>INDEX('For Bill Impact(HideBeforeFile)'!$D$34:$O$43,MATCH(C62,'For Bill Impact(HideBeforeFile)'!$C$62:$C$71,0),MATCH($O77,'For Bill Impact(HideBeforeFile)'!$D$61:$O$61,0))</f>
        <v>11854.476082474226</v>
      </c>
      <c r="O77" s="48" t="str">
        <f>'For Bill Impact(HideBeforeFile)'!$H$5</f>
        <v>ADVADA</v>
      </c>
    </row>
    <row r="78" spans="3:15" s="48" customFormat="1" ht="15" x14ac:dyDescent="0.2"/>
    <row r="79" spans="3:15" s="48" customFormat="1" ht="15.75" x14ac:dyDescent="0.25">
      <c r="C79" s="48" t="str">
        <f>INDEX('For Bill Impact(HideBeforeFile)'!$D$48:$O$57,MATCH(C62,'For Bill Impact(HideBeforeFile)'!$C$62:$C$71,0),MATCH($O79,'For Bill Impact(HideBeforeFile)'!$D$61:$O$61,0))</f>
        <v>Federal Carbon</v>
      </c>
      <c r="D79" s="48" t="str">
        <f>INDEX('For Bill Impact(HideBeforeFile)'!$D$62:$O$71,MATCH(C62,'For Bill Impact(HideBeforeFile)'!$C$62:$C$71,0),MATCH($O79,'For Bill Impact(HideBeforeFile)'!$D$61:$O$61,0))</f>
        <v>cents / m3</v>
      </c>
      <c r="E79" s="169"/>
      <c r="F79" s="54">
        <f>INDEX('For Bill Impact(HideBeforeFile)'!$D$6:$O$15,MATCH(C62,'For Bill Impact(HideBeforeFile)'!$C$62:$C$71,0),MATCH($O79,'For Bill Impact(HideBeforeFile)'!$D$61:$O$61,0))</f>
        <v>5.87</v>
      </c>
      <c r="G79" s="169"/>
      <c r="H79" s="54">
        <f>INDEX('For Bill Impact(HideBeforeFile)'!$D$20:$O$29,MATCH(C62,'For Bill Impact(HideBeforeFile)'!$C$62:$C$71,0),MATCH($O79,'For Bill Impact(HideBeforeFile)'!$D$61:$O$61,0))</f>
        <v>5.87</v>
      </c>
      <c r="J79" s="57">
        <f>INDEX('For Bill Impact(HideBeforeFile)'!$D$34:$O$43,MATCH(C62,'For Bill Impact(HideBeforeFile)'!$C$62:$C$71,0),MATCH($O79,'For Bill Impact(HideBeforeFile)'!$D$61:$O$61,0))</f>
        <v>11854.476082474226</v>
      </c>
      <c r="N79" s="16"/>
      <c r="O79" s="48" t="str">
        <f>'For Bill Impact(HideBeforeFile)'!$I$5</f>
        <v>Federal Carbon</v>
      </c>
    </row>
    <row r="80" spans="3:15" s="48" customFormat="1" ht="15" x14ac:dyDescent="0.2">
      <c r="C80" s="48" t="str">
        <f>INDEX('For Bill Impact(HideBeforeFile)'!$D$48:$O$57,MATCH(C62,'For Bill Impact(HideBeforeFile)'!$C$62:$C$71,0),MATCH($O80,'For Bill Impact(HideBeforeFile)'!$D$61:$O$61,0))</f>
        <v>Facility Carbon</v>
      </c>
      <c r="D80" s="48" t="str">
        <f>INDEX('For Bill Impact(HideBeforeFile)'!$D$62:$O$71,MATCH(C62,'For Bill Impact(HideBeforeFile)'!$C$62:$C$71,0),MATCH($O80,'For Bill Impact(HideBeforeFile)'!$D$61:$O$61,0))</f>
        <v>cents / m3</v>
      </c>
      <c r="E80" s="169"/>
      <c r="F80" s="54">
        <f>INDEX('For Bill Impact(HideBeforeFile)'!$D$6:$O$15,MATCH(C62,'For Bill Impact(HideBeforeFile)'!$C$62:$C$71,0),MATCH($O80,'For Bill Impact(HideBeforeFile)'!$D$61:$O$61,0))</f>
        <v>2.7000000000000001E-3</v>
      </c>
      <c r="G80" s="169"/>
      <c r="H80" s="54">
        <f>INDEX('For Bill Impact(HideBeforeFile)'!$D$20:$O$29,MATCH(C62,'For Bill Impact(HideBeforeFile)'!$C$62:$C$71,0),MATCH($O80,'For Bill Impact(HideBeforeFile)'!$D$61:$O$61,0))</f>
        <v>2.7000000000000001E-3</v>
      </c>
      <c r="J80" s="57">
        <f>INDEX('For Bill Impact(HideBeforeFile)'!$D$34:$O$43,MATCH(C62,'For Bill Impact(HideBeforeFile)'!$C$62:$C$71,0),MATCH($O80,'For Bill Impact(HideBeforeFile)'!$D$61:$O$61,0))</f>
        <v>11854.476082474226</v>
      </c>
      <c r="O80" s="48" t="str">
        <f>'For Bill Impact(HideBeforeFile)'!$J$5</f>
        <v>Facility Carbon</v>
      </c>
    </row>
    <row r="81" spans="3:12" s="48" customFormat="1" ht="15" x14ac:dyDescent="0.2"/>
    <row r="82" spans="3:12" s="48" customFormat="1" ht="15" x14ac:dyDescent="0.2"/>
    <row r="83" spans="3:12" s="48" customFormat="1" ht="15.75" x14ac:dyDescent="0.25">
      <c r="C83" s="17" t="s">
        <v>8</v>
      </c>
      <c r="E83" s="52"/>
      <c r="F83" s="172" t="s">
        <v>130</v>
      </c>
      <c r="G83" s="172"/>
      <c r="H83" s="172" t="s">
        <v>131</v>
      </c>
      <c r="J83" s="48" t="s">
        <v>55</v>
      </c>
      <c r="L83" s="56" t="s">
        <v>56</v>
      </c>
    </row>
    <row r="84" spans="3:12" s="48" customFormat="1" ht="15" x14ac:dyDescent="0.2">
      <c r="F84" s="58">
        <f>F66*$J66/100</f>
        <v>1572.4014165315464</v>
      </c>
      <c r="G84" s="171"/>
      <c r="H84" s="58">
        <f>H66*$J66/100</f>
        <v>1572.4014165315464</v>
      </c>
      <c r="J84" s="53">
        <f>H84-F84</f>
        <v>0</v>
      </c>
      <c r="L84" s="59">
        <f>IFERROR(J84/F84,"")</f>
        <v>0</v>
      </c>
    </row>
    <row r="85" spans="3:12" s="48" customFormat="1" ht="15" x14ac:dyDescent="0.2"/>
    <row r="86" spans="3:12" s="48" customFormat="1" ht="15.75" x14ac:dyDescent="0.25">
      <c r="C86" s="17" t="s">
        <v>68</v>
      </c>
      <c r="E86" s="52"/>
      <c r="F86" s="52" t="s">
        <v>35</v>
      </c>
      <c r="G86" s="52"/>
      <c r="H86" s="52" t="s">
        <v>52</v>
      </c>
      <c r="J86" s="48" t="s">
        <v>55</v>
      </c>
      <c r="L86" s="56" t="s">
        <v>56</v>
      </c>
    </row>
    <row r="87" spans="3:12" s="48" customFormat="1" ht="15" x14ac:dyDescent="0.2">
      <c r="C87" s="47" t="str">
        <f>IF(C68&lt;&gt;"",C68,"")</f>
        <v>Customer (excl. Bill 32)</v>
      </c>
      <c r="F87" s="58">
        <f>F68*$J68</f>
        <v>198</v>
      </c>
      <c r="G87" s="171"/>
      <c r="H87" s="58">
        <f>H68*$J68</f>
        <v>210</v>
      </c>
      <c r="J87" s="53">
        <f>IFERROR(H87-F87,"")</f>
        <v>12</v>
      </c>
      <c r="L87" s="59">
        <f>IFERROR(J87/F87,"")</f>
        <v>6.0606060606060608E-2</v>
      </c>
    </row>
    <row r="88" spans="3:12" s="48" customFormat="1" ht="15" x14ac:dyDescent="0.2">
      <c r="C88" s="47" t="s">
        <v>149</v>
      </c>
      <c r="F88" s="58">
        <v>12</v>
      </c>
      <c r="G88" s="171"/>
      <c r="H88" s="58">
        <v>12</v>
      </c>
      <c r="J88" s="53">
        <f>IFERROR(H88-F88,"")</f>
        <v>0</v>
      </c>
      <c r="L88" s="59">
        <f>IFERROR(J88/F88,"")</f>
        <v>0</v>
      </c>
    </row>
    <row r="89" spans="3:12" s="48" customFormat="1" ht="15" x14ac:dyDescent="0.2">
      <c r="C89" s="47" t="str">
        <f>IF(C69&lt;&gt;"",C69,"")</f>
        <v>Block 1 (First 1,000 m3 per month)</v>
      </c>
      <c r="F89" s="58">
        <f>IFERROR(F69*$J69/100,"")</f>
        <v>717.49312043216491</v>
      </c>
      <c r="H89" s="58">
        <f>IFERROR(H69*$J69/100,"")</f>
        <v>725.37840754413321</v>
      </c>
      <c r="J89" s="53">
        <f t="shared" ref="J89:J93" si="9">IFERROR(H89-F89,"")</f>
        <v>7.8852871119682959</v>
      </c>
      <c r="L89" s="59">
        <f t="shared" ref="L89:L93" si="10">IFERROR(J89/F89,"")</f>
        <v>1.0990052569728865E-2</v>
      </c>
    </row>
    <row r="90" spans="3:12" s="48" customFormat="1" ht="15" x14ac:dyDescent="0.2">
      <c r="C90" s="47" t="str">
        <f>IF(C70&lt;&gt;"",C70,"")</f>
        <v>Block 2 (Over 1,000 m3 per month)</v>
      </c>
      <c r="F90" s="58">
        <f>IFERROR(F70*$J70/100,"")</f>
        <v>696.49443914948449</v>
      </c>
      <c r="H90" s="58">
        <f>IFERROR(H70*$J70/100,"")</f>
        <v>705.93554129676386</v>
      </c>
      <c r="J90" s="53">
        <f t="shared" si="9"/>
        <v>9.4411021472793664</v>
      </c>
      <c r="L90" s="59">
        <f t="shared" si="10"/>
        <v>1.3555172326728482E-2</v>
      </c>
    </row>
    <row r="91" spans="3:12" s="48" customFormat="1" ht="15" x14ac:dyDescent="0.2">
      <c r="C91" s="47" t="str">
        <f>IF(C71&lt;&gt;"",C71,"")</f>
        <v/>
      </c>
      <c r="F91" s="58" t="str">
        <f>IFERROR(F71*$J71/100,"")</f>
        <v/>
      </c>
      <c r="H91" s="58" t="str">
        <f>IFERROR(H71*$J71/100,"")</f>
        <v/>
      </c>
      <c r="J91" s="53" t="str">
        <f t="shared" si="9"/>
        <v/>
      </c>
      <c r="L91" s="59" t="str">
        <f t="shared" si="10"/>
        <v/>
      </c>
    </row>
    <row r="92" spans="3:12" s="48" customFormat="1" ht="15" x14ac:dyDescent="0.2">
      <c r="C92" s="47" t="str">
        <f>IF(C72&lt;&gt;"",C72,"")</f>
        <v/>
      </c>
      <c r="F92" s="58" t="str">
        <f>IFERROR(F72*$J72/100,"")</f>
        <v/>
      </c>
      <c r="H92" s="58" t="str">
        <f>IFERROR(H72*$J72/100,"")</f>
        <v/>
      </c>
      <c r="J92" s="53" t="str">
        <f t="shared" si="9"/>
        <v/>
      </c>
      <c r="L92" s="59" t="str">
        <f t="shared" si="10"/>
        <v/>
      </c>
    </row>
    <row r="93" spans="3:12" s="48" customFormat="1" ht="15" x14ac:dyDescent="0.2">
      <c r="C93" s="47" t="str">
        <f>IF(C73&lt;&gt;"",C73,"")</f>
        <v>System Gas Charge</v>
      </c>
      <c r="F93" s="58">
        <f>IFERROR(F73*$J73/100,"")</f>
        <v>5.1566970958762877</v>
      </c>
      <c r="H93" s="58">
        <f>IFERROR(H73*$J73/100,"")</f>
        <v>5.1566970958762877</v>
      </c>
      <c r="J93" s="53">
        <f t="shared" si="9"/>
        <v>0</v>
      </c>
      <c r="L93" s="59">
        <f t="shared" si="10"/>
        <v>0</v>
      </c>
    </row>
    <row r="94" spans="3:12" s="48" customFormat="1" ht="15.75" x14ac:dyDescent="0.25">
      <c r="C94" s="17" t="s">
        <v>54</v>
      </c>
      <c r="F94" s="35">
        <f>SUM(F87:F93)</f>
        <v>1629.1442566775256</v>
      </c>
      <c r="H94" s="35">
        <f>SUM(H87:H93)</f>
        <v>1658.4706459367733</v>
      </c>
      <c r="J94" s="36">
        <f t="shared" ref="J94" si="11">H94-F94</f>
        <v>29.326389259247662</v>
      </c>
      <c r="L94" s="37">
        <f>IF(ISERROR(J94/F94),0,J94/F94)</f>
        <v>1.8001100356242153E-2</v>
      </c>
    </row>
    <row r="95" spans="3:12" s="48" customFormat="1" ht="15" x14ac:dyDescent="0.2"/>
    <row r="96" spans="3:12" s="48" customFormat="1" ht="15.75" x14ac:dyDescent="0.25">
      <c r="C96" s="17" t="s">
        <v>67</v>
      </c>
    </row>
    <row r="97" spans="3:12" s="48" customFormat="1" ht="15" x14ac:dyDescent="0.2"/>
    <row r="98" spans="3:12" s="48" customFormat="1" ht="15.75" x14ac:dyDescent="0.25">
      <c r="C98" s="17" t="s">
        <v>67</v>
      </c>
      <c r="E98" s="52"/>
      <c r="F98" s="52" t="s">
        <v>35</v>
      </c>
      <c r="G98" s="52"/>
      <c r="H98" s="52" t="s">
        <v>52</v>
      </c>
      <c r="J98" s="48" t="s">
        <v>55</v>
      </c>
      <c r="L98" s="56" t="s">
        <v>56</v>
      </c>
    </row>
    <row r="99" spans="3:12" s="48" customFormat="1" ht="15" x14ac:dyDescent="0.2">
      <c r="C99" s="48" t="s">
        <v>99</v>
      </c>
      <c r="E99" s="60"/>
      <c r="F99" s="58">
        <f>F75*$J75</f>
        <v>7.08</v>
      </c>
      <c r="G99" s="60"/>
      <c r="H99" s="58">
        <f>H75*$J75</f>
        <v>9.2365537421658566</v>
      </c>
      <c r="I99" s="60"/>
      <c r="J99" s="53">
        <f>IFERROR(H99-F99,"")</f>
        <v>2.1565537421658565</v>
      </c>
      <c r="L99" s="59">
        <f t="shared" ref="L99:L100" si="12">IFERROR(J99/F99,"")</f>
        <v>0.30459798618161815</v>
      </c>
    </row>
    <row r="100" spans="3:12" s="48" customFormat="1" ht="15" x14ac:dyDescent="0.2">
      <c r="C100" s="48" t="s">
        <v>98</v>
      </c>
      <c r="E100" s="60"/>
      <c r="F100" s="55">
        <f>IFERROR(F76*$J76/100,"")</f>
        <v>15.173729385567009</v>
      </c>
      <c r="G100" s="60"/>
      <c r="H100" s="55">
        <f>IFERROR(H76*$J76/100,"")</f>
        <v>36.351064089775356</v>
      </c>
      <c r="I100" s="60"/>
      <c r="J100" s="53">
        <f t="shared" ref="J100" si="13">IFERROR(H100-F100,"")</f>
        <v>21.177334704208349</v>
      </c>
      <c r="L100" s="59">
        <f t="shared" si="12"/>
        <v>1.3956578614320001</v>
      </c>
    </row>
    <row r="101" spans="3:12" s="48" customFormat="1" ht="15" x14ac:dyDescent="0.2">
      <c r="C101" s="48" t="s">
        <v>100</v>
      </c>
      <c r="E101" s="60"/>
      <c r="F101" s="55" t="str">
        <f>IFERROR(F77*$J77/100,"")</f>
        <v/>
      </c>
      <c r="G101" s="60"/>
      <c r="H101" s="55">
        <f>IFERROR(H77*$J77/100,"")</f>
        <v>17.594201497416115</v>
      </c>
      <c r="I101" s="60"/>
      <c r="J101" s="53">
        <f>H101</f>
        <v>17.594201497416115</v>
      </c>
      <c r="L101" s="59">
        <f>J101/H101</f>
        <v>1</v>
      </c>
    </row>
    <row r="102" spans="3:12" s="48" customFormat="1" ht="15.75" x14ac:dyDescent="0.25">
      <c r="C102" s="20" t="s">
        <v>69</v>
      </c>
      <c r="F102" s="38">
        <f>SUM(F99:F101)</f>
        <v>22.253729385567009</v>
      </c>
      <c r="H102" s="38">
        <f>SUM(H99:H101)</f>
        <v>63.181819329357332</v>
      </c>
      <c r="J102" s="38">
        <f>SUM(J99:J101)</f>
        <v>40.928089943790319</v>
      </c>
      <c r="L102" s="37">
        <f t="shared" ref="L102" si="14">IF(ISERROR(J102/F102),0,J102/F102)</f>
        <v>1.8391564503491646</v>
      </c>
    </row>
    <row r="103" spans="3:12" s="48" customFormat="1" ht="15" x14ac:dyDescent="0.2">
      <c r="C103" s="47"/>
    </row>
    <row r="104" spans="3:12" s="48" customFormat="1" ht="15.75" x14ac:dyDescent="0.25">
      <c r="C104" s="17" t="s">
        <v>108</v>
      </c>
    </row>
    <row r="105" spans="3:12" s="48" customFormat="1" ht="15" x14ac:dyDescent="0.2">
      <c r="C105" s="47" t="s">
        <v>134</v>
      </c>
      <c r="F105" s="58">
        <f>F79*$J79/100</f>
        <v>695.85774604123708</v>
      </c>
      <c r="G105" s="60"/>
      <c r="H105" s="58">
        <f>H79*$J79/100</f>
        <v>695.85774604123708</v>
      </c>
      <c r="J105" s="53">
        <f>IFERROR(H105-F105,"")</f>
        <v>0</v>
      </c>
      <c r="L105" s="59">
        <f t="shared" ref="L105:L106" si="15">IFERROR(J105/F105,"")</f>
        <v>0</v>
      </c>
    </row>
    <row r="106" spans="3:12" s="48" customFormat="1" ht="15" x14ac:dyDescent="0.2">
      <c r="C106" s="47" t="s">
        <v>135</v>
      </c>
      <c r="F106" s="58">
        <f>F80*$J80/100</f>
        <v>0.32007085422680409</v>
      </c>
      <c r="G106" s="60"/>
      <c r="H106" s="58">
        <f>H80*$J80/100</f>
        <v>0.32007085422680409</v>
      </c>
      <c r="J106" s="53">
        <f>IFERROR(H106-F106,"")</f>
        <v>0</v>
      </c>
      <c r="L106" s="59">
        <f t="shared" si="15"/>
        <v>0</v>
      </c>
    </row>
    <row r="107" spans="3:12" s="48" customFormat="1" ht="18" customHeight="1" x14ac:dyDescent="0.25">
      <c r="C107" s="20" t="s">
        <v>136</v>
      </c>
      <c r="F107" s="38">
        <f>SUM(F105:F106)</f>
        <v>696.17781689546393</v>
      </c>
      <c r="H107" s="38">
        <f>SUM(H105:H106)</f>
        <v>696.17781689546393</v>
      </c>
      <c r="J107" s="38">
        <f>SUM(J105:J106)</f>
        <v>0</v>
      </c>
      <c r="L107" s="37">
        <f t="shared" ref="L107" si="16">IF(ISERROR(J107/F107),0,J107/F107)</f>
        <v>0</v>
      </c>
    </row>
    <row r="108" spans="3:12" s="48" customFormat="1" ht="18" customHeight="1" x14ac:dyDescent="0.2">
      <c r="C108" s="47"/>
    </row>
    <row r="109" spans="3:12" s="48" customFormat="1" ht="16.5" thickBot="1" x14ac:dyDescent="0.3">
      <c r="C109" s="20" t="s">
        <v>70</v>
      </c>
      <c r="F109" s="39">
        <f>SUM(F84,F94,F102,F107)</f>
        <v>3919.9772194901029</v>
      </c>
      <c r="H109" s="39">
        <f>SUM(H84,H94,H102,H107)</f>
        <v>3990.231698693141</v>
      </c>
      <c r="J109" s="39">
        <f>SUM(J84,J94,J102,J107)</f>
        <v>70.254479203037988</v>
      </c>
      <c r="L109" s="40">
        <f t="shared" ref="L109" si="17">IFERROR(J109/F109,"")</f>
        <v>1.7922165173239565E-2</v>
      </c>
    </row>
    <row r="110" spans="3:12" s="48" customFormat="1" ht="15.75" x14ac:dyDescent="0.25">
      <c r="C110" s="20"/>
      <c r="E110" s="122"/>
      <c r="F110" s="121"/>
      <c r="G110" s="122"/>
      <c r="H110" s="121"/>
      <c r="I110" s="122"/>
      <c r="J110" s="123"/>
      <c r="K110" s="122"/>
      <c r="L110" s="124"/>
    </row>
    <row r="111" spans="3:12" s="48" customFormat="1" ht="15.75" x14ac:dyDescent="0.25">
      <c r="C111" s="20"/>
      <c r="E111" s="122"/>
      <c r="F111" s="121"/>
      <c r="G111" s="122"/>
      <c r="H111" s="121"/>
      <c r="I111" s="122"/>
      <c r="J111" s="123"/>
      <c r="K111" s="122"/>
      <c r="L111" s="124"/>
    </row>
    <row r="112" spans="3:12" s="48" customFormat="1" ht="15.75" customHeight="1" x14ac:dyDescent="0.25">
      <c r="C112" s="116" t="str">
        <f ca="1">MID(CELL("filename",A53),FIND("]",CELL("filename",A53))+1,255)</f>
        <v>G1.1 Rate 1 Bill Impact</v>
      </c>
      <c r="E112" s="122"/>
      <c r="F112" s="121"/>
      <c r="G112" s="122"/>
      <c r="H112" s="121"/>
      <c r="I112" s="122"/>
      <c r="J112" s="123"/>
      <c r="K112" s="122"/>
      <c r="L112" s="124"/>
    </row>
    <row r="113" spans="3:15" s="48" customFormat="1" ht="15.75" customHeight="1" x14ac:dyDescent="0.25">
      <c r="C113" s="116"/>
      <c r="E113" s="122"/>
      <c r="F113" s="121"/>
      <c r="G113" s="122"/>
      <c r="H113" s="121"/>
      <c r="I113" s="122"/>
      <c r="J113" s="123"/>
      <c r="K113" s="122"/>
      <c r="L113" s="124"/>
    </row>
    <row r="114" spans="3:15" s="48" customFormat="1" ht="20.25" x14ac:dyDescent="0.3">
      <c r="C114" s="3" t="str">
        <f>'For Bill Impact(HideBeforeFile)'!C8</f>
        <v>RATE 1 - General Service Rate - Industrial</v>
      </c>
      <c r="E114" s="52"/>
      <c r="F114" s="172" t="s">
        <v>130</v>
      </c>
      <c r="G114" s="172"/>
      <c r="H114" s="172" t="s">
        <v>131</v>
      </c>
      <c r="I114" s="172"/>
      <c r="J114" s="172" t="s">
        <v>133</v>
      </c>
      <c r="O114" s="48" t="s">
        <v>132</v>
      </c>
    </row>
    <row r="115" spans="3:15" s="48" customFormat="1" ht="15" x14ac:dyDescent="0.2"/>
    <row r="116" spans="3:15" s="48" customFormat="1" ht="15" x14ac:dyDescent="0.2"/>
    <row r="117" spans="3:15" s="48" customFormat="1" ht="15" x14ac:dyDescent="0.2"/>
    <row r="118" spans="3:15" s="48" customFormat="1" ht="15" x14ac:dyDescent="0.2">
      <c r="C118" s="48" t="str">
        <f>INDEX('For Bill Impact(HideBeforeFile)'!$D$48:$O$57,MATCH(C114,'For Bill Impact(HideBeforeFile)'!$C$62:$C$71,0),MATCH($O118,'For Bill Impact(HideBeforeFile)'!$D$61:$O$61,0))</f>
        <v>Commodity</v>
      </c>
      <c r="D118" s="48" t="str">
        <f>INDEX('For Bill Impact(HideBeforeFile)'!$D$62:$O$71,MATCH(C114,'For Bill Impact(HideBeforeFile)'!$C$62:$C$71,0),MATCH($O118,'For Bill Impact(HideBeforeFile)'!$D$61:$O$61,0))</f>
        <v>cents / m3</v>
      </c>
      <c r="E118" s="169"/>
      <c r="F118" s="54">
        <f>INDEX('For Bill Impact(HideBeforeFile)'!$D$6:$O$15,MATCH(C114,'For Bill Impact(HideBeforeFile)'!$C$62:$C$71,0),MATCH($O118,'For Bill Impact(HideBeforeFile)'!$D$61:$O$61,0))</f>
        <v>13.264200000000001</v>
      </c>
      <c r="G118" s="169"/>
      <c r="H118" s="54">
        <f>INDEX('For Bill Impact(HideBeforeFile)'!$D$20:$O$29,MATCH(C114,'For Bill Impact(HideBeforeFile)'!$C$62:$C$71,0),MATCH($O118,'For Bill Impact(HideBeforeFile)'!$D$61:$O$61,0))</f>
        <v>13.264200000000001</v>
      </c>
      <c r="J118" s="57">
        <f>INDEX('For Bill Impact(HideBeforeFile)'!$D$34:$O$43,MATCH(C114,'For Bill Impact(HideBeforeFile)'!$C$62:$C$71,0),MATCH($O118,'For Bill Impact(HideBeforeFile)'!$D$61:$O$61,0))</f>
        <v>33573.733802816903</v>
      </c>
      <c r="O118" s="48" t="str">
        <f>'For Bill Impact(HideBeforeFile)'!$D$5</f>
        <v>Commodity</v>
      </c>
    </row>
    <row r="119" spans="3:15" s="48" customFormat="1" ht="15" x14ac:dyDescent="0.2"/>
    <row r="120" spans="3:15" s="48" customFormat="1" ht="15" x14ac:dyDescent="0.2">
      <c r="C120" s="48" t="str">
        <f>INDEX('For Bill Impact(HideBeforeFile)'!$D$48:$O$57,MATCH(C114,'For Bill Impact(HideBeforeFile)'!$C$62:$C$71,0),MATCH($O120,'For Bill Impact(HideBeforeFile)'!$D$61:$O$61,0))</f>
        <v>Customer (excl. Bill 32)</v>
      </c>
      <c r="D120" s="48" t="str">
        <f>INDEX('For Bill Impact(HideBeforeFile)'!$D$62:$O$71,MATCH(C114,'For Bill Impact(HideBeforeFile)'!$C$62:$C$71,0),MATCH($O120,'For Bill Impact(HideBeforeFile)'!$D$61:$O$61,0))</f>
        <v>$ / month</v>
      </c>
      <c r="E120" s="171"/>
      <c r="F120" s="170">
        <f>INDEX('For Bill Impact(HideBeforeFile)'!$D$6:$O$15,MATCH(C114,'For Bill Impact(HideBeforeFile)'!$C$62:$C$71,0),MATCH($O120,'For Bill Impact(HideBeforeFile)'!$D$61:$O$61,0))</f>
        <v>16.5</v>
      </c>
      <c r="G120" s="171"/>
      <c r="H120" s="170">
        <f>INDEX('For Bill Impact(HideBeforeFile)'!$D$20:$O$29,MATCH(C114,'For Bill Impact(HideBeforeFile)'!$C$62:$C$71,0),MATCH($O120,'For Bill Impact(HideBeforeFile)'!$D$61:$O$61,0))</f>
        <v>17.5</v>
      </c>
      <c r="J120" s="57">
        <f>INDEX('For Bill Impact(HideBeforeFile)'!$D$34:$O$43,MATCH(C114,'For Bill Impact(HideBeforeFile)'!$C$62:$C$71,0),MATCH($O120,'For Bill Impact(HideBeforeFile)'!$D$61:$O$61,0))</f>
        <v>12</v>
      </c>
      <c r="O120" s="48" t="str">
        <f>'For Bill Impact(HideBeforeFile)'!$K$5</f>
        <v>Dist. Customer Rate</v>
      </c>
    </row>
    <row r="121" spans="3:15" s="48" customFormat="1" ht="15" x14ac:dyDescent="0.2">
      <c r="C121" s="48" t="str">
        <f>INDEX('For Bill Impact(HideBeforeFile)'!$D$48:$O$57,MATCH(C114,'For Bill Impact(HideBeforeFile)'!$C$62:$C$71,0),MATCH($O121,'For Bill Impact(HideBeforeFile)'!$D$61:$O$61,0))</f>
        <v>Block 1 (First 1,000 m3 per month)</v>
      </c>
      <c r="D121" s="48" t="str">
        <f>INDEX('For Bill Impact(HideBeforeFile)'!$D$62:$O$71,MATCH(C114,'For Bill Impact(HideBeforeFile)'!$C$62:$C$71,0),MATCH($O121,'For Bill Impact(HideBeforeFile)'!$D$61:$O$61,0))</f>
        <v>cents / m3</v>
      </c>
      <c r="E121" s="169"/>
      <c r="F121" s="54">
        <f>INDEX('For Bill Impact(HideBeforeFile)'!$D$6:$O$15,MATCH(C114,'For Bill Impact(HideBeforeFile)'!$C$62:$C$71,0),MATCH($O121,'For Bill Impact(HideBeforeFile)'!$D$61:$O$61,0))</f>
        <v>13.381399999999999</v>
      </c>
      <c r="G121" s="169"/>
      <c r="H121" s="54">
        <f>INDEX('For Bill Impact(HideBeforeFile)'!$D$20:$O$29,MATCH(C114,'For Bill Impact(HideBeforeFile)'!$C$62:$C$71,0),MATCH($O121,'For Bill Impact(HideBeforeFile)'!$D$61:$O$61,0))</f>
        <v>13.52846228945657</v>
      </c>
      <c r="J121" s="57">
        <f>INDEX('For Bill Impact(HideBeforeFile)'!$D$34:$O$43,MATCH(C114,'For Bill Impact(HideBeforeFile)'!$C$62:$C$71,0),MATCH($O121,'For Bill Impact(HideBeforeFile)'!$D$61:$O$61,0))</f>
        <v>6439.2394366197186</v>
      </c>
      <c r="O121" s="48" t="str">
        <f>'For Bill Impact(HideBeforeFile)'!$L$5</f>
        <v>Dist. Vol. Rate Tier 1</v>
      </c>
    </row>
    <row r="122" spans="3:15" s="48" customFormat="1" ht="15" x14ac:dyDescent="0.2">
      <c r="C122" s="48" t="str">
        <f>INDEX('For Bill Impact(HideBeforeFile)'!$D$48:$O$57,MATCH(C114,'For Bill Impact(HideBeforeFile)'!$C$62:$C$71,0),MATCH($O122,'For Bill Impact(HideBeforeFile)'!$D$61:$O$61,0))</f>
        <v>Block 2 (Over 1,000 m3 per month)</v>
      </c>
      <c r="D122" s="48" t="str">
        <f>INDEX('For Bill Impact(HideBeforeFile)'!$D$62:$O$71,MATCH(C114,'For Bill Impact(HideBeforeFile)'!$C$62:$C$71,0),MATCH($O122,'For Bill Impact(HideBeforeFile)'!$D$61:$O$61,0))</f>
        <v>cents / m3</v>
      </c>
      <c r="E122" s="169"/>
      <c r="F122" s="54">
        <f>INDEX('For Bill Impact(HideBeforeFile)'!$D$6:$O$15,MATCH(C114,'For Bill Impact(HideBeforeFile)'!$C$62:$C$71,0),MATCH($O122,'For Bill Impact(HideBeforeFile)'!$D$61:$O$61,0))</f>
        <v>10.727499999999999</v>
      </c>
      <c r="G122" s="169"/>
      <c r="H122" s="54">
        <f>INDEX('For Bill Impact(HideBeforeFile)'!$D$20:$O$29,MATCH(C114,'For Bill Impact(HideBeforeFile)'!$C$62:$C$71,0),MATCH($O122,'For Bill Impact(HideBeforeFile)'!$D$61:$O$61,0))</f>
        <v>10.872913111134979</v>
      </c>
      <c r="J122" s="57">
        <f>INDEX('For Bill Impact(HideBeforeFile)'!$D$34:$O$43,MATCH(C114,'For Bill Impact(HideBeforeFile)'!$C$62:$C$71,0),MATCH($O122,'For Bill Impact(HideBeforeFile)'!$D$61:$O$61,0))</f>
        <v>27134.494366197185</v>
      </c>
      <c r="O122" s="48" t="str">
        <f>'For Bill Impact(HideBeforeFile)'!$M$5</f>
        <v>Dist. Vol. Rate Tier 2</v>
      </c>
    </row>
    <row r="123" spans="3:15" s="48" customFormat="1" ht="15" x14ac:dyDescent="0.2">
      <c r="C123" s="48" t="str">
        <f>INDEX('For Bill Impact(HideBeforeFile)'!$D$48:$O$57,MATCH(C114,'For Bill Impact(HideBeforeFile)'!$C$62:$C$71,0),MATCH($O123,'For Bill Impact(HideBeforeFile)'!$D$61:$O$61,0))</f>
        <v/>
      </c>
      <c r="D123" s="48" t="str">
        <f>INDEX('For Bill Impact(HideBeforeFile)'!$D$62:$O$71,MATCH(C114,'For Bill Impact(HideBeforeFile)'!$C$62:$C$71,0),MATCH($O123,'For Bill Impact(HideBeforeFile)'!$D$61:$O$61,0))</f>
        <v/>
      </c>
      <c r="E123" s="169"/>
      <c r="F123" s="54" t="str">
        <f>INDEX('For Bill Impact(HideBeforeFile)'!$D$6:$O$15,MATCH(C114,'For Bill Impact(HideBeforeFile)'!$C$62:$C$71,0),MATCH($O123,'For Bill Impact(HideBeforeFile)'!$D$61:$O$61,0))</f>
        <v/>
      </c>
      <c r="G123" s="169"/>
      <c r="H123" s="54" t="str">
        <f>INDEX('For Bill Impact(HideBeforeFile)'!$D$20:$O$29,MATCH(C114,'For Bill Impact(HideBeforeFile)'!$C$62:$C$71,0),MATCH($O123,'For Bill Impact(HideBeforeFile)'!$D$61:$O$61,0))</f>
        <v/>
      </c>
      <c r="J123" s="57" t="str">
        <f>INDEX('For Bill Impact(HideBeforeFile)'!$D$34:$O$43,MATCH(C114,'For Bill Impact(HideBeforeFile)'!$C$62:$C$71,0),MATCH($O123,'For Bill Impact(HideBeforeFile)'!$D$61:$O$61,0))</f>
        <v/>
      </c>
      <c r="O123" s="48" t="str">
        <f>'For Bill Impact(HideBeforeFile)'!$N$5</f>
        <v>Dist. Vol. Rate Tier 3</v>
      </c>
    </row>
    <row r="124" spans="3:15" s="48" customFormat="1" ht="15" x14ac:dyDescent="0.2">
      <c r="C124" s="48" t="str">
        <f>INDEX('For Bill Impact(HideBeforeFile)'!$D$48:$O$57,MATCH(C114,'For Bill Impact(HideBeforeFile)'!$C$62:$C$71,0),MATCH($O124,'For Bill Impact(HideBeforeFile)'!$D$61:$O$61,0))</f>
        <v/>
      </c>
      <c r="D124" s="48" t="str">
        <f>INDEX('For Bill Impact(HideBeforeFile)'!$D$62:$O$71,MATCH(C114,'For Bill Impact(HideBeforeFile)'!$C$62:$C$71,0),MATCH($O124,'For Bill Impact(HideBeforeFile)'!$D$61:$O$61,0))</f>
        <v/>
      </c>
      <c r="E124" s="169"/>
      <c r="F124" s="54" t="str">
        <f>INDEX('For Bill Impact(HideBeforeFile)'!$D$6:$O$15,MATCH(C114,'For Bill Impact(HideBeforeFile)'!$C$62:$C$71,0),MATCH($O124,'For Bill Impact(HideBeforeFile)'!$D$61:$O$61,0))</f>
        <v/>
      </c>
      <c r="G124" s="169"/>
      <c r="H124" s="54" t="str">
        <f>INDEX('For Bill Impact(HideBeforeFile)'!$D$20:$O$29,MATCH(C114,'For Bill Impact(HideBeforeFile)'!$C$62:$C$71,0),MATCH($O124,'For Bill Impact(HideBeforeFile)'!$D$61:$O$61,0))</f>
        <v/>
      </c>
      <c r="J124" s="57" t="str">
        <f>INDEX('For Bill Impact(HideBeforeFile)'!$D$34:$O$43,MATCH(C114,'For Bill Impact(HideBeforeFile)'!$C$62:$C$71,0),MATCH($O124,'For Bill Impact(HideBeforeFile)'!$D$61:$O$61,0))</f>
        <v/>
      </c>
      <c r="O124" s="48" t="str">
        <f>'For Bill Impact(HideBeforeFile)'!$O$5</f>
        <v>Dist. Capacity Rate</v>
      </c>
    </row>
    <row r="125" spans="3:15" s="48" customFormat="1" ht="15" x14ac:dyDescent="0.2">
      <c r="C125" s="48" t="str">
        <f>INDEX('For Bill Impact(HideBeforeFile)'!$D$48:$O$57,MATCH(C114,'For Bill Impact(HideBeforeFile)'!$C$62:$C$71,0),MATCH($O125,'For Bill Impact(HideBeforeFile)'!$D$61:$O$61,0))</f>
        <v>System Gas Charge</v>
      </c>
      <c r="D125" s="48" t="str">
        <f>INDEX('For Bill Impact(HideBeforeFile)'!$D$62:$O$71,MATCH(C114,'For Bill Impact(HideBeforeFile)'!$C$62:$C$71,0),MATCH($O125,'For Bill Impact(HideBeforeFile)'!$D$61:$O$61,0))</f>
        <v>cents / m3</v>
      </c>
      <c r="E125" s="169"/>
      <c r="F125" s="54">
        <f>INDEX('For Bill Impact(HideBeforeFile)'!$D$6:$O$15,MATCH(C114,'For Bill Impact(HideBeforeFile)'!$C$62:$C$71,0),MATCH($O125,'For Bill Impact(HideBeforeFile)'!$D$61:$O$61,0))</f>
        <v>4.3499999999999997E-2</v>
      </c>
      <c r="G125" s="169"/>
      <c r="H125" s="54">
        <f>INDEX('For Bill Impact(HideBeforeFile)'!$D$20:$O$29,MATCH(C114,'For Bill Impact(HideBeforeFile)'!$C$62:$C$71,0),MATCH($O125,'For Bill Impact(HideBeforeFile)'!$D$61:$O$61,0))</f>
        <v>4.3499999999999997E-2</v>
      </c>
      <c r="J125" s="57">
        <f>INDEX('For Bill Impact(HideBeforeFile)'!$D$34:$O$43,MATCH(C114,'For Bill Impact(HideBeforeFile)'!$C$62:$C$71,0),MATCH($O125,'For Bill Impact(HideBeforeFile)'!$D$61:$O$61,0))</f>
        <v>33573.733802816903</v>
      </c>
      <c r="O125" s="48" t="str">
        <f>'For Bill Impact(HideBeforeFile)'!$E$5</f>
        <v>System Gas</v>
      </c>
    </row>
    <row r="126" spans="3:15" s="48" customFormat="1" ht="15" x14ac:dyDescent="0.2"/>
    <row r="127" spans="3:15" s="48" customFormat="1" ht="15" x14ac:dyDescent="0.2">
      <c r="C127" s="48" t="str">
        <f>INDEX('For Bill Impact(HideBeforeFile)'!$D$48:$O$57,MATCH(C114,'For Bill Impact(HideBeforeFile)'!$C$62:$C$71,0),MATCH($O127,'For Bill Impact(HideBeforeFile)'!$D$61:$O$61,0))</f>
        <v>REDA</v>
      </c>
      <c r="D127" s="48" t="str">
        <f>INDEX('For Bill Impact(HideBeforeFile)'!$D$62:$O$71,MATCH(C114,'For Bill Impact(HideBeforeFile)'!$C$62:$C$71,0),MATCH($O127,'For Bill Impact(HideBeforeFile)'!$D$61:$O$61,0))</f>
        <v>$ / month</v>
      </c>
      <c r="E127" s="171"/>
      <c r="F127" s="170">
        <f>INDEX('For Bill Impact(HideBeforeFile)'!$D$6:$O$15,MATCH(C114,'For Bill Impact(HideBeforeFile)'!$C$62:$C$71,0),MATCH($O127,'For Bill Impact(HideBeforeFile)'!$D$61:$O$61,0))</f>
        <v>0.59</v>
      </c>
      <c r="G127" s="171"/>
      <c r="H127" s="170">
        <f>INDEX('For Bill Impact(HideBeforeFile)'!$D$20:$O$29,MATCH(C114,'For Bill Impact(HideBeforeFile)'!$C$62:$C$71,0),MATCH($O127,'For Bill Impact(HideBeforeFile)'!$D$61:$O$61,0))</f>
        <v>0.76971281184715468</v>
      </c>
      <c r="J127" s="57">
        <f>INDEX('For Bill Impact(HideBeforeFile)'!$D$34:$O$43,MATCH(C114,'For Bill Impact(HideBeforeFile)'!$C$62:$C$71,0),MATCH($O127,'For Bill Impact(HideBeforeFile)'!$D$61:$O$61,0))</f>
        <v>12</v>
      </c>
      <c r="O127" s="48" t="str">
        <f>'For Bill Impact(HideBeforeFile)'!$F$5</f>
        <v>REDA</v>
      </c>
    </row>
    <row r="128" spans="3:15" s="48" customFormat="1" ht="15" x14ac:dyDescent="0.2">
      <c r="C128" s="48" t="str">
        <f>INDEX('For Bill Impact(HideBeforeFile)'!$D$48:$O$57,MATCH(C114,'For Bill Impact(HideBeforeFile)'!$C$62:$C$71,0),MATCH($O128,'For Bill Impact(HideBeforeFile)'!$D$61:$O$61,0))</f>
        <v>PGTVA</v>
      </c>
      <c r="D128" s="48" t="str">
        <f>INDEX('For Bill Impact(HideBeforeFile)'!$D$62:$O$71,MATCH(C114,'For Bill Impact(HideBeforeFile)'!$C$62:$C$71,0),MATCH($O128,'For Bill Impact(HideBeforeFile)'!$D$61:$O$61,0))</f>
        <v>cents / m3</v>
      </c>
      <c r="E128" s="169"/>
      <c r="F128" s="54">
        <f>INDEX('For Bill Impact(HideBeforeFile)'!$D$6:$O$15,MATCH(C114,'For Bill Impact(HideBeforeFile)'!$C$62:$C$71,0),MATCH($O128,'For Bill Impact(HideBeforeFile)'!$D$61:$O$61,0))</f>
        <v>0.128</v>
      </c>
      <c r="G128" s="169"/>
      <c r="H128" s="54">
        <f>INDEX('For Bill Impact(HideBeforeFile)'!$D$20:$O$29,MATCH(C114,'For Bill Impact(HideBeforeFile)'!$C$62:$C$71,0),MATCH($O128,'For Bill Impact(HideBeforeFile)'!$D$61:$O$61,0))</f>
        <v>0.30664420626329603</v>
      </c>
      <c r="J128" s="57">
        <f>INDEX('For Bill Impact(HideBeforeFile)'!$D$34:$O$43,MATCH(C114,'For Bill Impact(HideBeforeFile)'!$C$62:$C$71,0),MATCH($O128,'For Bill Impact(HideBeforeFile)'!$D$61:$O$61,0))</f>
        <v>33573.733802816903</v>
      </c>
      <c r="O128" s="48" t="str">
        <f>'For Bill Impact(HideBeforeFile)'!$G$5</f>
        <v>PGTVA</v>
      </c>
    </row>
    <row r="129" spans="3:15" s="48" customFormat="1" ht="15" x14ac:dyDescent="0.2">
      <c r="C129" s="48" t="str">
        <f>INDEX('For Bill Impact(HideBeforeFile)'!$D$48:$O$57,MATCH(C114,'For Bill Impact(HideBeforeFile)'!$C$62:$C$71,0),MATCH($O129,'For Bill Impact(HideBeforeFile)'!$D$61:$O$61,0))</f>
        <v>ADVADA</v>
      </c>
      <c r="D129" s="48" t="str">
        <f>INDEX('For Bill Impact(HideBeforeFile)'!$D$62:$O$71,MATCH(C114,'For Bill Impact(HideBeforeFile)'!$C$62:$C$71,0),MATCH($O129,'For Bill Impact(HideBeforeFile)'!$D$61:$O$61,0))</f>
        <v>cents / m3</v>
      </c>
      <c r="F129" s="54" t="str">
        <f>INDEX('For Bill Impact(HideBeforeFile)'!$D$6:$O$15,MATCH(C114,'For Bill Impact(HideBeforeFile)'!$C$62:$C$71,0),MATCH($O129,'For Bill Impact(HideBeforeFile)'!$D$61:$O$61,0))</f>
        <v/>
      </c>
      <c r="H129" s="54">
        <f>INDEX('For Bill Impact(HideBeforeFile)'!$D$20:$O$29,MATCH(C114,'For Bill Impact(HideBeforeFile)'!$C$62:$C$71,0),MATCH($O129,'For Bill Impact(HideBeforeFile)'!$D$61:$O$61,0))</f>
        <v>0.14841821245417633</v>
      </c>
      <c r="J129" s="57">
        <f>INDEX('For Bill Impact(HideBeforeFile)'!$D$34:$O$43,MATCH(C114,'For Bill Impact(HideBeforeFile)'!$C$62:$C$71,0),MATCH($O129,'For Bill Impact(HideBeforeFile)'!$D$61:$O$61,0))</f>
        <v>33573.733802816903</v>
      </c>
      <c r="O129" s="48" t="str">
        <f>'For Bill Impact(HideBeforeFile)'!$H$5</f>
        <v>ADVADA</v>
      </c>
    </row>
    <row r="130" spans="3:15" s="48" customFormat="1" ht="15" x14ac:dyDescent="0.2"/>
    <row r="131" spans="3:15" s="48" customFormat="1" ht="15.75" x14ac:dyDescent="0.25">
      <c r="C131" s="48" t="str">
        <f>INDEX('For Bill Impact(HideBeforeFile)'!$D$48:$O$57,MATCH(C114,'For Bill Impact(HideBeforeFile)'!$C$62:$C$71,0),MATCH($O131,'For Bill Impact(HideBeforeFile)'!$D$61:$O$61,0))</f>
        <v>Federal Carbon</v>
      </c>
      <c r="D131" s="48" t="str">
        <f>INDEX('For Bill Impact(HideBeforeFile)'!$D$62:$O$71,MATCH(C114,'For Bill Impact(HideBeforeFile)'!$C$62:$C$71,0),MATCH($O131,'For Bill Impact(HideBeforeFile)'!$D$61:$O$61,0))</f>
        <v>cents / m3</v>
      </c>
      <c r="E131" s="169"/>
      <c r="F131" s="54">
        <f>INDEX('For Bill Impact(HideBeforeFile)'!$D$6:$O$15,MATCH(C114,'For Bill Impact(HideBeforeFile)'!$C$62:$C$71,0),MATCH($O131,'For Bill Impact(HideBeforeFile)'!$D$61:$O$61,0))</f>
        <v>5.87</v>
      </c>
      <c r="G131" s="169"/>
      <c r="H131" s="54">
        <f>INDEX('For Bill Impact(HideBeforeFile)'!$D$20:$O$29,MATCH(C114,'For Bill Impact(HideBeforeFile)'!$C$62:$C$71,0),MATCH($O131,'For Bill Impact(HideBeforeFile)'!$D$61:$O$61,0))</f>
        <v>5.87</v>
      </c>
      <c r="J131" s="57">
        <f>INDEX('For Bill Impact(HideBeforeFile)'!$D$34:$O$43,MATCH(C114,'For Bill Impact(HideBeforeFile)'!$C$62:$C$71,0),MATCH($O131,'For Bill Impact(HideBeforeFile)'!$D$61:$O$61,0))</f>
        <v>33573.733802816903</v>
      </c>
      <c r="N131" s="16"/>
      <c r="O131" s="48" t="str">
        <f>'For Bill Impact(HideBeforeFile)'!$I$5</f>
        <v>Federal Carbon</v>
      </c>
    </row>
    <row r="132" spans="3:15" s="48" customFormat="1" ht="15" x14ac:dyDescent="0.2">
      <c r="C132" s="48" t="str">
        <f>INDEX('For Bill Impact(HideBeforeFile)'!$D$48:$O$57,MATCH(C114,'For Bill Impact(HideBeforeFile)'!$C$62:$C$71,0),MATCH($O132,'For Bill Impact(HideBeforeFile)'!$D$61:$O$61,0))</f>
        <v>Facility Carbon</v>
      </c>
      <c r="D132" s="48" t="str">
        <f>INDEX('For Bill Impact(HideBeforeFile)'!$D$62:$O$71,MATCH(C114,'For Bill Impact(HideBeforeFile)'!$C$62:$C$71,0),MATCH($O132,'For Bill Impact(HideBeforeFile)'!$D$61:$O$61,0))</f>
        <v>cents / m3</v>
      </c>
      <c r="E132" s="169"/>
      <c r="F132" s="54">
        <f>INDEX('For Bill Impact(HideBeforeFile)'!$D$6:$O$15,MATCH(C114,'For Bill Impact(HideBeforeFile)'!$C$62:$C$71,0),MATCH($O132,'For Bill Impact(HideBeforeFile)'!$D$61:$O$61,0))</f>
        <v>2.7000000000000001E-3</v>
      </c>
      <c r="G132" s="169"/>
      <c r="H132" s="54">
        <f>INDEX('For Bill Impact(HideBeforeFile)'!$D$20:$O$29,MATCH(C114,'For Bill Impact(HideBeforeFile)'!$C$62:$C$71,0),MATCH($O132,'For Bill Impact(HideBeforeFile)'!$D$61:$O$61,0))</f>
        <v>2.7000000000000001E-3</v>
      </c>
      <c r="J132" s="57">
        <f>INDEX('For Bill Impact(HideBeforeFile)'!$D$34:$O$43,MATCH(C114,'For Bill Impact(HideBeforeFile)'!$C$62:$C$71,0),MATCH($O132,'For Bill Impact(HideBeforeFile)'!$D$61:$O$61,0))</f>
        <v>33573.733802816903</v>
      </c>
      <c r="O132" s="48" t="str">
        <f>'For Bill Impact(HideBeforeFile)'!$J$5</f>
        <v>Facility Carbon</v>
      </c>
    </row>
    <row r="133" spans="3:15" s="48" customFormat="1" ht="15" x14ac:dyDescent="0.2"/>
    <row r="134" spans="3:15" s="48" customFormat="1" ht="15" x14ac:dyDescent="0.2"/>
    <row r="135" spans="3:15" s="48" customFormat="1" ht="15.75" x14ac:dyDescent="0.25">
      <c r="C135" s="17" t="s">
        <v>8</v>
      </c>
      <c r="E135" s="52"/>
      <c r="F135" s="172" t="s">
        <v>130</v>
      </c>
      <c r="G135" s="172"/>
      <c r="H135" s="172" t="s">
        <v>131</v>
      </c>
      <c r="J135" s="48" t="s">
        <v>55</v>
      </c>
      <c r="L135" s="56" t="s">
        <v>56</v>
      </c>
    </row>
    <row r="136" spans="3:15" s="48" customFormat="1" ht="15" x14ac:dyDescent="0.2">
      <c r="F136" s="58">
        <f>F118*$J118/100</f>
        <v>4453.2871990732401</v>
      </c>
      <c r="G136" s="171"/>
      <c r="H136" s="58">
        <f>H118*$J118/100</f>
        <v>4453.2871990732401</v>
      </c>
      <c r="J136" s="53">
        <f>H136-F136</f>
        <v>0</v>
      </c>
      <c r="L136" s="59">
        <f>IFERROR(J136/F136,"")</f>
        <v>0</v>
      </c>
    </row>
    <row r="137" spans="3:15" s="48" customFormat="1" ht="15" x14ac:dyDescent="0.2"/>
    <row r="138" spans="3:15" s="48" customFormat="1" ht="15.75" x14ac:dyDescent="0.25">
      <c r="C138" s="17" t="s">
        <v>68</v>
      </c>
      <c r="E138" s="52"/>
      <c r="F138" s="52" t="s">
        <v>35</v>
      </c>
      <c r="G138" s="52"/>
      <c r="H138" s="52" t="s">
        <v>52</v>
      </c>
      <c r="J138" s="48" t="s">
        <v>55</v>
      </c>
      <c r="L138" s="56" t="s">
        <v>56</v>
      </c>
    </row>
    <row r="139" spans="3:15" s="48" customFormat="1" ht="15" x14ac:dyDescent="0.2">
      <c r="C139" s="47" t="str">
        <f>IF(C120&lt;&gt;"",C120,"")</f>
        <v>Customer (excl. Bill 32)</v>
      </c>
      <c r="F139" s="58">
        <f>F120*$J120</f>
        <v>198</v>
      </c>
      <c r="G139" s="171"/>
      <c r="H139" s="58">
        <f>H120*$J120</f>
        <v>210</v>
      </c>
      <c r="J139" s="53">
        <f>IFERROR(H139-F139,"")</f>
        <v>12</v>
      </c>
      <c r="L139" s="59">
        <f>IFERROR(J139/F139,"")</f>
        <v>6.0606060606060608E-2</v>
      </c>
    </row>
    <row r="140" spans="3:15" s="48" customFormat="1" ht="15" x14ac:dyDescent="0.2">
      <c r="C140" s="47" t="s">
        <v>149</v>
      </c>
      <c r="F140" s="58">
        <v>12</v>
      </c>
      <c r="G140" s="171"/>
      <c r="H140" s="58">
        <v>12</v>
      </c>
      <c r="J140" s="53">
        <f>IFERROR(H140-F140,"")</f>
        <v>0</v>
      </c>
      <c r="L140" s="59">
        <f>IFERROR(J140/F140,"")</f>
        <v>0</v>
      </c>
    </row>
    <row r="141" spans="3:15" s="48" customFormat="1" ht="15" x14ac:dyDescent="0.2">
      <c r="C141" s="47" t="str">
        <f>IF(C121&lt;&gt;"",C121,"")</f>
        <v>Block 1 (First 1,000 m3 per month)</v>
      </c>
      <c r="F141" s="58">
        <f>IFERROR(F121*$J121/100,"")</f>
        <v>861.66038597183103</v>
      </c>
      <c r="H141" s="58">
        <f>IFERROR(H121*$J121/100,"")</f>
        <v>871.13007891091434</v>
      </c>
      <c r="J141" s="53">
        <f t="shared" ref="J141:J145" si="18">IFERROR(H141-F141,"")</f>
        <v>9.469692939083302</v>
      </c>
      <c r="L141" s="59">
        <f t="shared" ref="L141:L145" si="19">IFERROR(J141/F141,"")</f>
        <v>1.0990052569728882E-2</v>
      </c>
    </row>
    <row r="142" spans="3:15" s="48" customFormat="1" ht="15" x14ac:dyDescent="0.2">
      <c r="C142" s="47" t="str">
        <f>IF(C122&lt;&gt;"",C122,"")</f>
        <v>Block 2 (Over 1,000 m3 per month)</v>
      </c>
      <c r="F142" s="58">
        <f t="shared" ref="F142" si="20">IFERROR(F122*$J122/100,"")</f>
        <v>2910.8528831338026</v>
      </c>
      <c r="H142" s="58">
        <f t="shared" ref="H142" si="21">IFERROR(H122*$J122/100,"")</f>
        <v>2950.3099955824359</v>
      </c>
      <c r="J142" s="53">
        <f t="shared" si="18"/>
        <v>39.457112448633325</v>
      </c>
      <c r="L142" s="59">
        <f t="shared" si="19"/>
        <v>1.3555172326728546E-2</v>
      </c>
    </row>
    <row r="143" spans="3:15" s="48" customFormat="1" ht="15" x14ac:dyDescent="0.2">
      <c r="C143" s="47" t="str">
        <f>IF(C123&lt;&gt;"",C123,"")</f>
        <v/>
      </c>
      <c r="F143" s="58" t="str">
        <f t="shared" ref="F143" si="22">IFERROR(F123*$J123/100,"")</f>
        <v/>
      </c>
      <c r="H143" s="58" t="str">
        <f t="shared" ref="H143" si="23">IFERROR(H123*$J123/100,"")</f>
        <v/>
      </c>
      <c r="J143" s="53" t="str">
        <f t="shared" si="18"/>
        <v/>
      </c>
      <c r="L143" s="59" t="str">
        <f t="shared" si="19"/>
        <v/>
      </c>
    </row>
    <row r="144" spans="3:15" s="48" customFormat="1" ht="15" x14ac:dyDescent="0.2">
      <c r="C144" s="47" t="str">
        <f>IF(C124&lt;&gt;"",C124,"")</f>
        <v/>
      </c>
      <c r="F144" s="58" t="str">
        <f t="shared" ref="F144" si="24">IFERROR(F124*$J124/100,"")</f>
        <v/>
      </c>
      <c r="H144" s="58" t="str">
        <f t="shared" ref="H144" si="25">IFERROR(H124*$J124/100,"")</f>
        <v/>
      </c>
      <c r="J144" s="53" t="str">
        <f t="shared" si="18"/>
        <v/>
      </c>
      <c r="L144" s="59" t="str">
        <f t="shared" si="19"/>
        <v/>
      </c>
    </row>
    <row r="145" spans="3:12" s="48" customFormat="1" ht="15" x14ac:dyDescent="0.2">
      <c r="C145" s="47" t="str">
        <f>IF(C125&lt;&gt;"",C125,"")</f>
        <v>System Gas Charge</v>
      </c>
      <c r="F145" s="58">
        <f t="shared" ref="F145" si="26">IFERROR(F125*$J125/100,"")</f>
        <v>14.604574204225353</v>
      </c>
      <c r="H145" s="58">
        <f t="shared" ref="H145" si="27">IFERROR(H125*$J125/100,"")</f>
        <v>14.604574204225353</v>
      </c>
      <c r="J145" s="53">
        <f t="shared" si="18"/>
        <v>0</v>
      </c>
      <c r="L145" s="59">
        <f t="shared" si="19"/>
        <v>0</v>
      </c>
    </row>
    <row r="146" spans="3:12" s="48" customFormat="1" ht="15.75" x14ac:dyDescent="0.25">
      <c r="C146" s="17" t="s">
        <v>54</v>
      </c>
      <c r="F146" s="35">
        <f>SUM(F139:F145)</f>
        <v>3997.1178433098589</v>
      </c>
      <c r="H146" s="35">
        <f>SUM(H139:H145)</f>
        <v>4058.0446486975752</v>
      </c>
      <c r="J146" s="36">
        <f t="shared" ref="J146" si="28">H146-F146</f>
        <v>60.926805387716286</v>
      </c>
      <c r="L146" s="37">
        <f>IF(ISERROR(J146/F146),0,J146/F146)</f>
        <v>1.5242684298060413E-2</v>
      </c>
    </row>
    <row r="147" spans="3:12" s="48" customFormat="1" ht="15" x14ac:dyDescent="0.2"/>
    <row r="148" spans="3:12" s="48" customFormat="1" ht="15.75" x14ac:dyDescent="0.25">
      <c r="C148" s="17" t="s">
        <v>67</v>
      </c>
    </row>
    <row r="149" spans="3:12" s="48" customFormat="1" ht="15" x14ac:dyDescent="0.2"/>
    <row r="150" spans="3:12" s="48" customFormat="1" ht="15.75" x14ac:dyDescent="0.25">
      <c r="C150" s="17" t="s">
        <v>67</v>
      </c>
      <c r="E150" s="52"/>
      <c r="F150" s="52" t="s">
        <v>35</v>
      </c>
      <c r="G150" s="52"/>
      <c r="H150" s="52" t="s">
        <v>52</v>
      </c>
      <c r="J150" s="48" t="s">
        <v>55</v>
      </c>
      <c r="L150" s="56" t="s">
        <v>56</v>
      </c>
    </row>
    <row r="151" spans="3:12" s="48" customFormat="1" ht="15" x14ac:dyDescent="0.2">
      <c r="C151" s="48" t="s">
        <v>99</v>
      </c>
      <c r="E151" s="60"/>
      <c r="F151" s="58">
        <f>F127*$J127</f>
        <v>7.08</v>
      </c>
      <c r="G151" s="60"/>
      <c r="H151" s="58">
        <f>H127*$J127</f>
        <v>9.2365537421658566</v>
      </c>
      <c r="I151" s="60"/>
      <c r="J151" s="53">
        <f>IFERROR(H151-F151,"")</f>
        <v>2.1565537421658565</v>
      </c>
      <c r="L151" s="59">
        <f t="shared" ref="L151:L152" si="29">IFERROR(J151/F151,"")</f>
        <v>0.30459798618161815</v>
      </c>
    </row>
    <row r="152" spans="3:12" s="48" customFormat="1" ht="15" x14ac:dyDescent="0.2">
      <c r="C152" s="48" t="s">
        <v>98</v>
      </c>
      <c r="E152" s="60"/>
      <c r="F152" s="55">
        <f>IFERROR(F128*$J128/100,"")</f>
        <v>42.974379267605634</v>
      </c>
      <c r="G152" s="60"/>
      <c r="H152" s="55">
        <f>IFERROR(H128*$J128/100,"")</f>
        <v>102.9519095325998</v>
      </c>
      <c r="I152" s="60"/>
      <c r="J152" s="53">
        <f t="shared" ref="J152" si="30">IFERROR(H152-F152,"")</f>
        <v>59.977530264994165</v>
      </c>
      <c r="L152" s="59">
        <f t="shared" si="29"/>
        <v>1.3956578614320001</v>
      </c>
    </row>
    <row r="153" spans="3:12" s="48" customFormat="1" ht="15" x14ac:dyDescent="0.2">
      <c r="C153" s="48" t="s">
        <v>100</v>
      </c>
      <c r="E153" s="60"/>
      <c r="F153" s="55" t="str">
        <f>IFERROR(F129*$J129/100,"")</f>
        <v/>
      </c>
      <c r="G153" s="60"/>
      <c r="H153" s="55">
        <f>IFERROR(H129*$J129/100,"")</f>
        <v>49.829535564264404</v>
      </c>
      <c r="I153" s="60"/>
      <c r="J153" s="53">
        <f>H153</f>
        <v>49.829535564264404</v>
      </c>
      <c r="L153" s="59">
        <f>J153/H153</f>
        <v>1</v>
      </c>
    </row>
    <row r="154" spans="3:12" s="48" customFormat="1" ht="15.75" x14ac:dyDescent="0.25">
      <c r="C154" s="20" t="s">
        <v>69</v>
      </c>
      <c r="F154" s="38">
        <f>SUM(F151:F153)</f>
        <v>50.054379267605633</v>
      </c>
      <c r="H154" s="38">
        <f>SUM(H151:H153)</f>
        <v>162.01799883903004</v>
      </c>
      <c r="J154" s="38">
        <f>SUM(J151:J153)</f>
        <v>111.96361957142443</v>
      </c>
      <c r="L154" s="37">
        <f t="shared" ref="L154" si="31">IF(ISERROR(J154/F154),0,J154/F154)</f>
        <v>2.2368396374038233</v>
      </c>
    </row>
    <row r="155" spans="3:12" s="48" customFormat="1" ht="15" x14ac:dyDescent="0.2">
      <c r="C155" s="47"/>
    </row>
    <row r="156" spans="3:12" s="48" customFormat="1" ht="15.75" x14ac:dyDescent="0.25">
      <c r="C156" s="17" t="s">
        <v>108</v>
      </c>
    </row>
    <row r="157" spans="3:12" s="48" customFormat="1" ht="15" x14ac:dyDescent="0.2">
      <c r="C157" s="47" t="s">
        <v>134</v>
      </c>
      <c r="F157" s="58">
        <f>F131*$J131/100</f>
        <v>1970.7781742253521</v>
      </c>
      <c r="G157" s="60"/>
      <c r="H157" s="58">
        <f>H131*$J131/100</f>
        <v>1970.7781742253521</v>
      </c>
      <c r="J157" s="53">
        <f>IFERROR(H157-F157,"")</f>
        <v>0</v>
      </c>
      <c r="L157" s="59">
        <f t="shared" ref="L157:L158" si="32">IFERROR(J157/F157,"")</f>
        <v>0</v>
      </c>
    </row>
    <row r="158" spans="3:12" s="48" customFormat="1" ht="15" x14ac:dyDescent="0.2">
      <c r="C158" s="47" t="s">
        <v>135</v>
      </c>
      <c r="F158" s="58">
        <f>F132*$J132/100</f>
        <v>0.90649081267605636</v>
      </c>
      <c r="G158" s="60"/>
      <c r="H158" s="58">
        <f>H132*$J132/100</f>
        <v>0.90649081267605636</v>
      </c>
      <c r="J158" s="53">
        <f>IFERROR(H158-F158,"")</f>
        <v>0</v>
      </c>
      <c r="L158" s="59">
        <f t="shared" si="32"/>
        <v>0</v>
      </c>
    </row>
    <row r="159" spans="3:12" s="48" customFormat="1" ht="18" customHeight="1" x14ac:dyDescent="0.25">
      <c r="C159" s="20" t="s">
        <v>136</v>
      </c>
      <c r="F159" s="38">
        <f>SUM(F157:F158)</f>
        <v>1971.6846650380282</v>
      </c>
      <c r="H159" s="38">
        <f>SUM(H157:H158)</f>
        <v>1971.6846650380282</v>
      </c>
      <c r="J159" s="38">
        <f>SUM(J157:J158)</f>
        <v>0</v>
      </c>
      <c r="L159" s="37">
        <f t="shared" ref="L159" si="33">IF(ISERROR(J159/F159),0,J159/F159)</f>
        <v>0</v>
      </c>
    </row>
    <row r="160" spans="3:12" s="48" customFormat="1" ht="18" customHeight="1" x14ac:dyDescent="0.2">
      <c r="C160" s="47"/>
    </row>
    <row r="161" spans="3:12" s="48" customFormat="1" ht="16.5" thickBot="1" x14ac:dyDescent="0.3">
      <c r="C161" s="20" t="s">
        <v>70</v>
      </c>
      <c r="F161" s="39">
        <f>SUM(F136,F146,F154,F159)</f>
        <v>10472.144086688733</v>
      </c>
      <c r="H161" s="39">
        <f>SUM(H136,H146,H154,H159)</f>
        <v>10645.034511647875</v>
      </c>
      <c r="J161" s="39">
        <f>SUM(J136,J146,J154,J159)</f>
        <v>172.89042495914072</v>
      </c>
      <c r="L161" s="40">
        <f t="shared" ref="L161" si="34">IFERROR(J161/F161,"")</f>
        <v>1.6509553681457057E-2</v>
      </c>
    </row>
    <row r="162" spans="3:12" s="48" customFormat="1" ht="15.75" x14ac:dyDescent="0.25">
      <c r="C162" s="20"/>
      <c r="E162" s="122"/>
      <c r="F162" s="121"/>
      <c r="G162" s="122"/>
      <c r="H162" s="121"/>
      <c r="I162" s="122"/>
      <c r="J162" s="123"/>
      <c r="K162" s="122"/>
      <c r="L162" s="124"/>
    </row>
    <row r="163" spans="3:12" s="48" customFormat="1" ht="15.75" x14ac:dyDescent="0.25">
      <c r="C163" s="20"/>
      <c r="E163" s="122"/>
      <c r="F163" s="121"/>
      <c r="G163" s="122"/>
      <c r="H163" s="121"/>
      <c r="I163" s="122"/>
      <c r="J163" s="123"/>
      <c r="K163" s="122"/>
      <c r="L163" s="124"/>
    </row>
    <row r="164" spans="3:12" s="48" customFormat="1" ht="15.75" customHeight="1" x14ac:dyDescent="0.25">
      <c r="C164" s="116" t="str">
        <f ca="1">MID(CELL("filename",A105),FIND("]",CELL("filename",A105))+1,255)</f>
        <v>G1.1 Rate 1 Bill Impact</v>
      </c>
      <c r="E164" s="122"/>
      <c r="F164" s="121"/>
      <c r="G164" s="122"/>
      <c r="H164" s="121"/>
      <c r="I164" s="122"/>
      <c r="J164" s="123"/>
      <c r="K164" s="122"/>
      <c r="L164" s="124"/>
    </row>
    <row r="165" spans="3:12" s="48" customFormat="1" ht="15.75" customHeight="1" x14ac:dyDescent="0.25">
      <c r="C165" s="116"/>
      <c r="E165" s="122"/>
      <c r="F165" s="121"/>
      <c r="G165" s="122"/>
      <c r="H165" s="121"/>
      <c r="I165" s="122"/>
      <c r="J165" s="123"/>
      <c r="K165" s="122"/>
      <c r="L165" s="124"/>
    </row>
    <row r="166" spans="3:12" s="48" customFormat="1" ht="15.75" customHeight="1" x14ac:dyDescent="0.25">
      <c r="D166" s="117"/>
    </row>
    <row r="167" spans="3:12" s="48" customFormat="1" ht="15.75" customHeight="1" x14ac:dyDescent="0.25">
      <c r="D167" s="117"/>
    </row>
    <row r="168" spans="3:12" s="48" customFormat="1" ht="15.75" customHeight="1" x14ac:dyDescent="0.25">
      <c r="D168" s="117"/>
    </row>
    <row r="169" spans="3:12" s="48" customFormat="1" ht="15.75" customHeight="1" x14ac:dyDescent="0.25">
      <c r="D169" s="117"/>
    </row>
    <row r="170" spans="3:12" s="48" customFormat="1" ht="15.75" customHeight="1" x14ac:dyDescent="0.25">
      <c r="D170" s="117"/>
    </row>
    <row r="171" spans="3:12" s="48" customFormat="1" ht="15.75" customHeight="1" x14ac:dyDescent="0.25">
      <c r="D171" s="117"/>
    </row>
    <row r="172" spans="3:12" s="48" customFormat="1" ht="15.75" customHeight="1" x14ac:dyDescent="0.25">
      <c r="D172" s="117"/>
    </row>
    <row r="173" spans="3:12" s="48" customFormat="1" ht="15.75" customHeight="1" x14ac:dyDescent="0.25">
      <c r="D173" s="117"/>
    </row>
    <row r="174" spans="3:12" s="48" customFormat="1" ht="15.75" customHeight="1" x14ac:dyDescent="0.25">
      <c r="D174" s="117"/>
    </row>
    <row r="175" spans="3:12" s="48" customFormat="1" ht="15.75" customHeight="1" x14ac:dyDescent="0.25">
      <c r="D175" s="117"/>
    </row>
    <row r="176" spans="3:12" s="48" customFormat="1" ht="15.75" customHeight="1" x14ac:dyDescent="0.25">
      <c r="D176" s="117"/>
    </row>
    <row r="177" spans="1:13" s="48" customFormat="1" ht="15.75" customHeight="1" x14ac:dyDescent="0.25">
      <c r="D177" s="117"/>
    </row>
    <row r="178" spans="1:13" s="48" customFormat="1" ht="15.75" customHeight="1" x14ac:dyDescent="0.25">
      <c r="D178" s="117"/>
    </row>
    <row r="179" spans="1:13" s="48" customFormat="1" ht="15.75" customHeight="1" x14ac:dyDescent="0.25">
      <c r="D179" s="117"/>
    </row>
    <row r="180" spans="1:13" s="48" customFormat="1" ht="15.75" customHeight="1" x14ac:dyDescent="0.25">
      <c r="D180" s="117"/>
    </row>
    <row r="181" spans="1:13" s="48" customFormat="1" ht="15.75" customHeight="1" x14ac:dyDescent="0.25">
      <c r="D181" s="117"/>
    </row>
    <row r="182" spans="1:13" ht="15.75" customHeight="1" x14ac:dyDescent="0.25">
      <c r="A182" s="48"/>
      <c r="B182" s="48"/>
      <c r="C182" s="48"/>
      <c r="D182" s="117"/>
      <c r="E182" s="48"/>
      <c r="F182" s="48"/>
      <c r="G182" s="48"/>
      <c r="H182" s="48"/>
      <c r="I182" s="48"/>
      <c r="J182" s="48"/>
      <c r="K182" s="48"/>
      <c r="L182" s="48"/>
      <c r="M182" s="48"/>
    </row>
    <row r="183" spans="1:13" ht="15.75" customHeight="1" x14ac:dyDescent="0.25">
      <c r="A183" s="48"/>
      <c r="B183" s="48"/>
      <c r="C183" s="48"/>
      <c r="D183" s="117"/>
      <c r="E183" s="48"/>
      <c r="F183" s="48"/>
      <c r="G183" s="48"/>
      <c r="H183" s="48"/>
      <c r="I183" s="48"/>
      <c r="J183" s="48"/>
      <c r="K183" s="48"/>
      <c r="L183" s="48"/>
      <c r="M183" s="48"/>
    </row>
    <row r="184" spans="1:13" ht="15.75" customHeight="1" x14ac:dyDescent="0.25"/>
    <row r="185" spans="1:13" ht="15.75" customHeight="1" x14ac:dyDescent="0.25"/>
    <row r="186" spans="1:13" ht="15.75" customHeight="1" x14ac:dyDescent="0.25"/>
    <row r="187" spans="1:13" ht="15.75" customHeight="1" x14ac:dyDescent="0.25"/>
    <row r="188" spans="1:13" ht="15.75" customHeight="1" x14ac:dyDescent="0.25"/>
    <row r="189" spans="1:13" ht="15.75" customHeight="1" x14ac:dyDescent="0.25"/>
    <row r="190" spans="1:13" ht="15.75" customHeight="1" x14ac:dyDescent="0.25"/>
    <row r="191" spans="1:13" ht="15.75" customHeight="1" x14ac:dyDescent="0.25"/>
    <row r="192" spans="1:13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0" hidden="1" customHeight="1" x14ac:dyDescent="0.25"/>
    <row r="264" ht="0" hidden="1" customHeight="1" x14ac:dyDescent="0.25"/>
  </sheetData>
  <sheetProtection algorithmName="SHA-512" hashValue="Lh2dt8HUt90kcjsWK8v5LHfHYHyxChSWCU233yN0FpTKDwj/BV4sj0qhSp6SJXzOw2wKBvmJfijKgET5MBXjEw==" saltValue="SvTCxGyuvNaexUYm5HkNtA==" spinCount="100000" sheet="1" objects="1" scenarios="1"/>
  <pageMargins left="0.70866141732283472" right="0.70866141732283472" top="0.74803149606299213" bottom="0.74803149606299213" header="0.31496062992125984" footer="0.31496062992125984"/>
  <pageSetup scale="19" orientation="landscape" r:id="rId1"/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245"/>
  <sheetViews>
    <sheetView showGridLines="0" view="pageLayout" topLeftCell="A112" zoomScaleNormal="100" zoomScaleSheetLayoutView="100" workbookViewId="0">
      <selection activeCell="M108" sqref="M108"/>
    </sheetView>
  </sheetViews>
  <sheetFormatPr defaultColWidth="9.140625" defaultRowHeight="0" customHeight="1" zeroHeight="1" x14ac:dyDescent="0.25"/>
  <cols>
    <col min="1" max="1" width="15.7109375" style="51" customWidth="1"/>
    <col min="2" max="2" width="13.28515625" style="51" customWidth="1"/>
    <col min="3" max="3" width="55.7109375" style="51" customWidth="1"/>
    <col min="4" max="4" width="13.85546875" style="1" customWidth="1"/>
    <col min="5" max="5" width="2.7109375" style="51" customWidth="1"/>
    <col min="6" max="6" width="14" style="51" bestFit="1" customWidth="1"/>
    <col min="7" max="7" width="2.7109375" style="51" customWidth="1"/>
    <col min="8" max="8" width="16.5703125" style="51" bestFit="1" customWidth="1"/>
    <col min="9" max="9" width="2.7109375" style="51" customWidth="1"/>
    <col min="10" max="10" width="12.28515625" style="51" customWidth="1"/>
    <col min="11" max="11" width="2.7109375" style="51" customWidth="1"/>
    <col min="12" max="12" width="11.7109375" style="51" bestFit="1" customWidth="1"/>
    <col min="13" max="13" width="2.7109375" style="51" customWidth="1"/>
    <col min="14" max="14" width="12.7109375" style="51" customWidth="1"/>
    <col min="15" max="16384" width="9.140625" style="51"/>
  </cols>
  <sheetData>
    <row r="1" spans="1:15" ht="15" x14ac:dyDescent="0.2">
      <c r="A1" s="48"/>
      <c r="B1" s="48"/>
      <c r="C1" s="5"/>
      <c r="D1" s="48"/>
      <c r="E1" s="48"/>
      <c r="F1" s="48"/>
      <c r="G1" s="48"/>
      <c r="H1" s="48"/>
      <c r="I1" s="48"/>
      <c r="J1" s="48"/>
      <c r="K1" s="48"/>
      <c r="L1" s="48"/>
    </row>
    <row r="2" spans="1:15" s="48" customFormat="1" ht="18" x14ac:dyDescent="0.25">
      <c r="C2" s="6" t="str">
        <f>'A1.1 Distributor Information'!C3</f>
        <v>Name of LDC:       EPCOR Natural Gas Limited Partnership</v>
      </c>
    </row>
    <row r="3" spans="1:15" s="48" customFormat="1" ht="18" x14ac:dyDescent="0.25">
      <c r="C3" s="6" t="str">
        <f>'A1.1 Distributor Information'!C4</f>
        <v>OEB Application Number:          EB-2020-0234 Exhibit A - 2021 IRM Application</v>
      </c>
    </row>
    <row r="4" spans="1:15" s="48" customFormat="1" ht="15" x14ac:dyDescent="0.2"/>
    <row r="5" spans="1:15" s="48" customFormat="1" ht="15" x14ac:dyDescent="0.2"/>
    <row r="6" spans="1:15" s="48" customFormat="1" ht="15" x14ac:dyDescent="0.2"/>
    <row r="7" spans="1:15" s="48" customFormat="1" ht="20.25" x14ac:dyDescent="0.3">
      <c r="C7" s="3" t="s">
        <v>58</v>
      </c>
    </row>
    <row r="8" spans="1:15" s="48" customFormat="1" ht="15" x14ac:dyDescent="0.2"/>
    <row r="9" spans="1:15" s="48" customFormat="1" ht="15" x14ac:dyDescent="0.2"/>
    <row r="10" spans="1:15" s="48" customFormat="1" ht="20.25" x14ac:dyDescent="0.3">
      <c r="C10" s="3" t="str">
        <f>'For Bill Impact(HideBeforeFile)'!C9</f>
        <v>RATE 2 - Seasonal Service - Apr to Oct</v>
      </c>
      <c r="E10" s="52"/>
      <c r="F10" s="172" t="s">
        <v>130</v>
      </c>
      <c r="G10" s="172"/>
      <c r="H10" s="172" t="s">
        <v>131</v>
      </c>
      <c r="I10" s="172"/>
      <c r="J10" s="172" t="s">
        <v>133</v>
      </c>
      <c r="O10" s="48" t="s">
        <v>132</v>
      </c>
    </row>
    <row r="11" spans="1:15" s="48" customFormat="1" ht="15" x14ac:dyDescent="0.2"/>
    <row r="12" spans="1:15" s="48" customFormat="1" ht="15" x14ac:dyDescent="0.2"/>
    <row r="13" spans="1:15" s="48" customFormat="1" ht="15" x14ac:dyDescent="0.2"/>
    <row r="14" spans="1:15" s="48" customFormat="1" ht="15" x14ac:dyDescent="0.2">
      <c r="C14" s="48" t="str">
        <f>INDEX('For Bill Impact(HideBeforeFile)'!$D$48:$O$57,MATCH(C10,'For Bill Impact(HideBeforeFile)'!$C$62:$C$71,0),MATCH($O14,'For Bill Impact(HideBeforeFile)'!$D$61:$O$61,0))</f>
        <v>Commodity</v>
      </c>
      <c r="D14" s="48" t="str">
        <f>INDEX('For Bill Impact(HideBeforeFile)'!$D$62:$O$71,MATCH(C10,'For Bill Impact(HideBeforeFile)'!$C$62:$C$71,0),MATCH($O14,'For Bill Impact(HideBeforeFile)'!$D$61:$O$61,0))</f>
        <v>cents / m3</v>
      </c>
      <c r="E14" s="169"/>
      <c r="F14" s="54">
        <f>INDEX('For Bill Impact(HideBeforeFile)'!$D$6:$O$15,MATCH(C10,'For Bill Impact(HideBeforeFile)'!$C$62:$C$71,0),MATCH($O14,'For Bill Impact(HideBeforeFile)'!$D$61:$O$61,0))</f>
        <v>13.264200000000001</v>
      </c>
      <c r="G14" s="169"/>
      <c r="H14" s="54">
        <f>INDEX('For Bill Impact(HideBeforeFile)'!$D$20:$O$29,MATCH(C10,'For Bill Impact(HideBeforeFile)'!$C$62:$C$71,0),MATCH($O14,'For Bill Impact(HideBeforeFile)'!$D$61:$O$61,0))</f>
        <v>13.264200000000001</v>
      </c>
      <c r="J14" s="57">
        <f>INDEX('For Bill Impact(HideBeforeFile)'!$D$34:$O$43,MATCH(C10,'For Bill Impact(HideBeforeFile)'!$C$62:$C$71,0),MATCH($O14,'For Bill Impact(HideBeforeFile)'!$D$61:$O$61,0))</f>
        <v>15791.589795918368</v>
      </c>
      <c r="O14" s="48" t="str">
        <f>'For Bill Impact(HideBeforeFile)'!$D$5</f>
        <v>Commodity</v>
      </c>
    </row>
    <row r="15" spans="1:15" s="48" customFormat="1" ht="15" x14ac:dyDescent="0.2"/>
    <row r="16" spans="1:15" s="48" customFormat="1" ht="15" x14ac:dyDescent="0.2">
      <c r="C16" s="48" t="str">
        <f>INDEX('For Bill Impact(HideBeforeFile)'!$D$48:$O$57,MATCH(C10,'For Bill Impact(HideBeforeFile)'!$C$62:$C$71,0),MATCH($O16,'For Bill Impact(HideBeforeFile)'!$D$61:$O$61,0))</f>
        <v>Customer (excl. Bill 32)</v>
      </c>
      <c r="D16" s="48" t="str">
        <f>INDEX('For Bill Impact(HideBeforeFile)'!$D$62:$O$71,MATCH(C10,'For Bill Impact(HideBeforeFile)'!$C$62:$C$71,0),MATCH($O16,'For Bill Impact(HideBeforeFile)'!$D$61:$O$61,0))</f>
        <v>$ / month</v>
      </c>
      <c r="E16" s="171"/>
      <c r="F16" s="170">
        <f>INDEX('For Bill Impact(HideBeforeFile)'!$D$6:$O$15,MATCH(C10,'For Bill Impact(HideBeforeFile)'!$C$62:$C$71,0),MATCH($O16,'For Bill Impact(HideBeforeFile)'!$D$61:$O$61,0))</f>
        <v>20</v>
      </c>
      <c r="G16" s="171"/>
      <c r="H16" s="170">
        <f>INDEX('For Bill Impact(HideBeforeFile)'!$D$20:$O$29,MATCH(C10,'For Bill Impact(HideBeforeFile)'!$C$62:$C$71,0),MATCH($O16,'For Bill Impact(HideBeforeFile)'!$D$61:$O$61,0))</f>
        <v>20</v>
      </c>
      <c r="J16" s="57">
        <f>INDEX('For Bill Impact(HideBeforeFile)'!$D$34:$O$43,MATCH(C10,'For Bill Impact(HideBeforeFile)'!$C$62:$C$71,0),MATCH($O16,'For Bill Impact(HideBeforeFile)'!$D$61:$O$61,0))</f>
        <v>7</v>
      </c>
      <c r="O16" s="48" t="str">
        <f>'For Bill Impact(HideBeforeFile)'!$K$5</f>
        <v>Dist. Customer Rate</v>
      </c>
    </row>
    <row r="17" spans="3:15" s="48" customFormat="1" ht="15" x14ac:dyDescent="0.2">
      <c r="C17" s="48" t="str">
        <f>INDEX('For Bill Impact(HideBeforeFile)'!$D$48:$O$57,MATCH(C10,'For Bill Impact(HideBeforeFile)'!$C$62:$C$71,0),MATCH($O17,'For Bill Impact(HideBeforeFile)'!$D$61:$O$61,0))</f>
        <v>Block 1 (First 1,000 m3 per month)</v>
      </c>
      <c r="D17" s="48" t="str">
        <f>INDEX('For Bill Impact(HideBeforeFile)'!$D$62:$O$71,MATCH(C10,'For Bill Impact(HideBeforeFile)'!$C$62:$C$71,0),MATCH($O17,'For Bill Impact(HideBeforeFile)'!$D$61:$O$61,0))</f>
        <v>cents / m3</v>
      </c>
      <c r="E17" s="169"/>
      <c r="F17" s="54">
        <f>INDEX('For Bill Impact(HideBeforeFile)'!$D$6:$O$15,MATCH(C10,'For Bill Impact(HideBeforeFile)'!$C$62:$C$71,0),MATCH($O17,'For Bill Impact(HideBeforeFile)'!$D$61:$O$61,0))</f>
        <v>16.5854</v>
      </c>
      <c r="G17" s="169"/>
      <c r="H17" s="54">
        <f>INDEX('For Bill Impact(HideBeforeFile)'!$D$20:$O$29,MATCH(C10,'For Bill Impact(HideBeforeFile)'!$C$62:$C$71,0),MATCH($O17,'For Bill Impact(HideBeforeFile)'!$D$61:$O$61,0))</f>
        <v>17.047892273401757</v>
      </c>
      <c r="J17" s="57">
        <f>INDEX('For Bill Impact(HideBeforeFile)'!$D$34:$O$43,MATCH(C10,'For Bill Impact(HideBeforeFile)'!$C$62:$C$71,0),MATCH($O17,'For Bill Impact(HideBeforeFile)'!$D$61:$O$61,0))</f>
        <v>1684.8816326530612</v>
      </c>
      <c r="O17" s="48" t="str">
        <f>'For Bill Impact(HideBeforeFile)'!$L$5</f>
        <v>Dist. Vol. Rate Tier 1</v>
      </c>
    </row>
    <row r="18" spans="3:15" s="48" customFormat="1" ht="15" x14ac:dyDescent="0.2">
      <c r="C18" s="48" t="str">
        <f>INDEX('For Bill Impact(HideBeforeFile)'!$D$48:$O$57,MATCH(C10,'For Bill Impact(HideBeforeFile)'!$C$62:$C$71,0),MATCH($O18,'For Bill Impact(HideBeforeFile)'!$D$61:$O$61,0))</f>
        <v>Block 2 (Next 24,000 m3 per month)</v>
      </c>
      <c r="D18" s="48" t="str">
        <f>INDEX('For Bill Impact(HideBeforeFile)'!$D$62:$O$71,MATCH(C10,'For Bill Impact(HideBeforeFile)'!$C$62:$C$71,0),MATCH($O18,'For Bill Impact(HideBeforeFile)'!$D$61:$O$61,0))</f>
        <v>cents / m3</v>
      </c>
      <c r="E18" s="169"/>
      <c r="F18" s="54">
        <f>INDEX('For Bill Impact(HideBeforeFile)'!$D$6:$O$15,MATCH(C10,'For Bill Impact(HideBeforeFile)'!$C$62:$C$71,0),MATCH($O18,'For Bill Impact(HideBeforeFile)'!$D$61:$O$61,0))</f>
        <v>8.5817999999999994</v>
      </c>
      <c r="G18" s="169"/>
      <c r="H18" s="54">
        <f>INDEX('For Bill Impact(HideBeforeFile)'!$D$20:$O$29,MATCH(C10,'For Bill Impact(HideBeforeFile)'!$C$62:$C$71,0),MATCH($O18,'For Bill Impact(HideBeforeFile)'!$D$61:$O$61,0))</f>
        <v>8.8560902110803301</v>
      </c>
      <c r="J18" s="57">
        <f>INDEX('For Bill Impact(HideBeforeFile)'!$D$34:$O$43,MATCH(C10,'For Bill Impact(HideBeforeFile)'!$C$62:$C$71,0),MATCH($O18,'For Bill Impact(HideBeforeFile)'!$D$61:$O$61,0))</f>
        <v>12110.287755102041</v>
      </c>
      <c r="O18" s="48" t="str">
        <f>'For Bill Impact(HideBeforeFile)'!$M$5</f>
        <v>Dist. Vol. Rate Tier 2</v>
      </c>
    </row>
    <row r="19" spans="3:15" s="48" customFormat="1" ht="15" x14ac:dyDescent="0.2">
      <c r="C19" s="48" t="str">
        <f>INDEX('For Bill Impact(HideBeforeFile)'!$D$48:$O$57,MATCH(C10,'For Bill Impact(HideBeforeFile)'!$C$62:$C$71,0),MATCH($O19,'For Bill Impact(HideBeforeFile)'!$D$61:$O$61,0))</f>
        <v>Block 3 (Over 25,000 m3 per month)</v>
      </c>
      <c r="D19" s="48" t="str">
        <f>INDEX('For Bill Impact(HideBeforeFile)'!$D$62:$O$71,MATCH(C10,'For Bill Impact(HideBeforeFile)'!$C$62:$C$71,0),MATCH($O19,'For Bill Impact(HideBeforeFile)'!$D$61:$O$61,0))</f>
        <v>cents / m3</v>
      </c>
      <c r="E19" s="169"/>
      <c r="F19" s="54">
        <f>INDEX('For Bill Impact(HideBeforeFile)'!$D$6:$O$15,MATCH(C10,'For Bill Impact(HideBeforeFile)'!$C$62:$C$71,0),MATCH($O19,'For Bill Impact(HideBeforeFile)'!$D$61:$O$61,0))</f>
        <v>6.7868000000000004</v>
      </c>
      <c r="G19" s="169"/>
      <c r="H19" s="54">
        <f>INDEX('For Bill Impact(HideBeforeFile)'!$D$20:$O$29,MATCH(C10,'For Bill Impact(HideBeforeFile)'!$C$62:$C$71,0),MATCH($O19,'For Bill Impact(HideBeforeFile)'!$D$61:$O$61,0))</f>
        <v>6.904120686059545</v>
      </c>
      <c r="J19" s="57">
        <f>INDEX('For Bill Impact(HideBeforeFile)'!$D$34:$O$43,MATCH(C10,'For Bill Impact(HideBeforeFile)'!$C$62:$C$71,0),MATCH($O19,'For Bill Impact(HideBeforeFile)'!$D$61:$O$61,0))</f>
        <v>1996.4204081632654</v>
      </c>
      <c r="O19" s="48" t="str">
        <f>'For Bill Impact(HideBeforeFile)'!$N$5</f>
        <v>Dist. Vol. Rate Tier 3</v>
      </c>
    </row>
    <row r="20" spans="3:15" s="48" customFormat="1" ht="15" x14ac:dyDescent="0.2">
      <c r="C20" s="48" t="str">
        <f>INDEX('For Bill Impact(HideBeforeFile)'!$D$48:$O$57,MATCH(C10,'For Bill Impact(HideBeforeFile)'!$C$62:$C$71,0),MATCH($O20,'For Bill Impact(HideBeforeFile)'!$D$61:$O$61,0))</f>
        <v/>
      </c>
      <c r="D20" s="48" t="str">
        <f>INDEX('For Bill Impact(HideBeforeFile)'!$D$62:$O$71,MATCH(C10,'For Bill Impact(HideBeforeFile)'!$C$62:$C$71,0),MATCH($O20,'For Bill Impact(HideBeforeFile)'!$D$61:$O$61,0))</f>
        <v/>
      </c>
      <c r="E20" s="169"/>
      <c r="F20" s="54" t="str">
        <f>INDEX('For Bill Impact(HideBeforeFile)'!$D$6:$O$15,MATCH(C10,'For Bill Impact(HideBeforeFile)'!$C$62:$C$71,0),MATCH($O20,'For Bill Impact(HideBeforeFile)'!$D$61:$O$61,0))</f>
        <v/>
      </c>
      <c r="G20" s="169"/>
      <c r="H20" s="54" t="str">
        <f>INDEX('For Bill Impact(HideBeforeFile)'!$D$20:$O$29,MATCH(C10,'For Bill Impact(HideBeforeFile)'!$C$62:$C$71,0),MATCH($O20,'For Bill Impact(HideBeforeFile)'!$D$61:$O$61,0))</f>
        <v/>
      </c>
      <c r="J20" s="57" t="str">
        <f>INDEX('For Bill Impact(HideBeforeFile)'!$D$34:$O$43,MATCH(C10,'For Bill Impact(HideBeforeFile)'!$C$62:$C$71,0),MATCH($O20,'For Bill Impact(HideBeforeFile)'!$D$61:$O$61,0))</f>
        <v/>
      </c>
      <c r="O20" s="48" t="str">
        <f>'For Bill Impact(HideBeforeFile)'!$O$5</f>
        <v>Dist. Capacity Rate</v>
      </c>
    </row>
    <row r="21" spans="3:15" s="48" customFormat="1" ht="15" x14ac:dyDescent="0.2">
      <c r="C21" s="48" t="str">
        <f>INDEX('For Bill Impact(HideBeforeFile)'!$D$48:$O$57,MATCH(C10,'For Bill Impact(HideBeforeFile)'!$C$62:$C$71,0),MATCH($O21,'For Bill Impact(HideBeforeFile)'!$D$61:$O$61,0))</f>
        <v>System Gas Charge</v>
      </c>
      <c r="D21" s="48" t="str">
        <f>INDEX('For Bill Impact(HideBeforeFile)'!$D$62:$O$71,MATCH(C10,'For Bill Impact(HideBeforeFile)'!$C$62:$C$71,0),MATCH($O21,'For Bill Impact(HideBeforeFile)'!$D$61:$O$61,0))</f>
        <v>cents / m3</v>
      </c>
      <c r="E21" s="169"/>
      <c r="F21" s="54">
        <f>INDEX('For Bill Impact(HideBeforeFile)'!$D$6:$O$15,MATCH(C10,'For Bill Impact(HideBeforeFile)'!$C$62:$C$71,0),MATCH($O21,'For Bill Impact(HideBeforeFile)'!$D$61:$O$61,0))</f>
        <v>4.3499999999999997E-2</v>
      </c>
      <c r="G21" s="169"/>
      <c r="H21" s="54">
        <f>INDEX('For Bill Impact(HideBeforeFile)'!$D$20:$O$29,MATCH(C10,'For Bill Impact(HideBeforeFile)'!$C$62:$C$71,0),MATCH($O21,'For Bill Impact(HideBeforeFile)'!$D$61:$O$61,0))</f>
        <v>4.3499999999999997E-2</v>
      </c>
      <c r="J21" s="57">
        <f>INDEX('For Bill Impact(HideBeforeFile)'!$D$34:$O$43,MATCH(C10,'For Bill Impact(HideBeforeFile)'!$C$62:$C$71,0),MATCH($O21,'For Bill Impact(HideBeforeFile)'!$D$61:$O$61,0))</f>
        <v>15791.589795918368</v>
      </c>
      <c r="O21" s="48" t="str">
        <f>'For Bill Impact(HideBeforeFile)'!$E$5</f>
        <v>System Gas</v>
      </c>
    </row>
    <row r="22" spans="3:15" s="48" customFormat="1" ht="15" x14ac:dyDescent="0.2"/>
    <row r="23" spans="3:15" s="48" customFormat="1" ht="15" x14ac:dyDescent="0.2">
      <c r="C23" s="48" t="str">
        <f>INDEX('For Bill Impact(HideBeforeFile)'!$D$48:$O$57,MATCH(C10,'For Bill Impact(HideBeforeFile)'!$C$62:$C$71,0),MATCH($O23,'For Bill Impact(HideBeforeFile)'!$D$61:$O$61,0))</f>
        <v>REDA</v>
      </c>
      <c r="D23" s="48" t="str">
        <f>INDEX('For Bill Impact(HideBeforeFile)'!$D$62:$O$71,MATCH(C10,'For Bill Impact(HideBeforeFile)'!$C$62:$C$71,0),MATCH($O23,'For Bill Impact(HideBeforeFile)'!$D$61:$O$61,0))</f>
        <v>$ / month</v>
      </c>
      <c r="E23" s="171"/>
      <c r="F23" s="170">
        <f>INDEX('For Bill Impact(HideBeforeFile)'!$D$6:$O$15,MATCH(C10,'For Bill Impact(HideBeforeFile)'!$C$62:$C$71,0),MATCH($O23,'For Bill Impact(HideBeforeFile)'!$D$61:$O$61,0))</f>
        <v>0.59</v>
      </c>
      <c r="G23" s="171"/>
      <c r="H23" s="170">
        <f>INDEX('For Bill Impact(HideBeforeFile)'!$D$20:$O$29,MATCH(C10,'For Bill Impact(HideBeforeFile)'!$C$62:$C$71,0),MATCH($O23,'For Bill Impact(HideBeforeFile)'!$D$61:$O$61,0))</f>
        <v>0.76971281184715468</v>
      </c>
      <c r="J23" s="57">
        <f>INDEX('For Bill Impact(HideBeforeFile)'!$D$34:$O$43,MATCH(C10,'For Bill Impact(HideBeforeFile)'!$C$62:$C$71,0),MATCH($O23,'For Bill Impact(HideBeforeFile)'!$D$61:$O$61,0))</f>
        <v>7</v>
      </c>
      <c r="O23" s="48" t="str">
        <f>'For Bill Impact(HideBeforeFile)'!$F$5</f>
        <v>REDA</v>
      </c>
    </row>
    <row r="24" spans="3:15" s="48" customFormat="1" ht="15" x14ac:dyDescent="0.2">
      <c r="C24" s="48" t="str">
        <f>INDEX('For Bill Impact(HideBeforeFile)'!$D$48:$O$57,MATCH(C10,'For Bill Impact(HideBeforeFile)'!$C$62:$C$71,0),MATCH($O24,'For Bill Impact(HideBeforeFile)'!$D$61:$O$61,0))</f>
        <v>PGTVA</v>
      </c>
      <c r="D24" s="48" t="str">
        <f>INDEX('For Bill Impact(HideBeforeFile)'!$D$62:$O$71,MATCH(C10,'For Bill Impact(HideBeforeFile)'!$C$62:$C$71,0),MATCH($O24,'For Bill Impact(HideBeforeFile)'!$D$61:$O$61,0))</f>
        <v>cents / m3</v>
      </c>
      <c r="E24" s="169"/>
      <c r="F24" s="54">
        <f>INDEX('For Bill Impact(HideBeforeFile)'!$D$6:$O$15,MATCH(C10,'For Bill Impact(HideBeforeFile)'!$C$62:$C$71,0),MATCH($O24,'For Bill Impact(HideBeforeFile)'!$D$61:$O$61,0))</f>
        <v>0.128</v>
      </c>
      <c r="G24" s="169"/>
      <c r="H24" s="54">
        <f>INDEX('For Bill Impact(HideBeforeFile)'!$D$20:$O$29,MATCH(C10,'For Bill Impact(HideBeforeFile)'!$C$62:$C$71,0),MATCH($O24,'For Bill Impact(HideBeforeFile)'!$D$61:$O$61,0))</f>
        <v>0.30664420626329603</v>
      </c>
      <c r="J24" s="57">
        <f>INDEX('For Bill Impact(HideBeforeFile)'!$D$34:$O$43,MATCH(C10,'For Bill Impact(HideBeforeFile)'!$C$62:$C$71,0),MATCH($O24,'For Bill Impact(HideBeforeFile)'!$D$61:$O$61,0))</f>
        <v>15791.589795918368</v>
      </c>
      <c r="O24" s="48" t="str">
        <f>'For Bill Impact(HideBeforeFile)'!$G$5</f>
        <v>PGTVA</v>
      </c>
    </row>
    <row r="25" spans="3:15" s="48" customFormat="1" ht="15" x14ac:dyDescent="0.2">
      <c r="C25" s="48" t="str">
        <f>INDEX('For Bill Impact(HideBeforeFile)'!$D$48:$O$57,MATCH(C10,'For Bill Impact(HideBeforeFile)'!$C$62:$C$71,0),MATCH($O25,'For Bill Impact(HideBeforeFile)'!$D$61:$O$61,0))</f>
        <v>ADVADA</v>
      </c>
      <c r="D25" s="48" t="str">
        <f>INDEX('For Bill Impact(HideBeforeFile)'!$D$62:$O$71,MATCH(C10,'For Bill Impact(HideBeforeFile)'!$C$62:$C$71,0),MATCH($O25,'For Bill Impact(HideBeforeFile)'!$D$61:$O$61,0))</f>
        <v>cents / m3</v>
      </c>
      <c r="F25" s="54" t="str">
        <f>INDEX('For Bill Impact(HideBeforeFile)'!$D$6:$O$15,MATCH(C10,'For Bill Impact(HideBeforeFile)'!$C$62:$C$71,0),MATCH($O25,'For Bill Impact(HideBeforeFile)'!$D$61:$O$61,0))</f>
        <v/>
      </c>
      <c r="H25" s="54">
        <f>INDEX('For Bill Impact(HideBeforeFile)'!$D$20:$O$29,MATCH(C10,'For Bill Impact(HideBeforeFile)'!$C$62:$C$71,0),MATCH($O25,'For Bill Impact(HideBeforeFile)'!$D$61:$O$61,0))</f>
        <v>0.14841821245417633</v>
      </c>
      <c r="J25" s="57">
        <f>INDEX('For Bill Impact(HideBeforeFile)'!$D$34:$O$43,MATCH(C10,'For Bill Impact(HideBeforeFile)'!$C$62:$C$71,0),MATCH($O25,'For Bill Impact(HideBeforeFile)'!$D$61:$O$61,0))</f>
        <v>15791.589795918368</v>
      </c>
      <c r="O25" s="48" t="str">
        <f>'For Bill Impact(HideBeforeFile)'!$H$5</f>
        <v>ADVADA</v>
      </c>
    </row>
    <row r="26" spans="3:15" s="48" customFormat="1" ht="15" x14ac:dyDescent="0.2"/>
    <row r="27" spans="3:15" s="48" customFormat="1" ht="15.75" x14ac:dyDescent="0.25">
      <c r="C27" s="48" t="str">
        <f>INDEX('For Bill Impact(HideBeforeFile)'!$D$48:$O$57,MATCH(C10,'For Bill Impact(HideBeforeFile)'!$C$62:$C$71,0),MATCH($O27,'For Bill Impact(HideBeforeFile)'!$D$61:$O$61,0))</f>
        <v>Federal Carbon</v>
      </c>
      <c r="D27" s="48" t="str">
        <f>INDEX('For Bill Impact(HideBeforeFile)'!$D$62:$O$71,MATCH(C10,'For Bill Impact(HideBeforeFile)'!$C$62:$C$71,0),MATCH($O27,'For Bill Impact(HideBeforeFile)'!$D$61:$O$61,0))</f>
        <v>cents / m3</v>
      </c>
      <c r="E27" s="169"/>
      <c r="F27" s="54">
        <f>INDEX('For Bill Impact(HideBeforeFile)'!$D$6:$O$15,MATCH(C10,'For Bill Impact(HideBeforeFile)'!$C$62:$C$71,0),MATCH($O27,'For Bill Impact(HideBeforeFile)'!$D$61:$O$61,0))</f>
        <v>5.87</v>
      </c>
      <c r="G27" s="169"/>
      <c r="H27" s="54">
        <f>INDEX('For Bill Impact(HideBeforeFile)'!$D$20:$O$29,MATCH(C10,'For Bill Impact(HideBeforeFile)'!$C$62:$C$71,0),MATCH($O27,'For Bill Impact(HideBeforeFile)'!$D$61:$O$61,0))</f>
        <v>5.87</v>
      </c>
      <c r="J27" s="57">
        <f>INDEX('For Bill Impact(HideBeforeFile)'!$D$34:$O$43,MATCH(C10,'For Bill Impact(HideBeforeFile)'!$C$62:$C$71,0),MATCH($O27,'For Bill Impact(HideBeforeFile)'!$D$61:$O$61,0))</f>
        <v>15791.589795918368</v>
      </c>
      <c r="N27" s="16"/>
      <c r="O27" s="48" t="str">
        <f>'For Bill Impact(HideBeforeFile)'!$I$5</f>
        <v>Federal Carbon</v>
      </c>
    </row>
    <row r="28" spans="3:15" s="48" customFormat="1" ht="15" x14ac:dyDescent="0.2">
      <c r="C28" s="48" t="str">
        <f>INDEX('For Bill Impact(HideBeforeFile)'!$D$48:$O$57,MATCH(C10,'For Bill Impact(HideBeforeFile)'!$C$62:$C$71,0),MATCH($O28,'For Bill Impact(HideBeforeFile)'!$D$61:$O$61,0))</f>
        <v>Facility Carbon</v>
      </c>
      <c r="D28" s="48" t="str">
        <f>INDEX('For Bill Impact(HideBeforeFile)'!$D$62:$O$71,MATCH(C10,'For Bill Impact(HideBeforeFile)'!$C$62:$C$71,0),MATCH($O28,'For Bill Impact(HideBeforeFile)'!$D$61:$O$61,0))</f>
        <v>cents / m3</v>
      </c>
      <c r="E28" s="169"/>
      <c r="F28" s="54">
        <f>INDEX('For Bill Impact(HideBeforeFile)'!$D$6:$O$15,MATCH(C10,'For Bill Impact(HideBeforeFile)'!$C$62:$C$71,0),MATCH($O28,'For Bill Impact(HideBeforeFile)'!$D$61:$O$61,0))</f>
        <v>2.7000000000000001E-3</v>
      </c>
      <c r="G28" s="169"/>
      <c r="H28" s="54">
        <f>INDEX('For Bill Impact(HideBeforeFile)'!$D$20:$O$29,MATCH(C10,'For Bill Impact(HideBeforeFile)'!$C$62:$C$71,0),MATCH($O28,'For Bill Impact(HideBeforeFile)'!$D$61:$O$61,0))</f>
        <v>2.7000000000000001E-3</v>
      </c>
      <c r="J28" s="57">
        <f>INDEX('For Bill Impact(HideBeforeFile)'!$D$34:$O$43,MATCH(C10,'For Bill Impact(HideBeforeFile)'!$C$62:$C$71,0),MATCH($O28,'For Bill Impact(HideBeforeFile)'!$D$61:$O$61,0))</f>
        <v>15791.589795918368</v>
      </c>
      <c r="O28" s="48" t="str">
        <f>'For Bill Impact(HideBeforeFile)'!$J$5</f>
        <v>Facility Carbon</v>
      </c>
    </row>
    <row r="29" spans="3:15" s="48" customFormat="1" ht="15" x14ac:dyDescent="0.2"/>
    <row r="30" spans="3:15" s="48" customFormat="1" ht="15" x14ac:dyDescent="0.2"/>
    <row r="31" spans="3:15" s="48" customFormat="1" ht="15.75" x14ac:dyDescent="0.25">
      <c r="C31" s="17" t="s">
        <v>8</v>
      </c>
      <c r="E31" s="52"/>
      <c r="F31" s="172" t="s">
        <v>130</v>
      </c>
      <c r="G31" s="172"/>
      <c r="H31" s="172" t="s">
        <v>131</v>
      </c>
      <c r="J31" s="48" t="s">
        <v>55</v>
      </c>
      <c r="L31" s="56" t="s">
        <v>56</v>
      </c>
    </row>
    <row r="32" spans="3:15" s="48" customFormat="1" ht="15" x14ac:dyDescent="0.2">
      <c r="F32" s="58">
        <f>F14*$J14/100</f>
        <v>2094.6280537102043</v>
      </c>
      <c r="G32" s="171"/>
      <c r="H32" s="58">
        <f>H14*$J14/100</f>
        <v>2094.6280537102043</v>
      </c>
      <c r="J32" s="53">
        <f>H32-F32</f>
        <v>0</v>
      </c>
      <c r="L32" s="59">
        <f>IFERROR(J32/F32,"")</f>
        <v>0</v>
      </c>
      <c r="O32" s="48" t="str">
        <f>'For Bill Impact(HideBeforeFile)'!$D$5</f>
        <v>Commodity</v>
      </c>
    </row>
    <row r="33" spans="3:15" s="48" customFormat="1" ht="15" x14ac:dyDescent="0.2"/>
    <row r="34" spans="3:15" s="48" customFormat="1" ht="15.75" x14ac:dyDescent="0.25">
      <c r="C34" s="17" t="s">
        <v>68</v>
      </c>
      <c r="E34" s="52"/>
      <c r="F34" s="52" t="s">
        <v>35</v>
      </c>
      <c r="G34" s="52"/>
      <c r="H34" s="52" t="s">
        <v>52</v>
      </c>
      <c r="J34" s="48" t="s">
        <v>55</v>
      </c>
      <c r="L34" s="56" t="s">
        <v>56</v>
      </c>
    </row>
    <row r="35" spans="3:15" s="48" customFormat="1" ht="15" x14ac:dyDescent="0.2">
      <c r="C35" s="47" t="str">
        <f>IF(C16&lt;&gt;"",C16,"")</f>
        <v>Customer (excl. Bill 32)</v>
      </c>
      <c r="F35" s="58">
        <f>F16*$J16</f>
        <v>140</v>
      </c>
      <c r="G35" s="171"/>
      <c r="H35" s="58">
        <f>H16*$J16</f>
        <v>140</v>
      </c>
      <c r="J35" s="53">
        <f>IFERROR(H35-F35,"")</f>
        <v>0</v>
      </c>
      <c r="L35" s="59">
        <f>IFERROR(J35/F35,"")</f>
        <v>0</v>
      </c>
      <c r="O35" s="48" t="str">
        <f>'For Bill Impact(HideBeforeFile)'!$K$5</f>
        <v>Dist. Customer Rate</v>
      </c>
    </row>
    <row r="36" spans="3:15" s="48" customFormat="1" ht="15" x14ac:dyDescent="0.2">
      <c r="C36" s="47" t="s">
        <v>149</v>
      </c>
      <c r="F36" s="58">
        <f>J16</f>
        <v>7</v>
      </c>
      <c r="G36" s="171"/>
      <c r="H36" s="58">
        <f>J16</f>
        <v>7</v>
      </c>
      <c r="J36" s="53">
        <f>IFERROR(H36-F36,"")</f>
        <v>0</v>
      </c>
      <c r="L36" s="59">
        <f>IFERROR(J36/F36,"")</f>
        <v>0</v>
      </c>
    </row>
    <row r="37" spans="3:15" s="48" customFormat="1" ht="15" x14ac:dyDescent="0.2">
      <c r="C37" s="47" t="str">
        <f>IF(C17&lt;&gt;"",C17,"")</f>
        <v>Block 1 (First 1,000 m3 per month)</v>
      </c>
      <c r="F37" s="58">
        <f>IFERROR(F17*$J17/100,"")</f>
        <v>279.44435830204083</v>
      </c>
      <c r="H37" s="58">
        <f>IFERROR(H17*$J17/100,"")</f>
        <v>287.23680566902658</v>
      </c>
      <c r="J37" s="53">
        <f t="shared" ref="J37:J41" si="0">IFERROR(H37-F37,"")</f>
        <v>7.7924473669857548</v>
      </c>
      <c r="L37" s="59">
        <f t="shared" ref="L37:L41" si="1">IFERROR(J37/F37,"")</f>
        <v>2.7885506132004974E-2</v>
      </c>
      <c r="O37" s="48" t="str">
        <f>'For Bill Impact(HideBeforeFile)'!$L$5</f>
        <v>Dist. Vol. Rate Tier 1</v>
      </c>
    </row>
    <row r="38" spans="3:15" s="48" customFormat="1" ht="15" x14ac:dyDescent="0.2">
      <c r="C38" s="47" t="str">
        <f>IF(C18&lt;&gt;"",C18,"")</f>
        <v>Block 2 (Next 24,000 m3 per month)</v>
      </c>
      <c r="F38" s="58">
        <f>IFERROR(F18*$J18/100,"")</f>
        <v>1039.280674567347</v>
      </c>
      <c r="H38" s="58">
        <f>IFERROR(H18*$J18/100,"")</f>
        <v>1072.4980084132517</v>
      </c>
      <c r="J38" s="53">
        <f t="shared" si="0"/>
        <v>33.217333845904705</v>
      </c>
      <c r="L38" s="59">
        <f t="shared" si="1"/>
        <v>3.1961850786586692E-2</v>
      </c>
      <c r="O38" s="48" t="str">
        <f>'For Bill Impact(HideBeforeFile)'!$M$5</f>
        <v>Dist. Vol. Rate Tier 2</v>
      </c>
    </row>
    <row r="39" spans="3:15" s="48" customFormat="1" ht="15" x14ac:dyDescent="0.2">
      <c r="C39" s="47" t="str">
        <f>IF(C19&lt;&gt;"",C19,"")</f>
        <v>Block 3 (Over 25,000 m3 per month)</v>
      </c>
      <c r="F39" s="58">
        <f>IFERROR(F19*$J19/100,"")</f>
        <v>135.49306026122451</v>
      </c>
      <c r="H39" s="58">
        <f>IFERROR(H19*$J19/100,"")</f>
        <v>137.8352743807144</v>
      </c>
      <c r="J39" s="53">
        <f t="shared" si="0"/>
        <v>2.3422141194898813</v>
      </c>
      <c r="L39" s="59">
        <f t="shared" si="1"/>
        <v>1.7286598405661501E-2</v>
      </c>
      <c r="O39" s="48" t="str">
        <f>'For Bill Impact(HideBeforeFile)'!$N$5</f>
        <v>Dist. Vol. Rate Tier 3</v>
      </c>
    </row>
    <row r="40" spans="3:15" s="48" customFormat="1" ht="15" x14ac:dyDescent="0.2">
      <c r="C40" s="47" t="str">
        <f>IF(C20&lt;&gt;"",C20,"")</f>
        <v/>
      </c>
      <c r="F40" s="58" t="str">
        <f>IFERROR(F20*$J20/100,"")</f>
        <v/>
      </c>
      <c r="H40" s="58" t="str">
        <f>IFERROR(H20*$J20/100,"")</f>
        <v/>
      </c>
      <c r="J40" s="53" t="str">
        <f t="shared" si="0"/>
        <v/>
      </c>
      <c r="L40" s="59" t="str">
        <f t="shared" si="1"/>
        <v/>
      </c>
      <c r="O40" s="48" t="str">
        <f>'For Bill Impact(HideBeforeFile)'!$O$5</f>
        <v>Dist. Capacity Rate</v>
      </c>
    </row>
    <row r="41" spans="3:15" s="48" customFormat="1" ht="15" x14ac:dyDescent="0.2">
      <c r="C41" s="47" t="str">
        <f>IF(C21&lt;&gt;"",C21,"")</f>
        <v>System Gas Charge</v>
      </c>
      <c r="F41" s="58">
        <f>IFERROR(F21*$J21/100,"")</f>
        <v>6.8693415612244895</v>
      </c>
      <c r="H41" s="58">
        <f>IFERROR(H21*$J21/100,"")</f>
        <v>6.8693415612244895</v>
      </c>
      <c r="J41" s="53">
        <f t="shared" si="0"/>
        <v>0</v>
      </c>
      <c r="L41" s="59">
        <f t="shared" si="1"/>
        <v>0</v>
      </c>
      <c r="O41" s="48" t="str">
        <f>'For Bill Impact(HideBeforeFile)'!$E$5</f>
        <v>System Gas</v>
      </c>
    </row>
    <row r="42" spans="3:15" s="48" customFormat="1" ht="15.75" x14ac:dyDescent="0.25">
      <c r="C42" s="17" t="s">
        <v>54</v>
      </c>
      <c r="F42" s="35">
        <f>SUM(F35:F41)</f>
        <v>1608.087434691837</v>
      </c>
      <c r="H42" s="35">
        <f>SUM(H35:H41)</f>
        <v>1651.4394300242172</v>
      </c>
      <c r="J42" s="36">
        <f t="shared" ref="J42" si="2">H42-F42</f>
        <v>43.351995332380284</v>
      </c>
      <c r="L42" s="37">
        <f>IF(ISERROR(J42/F42),0,J42/F42)</f>
        <v>2.6958730226436953E-2</v>
      </c>
    </row>
    <row r="43" spans="3:15" s="48" customFormat="1" ht="15" x14ac:dyDescent="0.2"/>
    <row r="44" spans="3:15" s="48" customFormat="1" ht="15.75" x14ac:dyDescent="0.25">
      <c r="C44" s="17" t="s">
        <v>67</v>
      </c>
    </row>
    <row r="45" spans="3:15" s="48" customFormat="1" ht="15" x14ac:dyDescent="0.2"/>
    <row r="46" spans="3:15" s="48" customFormat="1" ht="15.75" x14ac:dyDescent="0.25">
      <c r="C46" s="17" t="s">
        <v>67</v>
      </c>
      <c r="E46" s="52"/>
      <c r="F46" s="52" t="s">
        <v>35</v>
      </c>
      <c r="G46" s="52"/>
      <c r="H46" s="52" t="s">
        <v>52</v>
      </c>
      <c r="J46" s="48" t="s">
        <v>55</v>
      </c>
      <c r="L46" s="56" t="s">
        <v>56</v>
      </c>
    </row>
    <row r="47" spans="3:15" s="48" customFormat="1" ht="15" x14ac:dyDescent="0.2">
      <c r="C47" s="48" t="s">
        <v>99</v>
      </c>
      <c r="E47" s="60"/>
      <c r="F47" s="58">
        <f>F23*$J23</f>
        <v>4.13</v>
      </c>
      <c r="G47" s="60"/>
      <c r="H47" s="58">
        <f>H23*$J23</f>
        <v>5.3879896829300824</v>
      </c>
      <c r="I47" s="60"/>
      <c r="J47" s="53">
        <f>IFERROR(H47-F47,"")</f>
        <v>1.2579896829300825</v>
      </c>
      <c r="L47" s="59">
        <f t="shared" ref="L47:L48" si="3">IFERROR(J47/F47,"")</f>
        <v>0.30459798618161804</v>
      </c>
      <c r="O47" s="48" t="str">
        <f>'For Bill Impact(HideBeforeFile)'!$F$5</f>
        <v>REDA</v>
      </c>
    </row>
    <row r="48" spans="3:15" s="48" customFormat="1" ht="15" x14ac:dyDescent="0.2">
      <c r="C48" s="48" t="s">
        <v>98</v>
      </c>
      <c r="E48" s="60"/>
      <c r="F48" s="55">
        <f>IFERROR(F24*$J24/100,"")</f>
        <v>20.213234938775511</v>
      </c>
      <c r="G48" s="60"/>
      <c r="H48" s="55">
        <f>IFERROR(H24*$J24/100,"")</f>
        <v>48.423995186049524</v>
      </c>
      <c r="I48" s="60"/>
      <c r="J48" s="53">
        <f t="shared" ref="J48" si="4">IFERROR(H48-F48,"")</f>
        <v>28.210760247274013</v>
      </c>
      <c r="L48" s="59">
        <f t="shared" si="3"/>
        <v>1.3956578614320001</v>
      </c>
      <c r="O48" s="48" t="str">
        <f>'For Bill Impact(HideBeforeFile)'!$G$5</f>
        <v>PGTVA</v>
      </c>
    </row>
    <row r="49" spans="3:15" s="48" customFormat="1" ht="15" x14ac:dyDescent="0.2">
      <c r="C49" s="48" t="s">
        <v>100</v>
      </c>
      <c r="E49" s="60"/>
      <c r="F49" s="55" t="str">
        <f>IFERROR(F25*$J25/100,"")</f>
        <v/>
      </c>
      <c r="G49" s="60"/>
      <c r="H49" s="55">
        <f>IFERROR(H25*$J25/100,"")</f>
        <v>23.43759529319815</v>
      </c>
      <c r="I49" s="60"/>
      <c r="J49" s="53">
        <f>H49</f>
        <v>23.43759529319815</v>
      </c>
      <c r="L49" s="59">
        <f>J49/H49</f>
        <v>1</v>
      </c>
      <c r="O49" s="48" t="str">
        <f>'For Bill Impact(HideBeforeFile)'!$H$5</f>
        <v>ADVADA</v>
      </c>
    </row>
    <row r="50" spans="3:15" s="48" customFormat="1" ht="15.75" x14ac:dyDescent="0.25">
      <c r="C50" s="20" t="s">
        <v>69</v>
      </c>
      <c r="F50" s="38">
        <f>SUM(F47:F49)</f>
        <v>24.34323493877551</v>
      </c>
      <c r="H50" s="38">
        <f>SUM(H47:H49)</f>
        <v>77.24958016217775</v>
      </c>
      <c r="J50" s="38">
        <f>SUM(J47:J49)</f>
        <v>52.906345223402248</v>
      </c>
      <c r="L50" s="37">
        <f t="shared" ref="L50" si="5">IF(ISERROR(J50/F50),0,J50/F50)</f>
        <v>2.1733489964034951</v>
      </c>
    </row>
    <row r="51" spans="3:15" s="48" customFormat="1" ht="15" x14ac:dyDescent="0.2">
      <c r="C51" s="47"/>
    </row>
    <row r="52" spans="3:15" s="48" customFormat="1" ht="15.75" x14ac:dyDescent="0.25">
      <c r="C52" s="17" t="s">
        <v>108</v>
      </c>
    </row>
    <row r="53" spans="3:15" s="48" customFormat="1" ht="15" x14ac:dyDescent="0.2">
      <c r="C53" s="47" t="s">
        <v>134</v>
      </c>
      <c r="F53" s="58">
        <f>F27*$J27/100</f>
        <v>926.96632102040826</v>
      </c>
      <c r="G53" s="60"/>
      <c r="H53" s="58">
        <f>H27*$J27/100</f>
        <v>926.96632102040826</v>
      </c>
      <c r="J53" s="53">
        <f>IFERROR(H53-F53,"")</f>
        <v>0</v>
      </c>
      <c r="L53" s="59">
        <f t="shared" ref="L53:L54" si="6">IFERROR(J53/F53,"")</f>
        <v>0</v>
      </c>
    </row>
    <row r="54" spans="3:15" s="48" customFormat="1" ht="15" x14ac:dyDescent="0.2">
      <c r="C54" s="47" t="s">
        <v>135</v>
      </c>
      <c r="F54" s="58">
        <f>F28*$J28/100</f>
        <v>0.42637292448979591</v>
      </c>
      <c r="G54" s="60"/>
      <c r="H54" s="58">
        <f>H28*$J28/100</f>
        <v>0.42637292448979591</v>
      </c>
      <c r="J54" s="53">
        <f>IFERROR(H54-F54,"")</f>
        <v>0</v>
      </c>
      <c r="L54" s="59">
        <f t="shared" si="6"/>
        <v>0</v>
      </c>
    </row>
    <row r="55" spans="3:15" s="48" customFormat="1" ht="18" customHeight="1" x14ac:dyDescent="0.25">
      <c r="C55" s="20" t="s">
        <v>136</v>
      </c>
      <c r="F55" s="38">
        <f>SUM(F53:F54)</f>
        <v>927.39269394489804</v>
      </c>
      <c r="H55" s="38">
        <f>SUM(H53:H54)</f>
        <v>927.39269394489804</v>
      </c>
      <c r="J55" s="38">
        <f>SUM(J53:J54)</f>
        <v>0</v>
      </c>
      <c r="L55" s="37">
        <f t="shared" ref="L55" si="7">IF(ISERROR(J55/F55),0,J55/F55)</f>
        <v>0</v>
      </c>
    </row>
    <row r="56" spans="3:15" s="48" customFormat="1" ht="18" customHeight="1" x14ac:dyDescent="0.2">
      <c r="C56" s="47"/>
    </row>
    <row r="57" spans="3:15" s="48" customFormat="1" ht="16.5" thickBot="1" x14ac:dyDescent="0.3">
      <c r="C57" s="20" t="s">
        <v>70</v>
      </c>
      <c r="F57" s="39">
        <f>SUM(F32,F42,F50,F55)</f>
        <v>4654.4514172857143</v>
      </c>
      <c r="H57" s="39">
        <f>SUM(H32,H42,H50,H55)</f>
        <v>4750.7097578414969</v>
      </c>
      <c r="J57" s="39">
        <f>SUM(J32,J42,J50,J55)</f>
        <v>96.258340555782524</v>
      </c>
      <c r="L57" s="40">
        <f t="shared" ref="L57" si="8">IFERROR(J57/F57,"")</f>
        <v>2.0680920676988492E-2</v>
      </c>
    </row>
    <row r="58" spans="3:15" s="48" customFormat="1" ht="15.75" x14ac:dyDescent="0.25">
      <c r="C58" s="20"/>
      <c r="E58" s="122"/>
      <c r="F58" s="121"/>
      <c r="G58" s="122"/>
      <c r="H58" s="121"/>
      <c r="I58" s="122"/>
      <c r="J58" s="123"/>
      <c r="K58" s="122"/>
      <c r="L58" s="124"/>
    </row>
    <row r="59" spans="3:15" s="48" customFormat="1" ht="15.75" x14ac:dyDescent="0.25">
      <c r="C59" s="20"/>
      <c r="E59" s="122"/>
      <c r="F59" s="121"/>
      <c r="G59" s="122"/>
      <c r="H59" s="121"/>
      <c r="I59" s="122"/>
      <c r="J59" s="123"/>
      <c r="K59" s="122"/>
      <c r="L59" s="124"/>
    </row>
    <row r="60" spans="3:15" s="48" customFormat="1" ht="15.75" customHeight="1" x14ac:dyDescent="0.25">
      <c r="C60" s="116" t="str">
        <f ca="1">MID(CELL("filename",A1),FIND("]",CELL("filename",A1))+1,255)</f>
        <v>G1.2 Rate 2 Bill Impact</v>
      </c>
      <c r="E60" s="122"/>
      <c r="F60" s="121"/>
      <c r="G60" s="122"/>
      <c r="H60" s="121"/>
      <c r="I60" s="122"/>
      <c r="J60" s="123"/>
      <c r="K60" s="122"/>
      <c r="L60" s="124"/>
    </row>
    <row r="61" spans="3:15" s="48" customFormat="1" ht="15.75" customHeight="1" x14ac:dyDescent="0.25">
      <c r="C61" s="116"/>
      <c r="E61" s="122"/>
      <c r="F61" s="121"/>
      <c r="G61" s="122"/>
      <c r="H61" s="121"/>
      <c r="I61" s="122"/>
      <c r="J61" s="123"/>
      <c r="K61" s="122"/>
      <c r="L61" s="124"/>
    </row>
    <row r="62" spans="3:15" s="48" customFormat="1" ht="20.25" x14ac:dyDescent="0.3">
      <c r="C62" s="3" t="str">
        <f>'For Bill Impact(HideBeforeFile)'!C10</f>
        <v>RATE 2 - Seasonal Service - Nov to Mar</v>
      </c>
      <c r="E62" s="52"/>
      <c r="F62" s="172" t="s">
        <v>130</v>
      </c>
      <c r="G62" s="172"/>
      <c r="H62" s="172" t="s">
        <v>131</v>
      </c>
      <c r="I62" s="172"/>
      <c r="J62" s="172" t="s">
        <v>133</v>
      </c>
      <c r="O62" s="48" t="s">
        <v>132</v>
      </c>
    </row>
    <row r="63" spans="3:15" s="48" customFormat="1" ht="15" x14ac:dyDescent="0.2"/>
    <row r="64" spans="3:15" s="48" customFormat="1" ht="15" x14ac:dyDescent="0.2"/>
    <row r="65" spans="3:15" s="48" customFormat="1" ht="15" x14ac:dyDescent="0.2"/>
    <row r="66" spans="3:15" s="48" customFormat="1" ht="15" x14ac:dyDescent="0.2">
      <c r="C66" s="48" t="str">
        <f>INDEX('For Bill Impact(HideBeforeFile)'!$D$48:$O$57,MATCH(C62,'For Bill Impact(HideBeforeFile)'!$C$62:$C$71,0),MATCH($O66,'For Bill Impact(HideBeforeFile)'!$D$61:$O$61,0))</f>
        <v>Commodity</v>
      </c>
      <c r="D66" s="48" t="str">
        <f>INDEX('For Bill Impact(HideBeforeFile)'!$D$62:$O$71,MATCH(C62,'For Bill Impact(HideBeforeFile)'!$C$62:$C$71,0),MATCH($O66,'For Bill Impact(HideBeforeFile)'!$D$61:$O$61,0))</f>
        <v>cents / m3</v>
      </c>
      <c r="E66" s="169"/>
      <c r="F66" s="54">
        <f>INDEX('For Bill Impact(HideBeforeFile)'!$D$6:$O$15,MATCH(C62,'For Bill Impact(HideBeforeFile)'!$C$62:$C$71,0),MATCH($O66,'For Bill Impact(HideBeforeFile)'!$D$61:$O$61,0))</f>
        <v>13.264200000000001</v>
      </c>
      <c r="G66" s="169"/>
      <c r="H66" s="54">
        <f>INDEX('For Bill Impact(HideBeforeFile)'!$D$20:$O$29,MATCH(C62,'For Bill Impact(HideBeforeFile)'!$C$62:$C$71,0),MATCH($O66,'For Bill Impact(HideBeforeFile)'!$D$61:$O$61,0))</f>
        <v>13.264200000000001</v>
      </c>
      <c r="J66" s="57">
        <f>INDEX('For Bill Impact(HideBeforeFile)'!$D$34:$O$43,MATCH(C62,'For Bill Impact(HideBeforeFile)'!$C$62:$C$71,0),MATCH($O66,'For Bill Impact(HideBeforeFile)'!$D$61:$O$61,0))</f>
        <v>9736.7510204081645</v>
      </c>
      <c r="O66" s="48" t="str">
        <f>'For Bill Impact(HideBeforeFile)'!$D$5</f>
        <v>Commodity</v>
      </c>
    </row>
    <row r="67" spans="3:15" s="48" customFormat="1" ht="15" x14ac:dyDescent="0.2"/>
    <row r="68" spans="3:15" s="48" customFormat="1" ht="15" x14ac:dyDescent="0.2">
      <c r="C68" s="48" t="str">
        <f>INDEX('For Bill Impact(HideBeforeFile)'!$D$48:$O$57,MATCH(C62,'For Bill Impact(HideBeforeFile)'!$C$62:$C$71,0),MATCH($O68,'For Bill Impact(HideBeforeFile)'!$D$61:$O$61,0))</f>
        <v>Customer (excl. Bill 32)</v>
      </c>
      <c r="D68" s="48" t="str">
        <f>INDEX('For Bill Impact(HideBeforeFile)'!$D$62:$O$71,MATCH(C62,'For Bill Impact(HideBeforeFile)'!$C$62:$C$71,0),MATCH($O68,'For Bill Impact(HideBeforeFile)'!$D$61:$O$61,0))</f>
        <v>$ / month</v>
      </c>
      <c r="E68" s="171"/>
      <c r="F68" s="170">
        <f>INDEX('For Bill Impact(HideBeforeFile)'!$D$6:$O$15,MATCH(C62,'For Bill Impact(HideBeforeFile)'!$C$62:$C$71,0),MATCH($O68,'For Bill Impact(HideBeforeFile)'!$D$61:$O$61,0))</f>
        <v>20</v>
      </c>
      <c r="G68" s="171"/>
      <c r="H68" s="170">
        <f>INDEX('For Bill Impact(HideBeforeFile)'!$D$20:$O$29,MATCH(C62,'For Bill Impact(HideBeforeFile)'!$C$62:$C$71,0),MATCH($O68,'For Bill Impact(HideBeforeFile)'!$D$61:$O$61,0))</f>
        <v>20</v>
      </c>
      <c r="J68" s="57">
        <f>INDEX('For Bill Impact(HideBeforeFile)'!$D$34:$O$43,MATCH(C62,'For Bill Impact(HideBeforeFile)'!$C$62:$C$71,0),MATCH($O68,'For Bill Impact(HideBeforeFile)'!$D$61:$O$61,0))</f>
        <v>5</v>
      </c>
      <c r="O68" s="48" t="str">
        <f>'For Bill Impact(HideBeforeFile)'!$K$5</f>
        <v>Dist. Customer Rate</v>
      </c>
    </row>
    <row r="69" spans="3:15" s="48" customFormat="1" ht="15" x14ac:dyDescent="0.2">
      <c r="C69" s="48" t="str">
        <f>INDEX('For Bill Impact(HideBeforeFile)'!$D$48:$O$57,MATCH(C62,'For Bill Impact(HideBeforeFile)'!$C$62:$C$71,0),MATCH($O69,'For Bill Impact(HideBeforeFile)'!$D$61:$O$61,0))</f>
        <v>Block 1 (First 1,000 m3 per month)</v>
      </c>
      <c r="D69" s="48" t="str">
        <f>INDEX('For Bill Impact(HideBeforeFile)'!$D$62:$O$71,MATCH(C62,'For Bill Impact(HideBeforeFile)'!$C$62:$C$71,0),MATCH($O69,'For Bill Impact(HideBeforeFile)'!$D$61:$O$61,0))</f>
        <v>cents / m3</v>
      </c>
      <c r="E69" s="169"/>
      <c r="F69" s="54">
        <f>INDEX('For Bill Impact(HideBeforeFile)'!$D$6:$O$15,MATCH(C62,'For Bill Impact(HideBeforeFile)'!$C$62:$C$71,0),MATCH($O69,'For Bill Impact(HideBeforeFile)'!$D$61:$O$61,0))</f>
        <v>20.9056</v>
      </c>
      <c r="G69" s="169"/>
      <c r="H69" s="54">
        <f>INDEX('For Bill Impact(HideBeforeFile)'!$D$20:$O$29,MATCH(C62,'For Bill Impact(HideBeforeFile)'!$C$62:$C$71,0),MATCH($O69,'For Bill Impact(HideBeforeFile)'!$D$61:$O$61,0))</f>
        <v>21.488551732762158</v>
      </c>
      <c r="J69" s="57">
        <f>INDEX('For Bill Impact(HideBeforeFile)'!$D$34:$O$43,MATCH(C62,'For Bill Impact(HideBeforeFile)'!$C$62:$C$71,0),MATCH($O69,'For Bill Impact(HideBeforeFile)'!$D$61:$O$61,0))</f>
        <v>1574.5469387755102</v>
      </c>
      <c r="O69" s="48" t="str">
        <f>'For Bill Impact(HideBeforeFile)'!$L$5</f>
        <v>Dist. Vol. Rate Tier 1</v>
      </c>
    </row>
    <row r="70" spans="3:15" s="48" customFormat="1" ht="15" x14ac:dyDescent="0.2">
      <c r="C70" s="48" t="str">
        <f>INDEX('For Bill Impact(HideBeforeFile)'!$D$48:$O$57,MATCH(C62,'For Bill Impact(HideBeforeFile)'!$C$62:$C$71,0),MATCH($O70,'For Bill Impact(HideBeforeFile)'!$D$61:$O$61,0))</f>
        <v>Block 2 (Next 24,000 m3 per month)</v>
      </c>
      <c r="D70" s="48" t="str">
        <f>INDEX('For Bill Impact(HideBeforeFile)'!$D$62:$O$71,MATCH(C62,'For Bill Impact(HideBeforeFile)'!$C$62:$C$71,0),MATCH($O70,'For Bill Impact(HideBeforeFile)'!$D$61:$O$61,0))</f>
        <v>cents / m3</v>
      </c>
      <c r="E70" s="169"/>
      <c r="F70" s="54">
        <f>INDEX('For Bill Impact(HideBeforeFile)'!$D$6:$O$15,MATCH(C62,'For Bill Impact(HideBeforeFile)'!$C$62:$C$71,0),MATCH($O70,'For Bill Impact(HideBeforeFile)'!$D$61:$O$61,0))</f>
        <v>14.2049</v>
      </c>
      <c r="G70" s="169"/>
      <c r="H70" s="54">
        <f>INDEX('For Bill Impact(HideBeforeFile)'!$D$20:$O$29,MATCH(C62,'For Bill Impact(HideBeforeFile)'!$C$62:$C$71,0),MATCH($O70,'For Bill Impact(HideBeforeFile)'!$D$61:$O$61,0))</f>
        <v>14.658998154365744</v>
      </c>
      <c r="J70" s="57">
        <f>INDEX('For Bill Impact(HideBeforeFile)'!$D$34:$O$43,MATCH(C62,'For Bill Impact(HideBeforeFile)'!$C$62:$C$71,0),MATCH($O70,'For Bill Impact(HideBeforeFile)'!$D$61:$O$61,0))</f>
        <v>7738.465306122449</v>
      </c>
      <c r="O70" s="48" t="str">
        <f>'For Bill Impact(HideBeforeFile)'!$M$5</f>
        <v>Dist. Vol. Rate Tier 2</v>
      </c>
    </row>
    <row r="71" spans="3:15" s="48" customFormat="1" ht="15" x14ac:dyDescent="0.2">
      <c r="C71" s="48" t="str">
        <f>INDEX('For Bill Impact(HideBeforeFile)'!$D$48:$O$57,MATCH(C62,'For Bill Impact(HideBeforeFile)'!$C$62:$C$71,0),MATCH($O71,'For Bill Impact(HideBeforeFile)'!$D$61:$O$61,0))</f>
        <v>Block 3 (Over 25,000 m3 per month)</v>
      </c>
      <c r="D71" s="48" t="str">
        <f>INDEX('For Bill Impact(HideBeforeFile)'!$D$62:$O$71,MATCH(C62,'For Bill Impact(HideBeforeFile)'!$C$62:$C$71,0),MATCH($O71,'For Bill Impact(HideBeforeFile)'!$D$61:$O$61,0))</f>
        <v>cents / m3</v>
      </c>
      <c r="E71" s="169"/>
      <c r="F71" s="54">
        <f>INDEX('For Bill Impact(HideBeforeFile)'!$D$6:$O$15,MATCH(C62,'For Bill Impact(HideBeforeFile)'!$C$62:$C$71,0),MATCH($O71,'For Bill Impact(HideBeforeFile)'!$D$61:$O$61,0))</f>
        <v>15.289899999999999</v>
      </c>
      <c r="G71" s="169"/>
      <c r="H71" s="54">
        <f>INDEX('For Bill Impact(HideBeforeFile)'!$D$20:$O$29,MATCH(C62,'For Bill Impact(HideBeforeFile)'!$C$62:$C$71,0),MATCH($O71,'For Bill Impact(HideBeforeFile)'!$D$61:$O$61,0))</f>
        <v>15.554210360962722</v>
      </c>
      <c r="J71" s="57">
        <f>INDEX('For Bill Impact(HideBeforeFile)'!$D$34:$O$43,MATCH(C62,'For Bill Impact(HideBeforeFile)'!$C$62:$C$71,0),MATCH($O71,'For Bill Impact(HideBeforeFile)'!$D$61:$O$61,0))</f>
        <v>423.73877551020411</v>
      </c>
      <c r="O71" s="48" t="str">
        <f>'For Bill Impact(HideBeforeFile)'!$N$5</f>
        <v>Dist. Vol. Rate Tier 3</v>
      </c>
    </row>
    <row r="72" spans="3:15" s="48" customFormat="1" ht="15" x14ac:dyDescent="0.2">
      <c r="C72" s="48" t="str">
        <f>INDEX('For Bill Impact(HideBeforeFile)'!$D$48:$O$57,MATCH(C62,'For Bill Impact(HideBeforeFile)'!$C$62:$C$71,0),MATCH($O72,'For Bill Impact(HideBeforeFile)'!$D$61:$O$61,0))</f>
        <v/>
      </c>
      <c r="D72" s="48" t="str">
        <f>INDEX('For Bill Impact(HideBeforeFile)'!$D$62:$O$71,MATCH(C62,'For Bill Impact(HideBeforeFile)'!$C$62:$C$71,0),MATCH($O72,'For Bill Impact(HideBeforeFile)'!$D$61:$O$61,0))</f>
        <v/>
      </c>
      <c r="E72" s="169"/>
      <c r="F72" s="54" t="str">
        <f>INDEX('For Bill Impact(HideBeforeFile)'!$D$6:$O$15,MATCH(C62,'For Bill Impact(HideBeforeFile)'!$C$62:$C$71,0),MATCH($O72,'For Bill Impact(HideBeforeFile)'!$D$61:$O$61,0))</f>
        <v/>
      </c>
      <c r="G72" s="169"/>
      <c r="H72" s="54" t="str">
        <f>INDEX('For Bill Impact(HideBeforeFile)'!$D$20:$O$29,MATCH(C62,'For Bill Impact(HideBeforeFile)'!$C$62:$C$71,0),MATCH($O72,'For Bill Impact(HideBeforeFile)'!$D$61:$O$61,0))</f>
        <v/>
      </c>
      <c r="J72" s="57" t="str">
        <f>INDEX('For Bill Impact(HideBeforeFile)'!$D$34:$O$43,MATCH(C62,'For Bill Impact(HideBeforeFile)'!$C$62:$C$71,0),MATCH($O72,'For Bill Impact(HideBeforeFile)'!$D$61:$O$61,0))</f>
        <v/>
      </c>
      <c r="O72" s="48" t="str">
        <f>'For Bill Impact(HideBeforeFile)'!$O$5</f>
        <v>Dist. Capacity Rate</v>
      </c>
    </row>
    <row r="73" spans="3:15" s="48" customFormat="1" ht="15" x14ac:dyDescent="0.2">
      <c r="C73" s="48" t="str">
        <f>INDEX('For Bill Impact(HideBeforeFile)'!$D$48:$O$57,MATCH(C62,'For Bill Impact(HideBeforeFile)'!$C$62:$C$71,0),MATCH($O73,'For Bill Impact(HideBeforeFile)'!$D$61:$O$61,0))</f>
        <v>System Gas Charge</v>
      </c>
      <c r="D73" s="48" t="str">
        <f>INDEX('For Bill Impact(HideBeforeFile)'!$D$62:$O$71,MATCH(C62,'For Bill Impact(HideBeforeFile)'!$C$62:$C$71,0),MATCH($O73,'For Bill Impact(HideBeforeFile)'!$D$61:$O$61,0))</f>
        <v>cents / m3</v>
      </c>
      <c r="E73" s="169"/>
      <c r="F73" s="54">
        <f>INDEX('For Bill Impact(HideBeforeFile)'!$D$6:$O$15,MATCH(C62,'For Bill Impact(HideBeforeFile)'!$C$62:$C$71,0),MATCH($O73,'For Bill Impact(HideBeforeFile)'!$D$61:$O$61,0))</f>
        <v>4.3499999999999997E-2</v>
      </c>
      <c r="G73" s="169"/>
      <c r="H73" s="54">
        <f>INDEX('For Bill Impact(HideBeforeFile)'!$D$20:$O$29,MATCH(C62,'For Bill Impact(HideBeforeFile)'!$C$62:$C$71,0),MATCH($O73,'For Bill Impact(HideBeforeFile)'!$D$61:$O$61,0))</f>
        <v>4.3499999999999997E-2</v>
      </c>
      <c r="J73" s="57">
        <f>INDEX('For Bill Impact(HideBeforeFile)'!$D$34:$O$43,MATCH(C62,'For Bill Impact(HideBeforeFile)'!$C$62:$C$71,0),MATCH($O73,'For Bill Impact(HideBeforeFile)'!$D$61:$O$61,0))</f>
        <v>9736.7510204081645</v>
      </c>
      <c r="O73" s="48" t="str">
        <f>'For Bill Impact(HideBeforeFile)'!$E$5</f>
        <v>System Gas</v>
      </c>
    </row>
    <row r="74" spans="3:15" s="48" customFormat="1" ht="15" x14ac:dyDescent="0.2"/>
    <row r="75" spans="3:15" s="48" customFormat="1" ht="15" x14ac:dyDescent="0.2">
      <c r="C75" s="48" t="str">
        <f>INDEX('For Bill Impact(HideBeforeFile)'!$D$48:$O$57,MATCH(C62,'For Bill Impact(HideBeforeFile)'!$C$62:$C$71,0),MATCH($O75,'For Bill Impact(HideBeforeFile)'!$D$61:$O$61,0))</f>
        <v>REDA</v>
      </c>
      <c r="D75" s="48" t="str">
        <f>INDEX('For Bill Impact(HideBeforeFile)'!$D$62:$O$71,MATCH(C62,'For Bill Impact(HideBeforeFile)'!$C$62:$C$71,0),MATCH($O75,'For Bill Impact(HideBeforeFile)'!$D$61:$O$61,0))</f>
        <v>$ / month</v>
      </c>
      <c r="E75" s="171"/>
      <c r="F75" s="170">
        <f>INDEX('For Bill Impact(HideBeforeFile)'!$D$6:$O$15,MATCH(C62,'For Bill Impact(HideBeforeFile)'!$C$62:$C$71,0),MATCH($O75,'For Bill Impact(HideBeforeFile)'!$D$61:$O$61,0))</f>
        <v>0.59</v>
      </c>
      <c r="G75" s="171"/>
      <c r="H75" s="170">
        <f>INDEX('For Bill Impact(HideBeforeFile)'!$D$20:$O$29,MATCH(C62,'For Bill Impact(HideBeforeFile)'!$C$62:$C$71,0),MATCH($O75,'For Bill Impact(HideBeforeFile)'!$D$61:$O$61,0))</f>
        <v>0.76971281184715468</v>
      </c>
      <c r="J75" s="57">
        <f>INDEX('For Bill Impact(HideBeforeFile)'!$D$34:$O$43,MATCH(C62,'For Bill Impact(HideBeforeFile)'!$C$62:$C$71,0),MATCH($O75,'For Bill Impact(HideBeforeFile)'!$D$61:$O$61,0))</f>
        <v>5</v>
      </c>
      <c r="O75" s="48" t="str">
        <f>'For Bill Impact(HideBeforeFile)'!$F$5</f>
        <v>REDA</v>
      </c>
    </row>
    <row r="76" spans="3:15" s="48" customFormat="1" ht="15" x14ac:dyDescent="0.2">
      <c r="C76" s="48" t="str">
        <f>INDEX('For Bill Impact(HideBeforeFile)'!$D$48:$O$57,MATCH(C62,'For Bill Impact(HideBeforeFile)'!$C$62:$C$71,0),MATCH($O76,'For Bill Impact(HideBeforeFile)'!$D$61:$O$61,0))</f>
        <v>PGTVA</v>
      </c>
      <c r="D76" s="48" t="str">
        <f>INDEX('For Bill Impact(HideBeforeFile)'!$D$62:$O$71,MATCH(C62,'For Bill Impact(HideBeforeFile)'!$C$62:$C$71,0),MATCH($O76,'For Bill Impact(HideBeforeFile)'!$D$61:$O$61,0))</f>
        <v>cents / m3</v>
      </c>
      <c r="E76" s="169"/>
      <c r="F76" s="54">
        <f>INDEX('For Bill Impact(HideBeforeFile)'!$D$6:$O$15,MATCH(C62,'For Bill Impact(HideBeforeFile)'!$C$62:$C$71,0),MATCH($O76,'For Bill Impact(HideBeforeFile)'!$D$61:$O$61,0))</f>
        <v>0.128</v>
      </c>
      <c r="G76" s="169"/>
      <c r="H76" s="54">
        <f>INDEX('For Bill Impact(HideBeforeFile)'!$D$20:$O$29,MATCH(C62,'For Bill Impact(HideBeforeFile)'!$C$62:$C$71,0),MATCH($O76,'For Bill Impact(HideBeforeFile)'!$D$61:$O$61,0))</f>
        <v>0.30664420626329603</v>
      </c>
      <c r="J76" s="57">
        <f>INDEX('For Bill Impact(HideBeforeFile)'!$D$34:$O$43,MATCH(C62,'For Bill Impact(HideBeforeFile)'!$C$62:$C$71,0),MATCH($O76,'For Bill Impact(HideBeforeFile)'!$D$61:$O$61,0))</f>
        <v>9736.7510204081645</v>
      </c>
      <c r="O76" s="48" t="str">
        <f>'For Bill Impact(HideBeforeFile)'!$G$5</f>
        <v>PGTVA</v>
      </c>
    </row>
    <row r="77" spans="3:15" s="48" customFormat="1" ht="15" x14ac:dyDescent="0.2">
      <c r="C77" s="48" t="str">
        <f>INDEX('For Bill Impact(HideBeforeFile)'!$D$48:$O$57,MATCH(C62,'For Bill Impact(HideBeforeFile)'!$C$62:$C$71,0),MATCH($O77,'For Bill Impact(HideBeforeFile)'!$D$61:$O$61,0))</f>
        <v>ADVADA</v>
      </c>
      <c r="D77" s="48" t="str">
        <f>INDEX('For Bill Impact(HideBeforeFile)'!$D$62:$O$71,MATCH(C62,'For Bill Impact(HideBeforeFile)'!$C$62:$C$71,0),MATCH($O77,'For Bill Impact(HideBeforeFile)'!$D$61:$O$61,0))</f>
        <v>cents / m3</v>
      </c>
      <c r="F77" s="54" t="str">
        <f>INDEX('For Bill Impact(HideBeforeFile)'!$D$6:$O$15,MATCH(C62,'For Bill Impact(HideBeforeFile)'!$C$62:$C$71,0),MATCH($O77,'For Bill Impact(HideBeforeFile)'!$D$61:$O$61,0))</f>
        <v/>
      </c>
      <c r="H77" s="54">
        <f>INDEX('For Bill Impact(HideBeforeFile)'!$D$20:$O$29,MATCH(C62,'For Bill Impact(HideBeforeFile)'!$C$62:$C$71,0),MATCH($O77,'For Bill Impact(HideBeforeFile)'!$D$61:$O$61,0))</f>
        <v>0.14841821245417633</v>
      </c>
      <c r="J77" s="57">
        <f>INDEX('For Bill Impact(HideBeforeFile)'!$D$34:$O$43,MATCH(C62,'For Bill Impact(HideBeforeFile)'!$C$62:$C$71,0),MATCH($O77,'For Bill Impact(HideBeforeFile)'!$D$61:$O$61,0))</f>
        <v>9736.7510204081645</v>
      </c>
      <c r="O77" s="48" t="str">
        <f>'For Bill Impact(HideBeforeFile)'!$H$5</f>
        <v>ADVADA</v>
      </c>
    </row>
    <row r="78" spans="3:15" s="48" customFormat="1" ht="15" x14ac:dyDescent="0.2"/>
    <row r="79" spans="3:15" s="48" customFormat="1" ht="15.75" x14ac:dyDescent="0.25">
      <c r="C79" s="48" t="str">
        <f>INDEX('For Bill Impact(HideBeforeFile)'!$D$48:$O$57,MATCH(C62,'For Bill Impact(HideBeforeFile)'!$C$62:$C$71,0),MATCH($O79,'For Bill Impact(HideBeforeFile)'!$D$61:$O$61,0))</f>
        <v>Federal Carbon</v>
      </c>
      <c r="D79" s="48" t="str">
        <f>INDEX('For Bill Impact(HideBeforeFile)'!$D$62:$O$71,MATCH(C62,'For Bill Impact(HideBeforeFile)'!$C$62:$C$71,0),MATCH($O79,'For Bill Impact(HideBeforeFile)'!$D$61:$O$61,0))</f>
        <v>cents / m3</v>
      </c>
      <c r="E79" s="169"/>
      <c r="F79" s="54">
        <f>INDEX('For Bill Impact(HideBeforeFile)'!$D$6:$O$15,MATCH(C62,'For Bill Impact(HideBeforeFile)'!$C$62:$C$71,0),MATCH($O79,'For Bill Impact(HideBeforeFile)'!$D$61:$O$61,0))</f>
        <v>5.87</v>
      </c>
      <c r="G79" s="169"/>
      <c r="H79" s="54">
        <f>INDEX('For Bill Impact(HideBeforeFile)'!$D$20:$O$29,MATCH(C62,'For Bill Impact(HideBeforeFile)'!$C$62:$C$71,0),MATCH($O79,'For Bill Impact(HideBeforeFile)'!$D$61:$O$61,0))</f>
        <v>5.87</v>
      </c>
      <c r="J79" s="57">
        <f>INDEX('For Bill Impact(HideBeforeFile)'!$D$34:$O$43,MATCH(C62,'For Bill Impact(HideBeforeFile)'!$C$62:$C$71,0),MATCH($O79,'For Bill Impact(HideBeforeFile)'!$D$61:$O$61,0))</f>
        <v>9736.7510204081645</v>
      </c>
      <c r="N79" s="16"/>
      <c r="O79" s="48" t="str">
        <f>'For Bill Impact(HideBeforeFile)'!$I$5</f>
        <v>Federal Carbon</v>
      </c>
    </row>
    <row r="80" spans="3:15" s="48" customFormat="1" ht="15" x14ac:dyDescent="0.2">
      <c r="C80" s="48" t="str">
        <f>INDEX('For Bill Impact(HideBeforeFile)'!$D$48:$O$57,MATCH(C62,'For Bill Impact(HideBeforeFile)'!$C$62:$C$71,0),MATCH($O80,'For Bill Impact(HideBeforeFile)'!$D$61:$O$61,0))</f>
        <v>Facility Carbon</v>
      </c>
      <c r="D80" s="48" t="str">
        <f>INDEX('For Bill Impact(HideBeforeFile)'!$D$62:$O$71,MATCH(C62,'For Bill Impact(HideBeforeFile)'!$C$62:$C$71,0),MATCH($O80,'For Bill Impact(HideBeforeFile)'!$D$61:$O$61,0))</f>
        <v>cents / m3</v>
      </c>
      <c r="E80" s="169"/>
      <c r="F80" s="54">
        <f>INDEX('For Bill Impact(HideBeforeFile)'!$D$6:$O$15,MATCH(C62,'For Bill Impact(HideBeforeFile)'!$C$62:$C$71,0),MATCH($O80,'For Bill Impact(HideBeforeFile)'!$D$61:$O$61,0))</f>
        <v>2.7000000000000001E-3</v>
      </c>
      <c r="G80" s="169"/>
      <c r="H80" s="54">
        <f>INDEX('For Bill Impact(HideBeforeFile)'!$D$20:$O$29,MATCH(C62,'For Bill Impact(HideBeforeFile)'!$C$62:$C$71,0),MATCH($O80,'For Bill Impact(HideBeforeFile)'!$D$61:$O$61,0))</f>
        <v>2.7000000000000001E-3</v>
      </c>
      <c r="J80" s="57">
        <f>INDEX('For Bill Impact(HideBeforeFile)'!$D$34:$O$43,MATCH(C62,'For Bill Impact(HideBeforeFile)'!$C$62:$C$71,0),MATCH($O80,'For Bill Impact(HideBeforeFile)'!$D$61:$O$61,0))</f>
        <v>9736.7510204081645</v>
      </c>
      <c r="O80" s="48" t="str">
        <f>'For Bill Impact(HideBeforeFile)'!$J$5</f>
        <v>Facility Carbon</v>
      </c>
    </row>
    <row r="81" spans="3:12" s="48" customFormat="1" ht="15" x14ac:dyDescent="0.2"/>
    <row r="82" spans="3:12" s="48" customFormat="1" ht="15" x14ac:dyDescent="0.2"/>
    <row r="83" spans="3:12" s="48" customFormat="1" ht="15.75" x14ac:dyDescent="0.25">
      <c r="C83" s="17" t="s">
        <v>8</v>
      </c>
      <c r="E83" s="52"/>
      <c r="F83" s="172" t="s">
        <v>130</v>
      </c>
      <c r="G83" s="172"/>
      <c r="H83" s="172" t="s">
        <v>131</v>
      </c>
      <c r="J83" s="48" t="s">
        <v>55</v>
      </c>
      <c r="L83" s="56" t="s">
        <v>56</v>
      </c>
    </row>
    <row r="84" spans="3:12" s="48" customFormat="1" ht="15" x14ac:dyDescent="0.2">
      <c r="F84" s="58">
        <f>F66*$J66/100</f>
        <v>1291.5021288489797</v>
      </c>
      <c r="G84" s="171"/>
      <c r="H84" s="58">
        <f>H66*$J66/100</f>
        <v>1291.5021288489797</v>
      </c>
      <c r="J84" s="53">
        <f>H84-F84</f>
        <v>0</v>
      </c>
      <c r="L84" s="59">
        <f>IFERROR(J84/F84,"")</f>
        <v>0</v>
      </c>
    </row>
    <row r="85" spans="3:12" s="48" customFormat="1" ht="15" x14ac:dyDescent="0.2"/>
    <row r="86" spans="3:12" s="48" customFormat="1" ht="15.75" x14ac:dyDescent="0.25">
      <c r="C86" s="17" t="s">
        <v>68</v>
      </c>
      <c r="E86" s="52"/>
      <c r="F86" s="52" t="s">
        <v>35</v>
      </c>
      <c r="G86" s="52"/>
      <c r="H86" s="52" t="s">
        <v>52</v>
      </c>
      <c r="J86" s="48" t="s">
        <v>55</v>
      </c>
      <c r="L86" s="56" t="s">
        <v>56</v>
      </c>
    </row>
    <row r="87" spans="3:12" s="48" customFormat="1" ht="15" x14ac:dyDescent="0.2">
      <c r="C87" s="47" t="str">
        <f>IF(C68&lt;&gt;"",C68,"")</f>
        <v>Customer (excl. Bill 32)</v>
      </c>
      <c r="F87" s="58">
        <f>F68*$J68</f>
        <v>100</v>
      </c>
      <c r="G87" s="171"/>
      <c r="H87" s="58">
        <f>H68*$J68</f>
        <v>100</v>
      </c>
      <c r="J87" s="53">
        <f>IFERROR(H87-F87,"")</f>
        <v>0</v>
      </c>
      <c r="L87" s="59">
        <f>IFERROR(J87/F87,"")</f>
        <v>0</v>
      </c>
    </row>
    <row r="88" spans="3:12" s="48" customFormat="1" ht="15" x14ac:dyDescent="0.2">
      <c r="C88" s="47" t="s">
        <v>149</v>
      </c>
      <c r="F88" s="58">
        <f>J68</f>
        <v>5</v>
      </c>
      <c r="G88" s="171"/>
      <c r="H88" s="58">
        <f>J68</f>
        <v>5</v>
      </c>
      <c r="J88" s="53">
        <f>IFERROR(H88-F88,"")</f>
        <v>0</v>
      </c>
      <c r="L88" s="59">
        <f>IFERROR(J88/F88,"")</f>
        <v>0</v>
      </c>
    </row>
    <row r="89" spans="3:12" s="48" customFormat="1" ht="15" x14ac:dyDescent="0.2">
      <c r="C89" s="47" t="str">
        <f>IF(C69&lt;&gt;"",C69,"")</f>
        <v>Block 1 (First 1,000 m3 per month)</v>
      </c>
      <c r="F89" s="58">
        <f>IFERROR(F69*$J69/100,"")</f>
        <v>329.16848483265306</v>
      </c>
      <c r="H89" s="58">
        <f>IFERROR(H69*$J69/100,"")</f>
        <v>338.3473334953984</v>
      </c>
      <c r="J89" s="53">
        <f t="shared" ref="J89:J93" si="9">IFERROR(H89-F89,"")</f>
        <v>9.1788486627453381</v>
      </c>
      <c r="L89" s="59">
        <f t="shared" ref="L89:L93" si="10">IFERROR(J89/F89,"")</f>
        <v>2.7884955837773472E-2</v>
      </c>
    </row>
    <row r="90" spans="3:12" s="48" customFormat="1" ht="15" x14ac:dyDescent="0.2">
      <c r="C90" s="47" t="str">
        <f>IF(C70&lt;&gt;"",C70,"")</f>
        <v>Block 2 (Next 24,000 m3 per month)</v>
      </c>
      <c r="F90" s="58">
        <f>IFERROR(F70*$J70/100,"")</f>
        <v>1099.2412582693878</v>
      </c>
      <c r="H90" s="58">
        <f>IFERROR(H70*$J70/100,"")</f>
        <v>1134.3814864007231</v>
      </c>
      <c r="J90" s="53">
        <f t="shared" si="9"/>
        <v>35.140228131335334</v>
      </c>
      <c r="L90" s="59">
        <f t="shared" si="10"/>
        <v>3.1967712153252913E-2</v>
      </c>
    </row>
    <row r="91" spans="3:12" s="48" customFormat="1" ht="15" x14ac:dyDescent="0.2">
      <c r="C91" s="47" t="str">
        <f>IF(C71&lt;&gt;"",C71,"")</f>
        <v>Block 3 (Over 25,000 m3 per month)</v>
      </c>
      <c r="F91" s="58">
        <f>IFERROR(F71*$J71/100,"")</f>
        <v>64.789235036734695</v>
      </c>
      <c r="H91" s="58">
        <f>IFERROR(H71*$J71/100,"")</f>
        <v>65.909220523824729</v>
      </c>
      <c r="J91" s="53">
        <f t="shared" si="9"/>
        <v>1.1199854870900339</v>
      </c>
      <c r="L91" s="59">
        <f t="shared" si="10"/>
        <v>1.728659840566131E-2</v>
      </c>
    </row>
    <row r="92" spans="3:12" s="48" customFormat="1" ht="15" x14ac:dyDescent="0.2">
      <c r="C92" s="47" t="str">
        <f>IF(C72&lt;&gt;"",C72,"")</f>
        <v/>
      </c>
      <c r="F92" s="58" t="str">
        <f>IFERROR(F72*$J72/100,"")</f>
        <v/>
      </c>
      <c r="H92" s="58" t="str">
        <f>IFERROR(H72*$J72/100,"")</f>
        <v/>
      </c>
      <c r="J92" s="53" t="str">
        <f t="shared" si="9"/>
        <v/>
      </c>
      <c r="L92" s="59" t="str">
        <f t="shared" si="10"/>
        <v/>
      </c>
    </row>
    <row r="93" spans="3:12" s="48" customFormat="1" ht="15" x14ac:dyDescent="0.2">
      <c r="C93" s="47" t="str">
        <f>IF(C73&lt;&gt;"",C73,"")</f>
        <v>System Gas Charge</v>
      </c>
      <c r="F93" s="58">
        <f>IFERROR(F73*$J73/100,"")</f>
        <v>4.2354866938775508</v>
      </c>
      <c r="H93" s="58">
        <f>IFERROR(H73*$J73/100,"")</f>
        <v>4.2354866938775508</v>
      </c>
      <c r="J93" s="53">
        <f t="shared" si="9"/>
        <v>0</v>
      </c>
      <c r="L93" s="59">
        <f t="shared" si="10"/>
        <v>0</v>
      </c>
    </row>
    <row r="94" spans="3:12" s="48" customFormat="1" ht="15.75" x14ac:dyDescent="0.25">
      <c r="C94" s="17" t="s">
        <v>54</v>
      </c>
      <c r="F94" s="35">
        <f>SUM(F87:F93)</f>
        <v>1602.4344648326532</v>
      </c>
      <c r="H94" s="35">
        <f>SUM(H87:H93)</f>
        <v>1647.8735271138239</v>
      </c>
      <c r="J94" s="36">
        <f t="shared" ref="J94" si="11">H94-F94</f>
        <v>45.439062281170663</v>
      </c>
      <c r="L94" s="37">
        <f>IF(ISERROR(J94/F94),0,J94/F94)</f>
        <v>2.8356268713875917E-2</v>
      </c>
    </row>
    <row r="95" spans="3:12" s="48" customFormat="1" ht="15" x14ac:dyDescent="0.2"/>
    <row r="96" spans="3:12" s="48" customFormat="1" ht="15.75" x14ac:dyDescent="0.25">
      <c r="C96" s="17" t="s">
        <v>67</v>
      </c>
    </row>
    <row r="97" spans="3:12" s="48" customFormat="1" ht="15" x14ac:dyDescent="0.2"/>
    <row r="98" spans="3:12" s="48" customFormat="1" ht="15.75" x14ac:dyDescent="0.25">
      <c r="C98" s="17" t="s">
        <v>67</v>
      </c>
      <c r="E98" s="52"/>
      <c r="F98" s="52" t="s">
        <v>35</v>
      </c>
      <c r="G98" s="52"/>
      <c r="H98" s="52" t="s">
        <v>52</v>
      </c>
      <c r="J98" s="48" t="s">
        <v>55</v>
      </c>
      <c r="L98" s="56" t="s">
        <v>56</v>
      </c>
    </row>
    <row r="99" spans="3:12" s="48" customFormat="1" ht="15" x14ac:dyDescent="0.2">
      <c r="C99" s="48" t="s">
        <v>99</v>
      </c>
      <c r="E99" s="60"/>
      <c r="F99" s="58">
        <f>F75*$J75</f>
        <v>2.9499999999999997</v>
      </c>
      <c r="G99" s="60"/>
      <c r="H99" s="58">
        <f>H75*$J75</f>
        <v>3.8485640592357733</v>
      </c>
      <c r="I99" s="60"/>
      <c r="J99" s="53">
        <f>IFERROR(H99-F99,"")</f>
        <v>0.89856405923577354</v>
      </c>
      <c r="L99" s="59">
        <f t="shared" ref="L99:L100" si="12">IFERROR(J99/F99,"")</f>
        <v>0.30459798618161815</v>
      </c>
    </row>
    <row r="100" spans="3:12" s="48" customFormat="1" ht="15" x14ac:dyDescent="0.2">
      <c r="C100" s="48" t="s">
        <v>98</v>
      </c>
      <c r="E100" s="60"/>
      <c r="F100" s="55">
        <f>IFERROR(F76*$J76/100,"")</f>
        <v>12.463041306122451</v>
      </c>
      <c r="G100" s="60"/>
      <c r="H100" s="55">
        <f>IFERROR(H76*$J76/100,"")</f>
        <v>29.85718288236399</v>
      </c>
      <c r="I100" s="60"/>
      <c r="J100" s="53">
        <f t="shared" ref="J100" si="13">IFERROR(H100-F100,"")</f>
        <v>17.394141576241537</v>
      </c>
      <c r="L100" s="59">
        <f t="shared" si="12"/>
        <v>1.3956578614319999</v>
      </c>
    </row>
    <row r="101" spans="3:12" s="48" customFormat="1" ht="15" x14ac:dyDescent="0.2">
      <c r="C101" s="48" t="s">
        <v>100</v>
      </c>
      <c r="E101" s="60"/>
      <c r="F101" s="55" t="str">
        <f>IFERROR(F77*$J77/100,"")</f>
        <v/>
      </c>
      <c r="G101" s="60"/>
      <c r="H101" s="55">
        <f>IFERROR(H77*$J77/100,"")</f>
        <v>14.451111815603571</v>
      </c>
      <c r="I101" s="60"/>
      <c r="J101" s="53">
        <f>H101</f>
        <v>14.451111815603571</v>
      </c>
      <c r="L101" s="59">
        <f>J101/H101</f>
        <v>1</v>
      </c>
    </row>
    <row r="102" spans="3:12" s="48" customFormat="1" ht="15.75" x14ac:dyDescent="0.25">
      <c r="C102" s="20" t="s">
        <v>69</v>
      </c>
      <c r="F102" s="38">
        <f>SUM(F99:F101)</f>
        <v>15.41304130612245</v>
      </c>
      <c r="H102" s="38">
        <f>SUM(H99:H101)</f>
        <v>48.156858757203338</v>
      </c>
      <c r="J102" s="38">
        <f>SUM(J99:J101)</f>
        <v>32.743817451080886</v>
      </c>
      <c r="L102" s="37">
        <f t="shared" ref="L102" si="14">IF(ISERROR(J102/F102),0,J102/F102)</f>
        <v>2.1244228702659878</v>
      </c>
    </row>
    <row r="103" spans="3:12" s="48" customFormat="1" ht="15" x14ac:dyDescent="0.2">
      <c r="C103" s="47"/>
    </row>
    <row r="104" spans="3:12" s="48" customFormat="1" ht="15.75" x14ac:dyDescent="0.25">
      <c r="C104" s="17" t="s">
        <v>108</v>
      </c>
    </row>
    <row r="105" spans="3:12" s="48" customFormat="1" ht="15" x14ac:dyDescent="0.2">
      <c r="C105" s="47" t="s">
        <v>134</v>
      </c>
      <c r="F105" s="58">
        <f>F79*$J79/100</f>
        <v>571.54728489795923</v>
      </c>
      <c r="G105" s="60"/>
      <c r="H105" s="58">
        <f>H79*$J79/100</f>
        <v>571.54728489795923</v>
      </c>
      <c r="J105" s="53">
        <f>IFERROR(H105-F105,"")</f>
        <v>0</v>
      </c>
      <c r="L105" s="59">
        <f t="shared" ref="L105:L106" si="15">IFERROR(J105/F105,"")</f>
        <v>0</v>
      </c>
    </row>
    <row r="106" spans="3:12" s="48" customFormat="1" ht="15" x14ac:dyDescent="0.2">
      <c r="C106" s="47" t="s">
        <v>135</v>
      </c>
      <c r="F106" s="58">
        <f>F80*$J80/100</f>
        <v>0.26289227755102046</v>
      </c>
      <c r="G106" s="60"/>
      <c r="H106" s="58">
        <f>H80*$J80/100</f>
        <v>0.26289227755102046</v>
      </c>
      <c r="J106" s="53">
        <f>IFERROR(H106-F106,"")</f>
        <v>0</v>
      </c>
      <c r="L106" s="59">
        <f t="shared" si="15"/>
        <v>0</v>
      </c>
    </row>
    <row r="107" spans="3:12" s="48" customFormat="1" ht="18" customHeight="1" x14ac:dyDescent="0.25">
      <c r="C107" s="20" t="s">
        <v>136</v>
      </c>
      <c r="F107" s="38">
        <f>SUM(F105:F106)</f>
        <v>571.81017717551026</v>
      </c>
      <c r="H107" s="38">
        <f>SUM(H105:H106)</f>
        <v>571.81017717551026</v>
      </c>
      <c r="J107" s="38">
        <f>SUM(J105:J106)</f>
        <v>0</v>
      </c>
      <c r="L107" s="37">
        <f t="shared" ref="L107" si="16">IF(ISERROR(J107/F107),0,J107/F107)</f>
        <v>0</v>
      </c>
    </row>
    <row r="108" spans="3:12" s="48" customFormat="1" ht="18" customHeight="1" x14ac:dyDescent="0.2">
      <c r="C108" s="47"/>
    </row>
    <row r="109" spans="3:12" s="48" customFormat="1" ht="16.5" thickBot="1" x14ac:dyDescent="0.3">
      <c r="C109" s="20" t="s">
        <v>70</v>
      </c>
      <c r="F109" s="39">
        <f>SUM(F84,F94,F102,F107)</f>
        <v>3481.159812163266</v>
      </c>
      <c r="H109" s="39">
        <f>SUM(H84,H94,H102,H107)</f>
        <v>3559.3426918955174</v>
      </c>
      <c r="J109" s="39">
        <f>SUM(J84,J94,J102,J107)</f>
        <v>78.18287973225155</v>
      </c>
      <c r="L109" s="40">
        <f t="shared" ref="L109" si="17">IFERROR(J109/F109,"")</f>
        <v>2.2458859676329272E-2</v>
      </c>
    </row>
    <row r="110" spans="3:12" s="48" customFormat="1" ht="15.75" x14ac:dyDescent="0.25">
      <c r="C110" s="20"/>
      <c r="E110" s="122"/>
      <c r="F110" s="121"/>
      <c r="G110" s="122"/>
      <c r="H110" s="121"/>
      <c r="I110" s="122"/>
      <c r="J110" s="123"/>
      <c r="K110" s="122"/>
      <c r="L110" s="124"/>
    </row>
    <row r="111" spans="3:12" s="48" customFormat="1" ht="15.75" x14ac:dyDescent="0.25">
      <c r="C111" s="20"/>
      <c r="E111" s="122"/>
      <c r="F111" s="121"/>
      <c r="G111" s="122"/>
      <c r="H111" s="121"/>
      <c r="I111" s="122"/>
      <c r="J111" s="123"/>
      <c r="K111" s="122"/>
      <c r="L111" s="124"/>
    </row>
    <row r="112" spans="3:12" s="48" customFormat="1" ht="15.75" customHeight="1" x14ac:dyDescent="0.25">
      <c r="C112" s="116" t="str">
        <f ca="1">MID(CELL("filename",A53),FIND("]",CELL("filename",A53))+1,255)</f>
        <v>G1.2 Rate 2 Bill Impact</v>
      </c>
      <c r="E112" s="122"/>
      <c r="F112" s="121"/>
      <c r="G112" s="122"/>
      <c r="H112" s="121"/>
      <c r="I112" s="122"/>
      <c r="J112" s="123"/>
      <c r="K112" s="122"/>
      <c r="L112" s="124"/>
    </row>
    <row r="113" spans="3:12" s="48" customFormat="1" ht="15.75" customHeight="1" x14ac:dyDescent="0.25">
      <c r="C113" s="116"/>
      <c r="E113" s="122"/>
      <c r="F113" s="121"/>
      <c r="G113" s="122"/>
      <c r="H113" s="121"/>
      <c r="I113" s="122"/>
      <c r="J113" s="123"/>
      <c r="K113" s="122"/>
      <c r="L113" s="124"/>
    </row>
    <row r="114" spans="3:12" s="48" customFormat="1" ht="20.25" x14ac:dyDescent="0.3">
      <c r="C114" s="3" t="s">
        <v>137</v>
      </c>
      <c r="E114" s="52"/>
      <c r="F114" s="172"/>
      <c r="G114" s="172"/>
      <c r="H114" s="172"/>
      <c r="I114" s="172"/>
      <c r="J114" s="172"/>
    </row>
    <row r="115" spans="3:12" s="48" customFormat="1" ht="15" x14ac:dyDescent="0.2"/>
    <row r="116" spans="3:12" s="48" customFormat="1" ht="15.75" x14ac:dyDescent="0.25">
      <c r="C116" s="17" t="s">
        <v>8</v>
      </c>
      <c r="E116" s="52"/>
      <c r="F116" s="172" t="s">
        <v>130</v>
      </c>
      <c r="G116" s="172"/>
      <c r="H116" s="172" t="s">
        <v>131</v>
      </c>
      <c r="J116" s="48" t="s">
        <v>55</v>
      </c>
      <c r="L116" s="56" t="s">
        <v>56</v>
      </c>
    </row>
    <row r="117" spans="3:12" s="48" customFormat="1" ht="15" x14ac:dyDescent="0.2">
      <c r="F117" s="58">
        <f>F32+F84</f>
        <v>3386.130182559184</v>
      </c>
      <c r="G117" s="171"/>
      <c r="H117" s="58">
        <f>H32+H84</f>
        <v>3386.130182559184</v>
      </c>
      <c r="J117" s="53">
        <f>H117-F117</f>
        <v>0</v>
      </c>
      <c r="L117" s="59">
        <f>IFERROR(J117/F117,"")</f>
        <v>0</v>
      </c>
    </row>
    <row r="118" spans="3:12" s="48" customFormat="1" ht="15" x14ac:dyDescent="0.2"/>
    <row r="119" spans="3:12" s="48" customFormat="1" ht="15.75" x14ac:dyDescent="0.25">
      <c r="C119" s="17" t="s">
        <v>68</v>
      </c>
      <c r="E119" s="52"/>
      <c r="F119" s="52" t="s">
        <v>35</v>
      </c>
      <c r="G119" s="52"/>
      <c r="H119" s="52" t="s">
        <v>52</v>
      </c>
      <c r="J119" s="48" t="s">
        <v>55</v>
      </c>
      <c r="L119" s="56" t="s">
        <v>56</v>
      </c>
    </row>
    <row r="120" spans="3:12" s="48" customFormat="1" ht="15" x14ac:dyDescent="0.2">
      <c r="C120" s="47" t="str">
        <f>C35</f>
        <v>Customer (excl. Bill 32)</v>
      </c>
      <c r="F120" s="58">
        <f t="shared" ref="F120:F126" si="18">IFERROR(F35+F87,"")</f>
        <v>240</v>
      </c>
      <c r="G120" s="171"/>
      <c r="H120" s="58">
        <f t="shared" ref="H120:H126" si="19">IFERROR(H35+H87,"")</f>
        <v>240</v>
      </c>
      <c r="J120" s="53">
        <f>IFERROR(H120-F120,"")</f>
        <v>0</v>
      </c>
      <c r="L120" s="59">
        <f>IFERROR(J120/F120,"")</f>
        <v>0</v>
      </c>
    </row>
    <row r="121" spans="3:12" s="48" customFormat="1" ht="15" x14ac:dyDescent="0.2">
      <c r="C121" s="47" t="s">
        <v>149</v>
      </c>
      <c r="F121" s="58">
        <f t="shared" si="18"/>
        <v>12</v>
      </c>
      <c r="G121" s="171"/>
      <c r="H121" s="58">
        <f t="shared" si="19"/>
        <v>12</v>
      </c>
      <c r="J121" s="53">
        <f>IFERROR(H121-F121,"")</f>
        <v>0</v>
      </c>
      <c r="L121" s="59">
        <f>IFERROR(J121/F121,"")</f>
        <v>0</v>
      </c>
    </row>
    <row r="122" spans="3:12" s="48" customFormat="1" ht="15" x14ac:dyDescent="0.2">
      <c r="C122" s="47" t="str">
        <f>C37</f>
        <v>Block 1 (First 1,000 m3 per month)</v>
      </c>
      <c r="F122" s="58">
        <f t="shared" si="18"/>
        <v>608.61284313469389</v>
      </c>
      <c r="G122" s="171"/>
      <c r="H122" s="58">
        <f t="shared" si="19"/>
        <v>625.58413916442498</v>
      </c>
      <c r="J122" s="53">
        <f t="shared" ref="J122:J126" si="20">IFERROR(H122-F122,"")</f>
        <v>16.971296029731093</v>
      </c>
      <c r="L122" s="59">
        <f t="shared" ref="L122:L126" si="21">IFERROR(J122/F122,"")</f>
        <v>2.7885208505163152E-2</v>
      </c>
    </row>
    <row r="123" spans="3:12" s="48" customFormat="1" ht="15" x14ac:dyDescent="0.2">
      <c r="C123" s="47" t="str">
        <f>C38</f>
        <v>Block 2 (Next 24,000 m3 per month)</v>
      </c>
      <c r="F123" s="58">
        <f t="shared" si="18"/>
        <v>2138.5219328367348</v>
      </c>
      <c r="G123" s="171"/>
      <c r="H123" s="58">
        <f t="shared" si="19"/>
        <v>2206.8794948139748</v>
      </c>
      <c r="J123" s="53">
        <f t="shared" si="20"/>
        <v>68.357561977240039</v>
      </c>
      <c r="L123" s="59">
        <f t="shared" si="21"/>
        <v>3.1964863641386274E-2</v>
      </c>
    </row>
    <row r="124" spans="3:12" s="48" customFormat="1" ht="15" x14ac:dyDescent="0.2">
      <c r="C124" s="47" t="str">
        <f>C39</f>
        <v>Block 3 (Over 25,000 m3 per month)</v>
      </c>
      <c r="F124" s="58">
        <f t="shared" si="18"/>
        <v>200.28229529795919</v>
      </c>
      <c r="G124" s="171"/>
      <c r="H124" s="58">
        <f t="shared" si="19"/>
        <v>203.74449490453912</v>
      </c>
      <c r="J124" s="53">
        <f t="shared" si="20"/>
        <v>3.4621996065799294</v>
      </c>
      <c r="L124" s="59">
        <f t="shared" si="21"/>
        <v>1.7286598405661512E-2</v>
      </c>
    </row>
    <row r="125" spans="3:12" s="48" customFormat="1" ht="15" x14ac:dyDescent="0.2">
      <c r="C125" s="47" t="str">
        <f>C40</f>
        <v/>
      </c>
      <c r="F125" s="58" t="str">
        <f t="shared" si="18"/>
        <v/>
      </c>
      <c r="G125" s="171"/>
      <c r="H125" s="58" t="str">
        <f t="shared" si="19"/>
        <v/>
      </c>
      <c r="J125" s="53" t="str">
        <f t="shared" si="20"/>
        <v/>
      </c>
      <c r="L125" s="59" t="str">
        <f t="shared" si="21"/>
        <v/>
      </c>
    </row>
    <row r="126" spans="3:12" s="48" customFormat="1" ht="15" x14ac:dyDescent="0.2">
      <c r="C126" s="47" t="str">
        <f>C41</f>
        <v>System Gas Charge</v>
      </c>
      <c r="F126" s="58">
        <f t="shared" si="18"/>
        <v>11.10482825510204</v>
      </c>
      <c r="G126" s="171"/>
      <c r="H126" s="58">
        <f t="shared" si="19"/>
        <v>11.10482825510204</v>
      </c>
      <c r="J126" s="53">
        <f t="shared" si="20"/>
        <v>0</v>
      </c>
      <c r="L126" s="59">
        <f t="shared" si="21"/>
        <v>0</v>
      </c>
    </row>
    <row r="127" spans="3:12" s="48" customFormat="1" ht="15.75" x14ac:dyDescent="0.25">
      <c r="C127" s="17" t="s">
        <v>54</v>
      </c>
      <c r="F127" s="35">
        <f>SUM(F120:F126)</f>
        <v>3210.5218995244895</v>
      </c>
      <c r="H127" s="35">
        <f>SUM(H120:H126)</f>
        <v>3299.3129571380405</v>
      </c>
      <c r="J127" s="36">
        <f t="shared" ref="J127" si="22">H127-F127</f>
        <v>88.791057613550947</v>
      </c>
      <c r="L127" s="37">
        <f>IF(ISERROR(J127/F127),0,J127/F127)</f>
        <v>2.7656269102759208E-2</v>
      </c>
    </row>
    <row r="128" spans="3:12" s="48" customFormat="1" ht="15" x14ac:dyDescent="0.2"/>
    <row r="129" spans="3:12" s="48" customFormat="1" ht="15.75" x14ac:dyDescent="0.25">
      <c r="C129" s="17" t="s">
        <v>67</v>
      </c>
    </row>
    <row r="130" spans="3:12" s="48" customFormat="1" ht="15" x14ac:dyDescent="0.2"/>
    <row r="131" spans="3:12" s="48" customFormat="1" ht="15.75" x14ac:dyDescent="0.25">
      <c r="C131" s="17" t="s">
        <v>67</v>
      </c>
      <c r="E131" s="52"/>
      <c r="F131" s="52" t="s">
        <v>35</v>
      </c>
      <c r="G131" s="52"/>
      <c r="H131" s="52" t="s">
        <v>52</v>
      </c>
      <c r="J131" s="48" t="s">
        <v>55</v>
      </c>
      <c r="L131" s="56" t="s">
        <v>56</v>
      </c>
    </row>
    <row r="132" spans="3:12" s="48" customFormat="1" ht="15" x14ac:dyDescent="0.2">
      <c r="C132" s="48" t="s">
        <v>99</v>
      </c>
      <c r="E132" s="60"/>
      <c r="F132" s="58">
        <f>IFERROR(F47+F99,"")</f>
        <v>7.08</v>
      </c>
      <c r="G132" s="171"/>
      <c r="H132" s="58">
        <f>IFERROR(H47+H99,"")</f>
        <v>9.2365537421658566</v>
      </c>
      <c r="I132" s="60"/>
      <c r="J132" s="53">
        <f>IFERROR(H132-F132,"")</f>
        <v>2.1565537421658565</v>
      </c>
      <c r="L132" s="59">
        <f t="shared" ref="L132:L133" si="23">IFERROR(J132/F132,"")</f>
        <v>0.30459798618161815</v>
      </c>
    </row>
    <row r="133" spans="3:12" s="48" customFormat="1" ht="15" x14ac:dyDescent="0.2">
      <c r="C133" s="48" t="s">
        <v>98</v>
      </c>
      <c r="E133" s="60"/>
      <c r="F133" s="58">
        <f>IFERROR(F48+F100,"")</f>
        <v>32.676276244897963</v>
      </c>
      <c r="G133" s="171"/>
      <c r="H133" s="58">
        <f>IFERROR(H48+H100,"")</f>
        <v>78.28117806841351</v>
      </c>
      <c r="I133" s="60"/>
      <c r="J133" s="53">
        <f t="shared" ref="J133" si="24">IFERROR(H133-F133,"")</f>
        <v>45.604901823515547</v>
      </c>
      <c r="L133" s="59">
        <f t="shared" si="23"/>
        <v>1.3956578614319999</v>
      </c>
    </row>
    <row r="134" spans="3:12" s="48" customFormat="1" ht="15" x14ac:dyDescent="0.2">
      <c r="C134" s="48" t="s">
        <v>100</v>
      </c>
      <c r="E134" s="60"/>
      <c r="F134" s="58" t="str">
        <f>IFERROR(F49+F101,"")</f>
        <v/>
      </c>
      <c r="G134" s="171"/>
      <c r="H134" s="58">
        <f>IFERROR(H49+H101,"")</f>
        <v>37.888707108801725</v>
      </c>
      <c r="I134" s="60"/>
      <c r="J134" s="53">
        <f>H134</f>
        <v>37.888707108801725</v>
      </c>
      <c r="L134" s="59">
        <f>J134/H134</f>
        <v>1</v>
      </c>
    </row>
    <row r="135" spans="3:12" s="48" customFormat="1" ht="15.75" x14ac:dyDescent="0.25">
      <c r="C135" s="20" t="s">
        <v>69</v>
      </c>
      <c r="F135" s="38">
        <f>SUM(F132:F134)</f>
        <v>39.756276244897961</v>
      </c>
      <c r="H135" s="38">
        <f>SUM(H132:H134)</f>
        <v>125.40643891938109</v>
      </c>
      <c r="J135" s="38">
        <f>SUM(J132:J134)</f>
        <v>85.650162674483127</v>
      </c>
      <c r="L135" s="37">
        <f t="shared" ref="L135" si="25">IF(ISERROR(J135/F135),0,J135/F135)</f>
        <v>2.1543809120069404</v>
      </c>
    </row>
    <row r="136" spans="3:12" s="48" customFormat="1" ht="15" x14ac:dyDescent="0.2">
      <c r="C136" s="47"/>
    </row>
    <row r="137" spans="3:12" s="48" customFormat="1" ht="15.75" x14ac:dyDescent="0.25">
      <c r="C137" s="17" t="s">
        <v>108</v>
      </c>
    </row>
    <row r="138" spans="3:12" s="48" customFormat="1" ht="15" x14ac:dyDescent="0.2">
      <c r="C138" s="47" t="s">
        <v>134</v>
      </c>
      <c r="F138" s="58">
        <f>IFERROR(F53+F105,"")</f>
        <v>1498.5136059183674</v>
      </c>
      <c r="G138" s="171"/>
      <c r="H138" s="58">
        <f>IFERROR(H53+H105,"")</f>
        <v>1498.5136059183674</v>
      </c>
      <c r="J138" s="53">
        <f>IFERROR(H138-F138,"")</f>
        <v>0</v>
      </c>
      <c r="L138" s="59">
        <f t="shared" ref="L138:L139" si="26">IFERROR(J138/F138,"")</f>
        <v>0</v>
      </c>
    </row>
    <row r="139" spans="3:12" s="48" customFormat="1" ht="15" x14ac:dyDescent="0.2">
      <c r="C139" s="47" t="s">
        <v>135</v>
      </c>
      <c r="F139" s="58">
        <f>IFERROR(F54+F106,"")</f>
        <v>0.68926520204081632</v>
      </c>
      <c r="G139" s="171"/>
      <c r="H139" s="58">
        <f>IFERROR(H54+H106,"")</f>
        <v>0.68926520204081632</v>
      </c>
      <c r="J139" s="53">
        <f>IFERROR(H139-F139,"")</f>
        <v>0</v>
      </c>
      <c r="L139" s="59">
        <f t="shared" si="26"/>
        <v>0</v>
      </c>
    </row>
    <row r="140" spans="3:12" s="48" customFormat="1" ht="18" customHeight="1" x14ac:dyDescent="0.25">
      <c r="C140" s="20" t="s">
        <v>136</v>
      </c>
      <c r="F140" s="38">
        <f>SUM(F138:F139)</f>
        <v>1499.2028711204082</v>
      </c>
      <c r="H140" s="38">
        <f>SUM(H138:H139)</f>
        <v>1499.2028711204082</v>
      </c>
      <c r="J140" s="38">
        <f>SUM(J138:J139)</f>
        <v>0</v>
      </c>
      <c r="L140" s="37">
        <f t="shared" ref="L140" si="27">IF(ISERROR(J140/F140),0,J140/F140)</f>
        <v>0</v>
      </c>
    </row>
    <row r="141" spans="3:12" s="48" customFormat="1" ht="18" customHeight="1" x14ac:dyDescent="0.2">
      <c r="C141" s="47"/>
    </row>
    <row r="142" spans="3:12" s="48" customFormat="1" ht="16.5" thickBot="1" x14ac:dyDescent="0.3">
      <c r="C142" s="20" t="s">
        <v>70</v>
      </c>
      <c r="F142" s="39">
        <f>SUM(F117,F127,F135,F140)</f>
        <v>8135.6112294489803</v>
      </c>
      <c r="H142" s="39">
        <f>SUM(H117,H127,H135,H140)</f>
        <v>8310.0524497370134</v>
      </c>
      <c r="J142" s="39">
        <f>SUM(J117,J127,J135,J140)</f>
        <v>174.44122028803406</v>
      </c>
      <c r="L142" s="40">
        <f t="shared" ref="L142" si="28">IFERROR(J142/F142,"")</f>
        <v>2.1441685863331113E-2</v>
      </c>
    </row>
    <row r="143" spans="3:12" s="48" customFormat="1" ht="15.75" x14ac:dyDescent="0.25">
      <c r="C143" s="20"/>
      <c r="E143" s="122"/>
      <c r="F143" s="121"/>
      <c r="G143" s="122"/>
      <c r="H143" s="121"/>
      <c r="I143" s="122"/>
      <c r="J143" s="123"/>
      <c r="K143" s="122"/>
      <c r="L143" s="124"/>
    </row>
    <row r="144" spans="3:12" s="48" customFormat="1" ht="15.75" x14ac:dyDescent="0.25">
      <c r="C144" s="20"/>
      <c r="E144" s="122"/>
      <c r="F144" s="121"/>
      <c r="G144" s="122"/>
      <c r="H144" s="121"/>
      <c r="I144" s="122"/>
      <c r="J144" s="123"/>
      <c r="K144" s="122"/>
      <c r="L144" s="124"/>
    </row>
    <row r="145" spans="3:12" s="48" customFormat="1" ht="15.75" customHeight="1" x14ac:dyDescent="0.25">
      <c r="C145" s="116" t="str">
        <f ca="1">MID(CELL("filename",A105),FIND("]",CELL("filename",A105))+1,255)</f>
        <v>G1.2 Rate 2 Bill Impact</v>
      </c>
      <c r="E145" s="122"/>
      <c r="F145" s="121"/>
      <c r="G145" s="122"/>
      <c r="H145" s="121"/>
      <c r="I145" s="122"/>
      <c r="J145" s="123"/>
      <c r="K145" s="122"/>
      <c r="L145" s="124"/>
    </row>
    <row r="146" spans="3:12" s="48" customFormat="1" ht="15.75" customHeight="1" x14ac:dyDescent="0.25">
      <c r="C146" s="116"/>
      <c r="E146" s="122"/>
      <c r="F146" s="121"/>
      <c r="G146" s="122"/>
      <c r="H146" s="121"/>
      <c r="I146" s="122"/>
      <c r="J146" s="123"/>
      <c r="K146" s="122"/>
      <c r="L146" s="124"/>
    </row>
    <row r="147" spans="3:12" s="48" customFormat="1" ht="15.75" customHeight="1" x14ac:dyDescent="0.25">
      <c r="D147" s="125"/>
    </row>
    <row r="148" spans="3:12" s="48" customFormat="1" ht="15.75" customHeight="1" x14ac:dyDescent="0.25">
      <c r="D148" s="125"/>
    </row>
    <row r="149" spans="3:12" s="48" customFormat="1" ht="15.75" customHeight="1" x14ac:dyDescent="0.25">
      <c r="D149" s="125"/>
    </row>
    <row r="150" spans="3:12" s="48" customFormat="1" ht="15.75" customHeight="1" x14ac:dyDescent="0.25">
      <c r="D150" s="125"/>
    </row>
    <row r="151" spans="3:12" s="48" customFormat="1" ht="15.75" customHeight="1" x14ac:dyDescent="0.25">
      <c r="D151" s="125"/>
    </row>
    <row r="152" spans="3:12" s="48" customFormat="1" ht="15.75" customHeight="1" x14ac:dyDescent="0.25">
      <c r="D152" s="125"/>
    </row>
    <row r="153" spans="3:12" s="48" customFormat="1" ht="15.75" customHeight="1" x14ac:dyDescent="0.25">
      <c r="D153" s="125"/>
    </row>
    <row r="154" spans="3:12" s="48" customFormat="1" ht="15.75" customHeight="1" x14ac:dyDescent="0.25">
      <c r="D154" s="125"/>
    </row>
    <row r="155" spans="3:12" s="48" customFormat="1" ht="15.75" customHeight="1" x14ac:dyDescent="0.25">
      <c r="D155" s="125"/>
    </row>
    <row r="156" spans="3:12" s="48" customFormat="1" ht="15.75" customHeight="1" x14ac:dyDescent="0.25">
      <c r="D156" s="125"/>
    </row>
    <row r="157" spans="3:12" s="48" customFormat="1" ht="15.75" customHeight="1" x14ac:dyDescent="0.25">
      <c r="D157" s="125"/>
    </row>
    <row r="158" spans="3:12" s="48" customFormat="1" ht="15.75" customHeight="1" x14ac:dyDescent="0.25">
      <c r="D158" s="125"/>
    </row>
    <row r="159" spans="3:12" s="48" customFormat="1" ht="15.75" customHeight="1" x14ac:dyDescent="0.25">
      <c r="D159" s="125"/>
    </row>
    <row r="160" spans="3:12" s="48" customFormat="1" ht="15.75" customHeight="1" x14ac:dyDescent="0.25">
      <c r="D160" s="125"/>
    </row>
    <row r="161" spans="1:13" s="48" customFormat="1" ht="15.75" customHeight="1" x14ac:dyDescent="0.25">
      <c r="D161" s="125"/>
    </row>
    <row r="162" spans="1:13" s="48" customFormat="1" ht="15.75" customHeight="1" x14ac:dyDescent="0.25">
      <c r="D162" s="125"/>
    </row>
    <row r="163" spans="1:13" ht="15.75" customHeight="1" x14ac:dyDescent="0.25">
      <c r="A163" s="48"/>
      <c r="B163" s="48"/>
      <c r="C163" s="48"/>
      <c r="D163" s="125"/>
      <c r="E163" s="48"/>
      <c r="F163" s="48"/>
      <c r="G163" s="48"/>
      <c r="H163" s="48"/>
      <c r="I163" s="48"/>
      <c r="J163" s="48"/>
      <c r="K163" s="48"/>
      <c r="L163" s="48"/>
      <c r="M163" s="48"/>
    </row>
    <row r="164" spans="1:13" ht="15.75" customHeight="1" x14ac:dyDescent="0.25">
      <c r="A164" s="48"/>
      <c r="B164" s="48"/>
      <c r="C164" s="48"/>
      <c r="D164" s="125"/>
      <c r="E164" s="48"/>
      <c r="F164" s="48"/>
      <c r="G164" s="48"/>
      <c r="H164" s="48"/>
      <c r="I164" s="48"/>
      <c r="J164" s="48"/>
      <c r="K164" s="48"/>
      <c r="L164" s="48"/>
      <c r="M164" s="48"/>
    </row>
    <row r="165" spans="1:13" ht="15.75" customHeight="1" x14ac:dyDescent="0.25"/>
    <row r="166" spans="1:13" ht="15.75" customHeight="1" x14ac:dyDescent="0.25"/>
    <row r="167" spans="1:13" ht="15.75" customHeight="1" x14ac:dyDescent="0.25"/>
    <row r="168" spans="1:13" ht="15.75" customHeight="1" x14ac:dyDescent="0.25"/>
    <row r="169" spans="1:13" ht="15.75" customHeight="1" x14ac:dyDescent="0.25"/>
    <row r="170" spans="1:13" ht="15.75" customHeight="1" x14ac:dyDescent="0.25"/>
    <row r="171" spans="1:13" ht="15.75" customHeight="1" x14ac:dyDescent="0.25"/>
    <row r="172" spans="1:13" ht="15.75" customHeight="1" x14ac:dyDescent="0.25"/>
    <row r="173" spans="1:13" ht="15.75" customHeight="1" x14ac:dyDescent="0.25"/>
    <row r="174" spans="1:13" ht="15.75" customHeight="1" x14ac:dyDescent="0.25"/>
    <row r="175" spans="1:13" ht="15.75" customHeight="1" x14ac:dyDescent="0.25"/>
    <row r="176" spans="1:13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0" hidden="1" customHeight="1" x14ac:dyDescent="0.25"/>
    <row r="245" ht="0" hidden="1" customHeight="1" x14ac:dyDescent="0.25"/>
  </sheetData>
  <sheetProtection algorithmName="SHA-512" hashValue="lAK/mMsJhtPeVoD9QLGJ0iyA1zzr9WKM8QgaKFJ/wvYzezMgwb8l4UbweIMRZmWXpbcE2QU6O2FX0llU+cK45w==" saltValue="ZmrTmh+ZC6J887niZvbe6g==" spinCount="100000" sheet="1" objects="1" scenarios="1"/>
  <pageMargins left="0.70866141732283472" right="0.70866141732283472" top="0.74803149606299213" bottom="0.74803149606299213" header="0.31496062992125984" footer="0.31496062992125984"/>
  <pageSetup scale="21" orientation="landscape" r:id="rId1"/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160"/>
  <sheetViews>
    <sheetView showGridLines="0" view="pageBreakPreview" topLeftCell="A26" zoomScaleNormal="100" zoomScaleSheetLayoutView="100" workbookViewId="0">
      <selection activeCell="F14" sqref="F14"/>
    </sheetView>
  </sheetViews>
  <sheetFormatPr defaultColWidth="9.140625" defaultRowHeight="0" customHeight="1" zeroHeight="1" x14ac:dyDescent="0.25"/>
  <cols>
    <col min="1" max="1" width="15.7109375" style="51" customWidth="1"/>
    <col min="2" max="2" width="13.28515625" style="51" customWidth="1"/>
    <col min="3" max="3" width="55.7109375" style="51" customWidth="1"/>
    <col min="4" max="4" width="13.85546875" style="1" customWidth="1"/>
    <col min="5" max="5" width="2.7109375" style="51" customWidth="1"/>
    <col min="6" max="6" width="14" style="51" bestFit="1" customWidth="1"/>
    <col min="7" max="7" width="2.7109375" style="51" customWidth="1"/>
    <col min="8" max="8" width="16.5703125" style="51" bestFit="1" customWidth="1"/>
    <col min="9" max="9" width="2.7109375" style="51" customWidth="1"/>
    <col min="10" max="10" width="12.28515625" style="51" customWidth="1"/>
    <col min="11" max="11" width="2.7109375" style="51" customWidth="1"/>
    <col min="12" max="12" width="11.7109375" style="51" bestFit="1" customWidth="1"/>
    <col min="13" max="13" width="2.7109375" style="51" customWidth="1"/>
    <col min="14" max="14" width="12.7109375" style="51" customWidth="1"/>
    <col min="15" max="16384" width="9.140625" style="51"/>
  </cols>
  <sheetData>
    <row r="1" spans="1:15" ht="15" x14ac:dyDescent="0.2">
      <c r="A1" s="48"/>
      <c r="B1" s="48"/>
      <c r="C1" s="5"/>
      <c r="D1" s="48"/>
      <c r="E1" s="48"/>
      <c r="F1" s="48"/>
      <c r="G1" s="48"/>
      <c r="H1" s="48"/>
      <c r="I1" s="48"/>
      <c r="J1" s="48"/>
      <c r="K1" s="48"/>
      <c r="L1" s="48"/>
    </row>
    <row r="2" spans="1:15" s="48" customFormat="1" ht="18" x14ac:dyDescent="0.25">
      <c r="C2" s="6" t="str">
        <f>'A1.1 Distributor Information'!C3</f>
        <v>Name of LDC:       EPCOR Natural Gas Limited Partnership</v>
      </c>
    </row>
    <row r="3" spans="1:15" s="48" customFormat="1" ht="18" x14ac:dyDescent="0.25">
      <c r="C3" s="6" t="str">
        <f>'A1.1 Distributor Information'!C4</f>
        <v>OEB Application Number:          EB-2020-0234 Exhibit A - 2021 IRM Application</v>
      </c>
    </row>
    <row r="4" spans="1:15" s="48" customFormat="1" ht="15" x14ac:dyDescent="0.2"/>
    <row r="5" spans="1:15" s="48" customFormat="1" ht="15" x14ac:dyDescent="0.2"/>
    <row r="6" spans="1:15" s="48" customFormat="1" ht="15" x14ac:dyDescent="0.2"/>
    <row r="7" spans="1:15" s="48" customFormat="1" ht="20.25" x14ac:dyDescent="0.3">
      <c r="C7" s="3" t="s">
        <v>59</v>
      </c>
    </row>
    <row r="8" spans="1:15" s="48" customFormat="1" ht="15" x14ac:dyDescent="0.2"/>
    <row r="9" spans="1:15" s="48" customFormat="1" ht="15" x14ac:dyDescent="0.2"/>
    <row r="10" spans="1:15" s="48" customFormat="1" ht="20.25" x14ac:dyDescent="0.3">
      <c r="C10" s="3" t="str">
        <f>'For Bill Impact(HideBeforeFile)'!C11</f>
        <v>RATE 3 - Special Large Volume Contract Rate</v>
      </c>
      <c r="E10" s="52"/>
      <c r="F10" s="172" t="s">
        <v>130</v>
      </c>
      <c r="G10" s="172"/>
      <c r="H10" s="172" t="s">
        <v>131</v>
      </c>
      <c r="I10" s="172"/>
      <c r="J10" s="172" t="s">
        <v>133</v>
      </c>
      <c r="O10" s="48" t="s">
        <v>132</v>
      </c>
    </row>
    <row r="11" spans="1:15" s="48" customFormat="1" ht="15" x14ac:dyDescent="0.2"/>
    <row r="12" spans="1:15" s="48" customFormat="1" ht="15" x14ac:dyDescent="0.2"/>
    <row r="13" spans="1:15" s="48" customFormat="1" ht="15" x14ac:dyDescent="0.2"/>
    <row r="14" spans="1:15" s="48" customFormat="1" ht="15" x14ac:dyDescent="0.2">
      <c r="C14" s="48" t="str">
        <f>INDEX('For Bill Impact(HideBeforeFile)'!$D$48:$O$57,MATCH(C10,'For Bill Impact(HideBeforeFile)'!$C$62:$C$71,0),MATCH($O14,'For Bill Impact(HideBeforeFile)'!$D$61:$O$61,0))</f>
        <v>Commodity</v>
      </c>
      <c r="D14" s="48" t="str">
        <f>INDEX('For Bill Impact(HideBeforeFile)'!$D$62:$O$71,MATCH(C10,'For Bill Impact(HideBeforeFile)'!$C$62:$C$71,0),MATCH($O14,'For Bill Impact(HideBeforeFile)'!$D$61:$O$61,0))</f>
        <v>cents / m3</v>
      </c>
      <c r="E14" s="169"/>
      <c r="F14" s="54">
        <f>INDEX('For Bill Impact(HideBeforeFile)'!$D$6:$O$15,MATCH(C10,'For Bill Impact(HideBeforeFile)'!$C$62:$C$71,0),MATCH($O14,'For Bill Impact(HideBeforeFile)'!$D$61:$O$61,0))</f>
        <v>13.264200000000001</v>
      </c>
      <c r="G14" s="169"/>
      <c r="H14" s="54">
        <f>INDEX('For Bill Impact(HideBeforeFile)'!$D$20:$O$29,MATCH(C10,'For Bill Impact(HideBeforeFile)'!$C$62:$C$71,0),MATCH($O14,'For Bill Impact(HideBeforeFile)'!$D$61:$O$61,0))</f>
        <v>13.264200000000001</v>
      </c>
      <c r="J14" s="57">
        <f>INDEX('For Bill Impact(HideBeforeFile)'!$D$34:$O$43,MATCH(C10,'For Bill Impact(HideBeforeFile)'!$C$62:$C$71,0),MATCH($O14,'For Bill Impact(HideBeforeFile)'!$D$61:$O$61,0))</f>
        <v>257420.69999999998</v>
      </c>
      <c r="O14" s="48" t="str">
        <f>'For Bill Impact(HideBeforeFile)'!$D$5</f>
        <v>Commodity</v>
      </c>
    </row>
    <row r="15" spans="1:15" s="48" customFormat="1" ht="15" x14ac:dyDescent="0.2"/>
    <row r="16" spans="1:15" s="48" customFormat="1" ht="15" x14ac:dyDescent="0.2">
      <c r="C16" s="48" t="str">
        <f>INDEX('For Bill Impact(HideBeforeFile)'!$D$48:$O$57,MATCH(C10,'For Bill Impact(HideBeforeFile)'!$C$62:$C$71,0),MATCH($O16,'For Bill Impact(HideBeforeFile)'!$D$61:$O$61,0))</f>
        <v>Customer (excl. Bill 32)</v>
      </c>
      <c r="D16" s="48" t="str">
        <f>INDEX('For Bill Impact(HideBeforeFile)'!$D$62:$O$71,MATCH(C10,'For Bill Impact(HideBeforeFile)'!$C$62:$C$71,0),MATCH($O16,'For Bill Impact(HideBeforeFile)'!$D$61:$O$61,0))</f>
        <v>$ / month</v>
      </c>
      <c r="E16" s="171"/>
      <c r="F16" s="170">
        <f>INDEX('For Bill Impact(HideBeforeFile)'!$D$6:$O$15,MATCH(C10,'For Bill Impact(HideBeforeFile)'!$C$62:$C$71,0),MATCH($O16,'For Bill Impact(HideBeforeFile)'!$D$61:$O$61,0))</f>
        <v>200</v>
      </c>
      <c r="G16" s="171"/>
      <c r="H16" s="170">
        <f>INDEX('For Bill Impact(HideBeforeFile)'!$D$20:$O$29,MATCH(C10,'For Bill Impact(HideBeforeFile)'!$C$62:$C$71,0),MATCH($O16,'For Bill Impact(HideBeforeFile)'!$D$61:$O$61,0))</f>
        <v>200</v>
      </c>
      <c r="J16" s="57">
        <f>INDEX('For Bill Impact(HideBeforeFile)'!$D$34:$O$43,MATCH(C10,'For Bill Impact(HideBeforeFile)'!$C$62:$C$71,0),MATCH($O16,'For Bill Impact(HideBeforeFile)'!$D$61:$O$61,0))</f>
        <v>12</v>
      </c>
      <c r="O16" s="48" t="str">
        <f>'For Bill Impact(HideBeforeFile)'!$K$5</f>
        <v>Dist. Customer Rate</v>
      </c>
    </row>
    <row r="17" spans="3:15" s="48" customFormat="1" ht="15" x14ac:dyDescent="0.2">
      <c r="C17" s="48" t="str">
        <f>INDEX('For Bill Impact(HideBeforeFile)'!$D$48:$O$57,MATCH(C10,'For Bill Impact(HideBeforeFile)'!$C$62:$C$71,0),MATCH($O17,'For Bill Impact(HideBeforeFile)'!$D$61:$O$61,0))</f>
        <v>Delivery - Firm</v>
      </c>
      <c r="D17" s="48" t="str">
        <f>INDEX('For Bill Impact(HideBeforeFile)'!$D$62:$O$71,MATCH(C10,'For Bill Impact(HideBeforeFile)'!$C$62:$C$71,0),MATCH($O17,'For Bill Impact(HideBeforeFile)'!$D$61:$O$61,0))</f>
        <v>cents / m3</v>
      </c>
      <c r="E17" s="169"/>
      <c r="F17" s="54">
        <f>INDEX('For Bill Impact(HideBeforeFile)'!$D$6:$O$15,MATCH(C10,'For Bill Impact(HideBeforeFile)'!$C$62:$C$71,0),MATCH($O17,'For Bill Impact(HideBeforeFile)'!$D$61:$O$61,0))</f>
        <v>3.6011000000000002</v>
      </c>
      <c r="G17" s="169"/>
      <c r="H17" s="54">
        <f>INDEX('For Bill Impact(HideBeforeFile)'!$D$20:$O$29,MATCH(C10,'For Bill Impact(HideBeforeFile)'!$C$62:$C$71,0),MATCH($O17,'For Bill Impact(HideBeforeFile)'!$D$61:$O$61,0))</f>
        <v>3.9087148718964557</v>
      </c>
      <c r="J17" s="57">
        <f>INDEX('For Bill Impact(HideBeforeFile)'!$D$34:$O$43,MATCH(C10,'For Bill Impact(HideBeforeFile)'!$C$62:$C$71,0),MATCH($O17,'For Bill Impact(HideBeforeFile)'!$D$61:$O$61,0))</f>
        <v>257420.69999999998</v>
      </c>
      <c r="O17" s="48" t="str">
        <f>'For Bill Impact(HideBeforeFile)'!$L$5</f>
        <v>Dist. Vol. Rate Tier 1</v>
      </c>
    </row>
    <row r="18" spans="3:15" s="48" customFormat="1" ht="15" x14ac:dyDescent="0.2">
      <c r="C18" s="48" t="str">
        <f>INDEX('For Bill Impact(HideBeforeFile)'!$D$48:$O$57,MATCH(C10,'For Bill Impact(HideBeforeFile)'!$C$62:$C$71,0),MATCH($O18,'For Bill Impact(HideBeforeFile)'!$D$61:$O$61,0))</f>
        <v/>
      </c>
      <c r="D18" s="48" t="str">
        <f>INDEX('For Bill Impact(HideBeforeFile)'!$D$62:$O$71,MATCH(C10,'For Bill Impact(HideBeforeFile)'!$C$62:$C$71,0),MATCH($O18,'For Bill Impact(HideBeforeFile)'!$D$61:$O$61,0))</f>
        <v/>
      </c>
      <c r="E18" s="169"/>
      <c r="F18" s="54" t="str">
        <f>INDEX('For Bill Impact(HideBeforeFile)'!$D$6:$O$15,MATCH(C10,'For Bill Impact(HideBeforeFile)'!$C$62:$C$71,0),MATCH($O18,'For Bill Impact(HideBeforeFile)'!$D$61:$O$61,0))</f>
        <v/>
      </c>
      <c r="G18" s="169"/>
      <c r="H18" s="54" t="str">
        <f>INDEX('For Bill Impact(HideBeforeFile)'!$D$20:$O$29,MATCH(C10,'For Bill Impact(HideBeforeFile)'!$C$62:$C$71,0),MATCH($O18,'For Bill Impact(HideBeforeFile)'!$D$61:$O$61,0))</f>
        <v/>
      </c>
      <c r="J18" s="57" t="str">
        <f>INDEX('For Bill Impact(HideBeforeFile)'!$D$34:$O$43,MATCH(C10,'For Bill Impact(HideBeforeFile)'!$C$62:$C$71,0),MATCH($O18,'For Bill Impact(HideBeforeFile)'!$D$61:$O$61,0))</f>
        <v/>
      </c>
      <c r="O18" s="48" t="str">
        <f>'For Bill Impact(HideBeforeFile)'!$M$5</f>
        <v>Dist. Vol. Rate Tier 2</v>
      </c>
    </row>
    <row r="19" spans="3:15" s="48" customFormat="1" ht="15" x14ac:dyDescent="0.2">
      <c r="C19" s="48" t="str">
        <f>INDEX('For Bill Impact(HideBeforeFile)'!$D$48:$O$57,MATCH(C10,'For Bill Impact(HideBeforeFile)'!$C$62:$C$71,0),MATCH($O19,'For Bill Impact(HideBeforeFile)'!$D$61:$O$61,0))</f>
        <v/>
      </c>
      <c r="D19" s="48" t="str">
        <f>INDEX('For Bill Impact(HideBeforeFile)'!$D$62:$O$71,MATCH(C10,'For Bill Impact(HideBeforeFile)'!$C$62:$C$71,0),MATCH($O19,'For Bill Impact(HideBeforeFile)'!$D$61:$O$61,0))</f>
        <v/>
      </c>
      <c r="E19" s="169"/>
      <c r="F19" s="54" t="str">
        <f>INDEX('For Bill Impact(HideBeforeFile)'!$D$6:$O$15,MATCH(C10,'For Bill Impact(HideBeforeFile)'!$C$62:$C$71,0),MATCH($O19,'For Bill Impact(HideBeforeFile)'!$D$61:$O$61,0))</f>
        <v/>
      </c>
      <c r="G19" s="169"/>
      <c r="H19" s="54" t="str">
        <f>INDEX('For Bill Impact(HideBeforeFile)'!$D$20:$O$29,MATCH(C10,'For Bill Impact(HideBeforeFile)'!$C$62:$C$71,0),MATCH($O19,'For Bill Impact(HideBeforeFile)'!$D$61:$O$61,0))</f>
        <v/>
      </c>
      <c r="J19" s="57" t="str">
        <f>INDEX('For Bill Impact(HideBeforeFile)'!$D$34:$O$43,MATCH(C10,'For Bill Impact(HideBeforeFile)'!$C$62:$C$71,0),MATCH($O19,'For Bill Impact(HideBeforeFile)'!$D$61:$O$61,0))</f>
        <v/>
      </c>
      <c r="O19" s="48" t="str">
        <f>'For Bill Impact(HideBeforeFile)'!$N$5</f>
        <v>Dist. Vol. Rate Tier 3</v>
      </c>
    </row>
    <row r="20" spans="3:15" s="48" customFormat="1" ht="15" x14ac:dyDescent="0.2">
      <c r="C20" s="48" t="str">
        <f>INDEX('For Bill Impact(HideBeforeFile)'!$D$48:$O$57,MATCH(C10,'For Bill Impact(HideBeforeFile)'!$C$62:$C$71,0),MATCH($O20,'For Bill Impact(HideBeforeFile)'!$D$61:$O$61,0))</f>
        <v>Demand - Firm</v>
      </c>
      <c r="D20" s="48" t="str">
        <f>INDEX('For Bill Impact(HideBeforeFile)'!$D$62:$O$71,MATCH(C10,'For Bill Impact(HideBeforeFile)'!$C$62:$C$71,0),MATCH($O20,'For Bill Impact(HideBeforeFile)'!$D$61:$O$61,0))</f>
        <v>cents / m3</v>
      </c>
      <c r="E20" s="169"/>
      <c r="F20" s="54">
        <f>INDEX('For Bill Impact(HideBeforeFile)'!$D$6:$O$15,MATCH(C10,'For Bill Impact(HideBeforeFile)'!$C$62:$C$71,0),MATCH($O20,'For Bill Impact(HideBeforeFile)'!$D$61:$O$61,0))</f>
        <v>29.0974</v>
      </c>
      <c r="G20" s="169"/>
      <c r="H20" s="54">
        <f>INDEX('For Bill Impact(HideBeforeFile)'!$D$20:$O$29,MATCH(C10,'For Bill Impact(HideBeforeFile)'!$C$62:$C$71,0),MATCH($O20,'For Bill Impact(HideBeforeFile)'!$D$61:$O$61,0))</f>
        <v>29.615769630893396</v>
      </c>
      <c r="J20" s="57">
        <f>INDEX('For Bill Impact(HideBeforeFile)'!$D$34:$O$43,MATCH(C10,'For Bill Impact(HideBeforeFile)'!$C$62:$C$71,0),MATCH($O20,'For Bill Impact(HideBeforeFile)'!$D$61:$O$61,0))</f>
        <v>38737.200000000004</v>
      </c>
      <c r="O20" s="48" t="str">
        <f>'For Bill Impact(HideBeforeFile)'!$O$5</f>
        <v>Dist. Capacity Rate</v>
      </c>
    </row>
    <row r="21" spans="3:15" s="48" customFormat="1" ht="15" x14ac:dyDescent="0.2">
      <c r="C21" s="48" t="str">
        <f>INDEX('For Bill Impact(HideBeforeFile)'!$D$48:$O$57,MATCH(C10,'For Bill Impact(HideBeforeFile)'!$C$62:$C$71,0),MATCH($O21,'For Bill Impact(HideBeforeFile)'!$D$61:$O$61,0))</f>
        <v>System Gas Charge</v>
      </c>
      <c r="D21" s="48" t="str">
        <f>INDEX('For Bill Impact(HideBeforeFile)'!$D$62:$O$71,MATCH(C10,'For Bill Impact(HideBeforeFile)'!$C$62:$C$71,0),MATCH($O21,'For Bill Impact(HideBeforeFile)'!$D$61:$O$61,0))</f>
        <v>cents / m3</v>
      </c>
      <c r="E21" s="169"/>
      <c r="F21" s="54">
        <f>INDEX('For Bill Impact(HideBeforeFile)'!$D$6:$O$15,MATCH(C10,'For Bill Impact(HideBeforeFile)'!$C$62:$C$71,0),MATCH($O21,'For Bill Impact(HideBeforeFile)'!$D$61:$O$61,0))</f>
        <v>4.3499999999999997E-2</v>
      </c>
      <c r="G21" s="169"/>
      <c r="H21" s="54">
        <f>INDEX('For Bill Impact(HideBeforeFile)'!$D$20:$O$29,MATCH(C10,'For Bill Impact(HideBeforeFile)'!$C$62:$C$71,0),MATCH($O21,'For Bill Impact(HideBeforeFile)'!$D$61:$O$61,0))</f>
        <v>4.3499999999999997E-2</v>
      </c>
      <c r="J21" s="57">
        <f>INDEX('For Bill Impact(HideBeforeFile)'!$D$34:$O$43,MATCH(C10,'For Bill Impact(HideBeforeFile)'!$C$62:$C$71,0),MATCH($O21,'For Bill Impact(HideBeforeFile)'!$D$61:$O$61,0))</f>
        <v>257420.69999999998</v>
      </c>
      <c r="O21" s="48" t="str">
        <f>'For Bill Impact(HideBeforeFile)'!$E$5</f>
        <v>System Gas</v>
      </c>
    </row>
    <row r="22" spans="3:15" s="48" customFormat="1" ht="15" x14ac:dyDescent="0.2"/>
    <row r="23" spans="3:15" s="48" customFormat="1" ht="15" x14ac:dyDescent="0.2">
      <c r="C23" s="48" t="str">
        <f>INDEX('For Bill Impact(HideBeforeFile)'!$D$48:$O$57,MATCH(C10,'For Bill Impact(HideBeforeFile)'!$C$62:$C$71,0),MATCH($O23,'For Bill Impact(HideBeforeFile)'!$D$61:$O$61,0))</f>
        <v>REDA</v>
      </c>
      <c r="D23" s="48" t="str">
        <f>INDEX('For Bill Impact(HideBeforeFile)'!$D$62:$O$71,MATCH(C10,'For Bill Impact(HideBeforeFile)'!$C$62:$C$71,0),MATCH($O23,'For Bill Impact(HideBeforeFile)'!$D$61:$O$61,0))</f>
        <v>$ / month</v>
      </c>
      <c r="E23" s="171"/>
      <c r="F23" s="170">
        <f>INDEX('For Bill Impact(HideBeforeFile)'!$D$6:$O$15,MATCH(C10,'For Bill Impact(HideBeforeFile)'!$C$62:$C$71,0),MATCH($O23,'For Bill Impact(HideBeforeFile)'!$D$61:$O$61,0))</f>
        <v>0.59</v>
      </c>
      <c r="G23" s="171"/>
      <c r="H23" s="170">
        <f>INDEX('For Bill Impact(HideBeforeFile)'!$D$20:$O$29,MATCH(C10,'For Bill Impact(HideBeforeFile)'!$C$62:$C$71,0),MATCH($O23,'For Bill Impact(HideBeforeFile)'!$D$61:$O$61,0))</f>
        <v>0.76971281184715468</v>
      </c>
      <c r="J23" s="57">
        <f>INDEX('For Bill Impact(HideBeforeFile)'!$D$34:$O$43,MATCH(C10,'For Bill Impact(HideBeforeFile)'!$C$62:$C$71,0),MATCH($O23,'For Bill Impact(HideBeforeFile)'!$D$61:$O$61,0))</f>
        <v>12</v>
      </c>
      <c r="O23" s="48" t="str">
        <f>'For Bill Impact(HideBeforeFile)'!$F$5</f>
        <v>REDA</v>
      </c>
    </row>
    <row r="24" spans="3:15" s="48" customFormat="1" ht="15" x14ac:dyDescent="0.2">
      <c r="C24" s="48" t="str">
        <f>INDEX('For Bill Impact(HideBeforeFile)'!$D$48:$O$57,MATCH(C10,'For Bill Impact(HideBeforeFile)'!$C$62:$C$71,0),MATCH($O24,'For Bill Impact(HideBeforeFile)'!$D$61:$O$61,0))</f>
        <v>PGTVA</v>
      </c>
      <c r="D24" s="48" t="str">
        <f>INDEX('For Bill Impact(HideBeforeFile)'!$D$62:$O$71,MATCH(C10,'For Bill Impact(HideBeforeFile)'!$C$62:$C$71,0),MATCH($O24,'For Bill Impact(HideBeforeFile)'!$D$61:$O$61,0))</f>
        <v>cents / m3</v>
      </c>
      <c r="E24" s="169"/>
      <c r="F24" s="54">
        <f>INDEX('For Bill Impact(HideBeforeFile)'!$D$6:$O$15,MATCH(C10,'For Bill Impact(HideBeforeFile)'!$C$62:$C$71,0),MATCH($O24,'For Bill Impact(HideBeforeFile)'!$D$61:$O$61,0))</f>
        <v>0.128</v>
      </c>
      <c r="G24" s="169"/>
      <c r="H24" s="54">
        <f>INDEX('For Bill Impact(HideBeforeFile)'!$D$20:$O$29,MATCH(C10,'For Bill Impact(HideBeforeFile)'!$C$62:$C$71,0),MATCH($O24,'For Bill Impact(HideBeforeFile)'!$D$61:$O$61,0))</f>
        <v>0.30664420626329603</v>
      </c>
      <c r="J24" s="57">
        <f>INDEX('For Bill Impact(HideBeforeFile)'!$D$34:$O$43,MATCH(C10,'For Bill Impact(HideBeforeFile)'!$C$62:$C$71,0),MATCH($O24,'For Bill Impact(HideBeforeFile)'!$D$61:$O$61,0))</f>
        <v>257420.69999999998</v>
      </c>
      <c r="O24" s="48" t="str">
        <f>'For Bill Impact(HideBeforeFile)'!$G$5</f>
        <v>PGTVA</v>
      </c>
    </row>
    <row r="25" spans="3:15" s="48" customFormat="1" ht="15" x14ac:dyDescent="0.2">
      <c r="C25" s="48" t="str">
        <f>INDEX('For Bill Impact(HideBeforeFile)'!$D$48:$O$57,MATCH(C10,'For Bill Impact(HideBeforeFile)'!$C$62:$C$71,0),MATCH($O25,'For Bill Impact(HideBeforeFile)'!$D$61:$O$61,0))</f>
        <v>ADVADA</v>
      </c>
      <c r="D25" s="48" t="str">
        <f>INDEX('For Bill Impact(HideBeforeFile)'!$D$62:$O$71,MATCH(C10,'For Bill Impact(HideBeforeFile)'!$C$62:$C$71,0),MATCH($O25,'For Bill Impact(HideBeforeFile)'!$D$61:$O$61,0))</f>
        <v>cents / m3</v>
      </c>
      <c r="F25" s="54" t="str">
        <f>INDEX('For Bill Impact(HideBeforeFile)'!$D$6:$O$15,MATCH(C10,'For Bill Impact(HideBeforeFile)'!$C$62:$C$71,0),MATCH($O25,'For Bill Impact(HideBeforeFile)'!$D$61:$O$61,0))</f>
        <v/>
      </c>
      <c r="H25" s="54">
        <f>INDEX('For Bill Impact(HideBeforeFile)'!$D$20:$O$29,MATCH(C10,'For Bill Impact(HideBeforeFile)'!$C$62:$C$71,0),MATCH($O25,'For Bill Impact(HideBeforeFile)'!$D$61:$O$61,0))</f>
        <v>0.14841821245417633</v>
      </c>
      <c r="J25" s="57">
        <f>INDEX('For Bill Impact(HideBeforeFile)'!$D$34:$O$43,MATCH(C10,'For Bill Impact(HideBeforeFile)'!$C$62:$C$71,0),MATCH($O25,'For Bill Impact(HideBeforeFile)'!$D$61:$O$61,0))</f>
        <v>257420.69999999998</v>
      </c>
      <c r="O25" s="48" t="str">
        <f>'For Bill Impact(HideBeforeFile)'!$H$5</f>
        <v>ADVADA</v>
      </c>
    </row>
    <row r="26" spans="3:15" s="48" customFormat="1" ht="15" x14ac:dyDescent="0.2"/>
    <row r="27" spans="3:15" s="48" customFormat="1" ht="15.75" x14ac:dyDescent="0.25">
      <c r="C27" s="48" t="str">
        <f>INDEX('For Bill Impact(HideBeforeFile)'!$D$48:$O$57,MATCH(C10,'For Bill Impact(HideBeforeFile)'!$C$62:$C$71,0),MATCH($O27,'For Bill Impact(HideBeforeFile)'!$D$61:$O$61,0))</f>
        <v>Federal Carbon</v>
      </c>
      <c r="D27" s="48" t="str">
        <f>INDEX('For Bill Impact(HideBeforeFile)'!$D$62:$O$71,MATCH(C10,'For Bill Impact(HideBeforeFile)'!$C$62:$C$71,0),MATCH($O27,'For Bill Impact(HideBeforeFile)'!$D$61:$O$61,0))</f>
        <v>cents / m3</v>
      </c>
      <c r="E27" s="169"/>
      <c r="F27" s="54">
        <f>INDEX('For Bill Impact(HideBeforeFile)'!$D$6:$O$15,MATCH(C10,'For Bill Impact(HideBeforeFile)'!$C$62:$C$71,0),MATCH($O27,'For Bill Impact(HideBeforeFile)'!$D$61:$O$61,0))</f>
        <v>5.87</v>
      </c>
      <c r="G27" s="169"/>
      <c r="H27" s="54">
        <f>INDEX('For Bill Impact(HideBeforeFile)'!$D$20:$O$29,MATCH(C10,'For Bill Impact(HideBeforeFile)'!$C$62:$C$71,0),MATCH($O27,'For Bill Impact(HideBeforeFile)'!$D$61:$O$61,0))</f>
        <v>5.87</v>
      </c>
      <c r="J27" s="57">
        <f>INDEX('For Bill Impact(HideBeforeFile)'!$D$34:$O$43,MATCH(C10,'For Bill Impact(HideBeforeFile)'!$C$62:$C$71,0),MATCH($O27,'For Bill Impact(HideBeforeFile)'!$D$61:$O$61,0))</f>
        <v>257420.69999999998</v>
      </c>
      <c r="N27" s="16"/>
      <c r="O27" s="48" t="str">
        <f>'For Bill Impact(HideBeforeFile)'!$I$5</f>
        <v>Federal Carbon</v>
      </c>
    </row>
    <row r="28" spans="3:15" s="48" customFormat="1" ht="15" x14ac:dyDescent="0.2">
      <c r="C28" s="48" t="str">
        <f>INDEX('For Bill Impact(HideBeforeFile)'!$D$48:$O$57,MATCH(C10,'For Bill Impact(HideBeforeFile)'!$C$62:$C$71,0),MATCH($O28,'For Bill Impact(HideBeforeFile)'!$D$61:$O$61,0))</f>
        <v>Facility Carbon</v>
      </c>
      <c r="D28" s="48" t="str">
        <f>INDEX('For Bill Impact(HideBeforeFile)'!$D$62:$O$71,MATCH(C10,'For Bill Impact(HideBeforeFile)'!$C$62:$C$71,0),MATCH($O28,'For Bill Impact(HideBeforeFile)'!$D$61:$O$61,0))</f>
        <v>cents / m3</v>
      </c>
      <c r="E28" s="169"/>
      <c r="F28" s="54">
        <f>INDEX('For Bill Impact(HideBeforeFile)'!$D$6:$O$15,MATCH(C10,'For Bill Impact(HideBeforeFile)'!$C$62:$C$71,0),MATCH($O28,'For Bill Impact(HideBeforeFile)'!$D$61:$O$61,0))</f>
        <v>2.7000000000000001E-3</v>
      </c>
      <c r="G28" s="169"/>
      <c r="H28" s="54">
        <f>INDEX('For Bill Impact(HideBeforeFile)'!$D$20:$O$29,MATCH(C10,'For Bill Impact(HideBeforeFile)'!$C$62:$C$71,0),MATCH($O28,'For Bill Impact(HideBeforeFile)'!$D$61:$O$61,0))</f>
        <v>2.7000000000000001E-3</v>
      </c>
      <c r="J28" s="57">
        <f>INDEX('For Bill Impact(HideBeforeFile)'!$D$34:$O$43,MATCH(C10,'For Bill Impact(HideBeforeFile)'!$C$62:$C$71,0),MATCH($O28,'For Bill Impact(HideBeforeFile)'!$D$61:$O$61,0))</f>
        <v>257420.69999999998</v>
      </c>
      <c r="O28" s="48" t="str">
        <f>'For Bill Impact(HideBeforeFile)'!$J$5</f>
        <v>Facility Carbon</v>
      </c>
    </row>
    <row r="29" spans="3:15" s="48" customFormat="1" ht="15" x14ac:dyDescent="0.2"/>
    <row r="30" spans="3:15" s="48" customFormat="1" ht="15" x14ac:dyDescent="0.2"/>
    <row r="31" spans="3:15" s="48" customFormat="1" ht="15.75" x14ac:dyDescent="0.25">
      <c r="C31" s="17" t="s">
        <v>8</v>
      </c>
      <c r="E31" s="52"/>
      <c r="F31" s="172" t="s">
        <v>130</v>
      </c>
      <c r="G31" s="172"/>
      <c r="H31" s="172" t="s">
        <v>131</v>
      </c>
      <c r="J31" s="48" t="s">
        <v>55</v>
      </c>
      <c r="L31" s="56" t="s">
        <v>56</v>
      </c>
    </row>
    <row r="32" spans="3:15" s="48" customFormat="1" ht="15" x14ac:dyDescent="0.2">
      <c r="F32" s="58">
        <f>F14*$J14/100</f>
        <v>34144.796489399996</v>
      </c>
      <c r="G32" s="171"/>
      <c r="H32" s="58">
        <f>H14*$J14/100</f>
        <v>34144.796489399996</v>
      </c>
      <c r="J32" s="53">
        <f>H32-F32</f>
        <v>0</v>
      </c>
      <c r="L32" s="59">
        <f>IFERROR(J32/F32,"")</f>
        <v>0</v>
      </c>
      <c r="O32" s="48" t="str">
        <f>'For Bill Impact(HideBeforeFile)'!$D$5</f>
        <v>Commodity</v>
      </c>
    </row>
    <row r="33" spans="3:15" s="48" customFormat="1" ht="15" x14ac:dyDescent="0.2"/>
    <row r="34" spans="3:15" s="48" customFormat="1" ht="15.75" x14ac:dyDescent="0.25">
      <c r="C34" s="17" t="s">
        <v>68</v>
      </c>
      <c r="E34" s="52"/>
      <c r="F34" s="52" t="s">
        <v>35</v>
      </c>
      <c r="G34" s="52"/>
      <c r="H34" s="52" t="s">
        <v>52</v>
      </c>
      <c r="J34" s="48" t="s">
        <v>55</v>
      </c>
      <c r="L34" s="56" t="s">
        <v>56</v>
      </c>
    </row>
    <row r="35" spans="3:15" s="48" customFormat="1" ht="15" x14ac:dyDescent="0.2">
      <c r="C35" s="47" t="str">
        <f>IF(C16&lt;&gt;"",C16,"")</f>
        <v>Customer (excl. Bill 32)</v>
      </c>
      <c r="F35" s="58">
        <f>F16*$J16</f>
        <v>2400</v>
      </c>
      <c r="G35" s="171"/>
      <c r="H35" s="58">
        <f>H16*$J16</f>
        <v>2400</v>
      </c>
      <c r="J35" s="53">
        <f>IFERROR(H35-F35,"")</f>
        <v>0</v>
      </c>
      <c r="L35" s="59">
        <f>IFERROR(J35/F35,"")</f>
        <v>0</v>
      </c>
      <c r="O35" s="48" t="str">
        <f>'For Bill Impact(HideBeforeFile)'!$K$5</f>
        <v>Dist. Customer Rate</v>
      </c>
    </row>
    <row r="36" spans="3:15" s="48" customFormat="1" ht="15" x14ac:dyDescent="0.2">
      <c r="C36" s="47" t="s">
        <v>149</v>
      </c>
      <c r="F36" s="58">
        <f>J16</f>
        <v>12</v>
      </c>
      <c r="G36" s="171"/>
      <c r="H36" s="58">
        <f>J16</f>
        <v>12</v>
      </c>
      <c r="J36" s="53">
        <f>IFERROR(H36-F36,"")</f>
        <v>0</v>
      </c>
      <c r="L36" s="59">
        <f>IFERROR(J36/F36,"")</f>
        <v>0</v>
      </c>
    </row>
    <row r="37" spans="3:15" s="48" customFormat="1" ht="15" x14ac:dyDescent="0.2">
      <c r="C37" s="47" t="str">
        <f>IF(C17&lt;&gt;"",C17,"")</f>
        <v>Delivery - Firm</v>
      </c>
      <c r="F37" s="58">
        <f>IFERROR(F17*$J17/100,"")</f>
        <v>9269.9768277000003</v>
      </c>
      <c r="H37" s="58">
        <f>IFERROR(H17*$J17/100,"")</f>
        <v>10061.841184239958</v>
      </c>
      <c r="J37" s="53">
        <f t="shared" ref="J37:J41" si="0">IFERROR(H37-F37,"")</f>
        <v>791.86435653995795</v>
      </c>
      <c r="L37" s="59">
        <f t="shared" ref="L37:L41" si="1">IFERROR(J37/F37,"")</f>
        <v>8.5422474215227306E-2</v>
      </c>
      <c r="O37" s="48" t="str">
        <f>'For Bill Impact(HideBeforeFile)'!$L$5</f>
        <v>Dist. Vol. Rate Tier 1</v>
      </c>
    </row>
    <row r="38" spans="3:15" s="48" customFormat="1" ht="15" x14ac:dyDescent="0.2">
      <c r="C38" s="47" t="str">
        <f>IF(C18&lt;&gt;"",C18,"")</f>
        <v/>
      </c>
      <c r="F38" s="58" t="str">
        <f>IFERROR(F18*$J18/100,"")</f>
        <v/>
      </c>
      <c r="H38" s="58" t="str">
        <f>IFERROR(H18*$J18/100,"")</f>
        <v/>
      </c>
      <c r="J38" s="53" t="str">
        <f t="shared" si="0"/>
        <v/>
      </c>
      <c r="L38" s="59" t="str">
        <f t="shared" si="1"/>
        <v/>
      </c>
      <c r="O38" s="48" t="str">
        <f>'For Bill Impact(HideBeforeFile)'!$M$5</f>
        <v>Dist. Vol. Rate Tier 2</v>
      </c>
    </row>
    <row r="39" spans="3:15" s="48" customFormat="1" ht="15" x14ac:dyDescent="0.2">
      <c r="C39" s="47" t="str">
        <f>IF(C19&lt;&gt;"",C19,"")</f>
        <v/>
      </c>
      <c r="F39" s="58" t="str">
        <f>IFERROR(F19*$J19/100,"")</f>
        <v/>
      </c>
      <c r="H39" s="58" t="str">
        <f>IFERROR(H19*$J19/100,"")</f>
        <v/>
      </c>
      <c r="J39" s="53" t="str">
        <f t="shared" si="0"/>
        <v/>
      </c>
      <c r="L39" s="59" t="str">
        <f t="shared" si="1"/>
        <v/>
      </c>
      <c r="O39" s="48" t="str">
        <f>'For Bill Impact(HideBeforeFile)'!$N$5</f>
        <v>Dist. Vol. Rate Tier 3</v>
      </c>
    </row>
    <row r="40" spans="3:15" s="48" customFormat="1" ht="15" x14ac:dyDescent="0.2">
      <c r="C40" s="47" t="str">
        <f>IF(C20&lt;&gt;"",C20,"")</f>
        <v>Demand - Firm</v>
      </c>
      <c r="F40" s="58">
        <f>IFERROR(F20*$J20/100,"")</f>
        <v>11271.518032800001</v>
      </c>
      <c r="H40" s="58">
        <f>IFERROR(H20*$J20/100,"")</f>
        <v>11472.319913458437</v>
      </c>
      <c r="J40" s="53">
        <f t="shared" si="0"/>
        <v>200.80188065843686</v>
      </c>
      <c r="L40" s="59">
        <f t="shared" si="1"/>
        <v>1.7814981094303843E-2</v>
      </c>
      <c r="O40" s="48" t="str">
        <f>'For Bill Impact(HideBeforeFile)'!$O$5</f>
        <v>Dist. Capacity Rate</v>
      </c>
    </row>
    <row r="41" spans="3:15" s="48" customFormat="1" ht="15" x14ac:dyDescent="0.2">
      <c r="C41" s="47" t="str">
        <f>IF(C21&lt;&gt;"",C21,"")</f>
        <v>System Gas Charge</v>
      </c>
      <c r="F41" s="58">
        <f>IFERROR(F21*$J21/100,"")</f>
        <v>111.97800449999998</v>
      </c>
      <c r="H41" s="58">
        <f>IFERROR(H21*$J21/100,"")</f>
        <v>111.97800449999998</v>
      </c>
      <c r="J41" s="53">
        <f t="shared" si="0"/>
        <v>0</v>
      </c>
      <c r="L41" s="59">
        <f t="shared" si="1"/>
        <v>0</v>
      </c>
      <c r="O41" s="48" t="str">
        <f>'For Bill Impact(HideBeforeFile)'!$E$5</f>
        <v>System Gas</v>
      </c>
    </row>
    <row r="42" spans="3:15" s="48" customFormat="1" ht="15.75" x14ac:dyDescent="0.25">
      <c r="C42" s="17" t="s">
        <v>54</v>
      </c>
      <c r="F42" s="35">
        <f>SUM(F35:F41)</f>
        <v>23065.472865000003</v>
      </c>
      <c r="H42" s="35">
        <f>SUM(H35:H41)</f>
        <v>24058.139102198395</v>
      </c>
      <c r="J42" s="36">
        <f t="shared" ref="J42" si="2">H42-F42</f>
        <v>992.66623719839117</v>
      </c>
      <c r="L42" s="37">
        <f>IF(ISERROR(J42/F42),0,J42/F42)</f>
        <v>4.3036890811143189E-2</v>
      </c>
    </row>
    <row r="43" spans="3:15" s="48" customFormat="1" ht="15" x14ac:dyDescent="0.2"/>
    <row r="44" spans="3:15" s="48" customFormat="1" ht="15.75" x14ac:dyDescent="0.25">
      <c r="C44" s="17" t="s">
        <v>67</v>
      </c>
    </row>
    <row r="45" spans="3:15" s="48" customFormat="1" ht="15" x14ac:dyDescent="0.2"/>
    <row r="46" spans="3:15" s="48" customFormat="1" ht="15.75" x14ac:dyDescent="0.25">
      <c r="C46" s="17" t="s">
        <v>67</v>
      </c>
      <c r="E46" s="52"/>
      <c r="F46" s="52" t="s">
        <v>35</v>
      </c>
      <c r="G46" s="52"/>
      <c r="H46" s="52" t="s">
        <v>52</v>
      </c>
      <c r="J46" s="48" t="s">
        <v>55</v>
      </c>
      <c r="L46" s="56" t="s">
        <v>56</v>
      </c>
    </row>
    <row r="47" spans="3:15" s="48" customFormat="1" ht="15" x14ac:dyDescent="0.2">
      <c r="C47" s="48" t="s">
        <v>99</v>
      </c>
      <c r="E47" s="60"/>
      <c r="F47" s="58">
        <f>F23*$J23</f>
        <v>7.08</v>
      </c>
      <c r="G47" s="60"/>
      <c r="H47" s="58">
        <f>H23*$J23</f>
        <v>9.2365537421658566</v>
      </c>
      <c r="I47" s="60"/>
      <c r="J47" s="53">
        <f>IFERROR(H47-F47,"")</f>
        <v>2.1565537421658565</v>
      </c>
      <c r="L47" s="59">
        <f t="shared" ref="L47:L48" si="3">IFERROR(J47/F47,"")</f>
        <v>0.30459798618161815</v>
      </c>
      <c r="O47" s="48" t="str">
        <f>'For Bill Impact(HideBeforeFile)'!$F$5</f>
        <v>REDA</v>
      </c>
    </row>
    <row r="48" spans="3:15" s="48" customFormat="1" ht="15" x14ac:dyDescent="0.2">
      <c r="C48" s="48" t="s">
        <v>98</v>
      </c>
      <c r="E48" s="60"/>
      <c r="F48" s="55">
        <f>IFERROR(F24*$J24/100,"")</f>
        <v>329.49849599999999</v>
      </c>
      <c r="G48" s="60"/>
      <c r="H48" s="55">
        <f>IFERROR(H24*$J24/100,"")</f>
        <v>789.36566227242042</v>
      </c>
      <c r="I48" s="60"/>
      <c r="J48" s="53">
        <f t="shared" ref="J48" si="4">IFERROR(H48-F48,"")</f>
        <v>459.86716627242043</v>
      </c>
      <c r="L48" s="59">
        <f t="shared" si="3"/>
        <v>1.3956578614320001</v>
      </c>
      <c r="O48" s="48" t="str">
        <f>'For Bill Impact(HideBeforeFile)'!$G$5</f>
        <v>PGTVA</v>
      </c>
    </row>
    <row r="49" spans="3:15" s="48" customFormat="1" ht="15" x14ac:dyDescent="0.2">
      <c r="C49" s="48" t="s">
        <v>100</v>
      </c>
      <c r="E49" s="60"/>
      <c r="F49" s="55" t="str">
        <f>IFERROR(F25*$J25/100,"")</f>
        <v/>
      </c>
      <c r="G49" s="60"/>
      <c r="H49" s="55">
        <f>IFERROR(H25*$J25/100,"")</f>
        <v>382.05920142702786</v>
      </c>
      <c r="I49" s="60"/>
      <c r="J49" s="53">
        <f>H49</f>
        <v>382.05920142702786</v>
      </c>
      <c r="L49" s="59">
        <f>J49/H49</f>
        <v>1</v>
      </c>
      <c r="O49" s="48" t="str">
        <f>'For Bill Impact(HideBeforeFile)'!$H$5</f>
        <v>ADVADA</v>
      </c>
    </row>
    <row r="50" spans="3:15" s="48" customFormat="1" ht="15.75" x14ac:dyDescent="0.25">
      <c r="C50" s="20" t="s">
        <v>69</v>
      </c>
      <c r="F50" s="38">
        <f>SUM(F47:F49)</f>
        <v>336.57849599999997</v>
      </c>
      <c r="H50" s="38">
        <f>SUM(H47:H49)</f>
        <v>1180.661417441614</v>
      </c>
      <c r="J50" s="38">
        <f>SUM(J47:J49)</f>
        <v>844.08292144161419</v>
      </c>
      <c r="L50" s="37">
        <f t="shared" ref="L50" si="5">IF(ISERROR(J50/F50),0,J50/F50)</f>
        <v>2.5078337786666389</v>
      </c>
    </row>
    <row r="51" spans="3:15" s="48" customFormat="1" ht="15" x14ac:dyDescent="0.2">
      <c r="C51" s="47"/>
    </row>
    <row r="52" spans="3:15" s="48" customFormat="1" ht="15.75" x14ac:dyDescent="0.25">
      <c r="C52" s="17" t="s">
        <v>108</v>
      </c>
    </row>
    <row r="53" spans="3:15" s="48" customFormat="1" ht="15" x14ac:dyDescent="0.2">
      <c r="C53" s="47" t="s">
        <v>134</v>
      </c>
      <c r="F53" s="58">
        <f>F27*$J27/100</f>
        <v>15110.595089999999</v>
      </c>
      <c r="G53" s="60"/>
      <c r="H53" s="58">
        <f>H27*$J27/100</f>
        <v>15110.595089999999</v>
      </c>
      <c r="J53" s="53">
        <f>IFERROR(H53-F53,"")</f>
        <v>0</v>
      </c>
      <c r="L53" s="59">
        <f t="shared" ref="L53:L54" si="6">IFERROR(J53/F53,"")</f>
        <v>0</v>
      </c>
    </row>
    <row r="54" spans="3:15" s="48" customFormat="1" ht="15" x14ac:dyDescent="0.2">
      <c r="C54" s="47" t="s">
        <v>135</v>
      </c>
      <c r="F54" s="58">
        <f>F28*$J28/100</f>
        <v>6.9503589000000003</v>
      </c>
      <c r="G54" s="60"/>
      <c r="H54" s="58">
        <f>H28*$J28/100</f>
        <v>6.9503589000000003</v>
      </c>
      <c r="J54" s="53">
        <f>IFERROR(H54-F54,"")</f>
        <v>0</v>
      </c>
      <c r="L54" s="59">
        <f t="shared" si="6"/>
        <v>0</v>
      </c>
    </row>
    <row r="55" spans="3:15" s="48" customFormat="1" ht="18" customHeight="1" x14ac:dyDescent="0.25">
      <c r="C55" s="20" t="s">
        <v>136</v>
      </c>
      <c r="F55" s="38">
        <f>SUM(F53:F54)</f>
        <v>15117.545448899999</v>
      </c>
      <c r="H55" s="38">
        <f>SUM(H53:H54)</f>
        <v>15117.545448899999</v>
      </c>
      <c r="J55" s="38">
        <f>SUM(J53:J54)</f>
        <v>0</v>
      </c>
      <c r="L55" s="37">
        <f t="shared" ref="L55" si="7">IF(ISERROR(J55/F55),0,J55/F55)</f>
        <v>0</v>
      </c>
    </row>
    <row r="56" spans="3:15" s="48" customFormat="1" ht="18" customHeight="1" x14ac:dyDescent="0.2">
      <c r="C56" s="47"/>
    </row>
    <row r="57" spans="3:15" s="48" customFormat="1" ht="16.5" thickBot="1" x14ac:dyDescent="0.3">
      <c r="C57" s="20" t="s">
        <v>70</v>
      </c>
      <c r="F57" s="39">
        <f>SUM(F32,F42,F50,F55)</f>
        <v>72664.393299300005</v>
      </c>
      <c r="H57" s="39">
        <f>SUM(H32,H42,H50,H55)</f>
        <v>74501.142457940005</v>
      </c>
      <c r="J57" s="39">
        <f>SUM(J32,J42,J50,J55)</f>
        <v>1836.7491586400054</v>
      </c>
      <c r="L57" s="40">
        <f t="shared" ref="L57" si="8">IFERROR(J57/F57,"")</f>
        <v>2.5277155361010897E-2</v>
      </c>
    </row>
    <row r="58" spans="3:15" s="48" customFormat="1" ht="15.75" x14ac:dyDescent="0.25">
      <c r="C58" s="20"/>
      <c r="E58" s="122"/>
      <c r="F58" s="121"/>
      <c r="G58" s="122"/>
      <c r="H58" s="121"/>
      <c r="I58" s="122"/>
      <c r="J58" s="123"/>
      <c r="K58" s="122"/>
      <c r="L58" s="124"/>
    </row>
    <row r="59" spans="3:15" s="48" customFormat="1" ht="15.75" x14ac:dyDescent="0.25">
      <c r="C59" s="20"/>
      <c r="E59" s="122"/>
      <c r="F59" s="121"/>
      <c r="G59" s="122"/>
      <c r="H59" s="121"/>
      <c r="I59" s="122"/>
      <c r="J59" s="123"/>
      <c r="K59" s="122"/>
      <c r="L59" s="124"/>
    </row>
    <row r="60" spans="3:15" s="48" customFormat="1" ht="15.75" customHeight="1" x14ac:dyDescent="0.25">
      <c r="C60" s="116" t="str">
        <f ca="1">MID(CELL("filename",A1),FIND("]",CELL("filename",A1))+1,255)</f>
        <v>G1.3 Rate 3 Bill Impact</v>
      </c>
      <c r="E60" s="122"/>
      <c r="F60" s="121"/>
      <c r="G60" s="122"/>
      <c r="H60" s="121"/>
      <c r="I60" s="122"/>
      <c r="J60" s="123"/>
      <c r="K60" s="122"/>
      <c r="L60" s="124"/>
    </row>
    <row r="61" spans="3:15" s="48" customFormat="1" ht="15.75" customHeight="1" x14ac:dyDescent="0.25">
      <c r="C61" s="116"/>
      <c r="E61" s="122"/>
      <c r="F61" s="121"/>
      <c r="G61" s="122"/>
      <c r="H61" s="121"/>
      <c r="I61" s="122"/>
      <c r="J61" s="123"/>
      <c r="K61" s="122"/>
      <c r="L61" s="124"/>
    </row>
    <row r="62" spans="3:15" s="48" customFormat="1" ht="15.75" customHeight="1" x14ac:dyDescent="0.25">
      <c r="D62" s="125"/>
    </row>
    <row r="63" spans="3:15" s="48" customFormat="1" ht="15.75" customHeight="1" x14ac:dyDescent="0.25">
      <c r="D63" s="125"/>
    </row>
    <row r="64" spans="3:15" s="48" customFormat="1" ht="15.75" customHeight="1" x14ac:dyDescent="0.25">
      <c r="D64" s="125"/>
    </row>
    <row r="65" spans="1:13" s="48" customFormat="1" ht="15.75" customHeight="1" x14ac:dyDescent="0.25">
      <c r="D65" s="125"/>
    </row>
    <row r="66" spans="1:13" s="48" customFormat="1" ht="15.75" customHeight="1" x14ac:dyDescent="0.25">
      <c r="D66" s="125"/>
    </row>
    <row r="67" spans="1:13" s="48" customFormat="1" ht="15.75" customHeight="1" x14ac:dyDescent="0.25">
      <c r="D67" s="125"/>
    </row>
    <row r="68" spans="1:13" s="48" customFormat="1" ht="15.75" customHeight="1" x14ac:dyDescent="0.25">
      <c r="D68" s="125"/>
    </row>
    <row r="69" spans="1:13" s="48" customFormat="1" ht="15.75" customHeight="1" x14ac:dyDescent="0.25">
      <c r="D69" s="125"/>
    </row>
    <row r="70" spans="1:13" s="48" customFormat="1" ht="15.75" customHeight="1" x14ac:dyDescent="0.25">
      <c r="D70" s="125"/>
    </row>
    <row r="71" spans="1:13" s="48" customFormat="1" ht="15.75" customHeight="1" x14ac:dyDescent="0.25">
      <c r="D71" s="125"/>
    </row>
    <row r="72" spans="1:13" s="48" customFormat="1" ht="15.75" customHeight="1" x14ac:dyDescent="0.25">
      <c r="D72" s="125"/>
    </row>
    <row r="73" spans="1:13" s="48" customFormat="1" ht="15.75" customHeight="1" x14ac:dyDescent="0.25">
      <c r="D73" s="125"/>
    </row>
    <row r="74" spans="1:13" s="48" customFormat="1" ht="15.75" customHeight="1" x14ac:dyDescent="0.25">
      <c r="D74" s="125"/>
    </row>
    <row r="75" spans="1:13" s="48" customFormat="1" ht="15.75" customHeight="1" x14ac:dyDescent="0.25">
      <c r="D75" s="125"/>
    </row>
    <row r="76" spans="1:13" s="48" customFormat="1" ht="15.75" customHeight="1" x14ac:dyDescent="0.25">
      <c r="D76" s="125"/>
    </row>
    <row r="77" spans="1:13" s="48" customFormat="1" ht="15.75" customHeight="1" x14ac:dyDescent="0.25">
      <c r="D77" s="125"/>
    </row>
    <row r="78" spans="1:13" ht="15.75" customHeight="1" x14ac:dyDescent="0.25">
      <c r="A78" s="48"/>
      <c r="B78" s="48"/>
      <c r="C78" s="48"/>
      <c r="D78" s="125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5.75" customHeight="1" x14ac:dyDescent="0.25">
      <c r="A79" s="48"/>
      <c r="B79" s="48"/>
      <c r="C79" s="48"/>
      <c r="D79" s="125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0" hidden="1" customHeight="1" x14ac:dyDescent="0.25"/>
    <row r="160" ht="0" hidden="1" customHeight="1" x14ac:dyDescent="0.25"/>
  </sheetData>
  <sheetProtection algorithmName="SHA-512" hashValue="N1QJyaEhHvLsfEMkRTQ8ZTQcx0U6fwkwSix4fu08VhoI8jDqksBcr2NVAJeTU99lnLnqFbE6K7Etxw1miW4CvQ==" saltValue="fhjC5Bzv7Nto9zaw51ePNQ==" spinCount="100000" sheet="1" objects="1" scenarios="1"/>
  <pageMargins left="0.70866141732283472" right="0.70866141732283472" top="0.74803149606299213" bottom="0.74803149606299213" header="0.31496062992125984" footer="0.31496062992125984"/>
  <pageSetup scale="48" orientation="landscape" r:id="rId1"/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O245"/>
  <sheetViews>
    <sheetView showGridLines="0" view="pageBreakPreview" topLeftCell="A92" zoomScaleNormal="100" zoomScaleSheetLayoutView="100" workbookViewId="0">
      <selection activeCell="J132" sqref="J132:J134"/>
    </sheetView>
  </sheetViews>
  <sheetFormatPr defaultColWidth="9.140625" defaultRowHeight="0" customHeight="1" zeroHeight="1" x14ac:dyDescent="0.25"/>
  <cols>
    <col min="1" max="1" width="15.7109375" style="51" customWidth="1"/>
    <col min="2" max="2" width="13.28515625" style="51" customWidth="1"/>
    <col min="3" max="3" width="55.7109375" style="51" customWidth="1"/>
    <col min="4" max="4" width="13.85546875" style="1" customWidth="1"/>
    <col min="5" max="5" width="2.7109375" style="51" customWidth="1"/>
    <col min="6" max="6" width="14" style="51" bestFit="1" customWidth="1"/>
    <col min="7" max="7" width="2.7109375" style="51" customWidth="1"/>
    <col min="8" max="8" width="16.5703125" style="51" bestFit="1" customWidth="1"/>
    <col min="9" max="9" width="2.7109375" style="51" customWidth="1"/>
    <col min="10" max="10" width="12.28515625" style="51" customWidth="1"/>
    <col min="11" max="11" width="2.7109375" style="51" customWidth="1"/>
    <col min="12" max="12" width="11.7109375" style="51" bestFit="1" customWidth="1"/>
    <col min="13" max="13" width="2.7109375" style="51" customWidth="1"/>
    <col min="14" max="14" width="12.7109375" style="51" customWidth="1"/>
    <col min="15" max="16384" width="9.140625" style="51"/>
  </cols>
  <sheetData>
    <row r="1" spans="1:15" ht="15" x14ac:dyDescent="0.2">
      <c r="A1" s="48"/>
      <c r="B1" s="48"/>
      <c r="C1" s="5"/>
      <c r="D1" s="48"/>
      <c r="E1" s="48"/>
      <c r="F1" s="48"/>
      <c r="G1" s="48"/>
      <c r="H1" s="48"/>
      <c r="I1" s="48"/>
      <c r="J1" s="48"/>
      <c r="K1" s="48"/>
      <c r="L1" s="48"/>
    </row>
    <row r="2" spans="1:15" s="48" customFormat="1" ht="18" x14ac:dyDescent="0.25">
      <c r="C2" s="6" t="str">
        <f>'A1.1 Distributor Information'!C3</f>
        <v>Name of LDC:       EPCOR Natural Gas Limited Partnership</v>
      </c>
    </row>
    <row r="3" spans="1:15" s="48" customFormat="1" ht="18" x14ac:dyDescent="0.25">
      <c r="C3" s="6" t="str">
        <f>'A1.1 Distributor Information'!C4</f>
        <v>OEB Application Number:          EB-2020-0234 Exhibit A - 2021 IRM Application</v>
      </c>
    </row>
    <row r="4" spans="1:15" s="48" customFormat="1" ht="15" x14ac:dyDescent="0.2"/>
    <row r="5" spans="1:15" s="48" customFormat="1" ht="15" x14ac:dyDescent="0.2"/>
    <row r="6" spans="1:15" s="48" customFormat="1" ht="15" x14ac:dyDescent="0.2"/>
    <row r="7" spans="1:15" s="48" customFormat="1" ht="20.25" x14ac:dyDescent="0.3">
      <c r="C7" s="3" t="s">
        <v>60</v>
      </c>
    </row>
    <row r="8" spans="1:15" s="48" customFormat="1" ht="15" x14ac:dyDescent="0.2"/>
    <row r="9" spans="1:15" s="48" customFormat="1" ht="15" x14ac:dyDescent="0.2"/>
    <row r="10" spans="1:15" s="48" customFormat="1" ht="20.25" x14ac:dyDescent="0.3">
      <c r="C10" s="3" t="str">
        <f>'For Bill Impact(HideBeforeFile)'!C12</f>
        <v>RATE 4 - General Service Peaking - Apr to Dec</v>
      </c>
      <c r="E10" s="52"/>
      <c r="F10" s="172" t="s">
        <v>130</v>
      </c>
      <c r="G10" s="172"/>
      <c r="H10" s="172" t="s">
        <v>131</v>
      </c>
      <c r="I10" s="172"/>
      <c r="J10" s="172" t="s">
        <v>133</v>
      </c>
      <c r="O10" s="48" t="s">
        <v>132</v>
      </c>
    </row>
    <row r="11" spans="1:15" s="48" customFormat="1" ht="15" x14ac:dyDescent="0.2"/>
    <row r="12" spans="1:15" s="48" customFormat="1" ht="15" x14ac:dyDescent="0.2"/>
    <row r="13" spans="1:15" s="48" customFormat="1" ht="15" x14ac:dyDescent="0.2"/>
    <row r="14" spans="1:15" s="48" customFormat="1" ht="15" x14ac:dyDescent="0.2">
      <c r="C14" s="48" t="str">
        <f>INDEX('For Bill Impact(HideBeforeFile)'!$D$48:$O$57,MATCH(C10,'For Bill Impact(HideBeforeFile)'!$C$62:$C$71,0),MATCH($O14,'For Bill Impact(HideBeforeFile)'!$D$61:$O$61,0))</f>
        <v>Commodity</v>
      </c>
      <c r="D14" s="48" t="str">
        <f>INDEX('For Bill Impact(HideBeforeFile)'!$D$62:$O$71,MATCH(C10,'For Bill Impact(HideBeforeFile)'!$C$62:$C$71,0),MATCH($O14,'For Bill Impact(HideBeforeFile)'!$D$61:$O$61,0))</f>
        <v>cents / m3</v>
      </c>
      <c r="E14" s="169"/>
      <c r="F14" s="54">
        <f>INDEX('For Bill Impact(HideBeforeFile)'!$D$6:$O$15,MATCH(C10,'For Bill Impact(HideBeforeFile)'!$C$62:$C$71,0),MATCH($O14,'For Bill Impact(HideBeforeFile)'!$D$61:$O$61,0))</f>
        <v>13.264200000000001</v>
      </c>
      <c r="G14" s="169"/>
      <c r="H14" s="54">
        <f>INDEX('For Bill Impact(HideBeforeFile)'!$D$20:$O$29,MATCH(C10,'For Bill Impact(HideBeforeFile)'!$C$62:$C$71,0),MATCH($O14,'For Bill Impact(HideBeforeFile)'!$D$61:$O$61,0))</f>
        <v>13.264200000000001</v>
      </c>
      <c r="J14" s="57">
        <f>INDEX('For Bill Impact(HideBeforeFile)'!$D$34:$O$43,MATCH(C10,'For Bill Impact(HideBeforeFile)'!$C$62:$C$71,0),MATCH($O14,'For Bill Impact(HideBeforeFile)'!$D$61:$O$61,0))</f>
        <v>44131.638888888891</v>
      </c>
      <c r="O14" s="48" t="str">
        <f>'For Bill Impact(HideBeforeFile)'!$D$5</f>
        <v>Commodity</v>
      </c>
    </row>
    <row r="15" spans="1:15" s="48" customFormat="1" ht="15" x14ac:dyDescent="0.2"/>
    <row r="16" spans="1:15" s="48" customFormat="1" ht="15" x14ac:dyDescent="0.2">
      <c r="C16" s="48" t="str">
        <f>INDEX('For Bill Impact(HideBeforeFile)'!$D$48:$O$57,MATCH(C10,'For Bill Impact(HideBeforeFile)'!$C$62:$C$71,0),MATCH($O16,'For Bill Impact(HideBeforeFile)'!$D$61:$O$61,0))</f>
        <v>Customer (excl. Bill 32)</v>
      </c>
      <c r="D16" s="48" t="str">
        <f>INDEX('For Bill Impact(HideBeforeFile)'!$D$62:$O$71,MATCH(C10,'For Bill Impact(HideBeforeFile)'!$C$62:$C$71,0),MATCH($O16,'For Bill Impact(HideBeforeFile)'!$D$61:$O$61,0))</f>
        <v>$ / month</v>
      </c>
      <c r="E16" s="171"/>
      <c r="F16" s="170">
        <f>INDEX('For Bill Impact(HideBeforeFile)'!$D$6:$O$15,MATCH(C10,'For Bill Impact(HideBeforeFile)'!$C$62:$C$71,0),MATCH($O16,'For Bill Impact(HideBeforeFile)'!$D$61:$O$61,0))</f>
        <v>20</v>
      </c>
      <c r="G16" s="171"/>
      <c r="H16" s="170">
        <f>INDEX('For Bill Impact(HideBeforeFile)'!$D$20:$O$29,MATCH(C10,'For Bill Impact(HideBeforeFile)'!$C$62:$C$71,0),MATCH($O16,'For Bill Impact(HideBeforeFile)'!$D$61:$O$61,0))</f>
        <v>20</v>
      </c>
      <c r="J16" s="57">
        <f>INDEX('For Bill Impact(HideBeforeFile)'!$D$34:$O$43,MATCH(C10,'For Bill Impact(HideBeforeFile)'!$C$62:$C$71,0),MATCH($O16,'For Bill Impact(HideBeforeFile)'!$D$61:$O$61,0))</f>
        <v>9</v>
      </c>
      <c r="O16" s="48" t="str">
        <f>'For Bill Impact(HideBeforeFile)'!$K$5</f>
        <v>Dist. Customer Rate</v>
      </c>
    </row>
    <row r="17" spans="3:15" s="48" customFormat="1" ht="15" x14ac:dyDescent="0.2">
      <c r="C17" s="48" t="str">
        <f>INDEX('For Bill Impact(HideBeforeFile)'!$D$48:$O$57,MATCH(C10,'For Bill Impact(HideBeforeFile)'!$C$62:$C$71,0),MATCH($O17,'For Bill Impact(HideBeforeFile)'!$D$61:$O$61,0))</f>
        <v>Block 1 (First 1,000 m3 per month)</v>
      </c>
      <c r="D17" s="48" t="str">
        <f>INDEX('For Bill Impact(HideBeforeFile)'!$D$62:$O$71,MATCH(C10,'For Bill Impact(HideBeforeFile)'!$C$62:$C$71,0),MATCH($O17,'For Bill Impact(HideBeforeFile)'!$D$61:$O$61,0))</f>
        <v>cents / m3</v>
      </c>
      <c r="E17" s="169"/>
      <c r="F17" s="54">
        <f>INDEX('For Bill Impact(HideBeforeFile)'!$D$6:$O$15,MATCH(C10,'For Bill Impact(HideBeforeFile)'!$C$62:$C$71,0),MATCH($O17,'For Bill Impact(HideBeforeFile)'!$D$61:$O$61,0))</f>
        <v>18.263400000000001</v>
      </c>
      <c r="G17" s="169"/>
      <c r="H17" s="54">
        <f>INDEX('For Bill Impact(HideBeforeFile)'!$D$20:$O$29,MATCH(C10,'For Bill Impact(HideBeforeFile)'!$C$62:$C$71,0),MATCH($O17,'For Bill Impact(HideBeforeFile)'!$D$61:$O$61,0))</f>
        <v>18.892793646765796</v>
      </c>
      <c r="J17" s="57">
        <f>INDEX('For Bill Impact(HideBeforeFile)'!$D$34:$O$43,MATCH(C10,'For Bill Impact(HideBeforeFile)'!$C$62:$C$71,0),MATCH($O17,'For Bill Impact(HideBeforeFile)'!$D$61:$O$61,0))</f>
        <v>2410.5277777777778</v>
      </c>
      <c r="O17" s="48" t="str">
        <f>'For Bill Impact(HideBeforeFile)'!$L$5</f>
        <v>Dist. Vol. Rate Tier 1</v>
      </c>
    </row>
    <row r="18" spans="3:15" s="48" customFormat="1" ht="15" x14ac:dyDescent="0.2">
      <c r="C18" s="48" t="str">
        <f>INDEX('For Bill Impact(HideBeforeFile)'!$D$48:$O$57,MATCH(C10,'For Bill Impact(HideBeforeFile)'!$C$62:$C$71,0),MATCH($O18,'For Bill Impact(HideBeforeFile)'!$D$61:$O$61,0))</f>
        <v>Block 2 (Over 1,000 m3 per month)</v>
      </c>
      <c r="D18" s="48" t="str">
        <f>INDEX('For Bill Impact(HideBeforeFile)'!$D$62:$O$71,MATCH(C10,'For Bill Impact(HideBeforeFile)'!$C$62:$C$71,0),MATCH($O18,'For Bill Impact(HideBeforeFile)'!$D$61:$O$61,0))</f>
        <v>cents / m3</v>
      </c>
      <c r="E18" s="169"/>
      <c r="F18" s="54">
        <f>INDEX('For Bill Impact(HideBeforeFile)'!$D$6:$O$15,MATCH(C10,'For Bill Impact(HideBeforeFile)'!$C$62:$C$71,0),MATCH($O18,'For Bill Impact(HideBeforeFile)'!$D$61:$O$61,0))</f>
        <v>11.2057</v>
      </c>
      <c r="G18" s="169"/>
      <c r="H18" s="54">
        <f>INDEX('For Bill Impact(HideBeforeFile)'!$D$20:$O$29,MATCH(C10,'For Bill Impact(HideBeforeFile)'!$C$62:$C$71,0),MATCH($O18,'For Bill Impact(HideBeforeFile)'!$D$61:$O$61,0))</f>
        <v>11.591965107471317</v>
      </c>
      <c r="J18" s="57">
        <f>INDEX('For Bill Impact(HideBeforeFile)'!$D$34:$O$43,MATCH(C10,'For Bill Impact(HideBeforeFile)'!$C$62:$C$71,0),MATCH($O18,'For Bill Impact(HideBeforeFile)'!$D$61:$O$61,0))</f>
        <v>41721.111111111109</v>
      </c>
      <c r="O18" s="48" t="str">
        <f>'For Bill Impact(HideBeforeFile)'!$M$5</f>
        <v>Dist. Vol. Rate Tier 2</v>
      </c>
    </row>
    <row r="19" spans="3:15" s="48" customFormat="1" ht="15" x14ac:dyDescent="0.2">
      <c r="C19" s="48" t="str">
        <f>INDEX('For Bill Impact(HideBeforeFile)'!$D$48:$O$57,MATCH(C10,'For Bill Impact(HideBeforeFile)'!$C$62:$C$71,0),MATCH($O19,'For Bill Impact(HideBeforeFile)'!$D$61:$O$61,0))</f>
        <v/>
      </c>
      <c r="D19" s="48" t="str">
        <f>INDEX('For Bill Impact(HideBeforeFile)'!$D$62:$O$71,MATCH(C10,'For Bill Impact(HideBeforeFile)'!$C$62:$C$71,0),MATCH($O19,'For Bill Impact(HideBeforeFile)'!$D$61:$O$61,0))</f>
        <v/>
      </c>
      <c r="E19" s="169"/>
      <c r="F19" s="54" t="str">
        <f>INDEX('For Bill Impact(HideBeforeFile)'!$D$6:$O$15,MATCH(C10,'For Bill Impact(HideBeforeFile)'!$C$62:$C$71,0),MATCH($O19,'For Bill Impact(HideBeforeFile)'!$D$61:$O$61,0))</f>
        <v/>
      </c>
      <c r="G19" s="169"/>
      <c r="H19" s="54" t="str">
        <f>INDEX('For Bill Impact(HideBeforeFile)'!$D$20:$O$29,MATCH(C10,'For Bill Impact(HideBeforeFile)'!$C$62:$C$71,0),MATCH($O19,'For Bill Impact(HideBeforeFile)'!$D$61:$O$61,0))</f>
        <v/>
      </c>
      <c r="J19" s="57" t="str">
        <f>INDEX('For Bill Impact(HideBeforeFile)'!$D$34:$O$43,MATCH(C10,'For Bill Impact(HideBeforeFile)'!$C$62:$C$71,0),MATCH($O19,'For Bill Impact(HideBeforeFile)'!$D$61:$O$61,0))</f>
        <v/>
      </c>
      <c r="O19" s="48" t="str">
        <f>'For Bill Impact(HideBeforeFile)'!$N$5</f>
        <v>Dist. Vol. Rate Tier 3</v>
      </c>
    </row>
    <row r="20" spans="3:15" s="48" customFormat="1" ht="15" x14ac:dyDescent="0.2">
      <c r="C20" s="48" t="str">
        <f>INDEX('For Bill Impact(HideBeforeFile)'!$D$48:$O$57,MATCH(C10,'For Bill Impact(HideBeforeFile)'!$C$62:$C$71,0),MATCH($O20,'For Bill Impact(HideBeforeFile)'!$D$61:$O$61,0))</f>
        <v/>
      </c>
      <c r="D20" s="48" t="str">
        <f>INDEX('For Bill Impact(HideBeforeFile)'!$D$62:$O$71,MATCH(C10,'For Bill Impact(HideBeforeFile)'!$C$62:$C$71,0),MATCH($O20,'For Bill Impact(HideBeforeFile)'!$D$61:$O$61,0))</f>
        <v/>
      </c>
      <c r="E20" s="169"/>
      <c r="F20" s="54" t="str">
        <f>INDEX('For Bill Impact(HideBeforeFile)'!$D$6:$O$15,MATCH(C10,'For Bill Impact(HideBeforeFile)'!$C$62:$C$71,0),MATCH($O20,'For Bill Impact(HideBeforeFile)'!$D$61:$O$61,0))</f>
        <v/>
      </c>
      <c r="G20" s="169"/>
      <c r="H20" s="54" t="str">
        <f>INDEX('For Bill Impact(HideBeforeFile)'!$D$20:$O$29,MATCH(C10,'For Bill Impact(HideBeforeFile)'!$C$62:$C$71,0),MATCH($O20,'For Bill Impact(HideBeforeFile)'!$D$61:$O$61,0))</f>
        <v/>
      </c>
      <c r="J20" s="57" t="str">
        <f>INDEX('For Bill Impact(HideBeforeFile)'!$D$34:$O$43,MATCH(C10,'For Bill Impact(HideBeforeFile)'!$C$62:$C$71,0),MATCH($O20,'For Bill Impact(HideBeforeFile)'!$D$61:$O$61,0))</f>
        <v/>
      </c>
      <c r="O20" s="48" t="str">
        <f>'For Bill Impact(HideBeforeFile)'!$O$5</f>
        <v>Dist. Capacity Rate</v>
      </c>
    </row>
    <row r="21" spans="3:15" s="48" customFormat="1" ht="15" x14ac:dyDescent="0.2">
      <c r="C21" s="48" t="str">
        <f>INDEX('For Bill Impact(HideBeforeFile)'!$D$48:$O$57,MATCH(C10,'For Bill Impact(HideBeforeFile)'!$C$62:$C$71,0),MATCH($O21,'For Bill Impact(HideBeforeFile)'!$D$61:$O$61,0))</f>
        <v>System Gas Charge</v>
      </c>
      <c r="D21" s="48" t="str">
        <f>INDEX('For Bill Impact(HideBeforeFile)'!$D$62:$O$71,MATCH(C10,'For Bill Impact(HideBeforeFile)'!$C$62:$C$71,0),MATCH($O21,'For Bill Impact(HideBeforeFile)'!$D$61:$O$61,0))</f>
        <v>cents / m3</v>
      </c>
      <c r="E21" s="169"/>
      <c r="F21" s="54">
        <f>INDEX('For Bill Impact(HideBeforeFile)'!$D$6:$O$15,MATCH(C10,'For Bill Impact(HideBeforeFile)'!$C$62:$C$71,0),MATCH($O21,'For Bill Impact(HideBeforeFile)'!$D$61:$O$61,0))</f>
        <v>4.3499999999999997E-2</v>
      </c>
      <c r="G21" s="169"/>
      <c r="H21" s="54">
        <f>INDEX('For Bill Impact(HideBeforeFile)'!$D$20:$O$29,MATCH(C10,'For Bill Impact(HideBeforeFile)'!$C$62:$C$71,0),MATCH($O21,'For Bill Impact(HideBeforeFile)'!$D$61:$O$61,0))</f>
        <v>4.3499999999999997E-2</v>
      </c>
      <c r="J21" s="57">
        <f>INDEX('For Bill Impact(HideBeforeFile)'!$D$34:$O$43,MATCH(C10,'For Bill Impact(HideBeforeFile)'!$C$62:$C$71,0),MATCH($O21,'For Bill Impact(HideBeforeFile)'!$D$61:$O$61,0))</f>
        <v>44131.638888888891</v>
      </c>
      <c r="O21" s="48" t="str">
        <f>'For Bill Impact(HideBeforeFile)'!$E$5</f>
        <v>System Gas</v>
      </c>
    </row>
    <row r="22" spans="3:15" s="48" customFormat="1" ht="15" x14ac:dyDescent="0.2"/>
    <row r="23" spans="3:15" s="48" customFormat="1" ht="15" x14ac:dyDescent="0.2">
      <c r="C23" s="48" t="str">
        <f>INDEX('For Bill Impact(HideBeforeFile)'!$D$48:$O$57,MATCH(C10,'For Bill Impact(HideBeforeFile)'!$C$62:$C$71,0),MATCH($O23,'For Bill Impact(HideBeforeFile)'!$D$61:$O$61,0))</f>
        <v>REDA</v>
      </c>
      <c r="D23" s="48" t="str">
        <f>INDEX('For Bill Impact(HideBeforeFile)'!$D$62:$O$71,MATCH(C10,'For Bill Impact(HideBeforeFile)'!$C$62:$C$71,0),MATCH($O23,'For Bill Impact(HideBeforeFile)'!$D$61:$O$61,0))</f>
        <v>$ / month</v>
      </c>
      <c r="E23" s="171"/>
      <c r="F23" s="170">
        <f>INDEX('For Bill Impact(HideBeforeFile)'!$D$6:$O$15,MATCH(C10,'For Bill Impact(HideBeforeFile)'!$C$62:$C$71,0),MATCH($O23,'For Bill Impact(HideBeforeFile)'!$D$61:$O$61,0))</f>
        <v>0.59</v>
      </c>
      <c r="G23" s="171"/>
      <c r="H23" s="170">
        <f>INDEX('For Bill Impact(HideBeforeFile)'!$D$20:$O$29,MATCH(C10,'For Bill Impact(HideBeforeFile)'!$C$62:$C$71,0),MATCH($O23,'For Bill Impact(HideBeforeFile)'!$D$61:$O$61,0))</f>
        <v>0.76971281184715468</v>
      </c>
      <c r="J23" s="57">
        <f>INDEX('For Bill Impact(HideBeforeFile)'!$D$34:$O$43,MATCH(C10,'For Bill Impact(HideBeforeFile)'!$C$62:$C$71,0),MATCH($O23,'For Bill Impact(HideBeforeFile)'!$D$61:$O$61,0))</f>
        <v>9</v>
      </c>
      <c r="O23" s="48" t="str">
        <f>'For Bill Impact(HideBeforeFile)'!$F$5</f>
        <v>REDA</v>
      </c>
    </row>
    <row r="24" spans="3:15" s="48" customFormat="1" ht="15" x14ac:dyDescent="0.2">
      <c r="C24" s="48" t="str">
        <f>INDEX('For Bill Impact(HideBeforeFile)'!$D$48:$O$57,MATCH(C10,'For Bill Impact(HideBeforeFile)'!$C$62:$C$71,0),MATCH($O24,'For Bill Impact(HideBeforeFile)'!$D$61:$O$61,0))</f>
        <v>PGTVA</v>
      </c>
      <c r="D24" s="48" t="str">
        <f>INDEX('For Bill Impact(HideBeforeFile)'!$D$62:$O$71,MATCH(C10,'For Bill Impact(HideBeforeFile)'!$C$62:$C$71,0),MATCH($O24,'For Bill Impact(HideBeforeFile)'!$D$61:$O$61,0))</f>
        <v>cents / m3</v>
      </c>
      <c r="E24" s="169"/>
      <c r="F24" s="54">
        <f>INDEX('For Bill Impact(HideBeforeFile)'!$D$6:$O$15,MATCH(C10,'For Bill Impact(HideBeforeFile)'!$C$62:$C$71,0),MATCH($O24,'For Bill Impact(HideBeforeFile)'!$D$61:$O$61,0))</f>
        <v>0.128</v>
      </c>
      <c r="G24" s="169"/>
      <c r="H24" s="54">
        <f>INDEX('For Bill Impact(HideBeforeFile)'!$D$20:$O$29,MATCH(C10,'For Bill Impact(HideBeforeFile)'!$C$62:$C$71,0),MATCH($O24,'For Bill Impact(HideBeforeFile)'!$D$61:$O$61,0))</f>
        <v>0.30664420626329603</v>
      </c>
      <c r="J24" s="57">
        <f>INDEX('For Bill Impact(HideBeforeFile)'!$D$34:$O$43,MATCH(C10,'For Bill Impact(HideBeforeFile)'!$C$62:$C$71,0),MATCH($O24,'For Bill Impact(HideBeforeFile)'!$D$61:$O$61,0))</f>
        <v>44131.638888888891</v>
      </c>
      <c r="O24" s="48" t="str">
        <f>'For Bill Impact(HideBeforeFile)'!$G$5</f>
        <v>PGTVA</v>
      </c>
    </row>
    <row r="25" spans="3:15" s="48" customFormat="1" ht="15" x14ac:dyDescent="0.2">
      <c r="C25" s="48" t="str">
        <f>INDEX('For Bill Impact(HideBeforeFile)'!$D$48:$O$57,MATCH(C10,'For Bill Impact(HideBeforeFile)'!$C$62:$C$71,0),MATCH($O25,'For Bill Impact(HideBeforeFile)'!$D$61:$O$61,0))</f>
        <v>ADVADA</v>
      </c>
      <c r="D25" s="48" t="str">
        <f>INDEX('For Bill Impact(HideBeforeFile)'!$D$62:$O$71,MATCH(C10,'For Bill Impact(HideBeforeFile)'!$C$62:$C$71,0),MATCH($O25,'For Bill Impact(HideBeforeFile)'!$D$61:$O$61,0))</f>
        <v>cents / m3</v>
      </c>
      <c r="F25" s="54" t="str">
        <f>INDEX('For Bill Impact(HideBeforeFile)'!$D$6:$O$15,MATCH(C10,'For Bill Impact(HideBeforeFile)'!$C$62:$C$71,0),MATCH($O25,'For Bill Impact(HideBeforeFile)'!$D$61:$O$61,0))</f>
        <v/>
      </c>
      <c r="H25" s="54">
        <f>INDEX('For Bill Impact(HideBeforeFile)'!$D$20:$O$29,MATCH(C10,'For Bill Impact(HideBeforeFile)'!$C$62:$C$71,0),MATCH($O25,'For Bill Impact(HideBeforeFile)'!$D$61:$O$61,0))</f>
        <v>0.14841821245417633</v>
      </c>
      <c r="J25" s="57">
        <f>INDEX('For Bill Impact(HideBeforeFile)'!$D$34:$O$43,MATCH(C10,'For Bill Impact(HideBeforeFile)'!$C$62:$C$71,0),MATCH($O25,'For Bill Impact(HideBeforeFile)'!$D$61:$O$61,0))</f>
        <v>44131.638888888891</v>
      </c>
      <c r="O25" s="48" t="str">
        <f>'For Bill Impact(HideBeforeFile)'!$H$5</f>
        <v>ADVADA</v>
      </c>
    </row>
    <row r="26" spans="3:15" s="48" customFormat="1" ht="15" x14ac:dyDescent="0.2"/>
    <row r="27" spans="3:15" s="48" customFormat="1" ht="15.75" x14ac:dyDescent="0.25">
      <c r="C27" s="48" t="str">
        <f>INDEX('For Bill Impact(HideBeforeFile)'!$D$48:$O$57,MATCH(C10,'For Bill Impact(HideBeforeFile)'!$C$62:$C$71,0),MATCH($O27,'For Bill Impact(HideBeforeFile)'!$D$61:$O$61,0))</f>
        <v>Federal Carbon</v>
      </c>
      <c r="D27" s="48" t="str">
        <f>INDEX('For Bill Impact(HideBeforeFile)'!$D$62:$O$71,MATCH(C10,'For Bill Impact(HideBeforeFile)'!$C$62:$C$71,0),MATCH($O27,'For Bill Impact(HideBeforeFile)'!$D$61:$O$61,0))</f>
        <v>cents / m3</v>
      </c>
      <c r="E27" s="169"/>
      <c r="F27" s="54">
        <f>INDEX('For Bill Impact(HideBeforeFile)'!$D$6:$O$15,MATCH(C10,'For Bill Impact(HideBeforeFile)'!$C$62:$C$71,0),MATCH($O27,'For Bill Impact(HideBeforeFile)'!$D$61:$O$61,0))</f>
        <v>5.87</v>
      </c>
      <c r="G27" s="169"/>
      <c r="H27" s="54">
        <f>INDEX('For Bill Impact(HideBeforeFile)'!$D$20:$O$29,MATCH(C10,'For Bill Impact(HideBeforeFile)'!$C$62:$C$71,0),MATCH($O27,'For Bill Impact(HideBeforeFile)'!$D$61:$O$61,0))</f>
        <v>5.87</v>
      </c>
      <c r="J27" s="57">
        <f>INDEX('For Bill Impact(HideBeforeFile)'!$D$34:$O$43,MATCH(C10,'For Bill Impact(HideBeforeFile)'!$C$62:$C$71,0),MATCH($O27,'For Bill Impact(HideBeforeFile)'!$D$61:$O$61,0))</f>
        <v>44131.638888888891</v>
      </c>
      <c r="N27" s="16"/>
      <c r="O27" s="48" t="str">
        <f>'For Bill Impact(HideBeforeFile)'!$I$5</f>
        <v>Federal Carbon</v>
      </c>
    </row>
    <row r="28" spans="3:15" s="48" customFormat="1" ht="15" x14ac:dyDescent="0.2">
      <c r="C28" s="48" t="str">
        <f>INDEX('For Bill Impact(HideBeforeFile)'!$D$48:$O$57,MATCH(C10,'For Bill Impact(HideBeforeFile)'!$C$62:$C$71,0),MATCH($O28,'For Bill Impact(HideBeforeFile)'!$D$61:$O$61,0))</f>
        <v>Facility Carbon</v>
      </c>
      <c r="D28" s="48" t="str">
        <f>INDEX('For Bill Impact(HideBeforeFile)'!$D$62:$O$71,MATCH(C10,'For Bill Impact(HideBeforeFile)'!$C$62:$C$71,0),MATCH($O28,'For Bill Impact(HideBeforeFile)'!$D$61:$O$61,0))</f>
        <v>cents / m3</v>
      </c>
      <c r="E28" s="169"/>
      <c r="F28" s="54">
        <f>INDEX('For Bill Impact(HideBeforeFile)'!$D$6:$O$15,MATCH(C10,'For Bill Impact(HideBeforeFile)'!$C$62:$C$71,0),MATCH($O28,'For Bill Impact(HideBeforeFile)'!$D$61:$O$61,0))</f>
        <v>2.7000000000000001E-3</v>
      </c>
      <c r="G28" s="169"/>
      <c r="H28" s="54">
        <f>INDEX('For Bill Impact(HideBeforeFile)'!$D$20:$O$29,MATCH(C10,'For Bill Impact(HideBeforeFile)'!$C$62:$C$71,0),MATCH($O28,'For Bill Impact(HideBeforeFile)'!$D$61:$O$61,0))</f>
        <v>2.7000000000000001E-3</v>
      </c>
      <c r="J28" s="57">
        <f>INDEX('For Bill Impact(HideBeforeFile)'!$D$34:$O$43,MATCH(C10,'For Bill Impact(HideBeforeFile)'!$C$62:$C$71,0),MATCH($O28,'For Bill Impact(HideBeforeFile)'!$D$61:$O$61,0))</f>
        <v>44131.638888888891</v>
      </c>
      <c r="O28" s="48" t="str">
        <f>'For Bill Impact(HideBeforeFile)'!$J$5</f>
        <v>Facility Carbon</v>
      </c>
    </row>
    <row r="29" spans="3:15" s="48" customFormat="1" ht="15" x14ac:dyDescent="0.2"/>
    <row r="30" spans="3:15" s="48" customFormat="1" ht="15" x14ac:dyDescent="0.2"/>
    <row r="31" spans="3:15" s="48" customFormat="1" ht="15.75" x14ac:dyDescent="0.25">
      <c r="C31" s="17" t="s">
        <v>8</v>
      </c>
      <c r="E31" s="52"/>
      <c r="F31" s="172" t="s">
        <v>130</v>
      </c>
      <c r="G31" s="172"/>
      <c r="H31" s="172" t="s">
        <v>131</v>
      </c>
      <c r="J31" s="48" t="s">
        <v>55</v>
      </c>
      <c r="L31" s="56" t="s">
        <v>56</v>
      </c>
    </row>
    <row r="32" spans="3:15" s="48" customFormat="1" ht="15" x14ac:dyDescent="0.2">
      <c r="F32" s="58">
        <f>F14*$J14/100</f>
        <v>5853.7088455000012</v>
      </c>
      <c r="G32" s="171"/>
      <c r="H32" s="58">
        <f>H14*$J14/100</f>
        <v>5853.7088455000012</v>
      </c>
      <c r="J32" s="53">
        <f>H32-F32</f>
        <v>0</v>
      </c>
      <c r="L32" s="59">
        <f>IFERROR(J32/F32,"")</f>
        <v>0</v>
      </c>
      <c r="O32" s="48" t="str">
        <f>'For Bill Impact(HideBeforeFile)'!$D$5</f>
        <v>Commodity</v>
      </c>
    </row>
    <row r="33" spans="3:15" s="48" customFormat="1" ht="15" x14ac:dyDescent="0.2"/>
    <row r="34" spans="3:15" s="48" customFormat="1" ht="15.75" x14ac:dyDescent="0.25">
      <c r="C34" s="17" t="s">
        <v>68</v>
      </c>
      <c r="E34" s="52"/>
      <c r="F34" s="52" t="s">
        <v>35</v>
      </c>
      <c r="G34" s="52"/>
      <c r="H34" s="52" t="s">
        <v>52</v>
      </c>
      <c r="J34" s="48" t="s">
        <v>55</v>
      </c>
      <c r="L34" s="56" t="s">
        <v>56</v>
      </c>
    </row>
    <row r="35" spans="3:15" s="48" customFormat="1" ht="15" x14ac:dyDescent="0.2">
      <c r="C35" s="47" t="str">
        <f>IF(C16&lt;&gt;"",C16,"")</f>
        <v>Customer (excl. Bill 32)</v>
      </c>
      <c r="F35" s="58">
        <f>F16*$J16</f>
        <v>180</v>
      </c>
      <c r="G35" s="171"/>
      <c r="H35" s="58">
        <f>H16*$J16</f>
        <v>180</v>
      </c>
      <c r="J35" s="53">
        <f>IFERROR(H35-F35,"")</f>
        <v>0</v>
      </c>
      <c r="L35" s="59">
        <f>IFERROR(J35/F35,"")</f>
        <v>0</v>
      </c>
      <c r="O35" s="48" t="str">
        <f>'For Bill Impact(HideBeforeFile)'!$K$5</f>
        <v>Dist. Customer Rate</v>
      </c>
    </row>
    <row r="36" spans="3:15" s="48" customFormat="1" ht="15" x14ac:dyDescent="0.2">
      <c r="C36" s="47" t="s">
        <v>149</v>
      </c>
      <c r="F36" s="58">
        <f>J16</f>
        <v>9</v>
      </c>
      <c r="G36" s="171"/>
      <c r="H36" s="58">
        <f>J16</f>
        <v>9</v>
      </c>
      <c r="J36" s="53">
        <f>IFERROR(H36-F36,"")</f>
        <v>0</v>
      </c>
      <c r="L36" s="59">
        <f>IFERROR(J36/F36,"")</f>
        <v>0</v>
      </c>
    </row>
    <row r="37" spans="3:15" s="48" customFormat="1" ht="15" x14ac:dyDescent="0.2">
      <c r="C37" s="47" t="str">
        <f>IF(C17&lt;&gt;"",C17,"")</f>
        <v>Block 1 (First 1,000 m3 per month)</v>
      </c>
      <c r="F37" s="58">
        <f>IFERROR(F17*$J17/100,"")</f>
        <v>440.24433016666671</v>
      </c>
      <c r="H37" s="58">
        <f>IFERROR(H17*$J17/100,"")</f>
        <v>455.41603885352475</v>
      </c>
      <c r="J37" s="53">
        <f t="shared" ref="J37:J41" si="0">IFERROR(H37-F37,"")</f>
        <v>15.17170868685804</v>
      </c>
      <c r="L37" s="59">
        <f t="shared" ref="L37:L41" si="1">IFERROR(J37/F37,"")</f>
        <v>3.4462019490664124E-2</v>
      </c>
      <c r="O37" s="48" t="str">
        <f>'For Bill Impact(HideBeforeFile)'!$L$5</f>
        <v>Dist. Vol. Rate Tier 1</v>
      </c>
    </row>
    <row r="38" spans="3:15" s="48" customFormat="1" ht="15" x14ac:dyDescent="0.2">
      <c r="C38" s="47" t="str">
        <f>IF(C18&lt;&gt;"",C18,"")</f>
        <v>Block 2 (Over 1,000 m3 per month)</v>
      </c>
      <c r="F38" s="58">
        <f>IFERROR(F18*$J18/100,"")</f>
        <v>4675.1425477777775</v>
      </c>
      <c r="H38" s="58">
        <f>IFERROR(H18*$J18/100,"")</f>
        <v>4836.2966424493388</v>
      </c>
      <c r="J38" s="53">
        <f t="shared" si="0"/>
        <v>161.15409467156132</v>
      </c>
      <c r="L38" s="59">
        <f t="shared" si="1"/>
        <v>3.4470413046156688E-2</v>
      </c>
      <c r="O38" s="48" t="str">
        <f>'For Bill Impact(HideBeforeFile)'!$M$5</f>
        <v>Dist. Vol. Rate Tier 2</v>
      </c>
    </row>
    <row r="39" spans="3:15" s="48" customFormat="1" ht="15" x14ac:dyDescent="0.2">
      <c r="C39" s="47" t="str">
        <f>IF(C19&lt;&gt;"",C19,"")</f>
        <v/>
      </c>
      <c r="F39" s="58" t="str">
        <f>IFERROR(F19*$J19/100,"")</f>
        <v/>
      </c>
      <c r="H39" s="58" t="str">
        <f>IFERROR(H19*$J19/100,"")</f>
        <v/>
      </c>
      <c r="J39" s="53" t="str">
        <f t="shared" si="0"/>
        <v/>
      </c>
      <c r="L39" s="59" t="str">
        <f t="shared" si="1"/>
        <v/>
      </c>
      <c r="O39" s="48" t="str">
        <f>'For Bill Impact(HideBeforeFile)'!$N$5</f>
        <v>Dist. Vol. Rate Tier 3</v>
      </c>
    </row>
    <row r="40" spans="3:15" s="48" customFormat="1" ht="15" x14ac:dyDescent="0.2">
      <c r="C40" s="47" t="str">
        <f>IF(C20&lt;&gt;"",C20,"")</f>
        <v/>
      </c>
      <c r="F40" s="58" t="str">
        <f>IFERROR(F20*$J20/100,"")</f>
        <v/>
      </c>
      <c r="H40" s="58" t="str">
        <f>IFERROR(H20*$J20/100,"")</f>
        <v/>
      </c>
      <c r="J40" s="53" t="str">
        <f t="shared" si="0"/>
        <v/>
      </c>
      <c r="L40" s="59" t="str">
        <f t="shared" si="1"/>
        <v/>
      </c>
      <c r="O40" s="48" t="str">
        <f>'For Bill Impact(HideBeforeFile)'!$O$5</f>
        <v>Dist. Capacity Rate</v>
      </c>
    </row>
    <row r="41" spans="3:15" s="48" customFormat="1" ht="15" x14ac:dyDescent="0.2">
      <c r="C41" s="47" t="str">
        <f>IF(C21&lt;&gt;"",C21,"")</f>
        <v>System Gas Charge</v>
      </c>
      <c r="F41" s="58">
        <f>IFERROR(F21*$J21/100,"")</f>
        <v>19.197262916666666</v>
      </c>
      <c r="H41" s="58">
        <f>IFERROR(H21*$J21/100,"")</f>
        <v>19.197262916666666</v>
      </c>
      <c r="J41" s="53">
        <f t="shared" si="0"/>
        <v>0</v>
      </c>
      <c r="L41" s="59">
        <f t="shared" si="1"/>
        <v>0</v>
      </c>
      <c r="O41" s="48" t="str">
        <f>'For Bill Impact(HideBeforeFile)'!$E$5</f>
        <v>System Gas</v>
      </c>
    </row>
    <row r="42" spans="3:15" s="48" customFormat="1" ht="15.75" x14ac:dyDescent="0.25">
      <c r="C42" s="17" t="s">
        <v>54</v>
      </c>
      <c r="F42" s="35">
        <f>SUM(F35:F41)</f>
        <v>5323.5841408611104</v>
      </c>
      <c r="H42" s="35">
        <f>SUM(H35:H41)</f>
        <v>5499.9099442195302</v>
      </c>
      <c r="J42" s="36">
        <f t="shared" ref="J42" si="2">H42-F42</f>
        <v>176.32580335841976</v>
      </c>
      <c r="L42" s="37">
        <f>IF(ISERROR(J42/F42),0,J42/F42)</f>
        <v>3.3121633601135937E-2</v>
      </c>
    </row>
    <row r="43" spans="3:15" s="48" customFormat="1" ht="15" x14ac:dyDescent="0.2"/>
    <row r="44" spans="3:15" s="48" customFormat="1" ht="15.75" x14ac:dyDescent="0.25">
      <c r="C44" s="17" t="s">
        <v>67</v>
      </c>
    </row>
    <row r="45" spans="3:15" s="48" customFormat="1" ht="15" x14ac:dyDescent="0.2"/>
    <row r="46" spans="3:15" s="48" customFormat="1" ht="15.75" x14ac:dyDescent="0.25">
      <c r="C46" s="17" t="s">
        <v>67</v>
      </c>
      <c r="E46" s="52"/>
      <c r="F46" s="52" t="s">
        <v>35</v>
      </c>
      <c r="G46" s="52"/>
      <c r="H46" s="52" t="s">
        <v>52</v>
      </c>
      <c r="J46" s="48" t="s">
        <v>55</v>
      </c>
      <c r="L46" s="56" t="s">
        <v>56</v>
      </c>
    </row>
    <row r="47" spans="3:15" s="48" customFormat="1" ht="15" x14ac:dyDescent="0.2">
      <c r="C47" s="48" t="s">
        <v>99</v>
      </c>
      <c r="E47" s="60"/>
      <c r="F47" s="58">
        <f>F23*$J23</f>
        <v>5.31</v>
      </c>
      <c r="G47" s="60"/>
      <c r="H47" s="58">
        <f>H23*$J23</f>
        <v>6.9274153066243924</v>
      </c>
      <c r="I47" s="60"/>
      <c r="J47" s="53">
        <f>IFERROR(H47-F47,"")</f>
        <v>1.6174153066243928</v>
      </c>
      <c r="L47" s="59">
        <f t="shared" ref="L47:L48" si="3">IFERROR(J47/F47,"")</f>
        <v>0.30459798618161826</v>
      </c>
      <c r="O47" s="48" t="str">
        <f>'For Bill Impact(HideBeforeFile)'!$F$5</f>
        <v>REDA</v>
      </c>
    </row>
    <row r="48" spans="3:15" s="48" customFormat="1" ht="15" x14ac:dyDescent="0.2">
      <c r="C48" s="48" t="s">
        <v>98</v>
      </c>
      <c r="E48" s="60"/>
      <c r="F48" s="55">
        <f>IFERROR(F24*$J24/100,"")</f>
        <v>56.488497777777781</v>
      </c>
      <c r="G48" s="60"/>
      <c r="H48" s="55">
        <f>IFERROR(H24*$J24/100,"")</f>
        <v>135.32711378181742</v>
      </c>
      <c r="I48" s="60"/>
      <c r="J48" s="53">
        <f t="shared" ref="J48" si="4">IFERROR(H48-F48,"")</f>
        <v>78.838616004039636</v>
      </c>
      <c r="L48" s="59">
        <f t="shared" si="3"/>
        <v>1.3956578614320003</v>
      </c>
      <c r="O48" s="48" t="str">
        <f>'For Bill Impact(HideBeforeFile)'!$G$5</f>
        <v>PGTVA</v>
      </c>
    </row>
    <row r="49" spans="3:15" s="48" customFormat="1" ht="15" x14ac:dyDescent="0.2">
      <c r="C49" s="48" t="s">
        <v>100</v>
      </c>
      <c r="E49" s="60"/>
      <c r="F49" s="55" t="str">
        <f>IFERROR(F25*$J25/100,"")</f>
        <v/>
      </c>
      <c r="G49" s="60"/>
      <c r="H49" s="55">
        <f>IFERROR(H25*$J25/100,"")</f>
        <v>65.499389565621016</v>
      </c>
      <c r="I49" s="60"/>
      <c r="J49" s="53">
        <f>H49</f>
        <v>65.499389565621016</v>
      </c>
      <c r="L49" s="59">
        <f>J49/H49</f>
        <v>1</v>
      </c>
      <c r="O49" s="48" t="str">
        <f>'For Bill Impact(HideBeforeFile)'!$H$5</f>
        <v>ADVADA</v>
      </c>
    </row>
    <row r="50" spans="3:15" s="48" customFormat="1" ht="15.75" x14ac:dyDescent="0.25">
      <c r="C50" s="20" t="s">
        <v>69</v>
      </c>
      <c r="F50" s="38">
        <f>SUM(F47:F49)</f>
        <v>61.798497777777783</v>
      </c>
      <c r="H50" s="38">
        <f>SUM(H47:H49)</f>
        <v>207.75391865406283</v>
      </c>
      <c r="J50" s="38">
        <f>SUM(J47:J49)</f>
        <v>145.95542087628505</v>
      </c>
      <c r="L50" s="37">
        <f t="shared" ref="L50" si="5">IF(ISERROR(J50/F50),0,J50/F50)</f>
        <v>2.3617956119439749</v>
      </c>
    </row>
    <row r="51" spans="3:15" s="48" customFormat="1" ht="15" x14ac:dyDescent="0.2">
      <c r="C51" s="47"/>
    </row>
    <row r="52" spans="3:15" s="48" customFormat="1" ht="15.75" x14ac:dyDescent="0.25">
      <c r="C52" s="17" t="s">
        <v>108</v>
      </c>
    </row>
    <row r="53" spans="3:15" s="48" customFormat="1" ht="15" x14ac:dyDescent="0.2">
      <c r="C53" s="47" t="s">
        <v>134</v>
      </c>
      <c r="F53" s="58">
        <f>F27*$J27/100</f>
        <v>2590.5272027777778</v>
      </c>
      <c r="G53" s="60"/>
      <c r="H53" s="58">
        <f>H27*$J27/100</f>
        <v>2590.5272027777778</v>
      </c>
      <c r="J53" s="53">
        <f>IFERROR(H53-F53,"")</f>
        <v>0</v>
      </c>
      <c r="L53" s="59">
        <f t="shared" ref="L53:L54" si="6">IFERROR(J53/F53,"")</f>
        <v>0</v>
      </c>
    </row>
    <row r="54" spans="3:15" s="48" customFormat="1" ht="15" x14ac:dyDescent="0.2">
      <c r="C54" s="47" t="s">
        <v>135</v>
      </c>
      <c r="F54" s="58">
        <f>F28*$J28/100</f>
        <v>1.19155425</v>
      </c>
      <c r="G54" s="60"/>
      <c r="H54" s="58">
        <f>H28*$J28/100</f>
        <v>1.19155425</v>
      </c>
      <c r="J54" s="53">
        <f>IFERROR(H54-F54,"")</f>
        <v>0</v>
      </c>
      <c r="L54" s="59">
        <f t="shared" si="6"/>
        <v>0</v>
      </c>
    </row>
    <row r="55" spans="3:15" s="48" customFormat="1" ht="18" customHeight="1" x14ac:dyDescent="0.25">
      <c r="C55" s="20" t="s">
        <v>136</v>
      </c>
      <c r="F55" s="38">
        <f>SUM(F53:F54)</f>
        <v>2591.7187570277779</v>
      </c>
      <c r="H55" s="38">
        <f>SUM(H53:H54)</f>
        <v>2591.7187570277779</v>
      </c>
      <c r="J55" s="38">
        <f>SUM(J53:J54)</f>
        <v>0</v>
      </c>
      <c r="L55" s="37">
        <f t="shared" ref="L55" si="7">IF(ISERROR(J55/F55),0,J55/F55)</f>
        <v>0</v>
      </c>
    </row>
    <row r="56" spans="3:15" s="48" customFormat="1" ht="18" customHeight="1" x14ac:dyDescent="0.2">
      <c r="C56" s="47"/>
    </row>
    <row r="57" spans="3:15" s="48" customFormat="1" ht="16.5" thickBot="1" x14ac:dyDescent="0.3">
      <c r="C57" s="20" t="s">
        <v>70</v>
      </c>
      <c r="F57" s="39">
        <f>SUM(F32,F42,F50,F55)</f>
        <v>13830.810241166668</v>
      </c>
      <c r="H57" s="39">
        <f>SUM(H32,H42,H50,H55)</f>
        <v>14153.091465401372</v>
      </c>
      <c r="J57" s="39">
        <f>SUM(J32,J42,J50,J55)</f>
        <v>322.28122423470484</v>
      </c>
      <c r="L57" s="40">
        <f t="shared" ref="L57" si="8">IFERROR(J57/F57,"")</f>
        <v>2.330168794272457E-2</v>
      </c>
    </row>
    <row r="58" spans="3:15" s="48" customFormat="1" ht="15.75" x14ac:dyDescent="0.25">
      <c r="C58" s="20"/>
      <c r="E58" s="122"/>
      <c r="F58" s="121"/>
      <c r="G58" s="122"/>
      <c r="H58" s="121"/>
      <c r="I58" s="122"/>
      <c r="J58" s="123"/>
      <c r="K58" s="122"/>
      <c r="L58" s="124"/>
    </row>
    <row r="59" spans="3:15" s="48" customFormat="1" ht="15.75" x14ac:dyDescent="0.25">
      <c r="C59" s="20"/>
      <c r="E59" s="122"/>
      <c r="F59" s="121"/>
      <c r="G59" s="122"/>
      <c r="H59" s="121"/>
      <c r="I59" s="122"/>
      <c r="J59" s="123"/>
      <c r="K59" s="122"/>
      <c r="L59" s="124"/>
    </row>
    <row r="60" spans="3:15" s="48" customFormat="1" ht="15.75" customHeight="1" x14ac:dyDescent="0.25">
      <c r="C60" s="116" t="str">
        <f ca="1">MID(CELL("filename",A1),FIND("]",CELL("filename",A1))+1,255)</f>
        <v>G1.4 Rate 4 Bill Impact</v>
      </c>
      <c r="E60" s="122"/>
      <c r="F60" s="121"/>
      <c r="G60" s="122"/>
      <c r="H60" s="121"/>
      <c r="I60" s="122"/>
      <c r="J60" s="123"/>
      <c r="K60" s="122"/>
      <c r="L60" s="124"/>
    </row>
    <row r="61" spans="3:15" s="48" customFormat="1" ht="15.75" customHeight="1" x14ac:dyDescent="0.25">
      <c r="C61" s="116"/>
      <c r="E61" s="122"/>
      <c r="F61" s="121"/>
      <c r="G61" s="122"/>
      <c r="H61" s="121"/>
      <c r="I61" s="122"/>
      <c r="J61" s="123"/>
      <c r="K61" s="122"/>
      <c r="L61" s="124"/>
    </row>
    <row r="62" spans="3:15" s="48" customFormat="1" ht="20.25" x14ac:dyDescent="0.3">
      <c r="C62" s="3" t="str">
        <f>'For Bill Impact(HideBeforeFile)'!C13</f>
        <v>RATE 4 - General Service Peaking - Jan to Mar</v>
      </c>
      <c r="E62" s="52"/>
      <c r="F62" s="172" t="s">
        <v>130</v>
      </c>
      <c r="G62" s="172"/>
      <c r="H62" s="172" t="s">
        <v>131</v>
      </c>
      <c r="I62" s="172"/>
      <c r="J62" s="172" t="s">
        <v>133</v>
      </c>
      <c r="O62" s="48" t="s">
        <v>132</v>
      </c>
    </row>
    <row r="63" spans="3:15" s="48" customFormat="1" ht="15" x14ac:dyDescent="0.2"/>
    <row r="64" spans="3:15" s="48" customFormat="1" ht="15" x14ac:dyDescent="0.2"/>
    <row r="65" spans="3:15" s="48" customFormat="1" ht="15" x14ac:dyDescent="0.2"/>
    <row r="66" spans="3:15" s="48" customFormat="1" ht="15" x14ac:dyDescent="0.2">
      <c r="C66" s="48" t="str">
        <f>INDEX('For Bill Impact(HideBeforeFile)'!$D$48:$O$57,MATCH(C62,'For Bill Impact(HideBeforeFile)'!$C$62:$C$71,0),MATCH($O66,'For Bill Impact(HideBeforeFile)'!$D$61:$O$61,0))</f>
        <v>Commodity</v>
      </c>
      <c r="D66" s="48" t="str">
        <f>INDEX('For Bill Impact(HideBeforeFile)'!$D$62:$O$71,MATCH(C62,'For Bill Impact(HideBeforeFile)'!$C$62:$C$71,0),MATCH($O66,'For Bill Impact(HideBeforeFile)'!$D$61:$O$61,0))</f>
        <v>cents / m3</v>
      </c>
      <c r="E66" s="169"/>
      <c r="F66" s="54">
        <f>INDEX('For Bill Impact(HideBeforeFile)'!$D$6:$O$15,MATCH(C62,'For Bill Impact(HideBeforeFile)'!$C$62:$C$71,0),MATCH($O66,'For Bill Impact(HideBeforeFile)'!$D$61:$O$61,0))</f>
        <v>13.264200000000001</v>
      </c>
      <c r="G66" s="169"/>
      <c r="H66" s="54">
        <f>INDEX('For Bill Impact(HideBeforeFile)'!$D$20:$O$29,MATCH(C62,'For Bill Impact(HideBeforeFile)'!$C$62:$C$71,0),MATCH($O66,'For Bill Impact(HideBeforeFile)'!$D$61:$O$61,0))</f>
        <v>13.264200000000001</v>
      </c>
      <c r="J66" s="57">
        <f>INDEX('For Bill Impact(HideBeforeFile)'!$D$34:$O$43,MATCH(C62,'For Bill Impact(HideBeforeFile)'!$C$62:$C$71,0),MATCH($O66,'For Bill Impact(HideBeforeFile)'!$D$61:$O$61,0))</f>
        <v>5327.969444444444</v>
      </c>
      <c r="O66" s="48" t="str">
        <f>'For Bill Impact(HideBeforeFile)'!$D$5</f>
        <v>Commodity</v>
      </c>
    </row>
    <row r="67" spans="3:15" s="48" customFormat="1" ht="15" x14ac:dyDescent="0.2"/>
    <row r="68" spans="3:15" s="48" customFormat="1" ht="15" x14ac:dyDescent="0.2">
      <c r="C68" s="48" t="str">
        <f>INDEX('For Bill Impact(HideBeforeFile)'!$D$48:$O$57,MATCH(C62,'For Bill Impact(HideBeforeFile)'!$C$62:$C$71,0),MATCH($O68,'For Bill Impact(HideBeforeFile)'!$D$61:$O$61,0))</f>
        <v>Customer (excl. Bill 32)</v>
      </c>
      <c r="D68" s="48" t="str">
        <f>INDEX('For Bill Impact(HideBeforeFile)'!$D$62:$O$71,MATCH(C62,'For Bill Impact(HideBeforeFile)'!$C$62:$C$71,0),MATCH($O68,'For Bill Impact(HideBeforeFile)'!$D$61:$O$61,0))</f>
        <v>$ / month</v>
      </c>
      <c r="E68" s="171"/>
      <c r="F68" s="170">
        <f>INDEX('For Bill Impact(HideBeforeFile)'!$D$6:$O$15,MATCH(C62,'For Bill Impact(HideBeforeFile)'!$C$62:$C$71,0),MATCH($O68,'For Bill Impact(HideBeforeFile)'!$D$61:$O$61,0))</f>
        <v>20</v>
      </c>
      <c r="G68" s="171"/>
      <c r="H68" s="170">
        <f>INDEX('For Bill Impact(HideBeforeFile)'!$D$20:$O$29,MATCH(C62,'For Bill Impact(HideBeforeFile)'!$C$62:$C$71,0),MATCH($O68,'For Bill Impact(HideBeforeFile)'!$D$61:$O$61,0))</f>
        <v>20</v>
      </c>
      <c r="J68" s="57">
        <f>INDEX('For Bill Impact(HideBeforeFile)'!$D$34:$O$43,MATCH(C62,'For Bill Impact(HideBeforeFile)'!$C$62:$C$71,0),MATCH($O68,'For Bill Impact(HideBeforeFile)'!$D$61:$O$61,0))</f>
        <v>3</v>
      </c>
      <c r="O68" s="48" t="str">
        <f>'For Bill Impact(HideBeforeFile)'!$K$5</f>
        <v>Dist. Customer Rate</v>
      </c>
    </row>
    <row r="69" spans="3:15" s="48" customFormat="1" ht="15" x14ac:dyDescent="0.2">
      <c r="C69" s="48" t="str">
        <f>INDEX('For Bill Impact(HideBeforeFile)'!$D$48:$O$57,MATCH(C62,'For Bill Impact(HideBeforeFile)'!$C$62:$C$71,0),MATCH($O69,'For Bill Impact(HideBeforeFile)'!$D$61:$O$61,0))</f>
        <v>Block 1 (First 1,000 m3 per month)</v>
      </c>
      <c r="D69" s="48" t="str">
        <f>INDEX('For Bill Impact(HideBeforeFile)'!$D$62:$O$71,MATCH(C62,'For Bill Impact(HideBeforeFile)'!$C$62:$C$71,0),MATCH($O69,'For Bill Impact(HideBeforeFile)'!$D$61:$O$61,0))</f>
        <v>cents / m3</v>
      </c>
      <c r="E69" s="169"/>
      <c r="F69" s="54">
        <f>INDEX('For Bill Impact(HideBeforeFile)'!$D$6:$O$15,MATCH(C62,'For Bill Impact(HideBeforeFile)'!$C$62:$C$71,0),MATCH($O69,'For Bill Impact(HideBeforeFile)'!$D$61:$O$61,0))</f>
        <v>23.298999999999999</v>
      </c>
      <c r="G69" s="169"/>
      <c r="H69" s="54">
        <f>INDEX('For Bill Impact(HideBeforeFile)'!$D$20:$O$29,MATCH(C62,'For Bill Impact(HideBeforeFile)'!$C$62:$C$71,0),MATCH($O69,'For Bill Impact(HideBeforeFile)'!$D$61:$O$61,0))</f>
        <v>24.102036217008624</v>
      </c>
      <c r="J69" s="57">
        <f>INDEX('For Bill Impact(HideBeforeFile)'!$D$34:$O$43,MATCH(C62,'For Bill Impact(HideBeforeFile)'!$C$62:$C$71,0),MATCH($O69,'For Bill Impact(HideBeforeFile)'!$D$61:$O$61,0))</f>
        <v>954.23888888888882</v>
      </c>
      <c r="O69" s="48" t="str">
        <f>'For Bill Impact(HideBeforeFile)'!$L$5</f>
        <v>Dist. Vol. Rate Tier 1</v>
      </c>
    </row>
    <row r="70" spans="3:15" s="48" customFormat="1" ht="15" x14ac:dyDescent="0.2">
      <c r="C70" s="48" t="str">
        <f>INDEX('For Bill Impact(HideBeforeFile)'!$D$48:$O$57,MATCH(C62,'For Bill Impact(HideBeforeFile)'!$C$62:$C$71,0),MATCH($O70,'For Bill Impact(HideBeforeFile)'!$D$61:$O$61,0))</f>
        <v>Block 2 (Over 1,000 m3 per month)</v>
      </c>
      <c r="D70" s="48" t="str">
        <f>INDEX('For Bill Impact(HideBeforeFile)'!$D$62:$O$71,MATCH(C62,'For Bill Impact(HideBeforeFile)'!$C$62:$C$71,0),MATCH($O70,'For Bill Impact(HideBeforeFile)'!$D$61:$O$61,0))</f>
        <v>cents / m3</v>
      </c>
      <c r="E70" s="169"/>
      <c r="F70" s="54">
        <f>INDEX('For Bill Impact(HideBeforeFile)'!$D$6:$O$15,MATCH(C62,'For Bill Impact(HideBeforeFile)'!$C$62:$C$71,0),MATCH($O70,'For Bill Impact(HideBeforeFile)'!$D$61:$O$61,0))</f>
        <v>18.004000000000001</v>
      </c>
      <c r="G70" s="169"/>
      <c r="H70" s="54">
        <f>INDEX('For Bill Impact(HideBeforeFile)'!$D$20:$O$29,MATCH(C62,'For Bill Impact(HideBeforeFile)'!$C$62:$C$71,0),MATCH($O70,'For Bill Impact(HideBeforeFile)'!$D$61:$O$61,0))</f>
        <v>18.624610318956027</v>
      </c>
      <c r="J70" s="57">
        <f>INDEX('For Bill Impact(HideBeforeFile)'!$D$34:$O$43,MATCH(C62,'For Bill Impact(HideBeforeFile)'!$C$62:$C$71,0),MATCH($O70,'For Bill Impact(HideBeforeFile)'!$D$61:$O$61,0))</f>
        <v>4373.7305555555549</v>
      </c>
      <c r="O70" s="48" t="str">
        <f>'For Bill Impact(HideBeforeFile)'!$M$5</f>
        <v>Dist. Vol. Rate Tier 2</v>
      </c>
    </row>
    <row r="71" spans="3:15" s="48" customFormat="1" ht="15" x14ac:dyDescent="0.2">
      <c r="C71" s="48" t="str">
        <f>INDEX('For Bill Impact(HideBeforeFile)'!$D$48:$O$57,MATCH(C62,'For Bill Impact(HideBeforeFile)'!$C$62:$C$71,0),MATCH($O71,'For Bill Impact(HideBeforeFile)'!$D$61:$O$61,0))</f>
        <v/>
      </c>
      <c r="D71" s="48" t="str">
        <f>INDEX('For Bill Impact(HideBeforeFile)'!$D$62:$O$71,MATCH(C62,'For Bill Impact(HideBeforeFile)'!$C$62:$C$71,0),MATCH($O71,'For Bill Impact(HideBeforeFile)'!$D$61:$O$61,0))</f>
        <v/>
      </c>
      <c r="E71" s="169"/>
      <c r="F71" s="54" t="str">
        <f>INDEX('For Bill Impact(HideBeforeFile)'!$D$6:$O$15,MATCH(C62,'For Bill Impact(HideBeforeFile)'!$C$62:$C$71,0),MATCH($O71,'For Bill Impact(HideBeforeFile)'!$D$61:$O$61,0))</f>
        <v/>
      </c>
      <c r="G71" s="169"/>
      <c r="H71" s="54" t="str">
        <f>INDEX('For Bill Impact(HideBeforeFile)'!$D$20:$O$29,MATCH(C62,'For Bill Impact(HideBeforeFile)'!$C$62:$C$71,0),MATCH($O71,'For Bill Impact(HideBeforeFile)'!$D$61:$O$61,0))</f>
        <v/>
      </c>
      <c r="J71" s="57" t="str">
        <f>INDEX('For Bill Impact(HideBeforeFile)'!$D$34:$O$43,MATCH(C62,'For Bill Impact(HideBeforeFile)'!$C$62:$C$71,0),MATCH($O71,'For Bill Impact(HideBeforeFile)'!$D$61:$O$61,0))</f>
        <v/>
      </c>
      <c r="O71" s="48" t="str">
        <f>'For Bill Impact(HideBeforeFile)'!$N$5</f>
        <v>Dist. Vol. Rate Tier 3</v>
      </c>
    </row>
    <row r="72" spans="3:15" s="48" customFormat="1" ht="15" x14ac:dyDescent="0.2">
      <c r="C72" s="48" t="str">
        <f>INDEX('For Bill Impact(HideBeforeFile)'!$D$48:$O$57,MATCH(C62,'For Bill Impact(HideBeforeFile)'!$C$62:$C$71,0),MATCH($O72,'For Bill Impact(HideBeforeFile)'!$D$61:$O$61,0))</f>
        <v/>
      </c>
      <c r="D72" s="48" t="str">
        <f>INDEX('For Bill Impact(HideBeforeFile)'!$D$62:$O$71,MATCH(C62,'For Bill Impact(HideBeforeFile)'!$C$62:$C$71,0),MATCH($O72,'For Bill Impact(HideBeforeFile)'!$D$61:$O$61,0))</f>
        <v/>
      </c>
      <c r="E72" s="169"/>
      <c r="F72" s="54" t="str">
        <f>INDEX('For Bill Impact(HideBeforeFile)'!$D$6:$O$15,MATCH(C62,'For Bill Impact(HideBeforeFile)'!$C$62:$C$71,0),MATCH($O72,'For Bill Impact(HideBeforeFile)'!$D$61:$O$61,0))</f>
        <v/>
      </c>
      <c r="G72" s="169"/>
      <c r="H72" s="54" t="str">
        <f>INDEX('For Bill Impact(HideBeforeFile)'!$D$20:$O$29,MATCH(C62,'For Bill Impact(HideBeforeFile)'!$C$62:$C$71,0),MATCH($O72,'For Bill Impact(HideBeforeFile)'!$D$61:$O$61,0))</f>
        <v/>
      </c>
      <c r="J72" s="57" t="str">
        <f>INDEX('For Bill Impact(HideBeforeFile)'!$D$34:$O$43,MATCH(C62,'For Bill Impact(HideBeforeFile)'!$C$62:$C$71,0),MATCH($O72,'For Bill Impact(HideBeforeFile)'!$D$61:$O$61,0))</f>
        <v/>
      </c>
      <c r="O72" s="48" t="str">
        <f>'For Bill Impact(HideBeforeFile)'!$O$5</f>
        <v>Dist. Capacity Rate</v>
      </c>
    </row>
    <row r="73" spans="3:15" s="48" customFormat="1" ht="15" x14ac:dyDescent="0.2">
      <c r="C73" s="48" t="str">
        <f>INDEX('For Bill Impact(HideBeforeFile)'!$D$48:$O$57,MATCH(C62,'For Bill Impact(HideBeforeFile)'!$C$62:$C$71,0),MATCH($O73,'For Bill Impact(HideBeforeFile)'!$D$61:$O$61,0))</f>
        <v>System Gas Charge</v>
      </c>
      <c r="D73" s="48" t="str">
        <f>INDEX('For Bill Impact(HideBeforeFile)'!$D$62:$O$71,MATCH(C62,'For Bill Impact(HideBeforeFile)'!$C$62:$C$71,0),MATCH($O73,'For Bill Impact(HideBeforeFile)'!$D$61:$O$61,0))</f>
        <v>cents / m3</v>
      </c>
      <c r="E73" s="169"/>
      <c r="F73" s="54">
        <f>INDEX('For Bill Impact(HideBeforeFile)'!$D$6:$O$15,MATCH(C62,'For Bill Impact(HideBeforeFile)'!$C$62:$C$71,0),MATCH($O73,'For Bill Impact(HideBeforeFile)'!$D$61:$O$61,0))</f>
        <v>4.3499999999999997E-2</v>
      </c>
      <c r="G73" s="169"/>
      <c r="H73" s="54">
        <f>INDEX('For Bill Impact(HideBeforeFile)'!$D$20:$O$29,MATCH(C62,'For Bill Impact(HideBeforeFile)'!$C$62:$C$71,0),MATCH($O73,'For Bill Impact(HideBeforeFile)'!$D$61:$O$61,0))</f>
        <v>4.3499999999999997E-2</v>
      </c>
      <c r="J73" s="57">
        <f>INDEX('For Bill Impact(HideBeforeFile)'!$D$34:$O$43,MATCH(C62,'For Bill Impact(HideBeforeFile)'!$C$62:$C$71,0),MATCH($O73,'For Bill Impact(HideBeforeFile)'!$D$61:$O$61,0))</f>
        <v>5327.969444444444</v>
      </c>
      <c r="O73" s="48" t="str">
        <f>'For Bill Impact(HideBeforeFile)'!$E$5</f>
        <v>System Gas</v>
      </c>
    </row>
    <row r="74" spans="3:15" s="48" customFormat="1" ht="15" x14ac:dyDescent="0.2"/>
    <row r="75" spans="3:15" s="48" customFormat="1" ht="15" x14ac:dyDescent="0.2">
      <c r="C75" s="48" t="str">
        <f>INDEX('For Bill Impact(HideBeforeFile)'!$D$48:$O$57,MATCH(C62,'For Bill Impact(HideBeforeFile)'!$C$62:$C$71,0),MATCH($O75,'For Bill Impact(HideBeforeFile)'!$D$61:$O$61,0))</f>
        <v>REDA</v>
      </c>
      <c r="D75" s="48" t="str">
        <f>INDEX('For Bill Impact(HideBeforeFile)'!$D$62:$O$71,MATCH(C62,'For Bill Impact(HideBeforeFile)'!$C$62:$C$71,0),MATCH($O75,'For Bill Impact(HideBeforeFile)'!$D$61:$O$61,0))</f>
        <v>$ / month</v>
      </c>
      <c r="E75" s="171"/>
      <c r="F75" s="170">
        <f>INDEX('For Bill Impact(HideBeforeFile)'!$D$6:$O$15,MATCH(C62,'For Bill Impact(HideBeforeFile)'!$C$62:$C$71,0),MATCH($O75,'For Bill Impact(HideBeforeFile)'!$D$61:$O$61,0))</f>
        <v>0.59</v>
      </c>
      <c r="G75" s="171"/>
      <c r="H75" s="170">
        <f>INDEX('For Bill Impact(HideBeforeFile)'!$D$20:$O$29,MATCH(C62,'For Bill Impact(HideBeforeFile)'!$C$62:$C$71,0),MATCH($O75,'For Bill Impact(HideBeforeFile)'!$D$61:$O$61,0))</f>
        <v>0.76971281184715468</v>
      </c>
      <c r="J75" s="57">
        <f>INDEX('For Bill Impact(HideBeforeFile)'!$D$34:$O$43,MATCH(C62,'For Bill Impact(HideBeforeFile)'!$C$62:$C$71,0),MATCH($O75,'For Bill Impact(HideBeforeFile)'!$D$61:$O$61,0))</f>
        <v>3</v>
      </c>
      <c r="O75" s="48" t="str">
        <f>'For Bill Impact(HideBeforeFile)'!$F$5</f>
        <v>REDA</v>
      </c>
    </row>
    <row r="76" spans="3:15" s="48" customFormat="1" ht="15" x14ac:dyDescent="0.2">
      <c r="C76" s="48" t="str">
        <f>INDEX('For Bill Impact(HideBeforeFile)'!$D$48:$O$57,MATCH(C62,'For Bill Impact(HideBeforeFile)'!$C$62:$C$71,0),MATCH($O76,'For Bill Impact(HideBeforeFile)'!$D$61:$O$61,0))</f>
        <v>PGTVA</v>
      </c>
      <c r="D76" s="48" t="str">
        <f>INDEX('For Bill Impact(HideBeforeFile)'!$D$62:$O$71,MATCH(C62,'For Bill Impact(HideBeforeFile)'!$C$62:$C$71,0),MATCH($O76,'For Bill Impact(HideBeforeFile)'!$D$61:$O$61,0))</f>
        <v>cents / m3</v>
      </c>
      <c r="E76" s="169"/>
      <c r="F76" s="54">
        <f>INDEX('For Bill Impact(HideBeforeFile)'!$D$6:$O$15,MATCH(C62,'For Bill Impact(HideBeforeFile)'!$C$62:$C$71,0),MATCH($O76,'For Bill Impact(HideBeforeFile)'!$D$61:$O$61,0))</f>
        <v>0.128</v>
      </c>
      <c r="G76" s="169"/>
      <c r="H76" s="54">
        <f>INDEX('For Bill Impact(HideBeforeFile)'!$D$20:$O$29,MATCH(C62,'For Bill Impact(HideBeforeFile)'!$C$62:$C$71,0),MATCH($O76,'For Bill Impact(HideBeforeFile)'!$D$61:$O$61,0))</f>
        <v>0.30664420626329603</v>
      </c>
      <c r="J76" s="57">
        <f>INDEX('For Bill Impact(HideBeforeFile)'!$D$34:$O$43,MATCH(C62,'For Bill Impact(HideBeforeFile)'!$C$62:$C$71,0),MATCH($O76,'For Bill Impact(HideBeforeFile)'!$D$61:$O$61,0))</f>
        <v>5327.969444444444</v>
      </c>
      <c r="O76" s="48" t="str">
        <f>'For Bill Impact(HideBeforeFile)'!$G$5</f>
        <v>PGTVA</v>
      </c>
    </row>
    <row r="77" spans="3:15" s="48" customFormat="1" ht="15" x14ac:dyDescent="0.2">
      <c r="C77" s="48" t="str">
        <f>INDEX('For Bill Impact(HideBeforeFile)'!$D$48:$O$57,MATCH(C62,'For Bill Impact(HideBeforeFile)'!$C$62:$C$71,0),MATCH($O77,'For Bill Impact(HideBeforeFile)'!$D$61:$O$61,0))</f>
        <v>ADVADA</v>
      </c>
      <c r="D77" s="48" t="str">
        <f>INDEX('For Bill Impact(HideBeforeFile)'!$D$62:$O$71,MATCH(C62,'For Bill Impact(HideBeforeFile)'!$C$62:$C$71,0),MATCH($O77,'For Bill Impact(HideBeforeFile)'!$D$61:$O$61,0))</f>
        <v>cents / m3</v>
      </c>
      <c r="F77" s="54" t="str">
        <f>INDEX('For Bill Impact(HideBeforeFile)'!$D$6:$O$15,MATCH(C62,'For Bill Impact(HideBeforeFile)'!$C$62:$C$71,0),MATCH($O77,'For Bill Impact(HideBeforeFile)'!$D$61:$O$61,0))</f>
        <v/>
      </c>
      <c r="H77" s="54">
        <f>INDEX('For Bill Impact(HideBeforeFile)'!$D$20:$O$29,MATCH(C62,'For Bill Impact(HideBeforeFile)'!$C$62:$C$71,0),MATCH($O77,'For Bill Impact(HideBeforeFile)'!$D$61:$O$61,0))</f>
        <v>0.14841821245417633</v>
      </c>
      <c r="J77" s="57">
        <f>INDEX('For Bill Impact(HideBeforeFile)'!$D$34:$O$43,MATCH(C62,'For Bill Impact(HideBeforeFile)'!$C$62:$C$71,0),MATCH($O77,'For Bill Impact(HideBeforeFile)'!$D$61:$O$61,0))</f>
        <v>5327.969444444444</v>
      </c>
      <c r="O77" s="48" t="str">
        <f>'For Bill Impact(HideBeforeFile)'!$H$5</f>
        <v>ADVADA</v>
      </c>
    </row>
    <row r="78" spans="3:15" s="48" customFormat="1" ht="15" x14ac:dyDescent="0.2"/>
    <row r="79" spans="3:15" s="48" customFormat="1" ht="15.75" x14ac:dyDescent="0.25">
      <c r="C79" s="48" t="str">
        <f>INDEX('For Bill Impact(HideBeforeFile)'!$D$48:$O$57,MATCH(C62,'For Bill Impact(HideBeforeFile)'!$C$62:$C$71,0),MATCH($O79,'For Bill Impact(HideBeforeFile)'!$D$61:$O$61,0))</f>
        <v>Federal Carbon</v>
      </c>
      <c r="D79" s="48" t="str">
        <f>INDEX('For Bill Impact(HideBeforeFile)'!$D$62:$O$71,MATCH(C62,'For Bill Impact(HideBeforeFile)'!$C$62:$C$71,0),MATCH($O79,'For Bill Impact(HideBeforeFile)'!$D$61:$O$61,0))</f>
        <v>cents / m3</v>
      </c>
      <c r="E79" s="169"/>
      <c r="F79" s="54">
        <f>INDEX('For Bill Impact(HideBeforeFile)'!$D$6:$O$15,MATCH(C62,'For Bill Impact(HideBeforeFile)'!$C$62:$C$71,0),MATCH($O79,'For Bill Impact(HideBeforeFile)'!$D$61:$O$61,0))</f>
        <v>5.87</v>
      </c>
      <c r="G79" s="169"/>
      <c r="H79" s="54">
        <f>INDEX('For Bill Impact(HideBeforeFile)'!$D$20:$O$29,MATCH(C62,'For Bill Impact(HideBeforeFile)'!$C$62:$C$71,0),MATCH($O79,'For Bill Impact(HideBeforeFile)'!$D$61:$O$61,0))</f>
        <v>5.87</v>
      </c>
      <c r="J79" s="57">
        <f>INDEX('For Bill Impact(HideBeforeFile)'!$D$34:$O$43,MATCH(C62,'For Bill Impact(HideBeforeFile)'!$C$62:$C$71,0),MATCH($O79,'For Bill Impact(HideBeforeFile)'!$D$61:$O$61,0))</f>
        <v>5327.969444444444</v>
      </c>
      <c r="N79" s="16"/>
      <c r="O79" s="48" t="str">
        <f>'For Bill Impact(HideBeforeFile)'!$I$5</f>
        <v>Federal Carbon</v>
      </c>
    </row>
    <row r="80" spans="3:15" s="48" customFormat="1" ht="15" x14ac:dyDescent="0.2">
      <c r="C80" s="48" t="str">
        <f>INDEX('For Bill Impact(HideBeforeFile)'!$D$48:$O$57,MATCH(C62,'For Bill Impact(HideBeforeFile)'!$C$62:$C$71,0),MATCH($O80,'For Bill Impact(HideBeforeFile)'!$D$61:$O$61,0))</f>
        <v>Facility Carbon</v>
      </c>
      <c r="D80" s="48" t="str">
        <f>INDEX('For Bill Impact(HideBeforeFile)'!$D$62:$O$71,MATCH(C62,'For Bill Impact(HideBeforeFile)'!$C$62:$C$71,0),MATCH($O80,'For Bill Impact(HideBeforeFile)'!$D$61:$O$61,0))</f>
        <v>cents / m3</v>
      </c>
      <c r="E80" s="169"/>
      <c r="F80" s="54">
        <f>INDEX('For Bill Impact(HideBeforeFile)'!$D$6:$O$15,MATCH(C62,'For Bill Impact(HideBeforeFile)'!$C$62:$C$71,0),MATCH($O80,'For Bill Impact(HideBeforeFile)'!$D$61:$O$61,0))</f>
        <v>2.7000000000000001E-3</v>
      </c>
      <c r="G80" s="169"/>
      <c r="H80" s="54">
        <f>INDEX('For Bill Impact(HideBeforeFile)'!$D$20:$O$29,MATCH(C62,'For Bill Impact(HideBeforeFile)'!$C$62:$C$71,0),MATCH($O80,'For Bill Impact(HideBeforeFile)'!$D$61:$O$61,0))</f>
        <v>2.7000000000000001E-3</v>
      </c>
      <c r="J80" s="57">
        <f>INDEX('For Bill Impact(HideBeforeFile)'!$D$34:$O$43,MATCH(C62,'For Bill Impact(HideBeforeFile)'!$C$62:$C$71,0),MATCH($O80,'For Bill Impact(HideBeforeFile)'!$D$61:$O$61,0))</f>
        <v>5327.969444444444</v>
      </c>
      <c r="O80" s="48" t="str">
        <f>'For Bill Impact(HideBeforeFile)'!$J$5</f>
        <v>Facility Carbon</v>
      </c>
    </row>
    <row r="81" spans="3:12" s="48" customFormat="1" ht="15" x14ac:dyDescent="0.2"/>
    <row r="82" spans="3:12" s="48" customFormat="1" ht="15" x14ac:dyDescent="0.2"/>
    <row r="83" spans="3:12" s="48" customFormat="1" ht="15.75" x14ac:dyDescent="0.25">
      <c r="C83" s="17" t="s">
        <v>8</v>
      </c>
      <c r="E83" s="52"/>
      <c r="F83" s="172" t="s">
        <v>130</v>
      </c>
      <c r="G83" s="172"/>
      <c r="H83" s="172" t="s">
        <v>131</v>
      </c>
      <c r="J83" s="48" t="s">
        <v>55</v>
      </c>
      <c r="L83" s="56" t="s">
        <v>56</v>
      </c>
    </row>
    <row r="84" spans="3:12" s="48" customFormat="1" ht="15" x14ac:dyDescent="0.2">
      <c r="F84" s="58">
        <f>F66*$J66/100</f>
        <v>706.71252305000007</v>
      </c>
      <c r="G84" s="171"/>
      <c r="H84" s="58">
        <f>H66*$J66/100</f>
        <v>706.71252305000007</v>
      </c>
      <c r="J84" s="53">
        <f>H84-F84</f>
        <v>0</v>
      </c>
      <c r="L84" s="59">
        <f>IFERROR(J84/F84,"")</f>
        <v>0</v>
      </c>
    </row>
    <row r="85" spans="3:12" s="48" customFormat="1" ht="15" x14ac:dyDescent="0.2"/>
    <row r="86" spans="3:12" s="48" customFormat="1" ht="15.75" x14ac:dyDescent="0.25">
      <c r="C86" s="17" t="s">
        <v>68</v>
      </c>
      <c r="E86" s="52"/>
      <c r="F86" s="52" t="s">
        <v>35</v>
      </c>
      <c r="G86" s="52"/>
      <c r="H86" s="52" t="s">
        <v>52</v>
      </c>
      <c r="J86" s="48" t="s">
        <v>55</v>
      </c>
      <c r="L86" s="56" t="s">
        <v>56</v>
      </c>
    </row>
    <row r="87" spans="3:12" s="48" customFormat="1" ht="15" x14ac:dyDescent="0.2">
      <c r="C87" s="47" t="str">
        <f>IF(C68&lt;&gt;"",C68,"")</f>
        <v>Customer (excl. Bill 32)</v>
      </c>
      <c r="F87" s="58">
        <f>F68*$J68</f>
        <v>60</v>
      </c>
      <c r="G87" s="171"/>
      <c r="H87" s="58">
        <f>H68*$J68</f>
        <v>60</v>
      </c>
      <c r="J87" s="53">
        <f>IFERROR(H87-F87,"")</f>
        <v>0</v>
      </c>
      <c r="L87" s="59">
        <f>IFERROR(J87/F87,"")</f>
        <v>0</v>
      </c>
    </row>
    <row r="88" spans="3:12" s="48" customFormat="1" ht="15" x14ac:dyDescent="0.2">
      <c r="C88" s="47" t="s">
        <v>149</v>
      </c>
      <c r="F88" s="58">
        <f>J68</f>
        <v>3</v>
      </c>
      <c r="G88" s="171"/>
      <c r="H88" s="58">
        <f>J68</f>
        <v>3</v>
      </c>
      <c r="J88" s="53">
        <f>IFERROR(H88-F88,"")</f>
        <v>0</v>
      </c>
      <c r="L88" s="59">
        <f>IFERROR(J88/F88,"")</f>
        <v>0</v>
      </c>
    </row>
    <row r="89" spans="3:12" s="48" customFormat="1" ht="15" x14ac:dyDescent="0.2">
      <c r="C89" s="47" t="str">
        <f>IF(C69&lt;&gt;"",C69,"")</f>
        <v>Block 1 (First 1,000 m3 per month)</v>
      </c>
      <c r="F89" s="58">
        <f>IFERROR(F69*$J69/100,"")</f>
        <v>222.3281187222222</v>
      </c>
      <c r="H89" s="58">
        <f>IFERROR(H69*$J69/100,"")</f>
        <v>229.99100259678067</v>
      </c>
      <c r="J89" s="53">
        <f t="shared" ref="J89:J93" si="9">IFERROR(H89-F89,"")</f>
        <v>7.6628838745584744</v>
      </c>
      <c r="L89" s="59">
        <f t="shared" ref="L89:L93" si="10">IFERROR(J89/F89,"")</f>
        <v>3.4466552942556572E-2</v>
      </c>
    </row>
    <row r="90" spans="3:12" s="48" customFormat="1" ht="15" x14ac:dyDescent="0.2">
      <c r="C90" s="47" t="str">
        <f>IF(C70&lt;&gt;"",C70,"")</f>
        <v>Block 2 (Over 1,000 m3 per month)</v>
      </c>
      <c r="F90" s="58">
        <f>IFERROR(F70*$J70/100,"")</f>
        <v>787.4464492222221</v>
      </c>
      <c r="H90" s="58">
        <f>IFERROR(H70*$J70/100,"")</f>
        <v>814.59027237333271</v>
      </c>
      <c r="J90" s="53">
        <f t="shared" si="9"/>
        <v>27.14382315111061</v>
      </c>
      <c r="L90" s="59">
        <f t="shared" si="10"/>
        <v>3.4470690899579458E-2</v>
      </c>
    </row>
    <row r="91" spans="3:12" s="48" customFormat="1" ht="15" x14ac:dyDescent="0.2">
      <c r="C91" s="47" t="str">
        <f>IF(C71&lt;&gt;"",C71,"")</f>
        <v/>
      </c>
      <c r="F91" s="58" t="str">
        <f>IFERROR(F71*$J71/100,"")</f>
        <v/>
      </c>
      <c r="H91" s="58" t="str">
        <f>IFERROR(H71*$J71/100,"")</f>
        <v/>
      </c>
      <c r="J91" s="53" t="str">
        <f t="shared" si="9"/>
        <v/>
      </c>
      <c r="L91" s="59" t="str">
        <f t="shared" si="10"/>
        <v/>
      </c>
    </row>
    <row r="92" spans="3:12" s="48" customFormat="1" ht="15" x14ac:dyDescent="0.2">
      <c r="C92" s="47" t="str">
        <f>IF(C72&lt;&gt;"",C72,"")</f>
        <v/>
      </c>
      <c r="F92" s="58" t="str">
        <f>IFERROR(F72*$J72/100,"")</f>
        <v/>
      </c>
      <c r="H92" s="58" t="str">
        <f>IFERROR(H72*$J72/100,"")</f>
        <v/>
      </c>
      <c r="J92" s="53" t="str">
        <f t="shared" si="9"/>
        <v/>
      </c>
      <c r="L92" s="59" t="str">
        <f t="shared" si="10"/>
        <v/>
      </c>
    </row>
    <row r="93" spans="3:12" s="48" customFormat="1" ht="15" x14ac:dyDescent="0.2">
      <c r="C93" s="47" t="str">
        <f>IF(C73&lt;&gt;"",C73,"")</f>
        <v>System Gas Charge</v>
      </c>
      <c r="F93" s="58">
        <f>IFERROR(F73*$J73/100,"")</f>
        <v>2.3176667083333329</v>
      </c>
      <c r="H93" s="58">
        <f>IFERROR(H73*$J73/100,"")</f>
        <v>2.3176667083333329</v>
      </c>
      <c r="J93" s="53">
        <f t="shared" si="9"/>
        <v>0</v>
      </c>
      <c r="L93" s="59">
        <f t="shared" si="10"/>
        <v>0</v>
      </c>
    </row>
    <row r="94" spans="3:12" s="48" customFormat="1" ht="15.75" x14ac:dyDescent="0.25">
      <c r="C94" s="17" t="s">
        <v>54</v>
      </c>
      <c r="F94" s="35">
        <f>SUM(F87:F93)</f>
        <v>1075.0922346527775</v>
      </c>
      <c r="H94" s="35">
        <f>SUM(H87:H93)</f>
        <v>1109.8989416784466</v>
      </c>
      <c r="J94" s="36">
        <f t="shared" ref="J94" si="11">H94-F94</f>
        <v>34.806707025669084</v>
      </c>
      <c r="L94" s="37">
        <f>IF(ISERROR(J94/F94),0,J94/F94)</f>
        <v>3.2375554304799353E-2</v>
      </c>
    </row>
    <row r="95" spans="3:12" s="48" customFormat="1" ht="15" x14ac:dyDescent="0.2"/>
    <row r="96" spans="3:12" s="48" customFormat="1" ht="15.75" x14ac:dyDescent="0.25">
      <c r="C96" s="17" t="s">
        <v>67</v>
      </c>
    </row>
    <row r="97" spans="3:12" s="48" customFormat="1" ht="15" x14ac:dyDescent="0.2"/>
    <row r="98" spans="3:12" s="48" customFormat="1" ht="15.75" x14ac:dyDescent="0.25">
      <c r="C98" s="17" t="s">
        <v>67</v>
      </c>
      <c r="E98" s="52"/>
      <c r="F98" s="52" t="s">
        <v>35</v>
      </c>
      <c r="G98" s="52"/>
      <c r="H98" s="52" t="s">
        <v>52</v>
      </c>
      <c r="J98" s="48" t="s">
        <v>55</v>
      </c>
      <c r="L98" s="56" t="s">
        <v>56</v>
      </c>
    </row>
    <row r="99" spans="3:12" s="48" customFormat="1" ht="15" x14ac:dyDescent="0.2">
      <c r="C99" s="48" t="s">
        <v>99</v>
      </c>
      <c r="E99" s="60"/>
      <c r="F99" s="58">
        <f>F75*$J75</f>
        <v>1.77</v>
      </c>
      <c r="G99" s="60"/>
      <c r="H99" s="58">
        <f>H75*$J75</f>
        <v>2.3091384355414641</v>
      </c>
      <c r="I99" s="60"/>
      <c r="J99" s="53">
        <f>IFERROR(H99-F99,"")</f>
        <v>0.53913843554146412</v>
      </c>
      <c r="L99" s="59">
        <f t="shared" ref="L99:L100" si="12">IFERROR(J99/F99,"")</f>
        <v>0.30459798618161815</v>
      </c>
    </row>
    <row r="100" spans="3:12" s="48" customFormat="1" ht="15" x14ac:dyDescent="0.2">
      <c r="C100" s="48" t="s">
        <v>98</v>
      </c>
      <c r="E100" s="60"/>
      <c r="F100" s="55">
        <f>IFERROR(F76*$J76/100,"")</f>
        <v>6.8198008888888886</v>
      </c>
      <c r="G100" s="60"/>
      <c r="H100" s="55">
        <f>IFERROR(H76*$J76/100,"")</f>
        <v>16.337909612867609</v>
      </c>
      <c r="I100" s="60"/>
      <c r="J100" s="53">
        <f t="shared" ref="J100" si="13">IFERROR(H100-F100,"")</f>
        <v>9.5181087239787203</v>
      </c>
      <c r="L100" s="59">
        <f t="shared" si="12"/>
        <v>1.3956578614320001</v>
      </c>
    </row>
    <row r="101" spans="3:12" s="48" customFormat="1" ht="15" x14ac:dyDescent="0.2">
      <c r="C101" s="48" t="s">
        <v>100</v>
      </c>
      <c r="E101" s="60"/>
      <c r="F101" s="55" t="str">
        <f>IFERROR(F77*$J77/100,"")</f>
        <v/>
      </c>
      <c r="G101" s="60"/>
      <c r="H101" s="55">
        <f>IFERROR(H77*$J77/100,"")</f>
        <v>7.9076770095491531</v>
      </c>
      <c r="I101" s="60"/>
      <c r="J101" s="53">
        <f>H101</f>
        <v>7.9076770095491531</v>
      </c>
      <c r="L101" s="59">
        <f>J101/H101</f>
        <v>1</v>
      </c>
    </row>
    <row r="102" spans="3:12" s="48" customFormat="1" ht="15.75" x14ac:dyDescent="0.25">
      <c r="C102" s="20" t="s">
        <v>69</v>
      </c>
      <c r="F102" s="38">
        <f>SUM(F99:F101)</f>
        <v>8.5898008888888882</v>
      </c>
      <c r="H102" s="38">
        <f>SUM(H99:H101)</f>
        <v>26.554725057958226</v>
      </c>
      <c r="J102" s="38">
        <f>SUM(J99:J101)</f>
        <v>17.964924169069338</v>
      </c>
      <c r="L102" s="37">
        <f t="shared" ref="L102" si="14">IF(ISERROR(J102/F102),0,J102/F102)</f>
        <v>2.0914249819582427</v>
      </c>
    </row>
    <row r="103" spans="3:12" s="48" customFormat="1" ht="15" x14ac:dyDescent="0.2">
      <c r="C103" s="47"/>
    </row>
    <row r="104" spans="3:12" s="48" customFormat="1" ht="15.75" x14ac:dyDescent="0.25">
      <c r="C104" s="17" t="s">
        <v>108</v>
      </c>
    </row>
    <row r="105" spans="3:12" s="48" customFormat="1" ht="15" x14ac:dyDescent="0.2">
      <c r="C105" s="47" t="s">
        <v>134</v>
      </c>
      <c r="F105" s="58">
        <f>F79*$J79/100</f>
        <v>312.75180638888889</v>
      </c>
      <c r="G105" s="60"/>
      <c r="H105" s="58">
        <f>H79*$J79/100</f>
        <v>312.75180638888889</v>
      </c>
      <c r="J105" s="53">
        <f>IFERROR(H105-F105,"")</f>
        <v>0</v>
      </c>
      <c r="L105" s="59">
        <f t="shared" ref="L105:L106" si="15">IFERROR(J105/F105,"")</f>
        <v>0</v>
      </c>
    </row>
    <row r="106" spans="3:12" s="48" customFormat="1" ht="15" x14ac:dyDescent="0.2">
      <c r="C106" s="47" t="s">
        <v>135</v>
      </c>
      <c r="F106" s="58">
        <f>F80*$J80/100</f>
        <v>0.143855175</v>
      </c>
      <c r="G106" s="60"/>
      <c r="H106" s="58">
        <f>H80*$J80/100</f>
        <v>0.143855175</v>
      </c>
      <c r="J106" s="53">
        <f>IFERROR(H106-F106,"")</f>
        <v>0</v>
      </c>
      <c r="L106" s="59">
        <f t="shared" si="15"/>
        <v>0</v>
      </c>
    </row>
    <row r="107" spans="3:12" s="48" customFormat="1" ht="18" customHeight="1" x14ac:dyDescent="0.25">
      <c r="C107" s="20" t="s">
        <v>136</v>
      </c>
      <c r="F107" s="38">
        <f>SUM(F105:F106)</f>
        <v>312.89566156388889</v>
      </c>
      <c r="H107" s="38">
        <f>SUM(H105:H106)</f>
        <v>312.89566156388889</v>
      </c>
      <c r="J107" s="38">
        <f>SUM(J105:J106)</f>
        <v>0</v>
      </c>
      <c r="L107" s="37">
        <f t="shared" ref="L107" si="16">IF(ISERROR(J107/F107),0,J107/F107)</f>
        <v>0</v>
      </c>
    </row>
    <row r="108" spans="3:12" s="48" customFormat="1" ht="18" customHeight="1" x14ac:dyDescent="0.2">
      <c r="C108" s="47"/>
    </row>
    <row r="109" spans="3:12" s="48" customFormat="1" ht="16.5" thickBot="1" x14ac:dyDescent="0.3">
      <c r="C109" s="20" t="s">
        <v>70</v>
      </c>
      <c r="F109" s="39">
        <f>SUM(F84,F94,F102,F107)</f>
        <v>2103.2902201555553</v>
      </c>
      <c r="H109" s="39">
        <f>SUM(H84,H94,H102,H107)</f>
        <v>2156.0618513502936</v>
      </c>
      <c r="J109" s="39">
        <f>SUM(J84,J94,J102,J107)</f>
        <v>52.771631194738418</v>
      </c>
      <c r="L109" s="40">
        <f t="shared" ref="L109" si="17">IFERROR(J109/F109,"")</f>
        <v>2.509003783169568E-2</v>
      </c>
    </row>
    <row r="110" spans="3:12" s="48" customFormat="1" ht="15.75" x14ac:dyDescent="0.25">
      <c r="C110" s="20"/>
      <c r="E110" s="122"/>
      <c r="F110" s="121"/>
      <c r="G110" s="122"/>
      <c r="H110" s="121"/>
      <c r="I110" s="122"/>
      <c r="J110" s="123"/>
      <c r="K110" s="122"/>
      <c r="L110" s="124"/>
    </row>
    <row r="111" spans="3:12" s="48" customFormat="1" ht="15.75" x14ac:dyDescent="0.25">
      <c r="C111" s="20"/>
      <c r="E111" s="122"/>
      <c r="F111" s="121"/>
      <c r="G111" s="122"/>
      <c r="H111" s="121"/>
      <c r="I111" s="122"/>
      <c r="J111" s="123"/>
      <c r="K111" s="122"/>
      <c r="L111" s="124"/>
    </row>
    <row r="112" spans="3:12" s="48" customFormat="1" ht="15.75" customHeight="1" x14ac:dyDescent="0.25">
      <c r="C112" s="116" t="str">
        <f ca="1">MID(CELL("filename",A53),FIND("]",CELL("filename",A53))+1,255)</f>
        <v>G1.4 Rate 4 Bill Impact</v>
      </c>
      <c r="E112" s="122"/>
      <c r="F112" s="121"/>
      <c r="G112" s="122"/>
      <c r="H112" s="121"/>
      <c r="I112" s="122"/>
      <c r="J112" s="123"/>
      <c r="K112" s="122"/>
      <c r="L112" s="124"/>
    </row>
    <row r="113" spans="3:12" s="48" customFormat="1" ht="15.75" customHeight="1" x14ac:dyDescent="0.25">
      <c r="C113" s="116"/>
      <c r="E113" s="122"/>
      <c r="F113" s="121"/>
      <c r="G113" s="122"/>
      <c r="H113" s="121"/>
      <c r="I113" s="122"/>
      <c r="J113" s="123"/>
      <c r="K113" s="122"/>
      <c r="L113" s="124"/>
    </row>
    <row r="114" spans="3:12" s="48" customFormat="1" ht="20.25" x14ac:dyDescent="0.3">
      <c r="C114" s="3" t="s">
        <v>148</v>
      </c>
      <c r="E114" s="52"/>
      <c r="F114" s="172"/>
      <c r="G114" s="172"/>
      <c r="H114" s="172"/>
      <c r="I114" s="172"/>
      <c r="J114" s="172"/>
    </row>
    <row r="115" spans="3:12" s="48" customFormat="1" ht="15" x14ac:dyDescent="0.2"/>
    <row r="116" spans="3:12" s="48" customFormat="1" ht="15.75" x14ac:dyDescent="0.25">
      <c r="C116" s="17" t="s">
        <v>8</v>
      </c>
      <c r="E116" s="52"/>
      <c r="F116" s="172" t="s">
        <v>130</v>
      </c>
      <c r="G116" s="172"/>
      <c r="H116" s="172" t="s">
        <v>131</v>
      </c>
      <c r="J116" s="48" t="s">
        <v>55</v>
      </c>
      <c r="L116" s="56" t="s">
        <v>56</v>
      </c>
    </row>
    <row r="117" spans="3:12" s="48" customFormat="1" ht="15" x14ac:dyDescent="0.2">
      <c r="F117" s="58">
        <f>F32+F84</f>
        <v>6560.4213685500017</v>
      </c>
      <c r="G117" s="171"/>
      <c r="H117" s="58">
        <f>H32+H84</f>
        <v>6560.4213685500017</v>
      </c>
      <c r="J117" s="53">
        <f>H117-F117</f>
        <v>0</v>
      </c>
      <c r="L117" s="59">
        <f>IFERROR(J117/F117,"")</f>
        <v>0</v>
      </c>
    </row>
    <row r="118" spans="3:12" s="48" customFormat="1" ht="15" x14ac:dyDescent="0.2"/>
    <row r="119" spans="3:12" s="48" customFormat="1" ht="15.75" x14ac:dyDescent="0.25">
      <c r="C119" s="17" t="s">
        <v>68</v>
      </c>
      <c r="E119" s="52"/>
      <c r="F119" s="52" t="s">
        <v>35</v>
      </c>
      <c r="G119" s="52"/>
      <c r="H119" s="52" t="s">
        <v>52</v>
      </c>
      <c r="J119" s="48" t="s">
        <v>55</v>
      </c>
      <c r="L119" s="56" t="s">
        <v>56</v>
      </c>
    </row>
    <row r="120" spans="3:12" s="48" customFormat="1" ht="15" x14ac:dyDescent="0.2">
      <c r="C120" s="47" t="str">
        <f>C35</f>
        <v>Customer (excl. Bill 32)</v>
      </c>
      <c r="F120" s="58">
        <f t="shared" ref="F120:F126" si="18">IFERROR(F35+F87,"")</f>
        <v>240</v>
      </c>
      <c r="G120" s="171"/>
      <c r="H120" s="58">
        <f t="shared" ref="H120:H126" si="19">IFERROR(H35+H87,"")</f>
        <v>240</v>
      </c>
      <c r="J120" s="53">
        <f>IFERROR(H120-F120,"")</f>
        <v>0</v>
      </c>
      <c r="L120" s="59">
        <f>IFERROR(J120/F120,"")</f>
        <v>0</v>
      </c>
    </row>
    <row r="121" spans="3:12" s="48" customFormat="1" ht="15" x14ac:dyDescent="0.2">
      <c r="C121" s="47" t="s">
        <v>149</v>
      </c>
      <c r="F121" s="58">
        <f t="shared" si="18"/>
        <v>12</v>
      </c>
      <c r="G121" s="171"/>
      <c r="H121" s="58">
        <f t="shared" si="19"/>
        <v>12</v>
      </c>
      <c r="J121" s="53">
        <f>IFERROR(H121-F121,"")</f>
        <v>0</v>
      </c>
      <c r="L121" s="59">
        <f>IFERROR(J121/F121,"")</f>
        <v>0</v>
      </c>
    </row>
    <row r="122" spans="3:12" s="48" customFormat="1" ht="15" x14ac:dyDescent="0.2">
      <c r="C122" s="47" t="str">
        <f>C37</f>
        <v>Block 1 (First 1,000 m3 per month)</v>
      </c>
      <c r="F122" s="58">
        <f t="shared" si="18"/>
        <v>662.57244888888886</v>
      </c>
      <c r="G122" s="171"/>
      <c r="H122" s="58">
        <f t="shared" si="19"/>
        <v>685.40704145030543</v>
      </c>
      <c r="J122" s="53">
        <f t="shared" ref="J122:J126" si="20">IFERROR(H122-F122,"")</f>
        <v>22.834592561416571</v>
      </c>
      <c r="L122" s="59">
        <f t="shared" ref="L122:L126" si="21">IFERROR(J122/F122,"")</f>
        <v>3.4463540703676097E-2</v>
      </c>
    </row>
    <row r="123" spans="3:12" s="48" customFormat="1" ht="15" x14ac:dyDescent="0.2">
      <c r="C123" s="47" t="str">
        <f>C38</f>
        <v>Block 2 (Over 1,000 m3 per month)</v>
      </c>
      <c r="F123" s="58">
        <f t="shared" si="18"/>
        <v>5462.5889969999998</v>
      </c>
      <c r="G123" s="171"/>
      <c r="H123" s="58">
        <f t="shared" si="19"/>
        <v>5650.8869148226713</v>
      </c>
      <c r="J123" s="53">
        <f t="shared" si="20"/>
        <v>188.29791782267148</v>
      </c>
      <c r="L123" s="59">
        <f t="shared" si="21"/>
        <v>3.4470453099452084E-2</v>
      </c>
    </row>
    <row r="124" spans="3:12" s="48" customFormat="1" ht="15" x14ac:dyDescent="0.2">
      <c r="C124" s="47" t="str">
        <f>C39</f>
        <v/>
      </c>
      <c r="F124" s="58" t="str">
        <f t="shared" si="18"/>
        <v/>
      </c>
      <c r="G124" s="171"/>
      <c r="H124" s="58" t="str">
        <f t="shared" si="19"/>
        <v/>
      </c>
      <c r="J124" s="53" t="str">
        <f t="shared" si="20"/>
        <v/>
      </c>
      <c r="L124" s="59" t="str">
        <f t="shared" si="21"/>
        <v/>
      </c>
    </row>
    <row r="125" spans="3:12" s="48" customFormat="1" ht="15" x14ac:dyDescent="0.2">
      <c r="C125" s="47" t="str">
        <f>C40</f>
        <v/>
      </c>
      <c r="F125" s="58" t="str">
        <f t="shared" si="18"/>
        <v/>
      </c>
      <c r="G125" s="171"/>
      <c r="H125" s="58" t="str">
        <f t="shared" si="19"/>
        <v/>
      </c>
      <c r="J125" s="53" t="str">
        <f t="shared" si="20"/>
        <v/>
      </c>
      <c r="L125" s="59" t="str">
        <f t="shared" si="21"/>
        <v/>
      </c>
    </row>
    <row r="126" spans="3:12" s="48" customFormat="1" ht="15" x14ac:dyDescent="0.2">
      <c r="C126" s="47" t="str">
        <f>C41</f>
        <v>System Gas Charge</v>
      </c>
      <c r="F126" s="58">
        <f t="shared" si="18"/>
        <v>21.514929625000001</v>
      </c>
      <c r="G126" s="171"/>
      <c r="H126" s="58">
        <f t="shared" si="19"/>
        <v>21.514929625000001</v>
      </c>
      <c r="J126" s="53">
        <f t="shared" si="20"/>
        <v>0</v>
      </c>
      <c r="L126" s="59">
        <f t="shared" si="21"/>
        <v>0</v>
      </c>
    </row>
    <row r="127" spans="3:12" s="48" customFormat="1" ht="15.75" x14ac:dyDescent="0.25">
      <c r="C127" s="17" t="s">
        <v>54</v>
      </c>
      <c r="F127" s="35">
        <f>SUM(F120:F126)</f>
        <v>6398.6763755138891</v>
      </c>
      <c r="H127" s="35">
        <f>SUM(H120:H126)</f>
        <v>6609.8088858979772</v>
      </c>
      <c r="J127" s="36">
        <f t="shared" ref="J127" si="22">H127-F127</f>
        <v>211.13251038408816</v>
      </c>
      <c r="L127" s="37">
        <f>IF(ISERROR(J127/F127),0,J127/F127)</f>
        <v>3.2996278916689506E-2</v>
      </c>
    </row>
    <row r="128" spans="3:12" s="48" customFormat="1" ht="15" x14ac:dyDescent="0.2"/>
    <row r="129" spans="3:12" s="48" customFormat="1" ht="15.75" x14ac:dyDescent="0.25">
      <c r="C129" s="17" t="s">
        <v>67</v>
      </c>
    </row>
    <row r="130" spans="3:12" s="48" customFormat="1" ht="15" x14ac:dyDescent="0.2"/>
    <row r="131" spans="3:12" s="48" customFormat="1" ht="15.75" x14ac:dyDescent="0.25">
      <c r="C131" s="17" t="s">
        <v>67</v>
      </c>
      <c r="E131" s="52"/>
      <c r="F131" s="52" t="s">
        <v>35</v>
      </c>
      <c r="G131" s="52"/>
      <c r="H131" s="52" t="s">
        <v>52</v>
      </c>
      <c r="J131" s="48" t="s">
        <v>55</v>
      </c>
      <c r="L131" s="56" t="s">
        <v>56</v>
      </c>
    </row>
    <row r="132" spans="3:12" s="48" customFormat="1" ht="15" x14ac:dyDescent="0.2">
      <c r="C132" s="48" t="s">
        <v>99</v>
      </c>
      <c r="E132" s="60"/>
      <c r="F132" s="58">
        <f>IFERROR(F47+F99,"")</f>
        <v>7.08</v>
      </c>
      <c r="G132" s="171"/>
      <c r="H132" s="58">
        <f>IFERROR(H47+H99,"")</f>
        <v>9.2365537421658566</v>
      </c>
      <c r="I132" s="60"/>
      <c r="J132" s="53">
        <f>IFERROR(H132-F132,"")</f>
        <v>2.1565537421658565</v>
      </c>
      <c r="L132" s="59">
        <f t="shared" ref="L132:L133" si="23">IFERROR(J132/F132,"")</f>
        <v>0.30459798618161815</v>
      </c>
    </row>
    <row r="133" spans="3:12" s="48" customFormat="1" ht="15" x14ac:dyDescent="0.2">
      <c r="C133" s="48" t="s">
        <v>98</v>
      </c>
      <c r="E133" s="60"/>
      <c r="F133" s="58">
        <f>IFERROR(F48+F100,"")</f>
        <v>63.308298666666673</v>
      </c>
      <c r="G133" s="171"/>
      <c r="H133" s="58">
        <f>IFERROR(H48+H100,"")</f>
        <v>151.66502339468502</v>
      </c>
      <c r="I133" s="60"/>
      <c r="J133" s="53">
        <f t="shared" ref="J133" si="24">IFERROR(H133-F133,"")</f>
        <v>88.356724728018349</v>
      </c>
      <c r="L133" s="59">
        <f t="shared" si="23"/>
        <v>1.3956578614320001</v>
      </c>
    </row>
    <row r="134" spans="3:12" s="48" customFormat="1" ht="15" x14ac:dyDescent="0.2">
      <c r="C134" s="48" t="s">
        <v>100</v>
      </c>
      <c r="E134" s="60"/>
      <c r="F134" s="58" t="str">
        <f>IFERROR(F49+F101,"")</f>
        <v/>
      </c>
      <c r="G134" s="171"/>
      <c r="H134" s="58">
        <f>IFERROR(H49+H101,"")</f>
        <v>73.407066575170163</v>
      </c>
      <c r="I134" s="60"/>
      <c r="J134" s="53">
        <f>H134</f>
        <v>73.407066575170163</v>
      </c>
      <c r="L134" s="59">
        <f>J134/H134</f>
        <v>1</v>
      </c>
    </row>
    <row r="135" spans="3:12" s="48" customFormat="1" ht="15.75" x14ac:dyDescent="0.25">
      <c r="C135" s="20" t="s">
        <v>69</v>
      </c>
      <c r="F135" s="38">
        <f>SUM(F132:F134)</f>
        <v>70.388298666666671</v>
      </c>
      <c r="H135" s="38">
        <f>SUM(H132:H134)</f>
        <v>234.30864371202102</v>
      </c>
      <c r="J135" s="38">
        <f>SUM(J132:J134)</f>
        <v>163.92034504535437</v>
      </c>
      <c r="L135" s="37">
        <f t="shared" ref="L135" si="25">IF(ISERROR(J135/F135),0,J135/F135)</f>
        <v>2.3288010670867525</v>
      </c>
    </row>
    <row r="136" spans="3:12" s="48" customFormat="1" ht="15" x14ac:dyDescent="0.2">
      <c r="C136" s="47"/>
    </row>
    <row r="137" spans="3:12" s="48" customFormat="1" ht="15.75" x14ac:dyDescent="0.25">
      <c r="C137" s="17" t="s">
        <v>108</v>
      </c>
    </row>
    <row r="138" spans="3:12" s="48" customFormat="1" ht="15" x14ac:dyDescent="0.2">
      <c r="C138" s="47" t="s">
        <v>134</v>
      </c>
      <c r="F138" s="58">
        <f>IFERROR(F53+F105,"")</f>
        <v>2903.2790091666666</v>
      </c>
      <c r="G138" s="171"/>
      <c r="H138" s="58">
        <f>IFERROR(H53+H105,"")</f>
        <v>2903.2790091666666</v>
      </c>
      <c r="J138" s="53">
        <f>IFERROR(H138-F138,"")</f>
        <v>0</v>
      </c>
      <c r="L138" s="59">
        <f t="shared" ref="L138:L139" si="26">IFERROR(J138/F138,"")</f>
        <v>0</v>
      </c>
    </row>
    <row r="139" spans="3:12" s="48" customFormat="1" ht="15" x14ac:dyDescent="0.2">
      <c r="C139" s="47" t="s">
        <v>135</v>
      </c>
      <c r="F139" s="58">
        <f>IFERROR(F54+F106,"")</f>
        <v>1.3354094249999999</v>
      </c>
      <c r="G139" s="171"/>
      <c r="H139" s="58">
        <f>IFERROR(H54+H106,"")</f>
        <v>1.3354094249999999</v>
      </c>
      <c r="J139" s="53">
        <f>IFERROR(H139-F139,"")</f>
        <v>0</v>
      </c>
      <c r="L139" s="59">
        <f t="shared" si="26"/>
        <v>0</v>
      </c>
    </row>
    <row r="140" spans="3:12" s="48" customFormat="1" ht="18" customHeight="1" x14ac:dyDescent="0.25">
      <c r="C140" s="20" t="s">
        <v>136</v>
      </c>
      <c r="F140" s="38">
        <f>SUM(F138:F139)</f>
        <v>2904.6144185916664</v>
      </c>
      <c r="H140" s="38">
        <f>SUM(H138:H139)</f>
        <v>2904.6144185916664</v>
      </c>
      <c r="J140" s="38">
        <f>SUM(J138:J139)</f>
        <v>0</v>
      </c>
      <c r="L140" s="37">
        <f t="shared" ref="L140" si="27">IF(ISERROR(J140/F140),0,J140/F140)</f>
        <v>0</v>
      </c>
    </row>
    <row r="141" spans="3:12" s="48" customFormat="1" ht="18" customHeight="1" x14ac:dyDescent="0.2">
      <c r="C141" s="47"/>
    </row>
    <row r="142" spans="3:12" s="48" customFormat="1" ht="16.5" thickBot="1" x14ac:dyDescent="0.3">
      <c r="C142" s="20" t="s">
        <v>70</v>
      </c>
      <c r="F142" s="39">
        <f>SUM(F117,F127,F135,F140)</f>
        <v>15934.100461322225</v>
      </c>
      <c r="H142" s="39">
        <f>SUM(H117,H127,H135,H140)</f>
        <v>16309.153316751668</v>
      </c>
      <c r="J142" s="39">
        <f>SUM(J117,J127,J135,J140)</f>
        <v>375.0528554294425</v>
      </c>
      <c r="L142" s="40">
        <f t="shared" ref="L142" si="28">IFERROR(J142/F142,"")</f>
        <v>2.3537748888920983E-2</v>
      </c>
    </row>
    <row r="143" spans="3:12" s="48" customFormat="1" ht="15.75" x14ac:dyDescent="0.25">
      <c r="C143" s="20"/>
      <c r="E143" s="122"/>
      <c r="F143" s="121"/>
      <c r="G143" s="122"/>
      <c r="H143" s="121"/>
      <c r="I143" s="122"/>
      <c r="J143" s="123"/>
      <c r="K143" s="122"/>
      <c r="L143" s="124"/>
    </row>
    <row r="144" spans="3:12" s="48" customFormat="1" ht="15.75" x14ac:dyDescent="0.25">
      <c r="C144" s="20"/>
      <c r="E144" s="122"/>
      <c r="F144" s="121"/>
      <c r="G144" s="122"/>
      <c r="H144" s="121"/>
      <c r="I144" s="122"/>
      <c r="J144" s="123"/>
      <c r="K144" s="122"/>
      <c r="L144" s="124"/>
    </row>
    <row r="145" spans="3:12" s="48" customFormat="1" ht="15.75" customHeight="1" x14ac:dyDescent="0.25">
      <c r="C145" s="116" t="str">
        <f ca="1">MID(CELL("filename",A105),FIND("]",CELL("filename",A105))+1,255)</f>
        <v>G1.4 Rate 4 Bill Impact</v>
      </c>
      <c r="E145" s="122"/>
      <c r="F145" s="121"/>
      <c r="G145" s="122"/>
      <c r="H145" s="121"/>
      <c r="I145" s="122"/>
      <c r="J145" s="123"/>
      <c r="K145" s="122"/>
      <c r="L145" s="124"/>
    </row>
    <row r="146" spans="3:12" s="48" customFormat="1" ht="15.75" customHeight="1" x14ac:dyDescent="0.25">
      <c r="C146" s="116"/>
      <c r="E146" s="122"/>
      <c r="F146" s="121"/>
      <c r="G146" s="122"/>
      <c r="H146" s="121"/>
      <c r="I146" s="122"/>
      <c r="J146" s="123"/>
      <c r="K146" s="122"/>
      <c r="L146" s="124"/>
    </row>
    <row r="147" spans="3:12" s="48" customFormat="1" ht="15.75" customHeight="1" x14ac:dyDescent="0.25">
      <c r="D147" s="125"/>
    </row>
    <row r="148" spans="3:12" s="48" customFormat="1" ht="15.75" customHeight="1" x14ac:dyDescent="0.25">
      <c r="D148" s="125"/>
    </row>
    <row r="149" spans="3:12" s="48" customFormat="1" ht="15.75" customHeight="1" x14ac:dyDescent="0.25">
      <c r="D149" s="125"/>
    </row>
    <row r="150" spans="3:12" s="48" customFormat="1" ht="15.75" customHeight="1" x14ac:dyDescent="0.25">
      <c r="D150" s="125"/>
    </row>
    <row r="151" spans="3:12" s="48" customFormat="1" ht="15.75" customHeight="1" x14ac:dyDescent="0.25">
      <c r="D151" s="125"/>
    </row>
    <row r="152" spans="3:12" s="48" customFormat="1" ht="15.75" customHeight="1" x14ac:dyDescent="0.25">
      <c r="D152" s="125"/>
    </row>
    <row r="153" spans="3:12" s="48" customFormat="1" ht="15.75" customHeight="1" x14ac:dyDescent="0.25">
      <c r="D153" s="125"/>
    </row>
    <row r="154" spans="3:12" s="48" customFormat="1" ht="15.75" customHeight="1" x14ac:dyDescent="0.25">
      <c r="D154" s="125"/>
    </row>
    <row r="155" spans="3:12" s="48" customFormat="1" ht="15.75" customHeight="1" x14ac:dyDescent="0.25">
      <c r="D155" s="125"/>
    </row>
    <row r="156" spans="3:12" s="48" customFormat="1" ht="15.75" customHeight="1" x14ac:dyDescent="0.25">
      <c r="D156" s="125"/>
    </row>
    <row r="157" spans="3:12" s="48" customFormat="1" ht="15.75" customHeight="1" x14ac:dyDescent="0.25">
      <c r="D157" s="125"/>
    </row>
    <row r="158" spans="3:12" s="48" customFormat="1" ht="15.75" customHeight="1" x14ac:dyDescent="0.25">
      <c r="D158" s="125"/>
    </row>
    <row r="159" spans="3:12" s="48" customFormat="1" ht="15.75" customHeight="1" x14ac:dyDescent="0.25">
      <c r="D159" s="125"/>
    </row>
    <row r="160" spans="3:12" s="48" customFormat="1" ht="15.75" customHeight="1" x14ac:dyDescent="0.25">
      <c r="D160" s="125"/>
    </row>
    <row r="161" spans="1:13" s="48" customFormat="1" ht="15.75" customHeight="1" x14ac:dyDescent="0.25">
      <c r="D161" s="125"/>
    </row>
    <row r="162" spans="1:13" s="48" customFormat="1" ht="15.75" customHeight="1" x14ac:dyDescent="0.25">
      <c r="D162" s="125"/>
    </row>
    <row r="163" spans="1:13" ht="15.75" customHeight="1" x14ac:dyDescent="0.25">
      <c r="A163" s="48"/>
      <c r="B163" s="48"/>
      <c r="C163" s="48"/>
      <c r="D163" s="125"/>
      <c r="E163" s="48"/>
      <c r="F163" s="48"/>
      <c r="G163" s="48"/>
      <c r="H163" s="48"/>
      <c r="I163" s="48"/>
      <c r="J163" s="48"/>
      <c r="K163" s="48"/>
      <c r="L163" s="48"/>
      <c r="M163" s="48"/>
    </row>
    <row r="164" spans="1:13" ht="15.75" customHeight="1" x14ac:dyDescent="0.25">
      <c r="A164" s="48"/>
      <c r="B164" s="48"/>
      <c r="C164" s="48"/>
      <c r="D164" s="125"/>
      <c r="E164" s="48"/>
      <c r="F164" s="48"/>
      <c r="G164" s="48"/>
      <c r="H164" s="48"/>
      <c r="I164" s="48"/>
      <c r="J164" s="48"/>
      <c r="K164" s="48"/>
      <c r="L164" s="48"/>
      <c r="M164" s="48"/>
    </row>
    <row r="165" spans="1:13" ht="15.75" customHeight="1" x14ac:dyDescent="0.25"/>
    <row r="166" spans="1:13" ht="15.75" customHeight="1" x14ac:dyDescent="0.25"/>
    <row r="167" spans="1:13" ht="15.75" customHeight="1" x14ac:dyDescent="0.25"/>
    <row r="168" spans="1:13" ht="15.75" customHeight="1" x14ac:dyDescent="0.25"/>
    <row r="169" spans="1:13" ht="15.75" customHeight="1" x14ac:dyDescent="0.25"/>
    <row r="170" spans="1:13" ht="15.75" customHeight="1" x14ac:dyDescent="0.25"/>
    <row r="171" spans="1:13" ht="15.75" customHeight="1" x14ac:dyDescent="0.25"/>
    <row r="172" spans="1:13" ht="15.75" customHeight="1" x14ac:dyDescent="0.25"/>
    <row r="173" spans="1:13" ht="15.75" customHeight="1" x14ac:dyDescent="0.25"/>
    <row r="174" spans="1:13" ht="15.75" customHeight="1" x14ac:dyDescent="0.25"/>
    <row r="175" spans="1:13" ht="15.75" customHeight="1" x14ac:dyDescent="0.25"/>
    <row r="176" spans="1:13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0" hidden="1" customHeight="1" x14ac:dyDescent="0.25"/>
    <row r="245" ht="0" hidden="1" customHeight="1" x14ac:dyDescent="0.25"/>
  </sheetData>
  <sheetProtection algorithmName="SHA-512" hashValue="oqkgel6u6bgxUlyuP6wrt53s+kxU9/Po/rSGTOyFzTB+pxb9rw/n52Cb9loYYTjFN9m0VI+GxcI9DGgISSZ9sQ==" saltValue="Znx/4BsKU0UIxA8nXvLVlg==" spinCount="100000" sheet="1" objects="1" scenarios="1"/>
  <pageMargins left="0.70866141732283472" right="0.70866141732283472" top="0.74803149606299213" bottom="0.74803149606299213" header="0.31496062992125984" footer="0.31496062992125984"/>
  <pageSetup scale="21" orientation="landscape" r:id="rId1"/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160"/>
  <sheetViews>
    <sheetView showGridLines="0" topLeftCell="A31" zoomScaleNormal="100" zoomScaleSheetLayoutView="100" workbookViewId="0">
      <selection activeCell="H37" activeCellId="1" sqref="H35 H37"/>
    </sheetView>
  </sheetViews>
  <sheetFormatPr defaultColWidth="9.140625" defaultRowHeight="0" customHeight="1" zeroHeight="1" x14ac:dyDescent="0.25"/>
  <cols>
    <col min="1" max="1" width="15.7109375" style="51" customWidth="1"/>
    <col min="2" max="2" width="13.28515625" style="51" customWidth="1"/>
    <col min="3" max="3" width="55.7109375" style="51" customWidth="1"/>
    <col min="4" max="4" width="13.85546875" style="1" customWidth="1"/>
    <col min="5" max="5" width="2.7109375" style="51" customWidth="1"/>
    <col min="6" max="6" width="14" style="51" bestFit="1" customWidth="1"/>
    <col min="7" max="7" width="2.7109375" style="51" customWidth="1"/>
    <col min="8" max="8" width="16.5703125" style="51" bestFit="1" customWidth="1"/>
    <col min="9" max="9" width="2.7109375" style="51" customWidth="1"/>
    <col min="10" max="10" width="12.28515625" style="51" customWidth="1"/>
    <col min="11" max="11" width="2.7109375" style="51" customWidth="1"/>
    <col min="12" max="12" width="11.7109375" style="51" bestFit="1" customWidth="1"/>
    <col min="13" max="13" width="2.7109375" style="51" customWidth="1"/>
    <col min="14" max="14" width="12.7109375" style="51" customWidth="1"/>
    <col min="15" max="16384" width="9.140625" style="51"/>
  </cols>
  <sheetData>
    <row r="1" spans="1:15" ht="15" x14ac:dyDescent="0.2">
      <c r="A1" s="48"/>
      <c r="B1" s="48"/>
      <c r="C1" s="5"/>
      <c r="D1" s="48"/>
      <c r="E1" s="48"/>
      <c r="F1" s="48"/>
      <c r="G1" s="48"/>
      <c r="H1" s="48"/>
      <c r="I1" s="48"/>
      <c r="J1" s="48"/>
      <c r="K1" s="48"/>
      <c r="L1" s="48"/>
    </row>
    <row r="2" spans="1:15" s="48" customFormat="1" ht="18" x14ac:dyDescent="0.25">
      <c r="C2" s="6" t="str">
        <f>'A1.1 Distributor Information'!C3</f>
        <v>Name of LDC:       EPCOR Natural Gas Limited Partnership</v>
      </c>
    </row>
    <row r="3" spans="1:15" s="48" customFormat="1" ht="18" x14ac:dyDescent="0.25">
      <c r="C3" s="6" t="str">
        <f>'A1.1 Distributor Information'!C4</f>
        <v>OEB Application Number:          EB-2020-0234 Exhibit A - 2021 IRM Application</v>
      </c>
    </row>
    <row r="4" spans="1:15" s="48" customFormat="1" ht="15" x14ac:dyDescent="0.2"/>
    <row r="5" spans="1:15" s="48" customFormat="1" ht="15" x14ac:dyDescent="0.2"/>
    <row r="6" spans="1:15" s="48" customFormat="1" ht="15" x14ac:dyDescent="0.2"/>
    <row r="7" spans="1:15" s="48" customFormat="1" ht="20.25" x14ac:dyDescent="0.3">
      <c r="C7" s="3" t="s">
        <v>61</v>
      </c>
    </row>
    <row r="8" spans="1:15" s="48" customFormat="1" ht="15" x14ac:dyDescent="0.2"/>
    <row r="9" spans="1:15" s="48" customFormat="1" ht="15" x14ac:dyDescent="0.2"/>
    <row r="10" spans="1:15" s="48" customFormat="1" ht="20.25" x14ac:dyDescent="0.3">
      <c r="C10" s="3" t="str">
        <f>'For Bill Impact(HideBeforeFile)'!C14</f>
        <v>RATE 5 - Interruptible Peaking Contract Rate</v>
      </c>
      <c r="E10" s="52"/>
      <c r="F10" s="172" t="s">
        <v>130</v>
      </c>
      <c r="G10" s="172"/>
      <c r="H10" s="172" t="s">
        <v>131</v>
      </c>
      <c r="I10" s="172"/>
      <c r="J10" s="172" t="s">
        <v>133</v>
      </c>
      <c r="O10" s="48" t="s">
        <v>132</v>
      </c>
    </row>
    <row r="11" spans="1:15" s="48" customFormat="1" ht="15" x14ac:dyDescent="0.2"/>
    <row r="12" spans="1:15" s="48" customFormat="1" ht="15" x14ac:dyDescent="0.2"/>
    <row r="13" spans="1:15" s="48" customFormat="1" ht="15" x14ac:dyDescent="0.2"/>
    <row r="14" spans="1:15" s="48" customFormat="1" ht="15" x14ac:dyDescent="0.2">
      <c r="C14" s="48" t="str">
        <f>INDEX('For Bill Impact(HideBeforeFile)'!$D$48:$O$57,MATCH(C10,'For Bill Impact(HideBeforeFile)'!$C$62:$C$71,0),MATCH($O14,'For Bill Impact(HideBeforeFile)'!$D$61:$O$61,0))</f>
        <v>Commodity</v>
      </c>
      <c r="D14" s="48" t="str">
        <f>INDEX('For Bill Impact(HideBeforeFile)'!$D$62:$O$71,MATCH(C10,'For Bill Impact(HideBeforeFile)'!$C$62:$C$71,0),MATCH($O14,'For Bill Impact(HideBeforeFile)'!$D$61:$O$61,0))</f>
        <v>cents / m3</v>
      </c>
      <c r="E14" s="169"/>
      <c r="F14" s="54">
        <f>INDEX('For Bill Impact(HideBeforeFile)'!$D$6:$O$15,MATCH(C10,'For Bill Impact(HideBeforeFile)'!$C$62:$C$71,0),MATCH($O14,'For Bill Impact(HideBeforeFile)'!$D$61:$O$61,0))</f>
        <v>13.264200000000001</v>
      </c>
      <c r="G14" s="169"/>
      <c r="H14" s="54">
        <f>INDEX('For Bill Impact(HideBeforeFile)'!$D$20:$O$29,MATCH(C10,'For Bill Impact(HideBeforeFile)'!$C$62:$C$71,0),MATCH($O14,'For Bill Impact(HideBeforeFile)'!$D$61:$O$61,0))</f>
        <v>13.264200000000001</v>
      </c>
      <c r="J14" s="57">
        <f>INDEX('For Bill Impact(HideBeforeFile)'!$D$34:$O$43,MATCH(C10,'For Bill Impact(HideBeforeFile)'!$C$62:$C$71,0),MATCH($O14,'For Bill Impact(HideBeforeFile)'!$D$61:$O$61,0))</f>
        <v>198871.1</v>
      </c>
      <c r="O14" s="48" t="str">
        <f>'For Bill Impact(HideBeforeFile)'!$D$5</f>
        <v>Commodity</v>
      </c>
    </row>
    <row r="15" spans="1:15" s="48" customFormat="1" ht="15" x14ac:dyDescent="0.2"/>
    <row r="16" spans="1:15" s="48" customFormat="1" ht="15" x14ac:dyDescent="0.2">
      <c r="C16" s="48" t="str">
        <f>INDEX('For Bill Impact(HideBeforeFile)'!$D$48:$O$57,MATCH(C10,'For Bill Impact(HideBeforeFile)'!$C$62:$C$71,0),MATCH($O16,'For Bill Impact(HideBeforeFile)'!$D$61:$O$61,0))</f>
        <v>Customer (excl. Bill 32)</v>
      </c>
      <c r="D16" s="48" t="str">
        <f>INDEX('For Bill Impact(HideBeforeFile)'!$D$62:$O$71,MATCH(C10,'For Bill Impact(HideBeforeFile)'!$C$62:$C$71,0),MATCH($O16,'For Bill Impact(HideBeforeFile)'!$D$61:$O$61,0))</f>
        <v>$ / month</v>
      </c>
      <c r="E16" s="171"/>
      <c r="F16" s="170">
        <f>INDEX('For Bill Impact(HideBeforeFile)'!$D$6:$O$15,MATCH(C10,'For Bill Impact(HideBeforeFile)'!$C$62:$C$71,0),MATCH($O16,'For Bill Impact(HideBeforeFile)'!$D$61:$O$61,0))</f>
        <v>190</v>
      </c>
      <c r="G16" s="171"/>
      <c r="H16" s="170">
        <f>INDEX('For Bill Impact(HideBeforeFile)'!$D$20:$O$29,MATCH(C10,'For Bill Impact(HideBeforeFile)'!$C$62:$C$71,0),MATCH($O16,'For Bill Impact(HideBeforeFile)'!$D$61:$O$61,0))</f>
        <v>190</v>
      </c>
      <c r="J16" s="57">
        <f>INDEX('For Bill Impact(HideBeforeFile)'!$D$34:$O$43,MATCH(C10,'For Bill Impact(HideBeforeFile)'!$C$62:$C$71,0),MATCH($O16,'For Bill Impact(HideBeforeFile)'!$D$61:$O$61,0))</f>
        <v>12</v>
      </c>
      <c r="O16" s="48" t="str">
        <f>'For Bill Impact(HideBeforeFile)'!$K$5</f>
        <v>Dist. Customer Rate</v>
      </c>
    </row>
    <row r="17" spans="3:15" s="48" customFormat="1" ht="15" x14ac:dyDescent="0.2">
      <c r="C17" s="48" t="str">
        <f>INDEX('For Bill Impact(HideBeforeFile)'!$D$48:$O$57,MATCH(C10,'For Bill Impact(HideBeforeFile)'!$C$62:$C$71,0),MATCH($O17,'For Bill Impact(HideBeforeFile)'!$D$61:$O$61,0))</f>
        <v>Delivery - Firm</v>
      </c>
      <c r="D17" s="48" t="str">
        <f>INDEX('For Bill Impact(HideBeforeFile)'!$D$62:$O$71,MATCH(C10,'For Bill Impact(HideBeforeFile)'!$C$62:$C$71,0),MATCH($O17,'For Bill Impact(HideBeforeFile)'!$D$61:$O$61,0))</f>
        <v>cents / m3</v>
      </c>
      <c r="E17" s="169"/>
      <c r="F17" s="54">
        <f>INDEX('For Bill Impact(HideBeforeFile)'!$D$6:$O$15,MATCH(C10,'For Bill Impact(HideBeforeFile)'!$C$62:$C$71,0),MATCH($O17,'For Bill Impact(HideBeforeFile)'!$D$61:$O$61,0))</f>
        <v>7.5122178823619947</v>
      </c>
      <c r="G17" s="169"/>
      <c r="H17" s="54">
        <f>INDEX('For Bill Impact(HideBeforeFile)'!$D$20:$O$29,MATCH(C10,'For Bill Impact(HideBeforeFile)'!$C$62:$C$71,0),MATCH($O17,'For Bill Impact(HideBeforeFile)'!$D$61:$O$61,0))</f>
        <v>7.7857887797950331</v>
      </c>
      <c r="J17" s="57">
        <f>INDEX('For Bill Impact(HideBeforeFile)'!$D$34:$O$43,MATCH(C10,'For Bill Impact(HideBeforeFile)'!$C$62:$C$71,0),MATCH($O17,'For Bill Impact(HideBeforeFile)'!$D$61:$O$61,0))</f>
        <v>198871.1</v>
      </c>
      <c r="O17" s="48" t="str">
        <f>'For Bill Impact(HideBeforeFile)'!$L$5</f>
        <v>Dist. Vol. Rate Tier 1</v>
      </c>
    </row>
    <row r="18" spans="3:15" s="48" customFormat="1" ht="15" x14ac:dyDescent="0.2">
      <c r="C18" s="48" t="str">
        <f>INDEX('For Bill Impact(HideBeforeFile)'!$D$48:$O$57,MATCH(C10,'For Bill Impact(HideBeforeFile)'!$C$62:$C$71,0),MATCH($O18,'For Bill Impact(HideBeforeFile)'!$D$61:$O$61,0))</f>
        <v/>
      </c>
      <c r="D18" s="48" t="str">
        <f>INDEX('For Bill Impact(HideBeforeFile)'!$D$62:$O$71,MATCH(C10,'For Bill Impact(HideBeforeFile)'!$C$62:$C$71,0),MATCH($O18,'For Bill Impact(HideBeforeFile)'!$D$61:$O$61,0))</f>
        <v/>
      </c>
      <c r="E18" s="169"/>
      <c r="F18" s="54" t="str">
        <f>INDEX('For Bill Impact(HideBeforeFile)'!$D$6:$O$15,MATCH(C10,'For Bill Impact(HideBeforeFile)'!$C$62:$C$71,0),MATCH($O18,'For Bill Impact(HideBeforeFile)'!$D$61:$O$61,0))</f>
        <v/>
      </c>
      <c r="G18" s="169"/>
      <c r="H18" s="54" t="str">
        <f>INDEX('For Bill Impact(HideBeforeFile)'!$D$20:$O$29,MATCH(C10,'For Bill Impact(HideBeforeFile)'!$C$62:$C$71,0),MATCH($O18,'For Bill Impact(HideBeforeFile)'!$D$61:$O$61,0))</f>
        <v/>
      </c>
      <c r="J18" s="57" t="str">
        <f>INDEX('For Bill Impact(HideBeforeFile)'!$D$34:$O$43,MATCH(C10,'For Bill Impact(HideBeforeFile)'!$C$62:$C$71,0),MATCH($O18,'For Bill Impact(HideBeforeFile)'!$D$61:$O$61,0))</f>
        <v/>
      </c>
      <c r="O18" s="48" t="str">
        <f>'For Bill Impact(HideBeforeFile)'!$M$5</f>
        <v>Dist. Vol. Rate Tier 2</v>
      </c>
    </row>
    <row r="19" spans="3:15" s="48" customFormat="1" ht="15" x14ac:dyDescent="0.2">
      <c r="C19" s="48" t="str">
        <f>INDEX('For Bill Impact(HideBeforeFile)'!$D$48:$O$57,MATCH(C10,'For Bill Impact(HideBeforeFile)'!$C$62:$C$71,0),MATCH($O19,'For Bill Impact(HideBeforeFile)'!$D$61:$O$61,0))</f>
        <v/>
      </c>
      <c r="D19" s="48" t="str">
        <f>INDEX('For Bill Impact(HideBeforeFile)'!$D$62:$O$71,MATCH(C10,'For Bill Impact(HideBeforeFile)'!$C$62:$C$71,0),MATCH($O19,'For Bill Impact(HideBeforeFile)'!$D$61:$O$61,0))</f>
        <v/>
      </c>
      <c r="E19" s="169"/>
      <c r="F19" s="54" t="str">
        <f>INDEX('For Bill Impact(HideBeforeFile)'!$D$6:$O$15,MATCH(C10,'For Bill Impact(HideBeforeFile)'!$C$62:$C$71,0),MATCH($O19,'For Bill Impact(HideBeforeFile)'!$D$61:$O$61,0))</f>
        <v/>
      </c>
      <c r="G19" s="169"/>
      <c r="H19" s="54" t="str">
        <f>INDEX('For Bill Impact(HideBeforeFile)'!$D$20:$O$29,MATCH(C10,'For Bill Impact(HideBeforeFile)'!$C$62:$C$71,0),MATCH($O19,'For Bill Impact(HideBeforeFile)'!$D$61:$O$61,0))</f>
        <v/>
      </c>
      <c r="J19" s="57" t="str">
        <f>INDEX('For Bill Impact(HideBeforeFile)'!$D$34:$O$43,MATCH(C10,'For Bill Impact(HideBeforeFile)'!$C$62:$C$71,0),MATCH($O19,'For Bill Impact(HideBeforeFile)'!$D$61:$O$61,0))</f>
        <v/>
      </c>
      <c r="O19" s="48" t="str">
        <f>'For Bill Impact(HideBeforeFile)'!$N$5</f>
        <v>Dist. Vol. Rate Tier 3</v>
      </c>
    </row>
    <row r="20" spans="3:15" s="48" customFormat="1" ht="15" x14ac:dyDescent="0.2">
      <c r="C20" s="48" t="str">
        <f>INDEX('For Bill Impact(HideBeforeFile)'!$D$48:$O$57,MATCH(C10,'For Bill Impact(HideBeforeFile)'!$C$62:$C$71,0),MATCH($O20,'For Bill Impact(HideBeforeFile)'!$D$61:$O$61,0))</f>
        <v/>
      </c>
      <c r="D20" s="48" t="str">
        <f>INDEX('For Bill Impact(HideBeforeFile)'!$D$62:$O$71,MATCH(C10,'For Bill Impact(HideBeforeFile)'!$C$62:$C$71,0),MATCH($O20,'For Bill Impact(HideBeforeFile)'!$D$61:$O$61,0))</f>
        <v/>
      </c>
      <c r="E20" s="169"/>
      <c r="F20" s="54" t="str">
        <f>INDEX('For Bill Impact(HideBeforeFile)'!$D$6:$O$15,MATCH(C10,'For Bill Impact(HideBeforeFile)'!$C$62:$C$71,0),MATCH($O20,'For Bill Impact(HideBeforeFile)'!$D$61:$O$61,0))</f>
        <v/>
      </c>
      <c r="G20" s="169"/>
      <c r="H20" s="54" t="str">
        <f>INDEX('For Bill Impact(HideBeforeFile)'!$D$20:$O$29,MATCH(C10,'For Bill Impact(HideBeforeFile)'!$C$62:$C$71,0),MATCH($O20,'For Bill Impact(HideBeforeFile)'!$D$61:$O$61,0))</f>
        <v/>
      </c>
      <c r="J20" s="57" t="str">
        <f>INDEX('For Bill Impact(HideBeforeFile)'!$D$34:$O$43,MATCH(C10,'For Bill Impact(HideBeforeFile)'!$C$62:$C$71,0),MATCH($O20,'For Bill Impact(HideBeforeFile)'!$D$61:$O$61,0))</f>
        <v/>
      </c>
      <c r="O20" s="48" t="str">
        <f>'For Bill Impact(HideBeforeFile)'!$O$5</f>
        <v>Dist. Capacity Rate</v>
      </c>
    </row>
    <row r="21" spans="3:15" s="48" customFormat="1" ht="15" x14ac:dyDescent="0.2">
      <c r="C21" s="48" t="str">
        <f>INDEX('For Bill Impact(HideBeforeFile)'!$D$48:$O$57,MATCH(C10,'For Bill Impact(HideBeforeFile)'!$C$62:$C$71,0),MATCH($O21,'For Bill Impact(HideBeforeFile)'!$D$61:$O$61,0))</f>
        <v>System Gas Charge</v>
      </c>
      <c r="D21" s="48" t="str">
        <f>INDEX('For Bill Impact(HideBeforeFile)'!$D$62:$O$71,MATCH(C10,'For Bill Impact(HideBeforeFile)'!$C$62:$C$71,0),MATCH($O21,'For Bill Impact(HideBeforeFile)'!$D$61:$O$61,0))</f>
        <v>cents / m3</v>
      </c>
      <c r="E21" s="169"/>
      <c r="F21" s="54">
        <f>INDEX('For Bill Impact(HideBeforeFile)'!$D$6:$O$15,MATCH(C10,'For Bill Impact(HideBeforeFile)'!$C$62:$C$71,0),MATCH($O21,'For Bill Impact(HideBeforeFile)'!$D$61:$O$61,0))</f>
        <v>4.3499999999999997E-2</v>
      </c>
      <c r="G21" s="169"/>
      <c r="H21" s="54">
        <f>INDEX('For Bill Impact(HideBeforeFile)'!$D$20:$O$29,MATCH(C10,'For Bill Impact(HideBeforeFile)'!$C$62:$C$71,0),MATCH($O21,'For Bill Impact(HideBeforeFile)'!$D$61:$O$61,0))</f>
        <v>4.3499999999999997E-2</v>
      </c>
      <c r="J21" s="57">
        <f>INDEX('For Bill Impact(HideBeforeFile)'!$D$34:$O$43,MATCH(C10,'For Bill Impact(HideBeforeFile)'!$C$62:$C$71,0),MATCH($O21,'For Bill Impact(HideBeforeFile)'!$D$61:$O$61,0))</f>
        <v>198871.1</v>
      </c>
      <c r="O21" s="48" t="str">
        <f>'For Bill Impact(HideBeforeFile)'!$E$5</f>
        <v>System Gas</v>
      </c>
    </row>
    <row r="22" spans="3:15" s="48" customFormat="1" ht="15" x14ac:dyDescent="0.2"/>
    <row r="23" spans="3:15" s="48" customFormat="1" ht="15" x14ac:dyDescent="0.2">
      <c r="C23" s="48" t="str">
        <f>INDEX('For Bill Impact(HideBeforeFile)'!$D$48:$O$57,MATCH(C10,'For Bill Impact(HideBeforeFile)'!$C$62:$C$71,0),MATCH($O23,'For Bill Impact(HideBeforeFile)'!$D$61:$O$61,0))</f>
        <v>REDA</v>
      </c>
      <c r="D23" s="48" t="str">
        <f>INDEX('For Bill Impact(HideBeforeFile)'!$D$62:$O$71,MATCH(C10,'For Bill Impact(HideBeforeFile)'!$C$62:$C$71,0),MATCH($O23,'For Bill Impact(HideBeforeFile)'!$D$61:$O$61,0))</f>
        <v>$ / month</v>
      </c>
      <c r="E23" s="171"/>
      <c r="F23" s="170">
        <f>INDEX('For Bill Impact(HideBeforeFile)'!$D$6:$O$15,MATCH(C10,'For Bill Impact(HideBeforeFile)'!$C$62:$C$71,0),MATCH($O23,'For Bill Impact(HideBeforeFile)'!$D$61:$O$61,0))</f>
        <v>0.59</v>
      </c>
      <c r="G23" s="171"/>
      <c r="H23" s="170">
        <f>INDEX('For Bill Impact(HideBeforeFile)'!$D$20:$O$29,MATCH(C10,'For Bill Impact(HideBeforeFile)'!$C$62:$C$71,0),MATCH($O23,'For Bill Impact(HideBeforeFile)'!$D$61:$O$61,0))</f>
        <v>0.76971281184715468</v>
      </c>
      <c r="J23" s="57">
        <f>INDEX('For Bill Impact(HideBeforeFile)'!$D$34:$O$43,MATCH(C10,'For Bill Impact(HideBeforeFile)'!$C$62:$C$71,0),MATCH($O23,'For Bill Impact(HideBeforeFile)'!$D$61:$O$61,0))</f>
        <v>12</v>
      </c>
      <c r="O23" s="48" t="str">
        <f>'For Bill Impact(HideBeforeFile)'!$F$5</f>
        <v>REDA</v>
      </c>
    </row>
    <row r="24" spans="3:15" s="48" customFormat="1" ht="15" x14ac:dyDescent="0.2">
      <c r="C24" s="48" t="str">
        <f>INDEX('For Bill Impact(HideBeforeFile)'!$D$48:$O$57,MATCH(C10,'For Bill Impact(HideBeforeFile)'!$C$62:$C$71,0),MATCH($O24,'For Bill Impact(HideBeforeFile)'!$D$61:$O$61,0))</f>
        <v>PGTVA</v>
      </c>
      <c r="D24" s="48" t="str">
        <f>INDEX('For Bill Impact(HideBeforeFile)'!$D$62:$O$71,MATCH(C10,'For Bill Impact(HideBeforeFile)'!$C$62:$C$71,0),MATCH($O24,'For Bill Impact(HideBeforeFile)'!$D$61:$O$61,0))</f>
        <v>cents / m3</v>
      </c>
      <c r="E24" s="169"/>
      <c r="F24" s="54">
        <f>INDEX('For Bill Impact(HideBeforeFile)'!$D$6:$O$15,MATCH(C10,'For Bill Impact(HideBeforeFile)'!$C$62:$C$71,0),MATCH($O24,'For Bill Impact(HideBeforeFile)'!$D$61:$O$61,0))</f>
        <v>0.128</v>
      </c>
      <c r="G24" s="169"/>
      <c r="H24" s="54">
        <f>INDEX('For Bill Impact(HideBeforeFile)'!$D$20:$O$29,MATCH(C10,'For Bill Impact(HideBeforeFile)'!$C$62:$C$71,0),MATCH($O24,'For Bill Impact(HideBeforeFile)'!$D$61:$O$61,0))</f>
        <v>0.30664420626329603</v>
      </c>
      <c r="J24" s="57">
        <f>INDEX('For Bill Impact(HideBeforeFile)'!$D$34:$O$43,MATCH(C10,'For Bill Impact(HideBeforeFile)'!$C$62:$C$71,0),MATCH($O24,'For Bill Impact(HideBeforeFile)'!$D$61:$O$61,0))</f>
        <v>198871.1</v>
      </c>
      <c r="O24" s="48" t="str">
        <f>'For Bill Impact(HideBeforeFile)'!$G$5</f>
        <v>PGTVA</v>
      </c>
    </row>
    <row r="25" spans="3:15" s="48" customFormat="1" ht="15" x14ac:dyDescent="0.2">
      <c r="C25" s="48" t="str">
        <f>INDEX('For Bill Impact(HideBeforeFile)'!$D$48:$O$57,MATCH(C10,'For Bill Impact(HideBeforeFile)'!$C$62:$C$71,0),MATCH($O25,'For Bill Impact(HideBeforeFile)'!$D$61:$O$61,0))</f>
        <v>ADVADA</v>
      </c>
      <c r="D25" s="48" t="str">
        <f>INDEX('For Bill Impact(HideBeforeFile)'!$D$62:$O$71,MATCH(C10,'For Bill Impact(HideBeforeFile)'!$C$62:$C$71,0),MATCH($O25,'For Bill Impact(HideBeforeFile)'!$D$61:$O$61,0))</f>
        <v>cents / m3</v>
      </c>
      <c r="F25" s="54" t="str">
        <f>INDEX('For Bill Impact(HideBeforeFile)'!$D$6:$O$15,MATCH(C10,'For Bill Impact(HideBeforeFile)'!$C$62:$C$71,0),MATCH($O25,'For Bill Impact(HideBeforeFile)'!$D$61:$O$61,0))</f>
        <v/>
      </c>
      <c r="H25" s="54">
        <f>INDEX('For Bill Impact(HideBeforeFile)'!$D$20:$O$29,MATCH(C10,'For Bill Impact(HideBeforeFile)'!$C$62:$C$71,0),MATCH($O25,'For Bill Impact(HideBeforeFile)'!$D$61:$O$61,0))</f>
        <v>0.14841821245417633</v>
      </c>
      <c r="J25" s="57">
        <f>INDEX('For Bill Impact(HideBeforeFile)'!$D$34:$O$43,MATCH(C10,'For Bill Impact(HideBeforeFile)'!$C$62:$C$71,0),MATCH($O25,'For Bill Impact(HideBeforeFile)'!$D$61:$O$61,0))</f>
        <v>198871.1</v>
      </c>
      <c r="O25" s="48" t="str">
        <f>'For Bill Impact(HideBeforeFile)'!$H$5</f>
        <v>ADVADA</v>
      </c>
    </row>
    <row r="26" spans="3:15" s="48" customFormat="1" ht="15" x14ac:dyDescent="0.2"/>
    <row r="27" spans="3:15" s="48" customFormat="1" ht="15.75" x14ac:dyDescent="0.25">
      <c r="C27" s="48" t="str">
        <f>INDEX('For Bill Impact(HideBeforeFile)'!$D$48:$O$57,MATCH(C10,'For Bill Impact(HideBeforeFile)'!$C$62:$C$71,0),MATCH($O27,'For Bill Impact(HideBeforeFile)'!$D$61:$O$61,0))</f>
        <v>Federal Carbon</v>
      </c>
      <c r="D27" s="48" t="str">
        <f>INDEX('For Bill Impact(HideBeforeFile)'!$D$62:$O$71,MATCH(C10,'For Bill Impact(HideBeforeFile)'!$C$62:$C$71,0),MATCH($O27,'For Bill Impact(HideBeforeFile)'!$D$61:$O$61,0))</f>
        <v>cents / m3</v>
      </c>
      <c r="E27" s="169"/>
      <c r="F27" s="54">
        <f>INDEX('For Bill Impact(HideBeforeFile)'!$D$6:$O$15,MATCH(C10,'For Bill Impact(HideBeforeFile)'!$C$62:$C$71,0),MATCH($O27,'For Bill Impact(HideBeforeFile)'!$D$61:$O$61,0))</f>
        <v>5.87</v>
      </c>
      <c r="G27" s="169"/>
      <c r="H27" s="54">
        <f>INDEX('For Bill Impact(HideBeforeFile)'!$D$20:$O$29,MATCH(C10,'For Bill Impact(HideBeforeFile)'!$C$62:$C$71,0),MATCH($O27,'For Bill Impact(HideBeforeFile)'!$D$61:$O$61,0))</f>
        <v>5.87</v>
      </c>
      <c r="J27" s="57">
        <f>INDEX('For Bill Impact(HideBeforeFile)'!$D$34:$O$43,MATCH(C10,'For Bill Impact(HideBeforeFile)'!$C$62:$C$71,0),MATCH($O27,'For Bill Impact(HideBeforeFile)'!$D$61:$O$61,0))</f>
        <v>198871.1</v>
      </c>
      <c r="N27" s="16"/>
      <c r="O27" s="48" t="str">
        <f>'For Bill Impact(HideBeforeFile)'!$I$5</f>
        <v>Federal Carbon</v>
      </c>
    </row>
    <row r="28" spans="3:15" s="48" customFormat="1" ht="15" x14ac:dyDescent="0.2">
      <c r="C28" s="48" t="str">
        <f>INDEX('For Bill Impact(HideBeforeFile)'!$D$48:$O$57,MATCH(C10,'For Bill Impact(HideBeforeFile)'!$C$62:$C$71,0),MATCH($O28,'For Bill Impact(HideBeforeFile)'!$D$61:$O$61,0))</f>
        <v>Facility Carbon</v>
      </c>
      <c r="D28" s="48" t="str">
        <f>INDEX('For Bill Impact(HideBeforeFile)'!$D$62:$O$71,MATCH(C10,'For Bill Impact(HideBeforeFile)'!$C$62:$C$71,0),MATCH($O28,'For Bill Impact(HideBeforeFile)'!$D$61:$O$61,0))</f>
        <v>cents / m3</v>
      </c>
      <c r="E28" s="169"/>
      <c r="F28" s="54">
        <f>INDEX('For Bill Impact(HideBeforeFile)'!$D$6:$O$15,MATCH(C10,'For Bill Impact(HideBeforeFile)'!$C$62:$C$71,0),MATCH($O28,'For Bill Impact(HideBeforeFile)'!$D$61:$O$61,0))</f>
        <v>2.7000000000000001E-3</v>
      </c>
      <c r="G28" s="169"/>
      <c r="H28" s="54">
        <f>INDEX('For Bill Impact(HideBeforeFile)'!$D$20:$O$29,MATCH(C10,'For Bill Impact(HideBeforeFile)'!$C$62:$C$71,0),MATCH($O28,'For Bill Impact(HideBeforeFile)'!$D$61:$O$61,0))</f>
        <v>2.7000000000000001E-3</v>
      </c>
      <c r="J28" s="57">
        <f>INDEX('For Bill Impact(HideBeforeFile)'!$D$34:$O$43,MATCH(C10,'For Bill Impact(HideBeforeFile)'!$C$62:$C$71,0),MATCH($O28,'For Bill Impact(HideBeforeFile)'!$D$61:$O$61,0))</f>
        <v>198871.1</v>
      </c>
      <c r="O28" s="48" t="str">
        <f>'For Bill Impact(HideBeforeFile)'!$J$5</f>
        <v>Facility Carbon</v>
      </c>
    </row>
    <row r="29" spans="3:15" s="48" customFormat="1" ht="15" x14ac:dyDescent="0.2"/>
    <row r="30" spans="3:15" s="48" customFormat="1" ht="15" x14ac:dyDescent="0.2"/>
    <row r="31" spans="3:15" s="48" customFormat="1" ht="15.75" x14ac:dyDescent="0.25">
      <c r="C31" s="17" t="s">
        <v>8</v>
      </c>
      <c r="E31" s="52"/>
      <c r="F31" s="172" t="s">
        <v>130</v>
      </c>
      <c r="G31" s="172"/>
      <c r="H31" s="172" t="s">
        <v>131</v>
      </c>
      <c r="J31" s="48" t="s">
        <v>55</v>
      </c>
      <c r="L31" s="56" t="s">
        <v>56</v>
      </c>
    </row>
    <row r="32" spans="3:15" s="48" customFormat="1" ht="15" x14ac:dyDescent="0.2">
      <c r="F32" s="58">
        <f>F14*$J14/100</f>
        <v>26378.660446200003</v>
      </c>
      <c r="G32" s="171"/>
      <c r="H32" s="58">
        <f>H14*$J14/100</f>
        <v>26378.660446200003</v>
      </c>
      <c r="J32" s="53">
        <f>H32-F32</f>
        <v>0</v>
      </c>
      <c r="L32" s="59">
        <f>IFERROR(J32/F32,"")</f>
        <v>0</v>
      </c>
      <c r="O32" s="48" t="str">
        <f>'For Bill Impact(HideBeforeFile)'!$D$5</f>
        <v>Commodity</v>
      </c>
    </row>
    <row r="33" spans="3:15" s="48" customFormat="1" ht="15" x14ac:dyDescent="0.2"/>
    <row r="34" spans="3:15" s="48" customFormat="1" ht="15.75" x14ac:dyDescent="0.25">
      <c r="C34" s="17" t="s">
        <v>68</v>
      </c>
      <c r="E34" s="52"/>
      <c r="F34" s="52" t="s">
        <v>35</v>
      </c>
      <c r="G34" s="52"/>
      <c r="H34" s="52" t="s">
        <v>52</v>
      </c>
      <c r="J34" s="48" t="s">
        <v>55</v>
      </c>
      <c r="L34" s="56" t="s">
        <v>56</v>
      </c>
    </row>
    <row r="35" spans="3:15" s="48" customFormat="1" ht="15" x14ac:dyDescent="0.2">
      <c r="C35" s="47" t="str">
        <f>IF(C16&lt;&gt;"",C16,"")</f>
        <v>Customer (excl. Bill 32)</v>
      </c>
      <c r="F35" s="58">
        <f>F16*$J16</f>
        <v>2280</v>
      </c>
      <c r="G35" s="171"/>
      <c r="H35" s="58">
        <f>H16*$J16</f>
        <v>2280</v>
      </c>
      <c r="J35" s="53">
        <f>IFERROR(H35-F35,"")</f>
        <v>0</v>
      </c>
      <c r="L35" s="59">
        <f>IFERROR(J35/F35,"")</f>
        <v>0</v>
      </c>
      <c r="O35" s="48" t="str">
        <f>'For Bill Impact(HideBeforeFile)'!$K$5</f>
        <v>Dist. Customer Rate</v>
      </c>
    </row>
    <row r="36" spans="3:15" s="48" customFormat="1" ht="15" x14ac:dyDescent="0.2">
      <c r="C36" s="47" t="s">
        <v>149</v>
      </c>
      <c r="F36" s="58">
        <v>12</v>
      </c>
      <c r="G36" s="171"/>
      <c r="H36" s="58">
        <v>12</v>
      </c>
      <c r="J36" s="53">
        <f>IFERROR(H36-F36,"")</f>
        <v>0</v>
      </c>
      <c r="L36" s="59">
        <f>IFERROR(J36/F36,"")</f>
        <v>0</v>
      </c>
    </row>
    <row r="37" spans="3:15" s="48" customFormat="1" ht="15" x14ac:dyDescent="0.2">
      <c r="C37" s="47" t="str">
        <f>IF(C17&lt;&gt;"",C17,"")</f>
        <v>Delivery - Firm</v>
      </c>
      <c r="F37" s="58">
        <f>IFERROR(F17*$J17/100,"")</f>
        <v>14939.630337050005</v>
      </c>
      <c r="H37" s="58">
        <f>IFERROR(H17*$J17/100,"")</f>
        <v>15483.683790054962</v>
      </c>
      <c r="J37" s="53">
        <f t="shared" ref="J37:J41" si="0">IFERROR(H37-F37,"")</f>
        <v>544.05345300495719</v>
      </c>
      <c r="L37" s="59">
        <f t="shared" ref="L37:L41" si="1">IFERROR(J37/F37,"")</f>
        <v>3.6416794842353946E-2</v>
      </c>
      <c r="O37" s="48" t="str">
        <f>'For Bill Impact(HideBeforeFile)'!$L$5</f>
        <v>Dist. Vol. Rate Tier 1</v>
      </c>
    </row>
    <row r="38" spans="3:15" s="48" customFormat="1" ht="15" x14ac:dyDescent="0.2">
      <c r="C38" s="47" t="str">
        <f>IF(C18&lt;&gt;"",C18,"")</f>
        <v/>
      </c>
      <c r="F38" s="58" t="str">
        <f>IFERROR(F18*$J18/100,"")</f>
        <v/>
      </c>
      <c r="H38" s="58" t="str">
        <f>IFERROR(H18*$J18/100,"")</f>
        <v/>
      </c>
      <c r="J38" s="53" t="str">
        <f t="shared" si="0"/>
        <v/>
      </c>
      <c r="L38" s="59" t="str">
        <f t="shared" si="1"/>
        <v/>
      </c>
      <c r="O38" s="48" t="str">
        <f>'For Bill Impact(HideBeforeFile)'!$M$5</f>
        <v>Dist. Vol. Rate Tier 2</v>
      </c>
    </row>
    <row r="39" spans="3:15" s="48" customFormat="1" ht="15" x14ac:dyDescent="0.2">
      <c r="C39" s="47" t="str">
        <f>IF(C19&lt;&gt;"",C19,"")</f>
        <v/>
      </c>
      <c r="F39" s="58" t="str">
        <f>IFERROR(F19*$J19/100,"")</f>
        <v/>
      </c>
      <c r="H39" s="58" t="str">
        <f>IFERROR(H19*$J19/100,"")</f>
        <v/>
      </c>
      <c r="J39" s="53" t="str">
        <f t="shared" si="0"/>
        <v/>
      </c>
      <c r="L39" s="59" t="str">
        <f t="shared" si="1"/>
        <v/>
      </c>
      <c r="O39" s="48" t="str">
        <f>'For Bill Impact(HideBeforeFile)'!$N$5</f>
        <v>Dist. Vol. Rate Tier 3</v>
      </c>
    </row>
    <row r="40" spans="3:15" s="48" customFormat="1" ht="15" x14ac:dyDescent="0.2">
      <c r="C40" s="47" t="str">
        <f>IF(C20&lt;&gt;"",C20,"")</f>
        <v/>
      </c>
      <c r="F40" s="58" t="str">
        <f>IFERROR(F20*$J20/100,"")</f>
        <v/>
      </c>
      <c r="H40" s="58" t="str">
        <f>IFERROR(H20*$J20/100,"")</f>
        <v/>
      </c>
      <c r="J40" s="53" t="str">
        <f t="shared" si="0"/>
        <v/>
      </c>
      <c r="L40" s="59" t="str">
        <f t="shared" si="1"/>
        <v/>
      </c>
      <c r="O40" s="48" t="str">
        <f>'For Bill Impact(HideBeforeFile)'!$O$5</f>
        <v>Dist. Capacity Rate</v>
      </c>
    </row>
    <row r="41" spans="3:15" s="48" customFormat="1" ht="15" x14ac:dyDescent="0.2">
      <c r="C41" s="47" t="str">
        <f>IF(C21&lt;&gt;"",C21,"")</f>
        <v>System Gas Charge</v>
      </c>
      <c r="F41" s="58">
        <f>IFERROR(F21*$J21/100,"")</f>
        <v>86.508928499999996</v>
      </c>
      <c r="H41" s="58">
        <f>IFERROR(H21*$J21/100,"")</f>
        <v>86.508928499999996</v>
      </c>
      <c r="J41" s="53">
        <f t="shared" si="0"/>
        <v>0</v>
      </c>
      <c r="L41" s="59">
        <f t="shared" si="1"/>
        <v>0</v>
      </c>
      <c r="O41" s="48" t="str">
        <f>'For Bill Impact(HideBeforeFile)'!$E$5</f>
        <v>System Gas</v>
      </c>
    </row>
    <row r="42" spans="3:15" s="48" customFormat="1" ht="15.75" x14ac:dyDescent="0.25">
      <c r="C42" s="17" t="s">
        <v>54</v>
      </c>
      <c r="F42" s="35">
        <f>SUM(F35:F41)</f>
        <v>17318.139265550002</v>
      </c>
      <c r="H42" s="35">
        <f>SUM(H35:H41)</f>
        <v>17862.192718554961</v>
      </c>
      <c r="J42" s="36">
        <f t="shared" ref="J42" si="2">H42-F42</f>
        <v>544.05345300495901</v>
      </c>
      <c r="L42" s="37">
        <f>IF(ISERROR(J42/F42),0,J42/F42)</f>
        <v>3.1415237206644589E-2</v>
      </c>
    </row>
    <row r="43" spans="3:15" s="48" customFormat="1" ht="15" x14ac:dyDescent="0.2"/>
    <row r="44" spans="3:15" s="48" customFormat="1" ht="15.75" x14ac:dyDescent="0.25">
      <c r="C44" s="17" t="s">
        <v>67</v>
      </c>
    </row>
    <row r="45" spans="3:15" s="48" customFormat="1" ht="15" x14ac:dyDescent="0.2"/>
    <row r="46" spans="3:15" s="48" customFormat="1" ht="15.75" x14ac:dyDescent="0.25">
      <c r="C46" s="17" t="s">
        <v>67</v>
      </c>
      <c r="E46" s="52"/>
      <c r="F46" s="52" t="s">
        <v>35</v>
      </c>
      <c r="G46" s="52"/>
      <c r="H46" s="52" t="s">
        <v>52</v>
      </c>
      <c r="J46" s="48" t="s">
        <v>55</v>
      </c>
      <c r="L46" s="56" t="s">
        <v>56</v>
      </c>
    </row>
    <row r="47" spans="3:15" s="48" customFormat="1" ht="15" x14ac:dyDescent="0.2">
      <c r="C47" s="48" t="s">
        <v>99</v>
      </c>
      <c r="E47" s="60"/>
      <c r="F47" s="58">
        <f>F23*$J23</f>
        <v>7.08</v>
      </c>
      <c r="G47" s="60"/>
      <c r="H47" s="58">
        <f>H23*$J23</f>
        <v>9.2365537421658566</v>
      </c>
      <c r="I47" s="60"/>
      <c r="J47" s="53">
        <f>IFERROR(H47-F47,"")</f>
        <v>2.1565537421658565</v>
      </c>
      <c r="L47" s="59">
        <f t="shared" ref="L47:L48" si="3">IFERROR(J47/F47,"")</f>
        <v>0.30459798618161815</v>
      </c>
      <c r="O47" s="48" t="str">
        <f>'For Bill Impact(HideBeforeFile)'!$F$5</f>
        <v>REDA</v>
      </c>
    </row>
    <row r="48" spans="3:15" s="48" customFormat="1" ht="15" x14ac:dyDescent="0.2">
      <c r="C48" s="48" t="s">
        <v>98</v>
      </c>
      <c r="E48" s="60"/>
      <c r="F48" s="55">
        <f>IFERROR(F24*$J24/100,"")</f>
        <v>254.55500800000002</v>
      </c>
      <c r="G48" s="60"/>
      <c r="H48" s="55">
        <f>IFERROR(H24*$J24/100,"")</f>
        <v>609.82670608208571</v>
      </c>
      <c r="I48" s="60"/>
      <c r="J48" s="53">
        <f t="shared" ref="J48" si="4">IFERROR(H48-F48,"")</f>
        <v>355.27169808208566</v>
      </c>
      <c r="L48" s="59">
        <f t="shared" si="3"/>
        <v>1.3956578614319999</v>
      </c>
      <c r="O48" s="48" t="str">
        <f>'For Bill Impact(HideBeforeFile)'!$G$5</f>
        <v>PGTVA</v>
      </c>
    </row>
    <row r="49" spans="3:15" s="48" customFormat="1" ht="15" x14ac:dyDescent="0.2">
      <c r="C49" s="48" t="s">
        <v>100</v>
      </c>
      <c r="E49" s="60"/>
      <c r="F49" s="55" t="str">
        <f>IFERROR(F25*$J25/100,"")</f>
        <v/>
      </c>
      <c r="G49" s="60"/>
      <c r="H49" s="55">
        <f>IFERROR(H25*$J25/100,"")</f>
        <v>295.16093170795745</v>
      </c>
      <c r="I49" s="60"/>
      <c r="J49" s="53">
        <f>H49</f>
        <v>295.16093170795745</v>
      </c>
      <c r="L49" s="59">
        <f>J49/H49</f>
        <v>1</v>
      </c>
      <c r="O49" s="48" t="str">
        <f>'For Bill Impact(HideBeforeFile)'!$H$5</f>
        <v>ADVADA</v>
      </c>
    </row>
    <row r="50" spans="3:15" s="48" customFormat="1" ht="15.75" x14ac:dyDescent="0.25">
      <c r="C50" s="20" t="s">
        <v>69</v>
      </c>
      <c r="F50" s="38">
        <f>SUM(F47:F49)</f>
        <v>261.63500800000003</v>
      </c>
      <c r="H50" s="38">
        <f>SUM(H47:H49)</f>
        <v>914.22419153220903</v>
      </c>
      <c r="J50" s="38">
        <f>SUM(J47:J49)</f>
        <v>652.58918353220895</v>
      </c>
      <c r="L50" s="37">
        <f t="shared" ref="L50" si="5">IF(ISERROR(J50/F50),0,J50/F50)</f>
        <v>2.4942731804919962</v>
      </c>
    </row>
    <row r="51" spans="3:15" s="48" customFormat="1" ht="15" x14ac:dyDescent="0.2">
      <c r="C51" s="47"/>
    </row>
    <row r="52" spans="3:15" s="48" customFormat="1" ht="15.75" x14ac:dyDescent="0.25">
      <c r="C52" s="17" t="s">
        <v>108</v>
      </c>
    </row>
    <row r="53" spans="3:15" s="48" customFormat="1" ht="15" x14ac:dyDescent="0.2">
      <c r="C53" s="47" t="s">
        <v>134</v>
      </c>
      <c r="F53" s="58">
        <f>F27*$J27/100</f>
        <v>11673.73357</v>
      </c>
      <c r="G53" s="60"/>
      <c r="H53" s="58">
        <f>H27*$J27/100</f>
        <v>11673.73357</v>
      </c>
      <c r="J53" s="53">
        <f>IFERROR(H53-F53,"")</f>
        <v>0</v>
      </c>
      <c r="L53" s="59">
        <f t="shared" ref="L53:L54" si="6">IFERROR(J53/F53,"")</f>
        <v>0</v>
      </c>
    </row>
    <row r="54" spans="3:15" s="48" customFormat="1" ht="15" x14ac:dyDescent="0.2">
      <c r="C54" s="47" t="s">
        <v>135</v>
      </c>
      <c r="F54" s="58">
        <f>F28*$J28/100</f>
        <v>5.3695197000000006</v>
      </c>
      <c r="G54" s="60"/>
      <c r="H54" s="58">
        <f>H28*$J28/100</f>
        <v>5.3695197000000006</v>
      </c>
      <c r="J54" s="53">
        <f>IFERROR(H54-F54,"")</f>
        <v>0</v>
      </c>
      <c r="L54" s="59">
        <f t="shared" si="6"/>
        <v>0</v>
      </c>
    </row>
    <row r="55" spans="3:15" s="48" customFormat="1" ht="18" customHeight="1" x14ac:dyDescent="0.25">
      <c r="C55" s="20" t="s">
        <v>136</v>
      </c>
      <c r="F55" s="38">
        <f>SUM(F53:F54)</f>
        <v>11679.1030897</v>
      </c>
      <c r="H55" s="38">
        <f>SUM(H53:H54)</f>
        <v>11679.1030897</v>
      </c>
      <c r="J55" s="38">
        <f>SUM(J53:J54)</f>
        <v>0</v>
      </c>
      <c r="L55" s="37">
        <f t="shared" ref="L55" si="7">IF(ISERROR(J55/F55),0,J55/F55)</f>
        <v>0</v>
      </c>
    </row>
    <row r="56" spans="3:15" s="48" customFormat="1" ht="18" customHeight="1" x14ac:dyDescent="0.2">
      <c r="C56" s="47"/>
    </row>
    <row r="57" spans="3:15" s="48" customFormat="1" ht="16.5" thickBot="1" x14ac:dyDescent="0.3">
      <c r="C57" s="20" t="s">
        <v>70</v>
      </c>
      <c r="F57" s="39">
        <f>SUM(F32,F42,F50,F55)</f>
        <v>55637.537809450005</v>
      </c>
      <c r="H57" s="39">
        <f>SUM(H32,H42,H50,H55)</f>
        <v>56834.180445987178</v>
      </c>
      <c r="J57" s="39">
        <f>SUM(J32,J42,J50,J55)</f>
        <v>1196.6426365371681</v>
      </c>
      <c r="L57" s="40">
        <f t="shared" ref="L57" si="8">IFERROR(J57/F57,"")</f>
        <v>2.1507828772644195E-2</v>
      </c>
    </row>
    <row r="58" spans="3:15" s="48" customFormat="1" ht="15.75" x14ac:dyDescent="0.25">
      <c r="C58" s="20"/>
      <c r="E58" s="122"/>
      <c r="F58" s="121"/>
      <c r="G58" s="122"/>
      <c r="H58" s="121"/>
      <c r="I58" s="122"/>
      <c r="J58" s="123"/>
      <c r="K58" s="122"/>
      <c r="L58" s="124"/>
    </row>
    <row r="59" spans="3:15" s="48" customFormat="1" ht="15.75" x14ac:dyDescent="0.25">
      <c r="C59" s="20"/>
      <c r="E59" s="122"/>
      <c r="F59" s="121"/>
      <c r="G59" s="122"/>
      <c r="H59" s="121"/>
      <c r="I59" s="122"/>
      <c r="J59" s="123"/>
      <c r="K59" s="122"/>
      <c r="L59" s="124"/>
    </row>
    <row r="60" spans="3:15" s="48" customFormat="1" ht="15.75" customHeight="1" x14ac:dyDescent="0.25">
      <c r="C60" s="116" t="str">
        <f ca="1">MID(CELL("filename",A1),FIND("]",CELL("filename",A1))+1,255)</f>
        <v>G1.5 Rate 5 Bill Impact</v>
      </c>
      <c r="E60" s="122"/>
      <c r="F60" s="121"/>
      <c r="G60" s="122"/>
      <c r="H60" s="121"/>
      <c r="I60" s="122"/>
      <c r="J60" s="123"/>
      <c r="K60" s="122"/>
      <c r="L60" s="124"/>
    </row>
    <row r="61" spans="3:15" s="48" customFormat="1" ht="15.75" customHeight="1" x14ac:dyDescent="0.25">
      <c r="C61" s="116"/>
      <c r="E61" s="122"/>
      <c r="F61" s="121"/>
      <c r="G61" s="122"/>
      <c r="H61" s="121"/>
      <c r="I61" s="122"/>
      <c r="J61" s="123"/>
      <c r="K61" s="122"/>
      <c r="L61" s="124"/>
    </row>
    <row r="62" spans="3:15" s="48" customFormat="1" ht="15.75" customHeight="1" x14ac:dyDescent="0.25">
      <c r="D62" s="125"/>
    </row>
    <row r="63" spans="3:15" s="48" customFormat="1" ht="15.75" customHeight="1" x14ac:dyDescent="0.25">
      <c r="D63" s="125"/>
    </row>
    <row r="64" spans="3:15" s="48" customFormat="1" ht="15.75" customHeight="1" x14ac:dyDescent="0.25">
      <c r="D64" s="125"/>
    </row>
    <row r="65" spans="1:13" s="48" customFormat="1" ht="15.75" customHeight="1" x14ac:dyDescent="0.25">
      <c r="D65" s="125"/>
    </row>
    <row r="66" spans="1:13" s="48" customFormat="1" ht="15.75" customHeight="1" x14ac:dyDescent="0.25">
      <c r="D66" s="125"/>
    </row>
    <row r="67" spans="1:13" s="48" customFormat="1" ht="15.75" customHeight="1" x14ac:dyDescent="0.25">
      <c r="D67" s="125"/>
    </row>
    <row r="68" spans="1:13" s="48" customFormat="1" ht="15.75" customHeight="1" x14ac:dyDescent="0.25">
      <c r="D68" s="125"/>
    </row>
    <row r="69" spans="1:13" s="48" customFormat="1" ht="15.75" customHeight="1" x14ac:dyDescent="0.25">
      <c r="D69" s="125"/>
    </row>
    <row r="70" spans="1:13" s="48" customFormat="1" ht="15.75" customHeight="1" x14ac:dyDescent="0.25">
      <c r="D70" s="125"/>
    </row>
    <row r="71" spans="1:13" s="48" customFormat="1" ht="15.75" customHeight="1" x14ac:dyDescent="0.25">
      <c r="D71" s="125"/>
    </row>
    <row r="72" spans="1:13" s="48" customFormat="1" ht="15.75" customHeight="1" x14ac:dyDescent="0.25">
      <c r="D72" s="125"/>
    </row>
    <row r="73" spans="1:13" s="48" customFormat="1" ht="15.75" customHeight="1" x14ac:dyDescent="0.25">
      <c r="D73" s="125"/>
    </row>
    <row r="74" spans="1:13" s="48" customFormat="1" ht="15.75" customHeight="1" x14ac:dyDescent="0.25">
      <c r="D74" s="125"/>
    </row>
    <row r="75" spans="1:13" s="48" customFormat="1" ht="15.75" customHeight="1" x14ac:dyDescent="0.25">
      <c r="D75" s="125"/>
    </row>
    <row r="76" spans="1:13" s="48" customFormat="1" ht="15.75" customHeight="1" x14ac:dyDescent="0.25">
      <c r="D76" s="125"/>
    </row>
    <row r="77" spans="1:13" s="48" customFormat="1" ht="15.75" customHeight="1" x14ac:dyDescent="0.25">
      <c r="D77" s="125"/>
    </row>
    <row r="78" spans="1:13" ht="15.75" customHeight="1" x14ac:dyDescent="0.25">
      <c r="A78" s="48"/>
      <c r="B78" s="48"/>
      <c r="C78" s="48"/>
      <c r="D78" s="125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5.75" customHeight="1" x14ac:dyDescent="0.25">
      <c r="A79" s="48"/>
      <c r="B79" s="48"/>
      <c r="C79" s="48"/>
      <c r="D79" s="125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0" hidden="1" customHeight="1" x14ac:dyDescent="0.25"/>
    <row r="160" ht="0" hidden="1" customHeight="1" x14ac:dyDescent="0.25"/>
  </sheetData>
  <sheetProtection algorithmName="SHA-512" hashValue="NoZjaFHFJB1jcgJ0yR4Vhl6ZxegxUQvN4Ulil6/ESrpUF03ptMA0GvOIgIHKAFX7wF+FrOyET06eDWuL9FtDDQ==" saltValue="D4tkEblybacmpDVZMPhMFg==" spinCount="100000" sheet="1" objects="1" scenarios="1"/>
  <pageMargins left="0.70866141732283472" right="0.70866141732283472" top="0.74803149606299213" bottom="0.74803149606299213" header="0.31496062992125984" footer="0.31496062992125984"/>
  <pageSetup scale="48" orientation="landscape" r:id="rId1"/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160"/>
  <sheetViews>
    <sheetView showGridLines="0" view="pageBreakPreview" topLeftCell="A39" zoomScaleNormal="100" zoomScaleSheetLayoutView="100" workbookViewId="0">
      <selection activeCell="D47" sqref="D47"/>
    </sheetView>
  </sheetViews>
  <sheetFormatPr defaultColWidth="9.140625" defaultRowHeight="0" customHeight="1" zeroHeight="1" x14ac:dyDescent="0.25"/>
  <cols>
    <col min="1" max="1" width="15.7109375" style="51" customWidth="1"/>
    <col min="2" max="2" width="13.28515625" style="51" customWidth="1"/>
    <col min="3" max="3" width="55.7109375" style="51" customWidth="1"/>
    <col min="4" max="4" width="13.85546875" style="1" customWidth="1"/>
    <col min="5" max="5" width="2.7109375" style="51" customWidth="1"/>
    <col min="6" max="6" width="14" style="51" customWidth="1"/>
    <col min="7" max="7" width="2.7109375" style="51" customWidth="1"/>
    <col min="8" max="8" width="16.5703125" style="51" bestFit="1" customWidth="1"/>
    <col min="9" max="9" width="2.7109375" style="51" customWidth="1"/>
    <col min="10" max="10" width="17.140625" style="51" bestFit="1" customWidth="1"/>
    <col min="11" max="11" width="2.7109375" style="51" customWidth="1"/>
    <col min="12" max="12" width="11.7109375" style="51" bestFit="1" customWidth="1"/>
    <col min="13" max="13" width="2.7109375" style="51" customWidth="1"/>
    <col min="14" max="14" width="12.7109375" style="51" customWidth="1"/>
    <col min="15" max="16384" width="9.140625" style="51"/>
  </cols>
  <sheetData>
    <row r="1" spans="1:15" ht="15" x14ac:dyDescent="0.2">
      <c r="A1" s="48"/>
      <c r="B1" s="48"/>
      <c r="C1" s="5"/>
      <c r="D1" s="48"/>
      <c r="E1" s="48"/>
      <c r="F1" s="48"/>
      <c r="G1" s="48"/>
      <c r="H1" s="48"/>
      <c r="I1" s="48"/>
      <c r="J1" s="48"/>
      <c r="K1" s="48"/>
      <c r="L1" s="48"/>
    </row>
    <row r="2" spans="1:15" s="48" customFormat="1" ht="18" x14ac:dyDescent="0.25">
      <c r="C2" s="6" t="str">
        <f>'A1.1 Distributor Information'!C3</f>
        <v>Name of LDC:       EPCOR Natural Gas Limited Partnership</v>
      </c>
    </row>
    <row r="3" spans="1:15" s="48" customFormat="1" ht="18" x14ac:dyDescent="0.25">
      <c r="C3" s="6" t="str">
        <f>'A1.1 Distributor Information'!C4</f>
        <v>OEB Application Number:          EB-2020-0234 Exhibit A - 2021 IRM Application</v>
      </c>
    </row>
    <row r="4" spans="1:15" s="48" customFormat="1" ht="15" x14ac:dyDescent="0.2"/>
    <row r="5" spans="1:15" s="48" customFormat="1" ht="15" x14ac:dyDescent="0.2"/>
    <row r="6" spans="1:15" s="48" customFormat="1" ht="15" x14ac:dyDescent="0.2"/>
    <row r="7" spans="1:15" s="48" customFormat="1" ht="20.25" x14ac:dyDescent="0.3">
      <c r="C7" s="3" t="s">
        <v>81</v>
      </c>
    </row>
    <row r="8" spans="1:15" s="48" customFormat="1" ht="15" x14ac:dyDescent="0.2"/>
    <row r="9" spans="1:15" s="48" customFormat="1" ht="15" x14ac:dyDescent="0.2"/>
    <row r="10" spans="1:15" s="48" customFormat="1" ht="20.25" x14ac:dyDescent="0.3">
      <c r="C10" s="3" t="str">
        <f>'For Bill Impact(HideBeforeFile)'!C15</f>
        <v>RATE 6 - Integrated Grain Processors Co-Operative Aylmer Ethanol Production Facility</v>
      </c>
      <c r="E10" s="52"/>
      <c r="F10" s="172" t="s">
        <v>130</v>
      </c>
      <c r="G10" s="172"/>
      <c r="H10" s="172" t="s">
        <v>131</v>
      </c>
      <c r="I10" s="172"/>
      <c r="J10" s="172" t="s">
        <v>133</v>
      </c>
      <c r="O10" s="48" t="s">
        <v>132</v>
      </c>
    </row>
    <row r="11" spans="1:15" s="48" customFormat="1" ht="15" x14ac:dyDescent="0.2"/>
    <row r="12" spans="1:15" s="48" customFormat="1" ht="15" x14ac:dyDescent="0.2"/>
    <row r="13" spans="1:15" s="48" customFormat="1" ht="15" x14ac:dyDescent="0.2"/>
    <row r="14" spans="1:15" s="48" customFormat="1" ht="15" x14ac:dyDescent="0.2">
      <c r="C14" s="48" t="str">
        <f>INDEX('For Bill Impact(HideBeforeFile)'!$D$48:$O$57,MATCH(C10,'For Bill Impact(HideBeforeFile)'!$C$62:$C$71,0),MATCH($O14,'For Bill Impact(HideBeforeFile)'!$D$61:$O$61,0))</f>
        <v/>
      </c>
      <c r="D14" s="48" t="str">
        <f>INDEX('For Bill Impact(HideBeforeFile)'!$D$62:$O$71,MATCH(C10,'For Bill Impact(HideBeforeFile)'!$C$62:$C$71,0),MATCH($O14,'For Bill Impact(HideBeforeFile)'!$D$61:$O$61,0))</f>
        <v/>
      </c>
      <c r="E14" s="169"/>
      <c r="F14" s="54" t="str">
        <f>INDEX('For Bill Impact(HideBeforeFile)'!$D$6:$O$15,MATCH(C10,'For Bill Impact(HideBeforeFile)'!$C$62:$C$71,0),MATCH($O14,'For Bill Impact(HideBeforeFile)'!$D$61:$O$61,0))</f>
        <v/>
      </c>
      <c r="G14" s="169"/>
      <c r="H14" s="54" t="str">
        <f>INDEX('For Bill Impact(HideBeforeFile)'!$D$20:$O$29,MATCH(C10,'For Bill Impact(HideBeforeFile)'!$C$62:$C$71,0),MATCH($O14,'For Bill Impact(HideBeforeFile)'!$D$61:$O$61,0))</f>
        <v/>
      </c>
      <c r="J14" s="57" t="str">
        <f>INDEX('For Bill Impact(HideBeforeFile)'!$D$34:$O$43,MATCH(C10,'For Bill Impact(HideBeforeFile)'!$C$62:$C$71,0),MATCH($O14,'For Bill Impact(HideBeforeFile)'!$D$61:$O$61,0))</f>
        <v/>
      </c>
      <c r="O14" s="48" t="str">
        <f>'For Bill Impact(HideBeforeFile)'!$D$5</f>
        <v>Commodity</v>
      </c>
    </row>
    <row r="15" spans="1:15" s="48" customFormat="1" ht="15" x14ac:dyDescent="0.2"/>
    <row r="16" spans="1:15" s="48" customFormat="1" ht="15" x14ac:dyDescent="0.2">
      <c r="C16" s="48" t="str">
        <f>INDEX('For Bill Impact(HideBeforeFile)'!$D$48:$O$57,MATCH(C10,'For Bill Impact(HideBeforeFile)'!$C$62:$C$71,0),MATCH($O16,'For Bill Impact(HideBeforeFile)'!$D$61:$O$61,0))</f>
        <v>Customer (excl. Bill 32)</v>
      </c>
      <c r="D16" s="48" t="str">
        <f>INDEX('For Bill Impact(HideBeforeFile)'!$D$62:$O$71,MATCH(C10,'For Bill Impact(HideBeforeFile)'!$C$62:$C$71,0),MATCH($O16,'For Bill Impact(HideBeforeFile)'!$D$61:$O$61,0))</f>
        <v>$ / month</v>
      </c>
      <c r="E16" s="171"/>
      <c r="F16" s="170">
        <f>INDEX('For Bill Impact(HideBeforeFile)'!$D$6:$O$15,MATCH(C10,'For Bill Impact(HideBeforeFile)'!$C$62:$C$71,0),MATCH($O16,'For Bill Impact(HideBeforeFile)'!$D$61:$O$61,0))</f>
        <v>61229.919999999998</v>
      </c>
      <c r="G16" s="171"/>
      <c r="H16" s="170">
        <f>INDEX('For Bill Impact(HideBeforeFile)'!$D$20:$O$29,MATCH(C10,'For Bill Impact(HideBeforeFile)'!$C$62:$C$71,0),MATCH($O16,'For Bill Impact(HideBeforeFile)'!$D$61:$O$61,0))</f>
        <v>62209.598720000002</v>
      </c>
      <c r="J16" s="57">
        <f>INDEX('For Bill Impact(HideBeforeFile)'!$D$34:$O$43,MATCH(C10,'For Bill Impact(HideBeforeFile)'!$C$62:$C$71,0),MATCH($O16,'For Bill Impact(HideBeforeFile)'!$D$61:$O$61,0))</f>
        <v>12</v>
      </c>
      <c r="O16" s="48" t="str">
        <f>'For Bill Impact(HideBeforeFile)'!$K$5</f>
        <v>Dist. Customer Rate</v>
      </c>
    </row>
    <row r="17" spans="3:15" s="48" customFormat="1" ht="15" x14ac:dyDescent="0.2">
      <c r="C17" s="48" t="str">
        <f>INDEX('For Bill Impact(HideBeforeFile)'!$D$48:$O$57,MATCH(C10,'For Bill Impact(HideBeforeFile)'!$C$62:$C$71,0),MATCH($O17,'For Bill Impact(HideBeforeFile)'!$D$61:$O$61,0))</f>
        <v/>
      </c>
      <c r="D17" s="48" t="str">
        <f>INDEX('For Bill Impact(HideBeforeFile)'!$D$62:$O$71,MATCH(C10,'For Bill Impact(HideBeforeFile)'!$C$62:$C$71,0),MATCH($O17,'For Bill Impact(HideBeforeFile)'!$D$61:$O$61,0))</f>
        <v/>
      </c>
      <c r="E17" s="169"/>
      <c r="F17" s="54" t="str">
        <f>INDEX('For Bill Impact(HideBeforeFile)'!$D$6:$O$15,MATCH(C10,'For Bill Impact(HideBeforeFile)'!$C$62:$C$71,0),MATCH($O17,'For Bill Impact(HideBeforeFile)'!$D$61:$O$61,0))</f>
        <v/>
      </c>
      <c r="G17" s="169"/>
      <c r="H17" s="54" t="str">
        <f>INDEX('For Bill Impact(HideBeforeFile)'!$D$20:$O$29,MATCH(C10,'For Bill Impact(HideBeforeFile)'!$C$62:$C$71,0),MATCH($O17,'For Bill Impact(HideBeforeFile)'!$D$61:$O$61,0))</f>
        <v/>
      </c>
      <c r="J17" s="57" t="str">
        <f>INDEX('For Bill Impact(HideBeforeFile)'!$D$34:$O$43,MATCH(C10,'For Bill Impact(HideBeforeFile)'!$C$62:$C$71,0),MATCH($O17,'For Bill Impact(HideBeforeFile)'!$D$61:$O$61,0))</f>
        <v/>
      </c>
      <c r="O17" s="48" t="str">
        <f>'For Bill Impact(HideBeforeFile)'!$L$5</f>
        <v>Dist. Vol. Rate Tier 1</v>
      </c>
    </row>
    <row r="18" spans="3:15" s="48" customFormat="1" ht="15" x14ac:dyDescent="0.2">
      <c r="C18" s="48" t="str">
        <f>INDEX('For Bill Impact(HideBeforeFile)'!$D$48:$O$57,MATCH(C10,'For Bill Impact(HideBeforeFile)'!$C$62:$C$71,0),MATCH($O18,'For Bill Impact(HideBeforeFile)'!$D$61:$O$61,0))</f>
        <v/>
      </c>
      <c r="D18" s="48" t="str">
        <f>INDEX('For Bill Impact(HideBeforeFile)'!$D$62:$O$71,MATCH(C10,'For Bill Impact(HideBeforeFile)'!$C$62:$C$71,0),MATCH($O18,'For Bill Impact(HideBeforeFile)'!$D$61:$O$61,0))</f>
        <v/>
      </c>
      <c r="E18" s="169"/>
      <c r="F18" s="54" t="str">
        <f>INDEX('For Bill Impact(HideBeforeFile)'!$D$6:$O$15,MATCH(C10,'For Bill Impact(HideBeforeFile)'!$C$62:$C$71,0),MATCH($O18,'For Bill Impact(HideBeforeFile)'!$D$61:$O$61,0))</f>
        <v/>
      </c>
      <c r="G18" s="169"/>
      <c r="H18" s="54" t="str">
        <f>INDEX('For Bill Impact(HideBeforeFile)'!$D$20:$O$29,MATCH(C10,'For Bill Impact(HideBeforeFile)'!$C$62:$C$71,0),MATCH($O18,'For Bill Impact(HideBeforeFile)'!$D$61:$O$61,0))</f>
        <v/>
      </c>
      <c r="J18" s="57" t="str">
        <f>INDEX('For Bill Impact(HideBeforeFile)'!$D$34:$O$43,MATCH(C10,'For Bill Impact(HideBeforeFile)'!$C$62:$C$71,0),MATCH($O18,'For Bill Impact(HideBeforeFile)'!$D$61:$O$61,0))</f>
        <v/>
      </c>
      <c r="O18" s="48" t="str">
        <f>'For Bill Impact(HideBeforeFile)'!$M$5</f>
        <v>Dist. Vol. Rate Tier 2</v>
      </c>
    </row>
    <row r="19" spans="3:15" s="48" customFormat="1" ht="15" x14ac:dyDescent="0.2">
      <c r="C19" s="48" t="str">
        <f>INDEX('For Bill Impact(HideBeforeFile)'!$D$48:$O$57,MATCH(C10,'For Bill Impact(HideBeforeFile)'!$C$62:$C$71,0),MATCH($O19,'For Bill Impact(HideBeforeFile)'!$D$61:$O$61,0))</f>
        <v/>
      </c>
      <c r="D19" s="48" t="str">
        <f>INDEX('For Bill Impact(HideBeforeFile)'!$D$62:$O$71,MATCH(C10,'For Bill Impact(HideBeforeFile)'!$C$62:$C$71,0),MATCH($O19,'For Bill Impact(HideBeforeFile)'!$D$61:$O$61,0))</f>
        <v/>
      </c>
      <c r="E19" s="169"/>
      <c r="F19" s="54" t="str">
        <f>INDEX('For Bill Impact(HideBeforeFile)'!$D$6:$O$15,MATCH(C10,'For Bill Impact(HideBeforeFile)'!$C$62:$C$71,0),MATCH($O19,'For Bill Impact(HideBeforeFile)'!$D$61:$O$61,0))</f>
        <v/>
      </c>
      <c r="G19" s="169"/>
      <c r="H19" s="54" t="str">
        <f>INDEX('For Bill Impact(HideBeforeFile)'!$D$20:$O$29,MATCH(C10,'For Bill Impact(HideBeforeFile)'!$C$62:$C$71,0),MATCH($O19,'For Bill Impact(HideBeforeFile)'!$D$61:$O$61,0))</f>
        <v/>
      </c>
      <c r="J19" s="57" t="str">
        <f>INDEX('For Bill Impact(HideBeforeFile)'!$D$34:$O$43,MATCH(C10,'For Bill Impact(HideBeforeFile)'!$C$62:$C$71,0),MATCH($O19,'For Bill Impact(HideBeforeFile)'!$D$61:$O$61,0))</f>
        <v/>
      </c>
      <c r="O19" s="48" t="str">
        <f>'For Bill Impact(HideBeforeFile)'!$N$5</f>
        <v>Dist. Vol. Rate Tier 3</v>
      </c>
    </row>
    <row r="20" spans="3:15" s="48" customFormat="1" ht="15" x14ac:dyDescent="0.2">
      <c r="C20" s="48" t="str">
        <f>INDEX('For Bill Impact(HideBeforeFile)'!$D$48:$O$57,MATCH(C10,'For Bill Impact(HideBeforeFile)'!$C$62:$C$71,0),MATCH($O20,'For Bill Impact(HideBeforeFile)'!$D$61:$O$61,0))</f>
        <v/>
      </c>
      <c r="D20" s="48" t="str">
        <f>INDEX('For Bill Impact(HideBeforeFile)'!$D$62:$O$71,MATCH(C10,'For Bill Impact(HideBeforeFile)'!$C$62:$C$71,0),MATCH($O20,'For Bill Impact(HideBeforeFile)'!$D$61:$O$61,0))</f>
        <v/>
      </c>
      <c r="E20" s="169"/>
      <c r="F20" s="54" t="str">
        <f>INDEX('For Bill Impact(HideBeforeFile)'!$D$6:$O$15,MATCH(C10,'For Bill Impact(HideBeforeFile)'!$C$62:$C$71,0),MATCH($O20,'For Bill Impact(HideBeforeFile)'!$D$61:$O$61,0))</f>
        <v/>
      </c>
      <c r="G20" s="169"/>
      <c r="H20" s="54" t="str">
        <f>INDEX('For Bill Impact(HideBeforeFile)'!$D$20:$O$29,MATCH(C10,'For Bill Impact(HideBeforeFile)'!$C$62:$C$71,0),MATCH($O20,'For Bill Impact(HideBeforeFile)'!$D$61:$O$61,0))</f>
        <v/>
      </c>
      <c r="J20" s="57" t="str">
        <f>INDEX('For Bill Impact(HideBeforeFile)'!$D$34:$O$43,MATCH(C10,'For Bill Impact(HideBeforeFile)'!$C$62:$C$71,0),MATCH($O20,'For Bill Impact(HideBeforeFile)'!$D$61:$O$61,0))</f>
        <v/>
      </c>
      <c r="O20" s="48" t="str">
        <f>'For Bill Impact(HideBeforeFile)'!$O$5</f>
        <v>Dist. Capacity Rate</v>
      </c>
    </row>
    <row r="21" spans="3:15" s="48" customFormat="1" ht="15" x14ac:dyDescent="0.2">
      <c r="C21" s="48" t="str">
        <f>INDEX('For Bill Impact(HideBeforeFile)'!$D$48:$O$57,MATCH(C10,'For Bill Impact(HideBeforeFile)'!$C$62:$C$71,0),MATCH($O21,'For Bill Impact(HideBeforeFile)'!$D$61:$O$61,0))</f>
        <v/>
      </c>
      <c r="D21" s="48" t="str">
        <f>INDEX('For Bill Impact(HideBeforeFile)'!$D$62:$O$71,MATCH(C10,'For Bill Impact(HideBeforeFile)'!$C$62:$C$71,0),MATCH($O21,'For Bill Impact(HideBeforeFile)'!$D$61:$O$61,0))</f>
        <v/>
      </c>
      <c r="E21" s="169"/>
      <c r="F21" s="54" t="str">
        <f>INDEX('For Bill Impact(HideBeforeFile)'!$D$6:$O$15,MATCH(C10,'For Bill Impact(HideBeforeFile)'!$C$62:$C$71,0),MATCH($O21,'For Bill Impact(HideBeforeFile)'!$D$61:$O$61,0))</f>
        <v/>
      </c>
      <c r="G21" s="169"/>
      <c r="H21" s="54" t="str">
        <f>INDEX('For Bill Impact(HideBeforeFile)'!$D$20:$O$29,MATCH(C10,'For Bill Impact(HideBeforeFile)'!$C$62:$C$71,0),MATCH($O21,'For Bill Impact(HideBeforeFile)'!$D$61:$O$61,0))</f>
        <v/>
      </c>
      <c r="J21" s="57" t="str">
        <f>INDEX('For Bill Impact(HideBeforeFile)'!$D$34:$O$43,MATCH(C10,'For Bill Impact(HideBeforeFile)'!$C$62:$C$71,0),MATCH($O21,'For Bill Impact(HideBeforeFile)'!$D$61:$O$61,0))</f>
        <v/>
      </c>
      <c r="O21" s="48" t="str">
        <f>'For Bill Impact(HideBeforeFile)'!$E$5</f>
        <v>System Gas</v>
      </c>
    </row>
    <row r="22" spans="3:15" s="48" customFormat="1" ht="15" x14ac:dyDescent="0.2"/>
    <row r="23" spans="3:15" s="48" customFormat="1" ht="15" x14ac:dyDescent="0.2">
      <c r="C23" s="48" t="str">
        <f>INDEX('For Bill Impact(HideBeforeFile)'!$D$48:$O$57,MATCH(C10,'For Bill Impact(HideBeforeFile)'!$C$62:$C$71,0),MATCH($O23,'For Bill Impact(HideBeforeFile)'!$D$61:$O$61,0))</f>
        <v>REDA</v>
      </c>
      <c r="D23" s="48" t="str">
        <f>INDEX('For Bill Impact(HideBeforeFile)'!$D$62:$O$71,MATCH(C10,'For Bill Impact(HideBeforeFile)'!$C$62:$C$71,0),MATCH($O23,'For Bill Impact(HideBeforeFile)'!$D$61:$O$61,0))</f>
        <v>$ / month</v>
      </c>
      <c r="E23" s="171"/>
      <c r="F23" s="170">
        <f>INDEX('For Bill Impact(HideBeforeFile)'!$D$6:$O$15,MATCH(C10,'For Bill Impact(HideBeforeFile)'!$C$62:$C$71,0),MATCH($O23,'For Bill Impact(HideBeforeFile)'!$D$61:$O$61,0))</f>
        <v>0.56000000000000005</v>
      </c>
      <c r="G23" s="171"/>
      <c r="H23" s="170">
        <f>INDEX('For Bill Impact(HideBeforeFile)'!$D$20:$O$29,MATCH(C10,'For Bill Impact(HideBeforeFile)'!$C$62:$C$71,0),MATCH($O23,'For Bill Impact(HideBeforeFile)'!$D$61:$O$61,0))</f>
        <v>0.73891059734433229</v>
      </c>
      <c r="J23" s="57">
        <f>INDEX('For Bill Impact(HideBeforeFile)'!$D$34:$O$43,MATCH(C10,'For Bill Impact(HideBeforeFile)'!$C$62:$C$71,0),MATCH($O23,'For Bill Impact(HideBeforeFile)'!$D$61:$O$61,0))</f>
        <v>12</v>
      </c>
      <c r="O23" s="48" t="str">
        <f>'For Bill Impact(HideBeforeFile)'!$F$5</f>
        <v>REDA</v>
      </c>
    </row>
    <row r="24" spans="3:15" s="48" customFormat="1" ht="15" x14ac:dyDescent="0.2">
      <c r="C24" s="48" t="str">
        <f>INDEX('For Bill Impact(HideBeforeFile)'!$D$48:$O$57,MATCH(C10,'For Bill Impact(HideBeforeFile)'!$C$62:$C$71,0),MATCH($O24,'For Bill Impact(HideBeforeFile)'!$D$61:$O$61,0))</f>
        <v>PGTVA</v>
      </c>
      <c r="D24" s="48" t="str">
        <f>INDEX('For Bill Impact(HideBeforeFile)'!$D$62:$O$71,MATCH(C10,'For Bill Impact(HideBeforeFile)'!$C$62:$C$71,0),MATCH($O24,'For Bill Impact(HideBeforeFile)'!$D$61:$O$61,0))</f>
        <v>$ / month</v>
      </c>
      <c r="E24" s="169"/>
      <c r="F24" s="57">
        <f>INDEX('For Bill Impact(HideBeforeFile)'!$D$6:$O$15,MATCH(C10,'For Bill Impact(HideBeforeFile)'!$C$62:$C$71,0),MATCH($O24,'For Bill Impact(HideBeforeFile)'!$D$61:$O$61,0))</f>
        <v>15413.33</v>
      </c>
      <c r="G24" s="169"/>
      <c r="H24" s="54" t="str">
        <f>INDEX('For Bill Impact(HideBeforeFile)'!$D$20:$O$29,MATCH(C10,'For Bill Impact(HideBeforeFile)'!$C$62:$C$71,0),MATCH($O24,'For Bill Impact(HideBeforeFile)'!$D$61:$O$61,0))</f>
        <v/>
      </c>
      <c r="J24" s="57">
        <f>INDEX('For Bill Impact(HideBeforeFile)'!$D$34:$O$43,MATCH(C10,'For Bill Impact(HideBeforeFile)'!$C$62:$C$71,0),MATCH($O24,'For Bill Impact(HideBeforeFile)'!$D$61:$O$61,0))</f>
        <v>12</v>
      </c>
      <c r="O24" s="48" t="str">
        <f>'For Bill Impact(HideBeforeFile)'!$G$5</f>
        <v>PGTVA</v>
      </c>
    </row>
    <row r="25" spans="3:15" s="48" customFormat="1" ht="15" x14ac:dyDescent="0.2">
      <c r="C25" s="48" t="str">
        <f>INDEX('For Bill Impact(HideBeforeFile)'!$D$48:$O$57,MATCH(C10,'For Bill Impact(HideBeforeFile)'!$C$62:$C$71,0),MATCH($O25,'For Bill Impact(HideBeforeFile)'!$D$61:$O$61,0))</f>
        <v>ADVADA</v>
      </c>
      <c r="D25" s="48" t="str">
        <f>INDEX('For Bill Impact(HideBeforeFile)'!$D$62:$O$71,MATCH(C10,'For Bill Impact(HideBeforeFile)'!$C$62:$C$71,0),MATCH($O25,'For Bill Impact(HideBeforeFile)'!$D$61:$O$61,0))</f>
        <v>$ / month</v>
      </c>
      <c r="F25" s="54" t="str">
        <f>INDEX('For Bill Impact(HideBeforeFile)'!$D$6:$O$15,MATCH(C10,'For Bill Impact(HideBeforeFile)'!$C$62:$C$71,0),MATCH($O25,'For Bill Impact(HideBeforeFile)'!$D$61:$O$61,0))</f>
        <v/>
      </c>
      <c r="H25" s="57">
        <f>INDEX('For Bill Impact(HideBeforeFile)'!$D$20:$O$29,MATCH(C10,'For Bill Impact(HideBeforeFile)'!$C$62:$C$71,0),MATCH($O25,'For Bill Impact(HideBeforeFile)'!$D$61:$O$61,0))</f>
        <v>923.58333333333337</v>
      </c>
      <c r="J25" s="57">
        <f>INDEX('For Bill Impact(HideBeforeFile)'!$D$34:$O$43,MATCH(C10,'For Bill Impact(HideBeforeFile)'!$C$62:$C$71,0),MATCH($O25,'For Bill Impact(HideBeforeFile)'!$D$61:$O$61,0))</f>
        <v>12</v>
      </c>
      <c r="O25" s="48" t="str">
        <f>'For Bill Impact(HideBeforeFile)'!$H$5</f>
        <v>ADVADA</v>
      </c>
    </row>
    <row r="26" spans="3:15" s="48" customFormat="1" ht="15" x14ac:dyDescent="0.2"/>
    <row r="27" spans="3:15" s="48" customFormat="1" ht="15.75" x14ac:dyDescent="0.25">
      <c r="C27" s="48" t="str">
        <f>INDEX('For Bill Impact(HideBeforeFile)'!$D$48:$O$57,MATCH(C10,'For Bill Impact(HideBeforeFile)'!$C$62:$C$71,0),MATCH($O27,'For Bill Impact(HideBeforeFile)'!$D$61:$O$61,0))</f>
        <v/>
      </c>
      <c r="D27" s="48" t="str">
        <f>INDEX('For Bill Impact(HideBeforeFile)'!$D$62:$O$71,MATCH(C10,'For Bill Impact(HideBeforeFile)'!$C$62:$C$71,0),MATCH($O27,'For Bill Impact(HideBeforeFile)'!$D$61:$O$61,0))</f>
        <v/>
      </c>
      <c r="E27" s="169"/>
      <c r="F27" s="54" t="str">
        <f>INDEX('For Bill Impact(HideBeforeFile)'!$D$6:$O$15,MATCH(C10,'For Bill Impact(HideBeforeFile)'!$C$62:$C$71,0),MATCH($O27,'For Bill Impact(HideBeforeFile)'!$D$61:$O$61,0))</f>
        <v/>
      </c>
      <c r="G27" s="169"/>
      <c r="H27" s="54" t="str">
        <f>INDEX('For Bill Impact(HideBeforeFile)'!$D$20:$O$29,MATCH(C10,'For Bill Impact(HideBeforeFile)'!$C$62:$C$71,0),MATCH($O27,'For Bill Impact(HideBeforeFile)'!$D$61:$O$61,0))</f>
        <v/>
      </c>
      <c r="J27" s="57" t="str">
        <f>INDEX('For Bill Impact(HideBeforeFile)'!$D$34:$O$43,MATCH(C10,'For Bill Impact(HideBeforeFile)'!$C$62:$C$71,0),MATCH($O27,'For Bill Impact(HideBeforeFile)'!$D$61:$O$61,0))</f>
        <v/>
      </c>
      <c r="N27" s="16"/>
      <c r="O27" s="48" t="str">
        <f>'For Bill Impact(HideBeforeFile)'!$I$5</f>
        <v>Federal Carbon</v>
      </c>
    </row>
    <row r="28" spans="3:15" s="48" customFormat="1" ht="15" x14ac:dyDescent="0.2">
      <c r="C28" s="48" t="str">
        <f>INDEX('For Bill Impact(HideBeforeFile)'!$D$48:$O$57,MATCH(C10,'For Bill Impact(HideBeforeFile)'!$C$62:$C$71,0),MATCH($O28,'For Bill Impact(HideBeforeFile)'!$D$61:$O$61,0))</f>
        <v>Facility Carbon</v>
      </c>
      <c r="D28" s="48" t="str">
        <f>INDEX('For Bill Impact(HideBeforeFile)'!$D$62:$O$71,MATCH(C10,'For Bill Impact(HideBeforeFile)'!$C$62:$C$71,0),MATCH($O28,'For Bill Impact(HideBeforeFile)'!$D$61:$O$61,0))</f>
        <v>cents / m3</v>
      </c>
      <c r="E28" s="169"/>
      <c r="F28" s="54">
        <f>INDEX('For Bill Impact(HideBeforeFile)'!$D$6:$O$15,MATCH(C10,'For Bill Impact(HideBeforeFile)'!$C$62:$C$71,0),MATCH($O28,'For Bill Impact(HideBeforeFile)'!$D$61:$O$61,0))</f>
        <v>2.7000000000000001E-3</v>
      </c>
      <c r="G28" s="169"/>
      <c r="H28" s="54">
        <f>INDEX('For Bill Impact(HideBeforeFile)'!$D$20:$O$29,MATCH(C10,'For Bill Impact(HideBeforeFile)'!$C$62:$C$71,0),MATCH($O28,'For Bill Impact(HideBeforeFile)'!$D$61:$O$61,0))</f>
        <v>2.7000000000000001E-3</v>
      </c>
      <c r="J28" s="57">
        <f>INDEX('For Bill Impact(HideBeforeFile)'!$D$34:$O$43,MATCH(C10,'For Bill Impact(HideBeforeFile)'!$C$62:$C$71,0),MATCH($O28,'For Bill Impact(HideBeforeFile)'!$D$61:$O$61,0))</f>
        <v>62382456</v>
      </c>
      <c r="O28" s="48" t="str">
        <f>'For Bill Impact(HideBeforeFile)'!$J$5</f>
        <v>Facility Carbon</v>
      </c>
    </row>
    <row r="29" spans="3:15" s="48" customFormat="1" ht="15" x14ac:dyDescent="0.2"/>
    <row r="30" spans="3:15" s="48" customFormat="1" ht="15" x14ac:dyDescent="0.2"/>
    <row r="31" spans="3:15" s="48" customFormat="1" ht="15.75" x14ac:dyDescent="0.25">
      <c r="C31" s="17" t="s">
        <v>8</v>
      </c>
      <c r="E31" s="52"/>
      <c r="F31" s="172" t="s">
        <v>130</v>
      </c>
      <c r="G31" s="172"/>
      <c r="H31" s="172" t="s">
        <v>131</v>
      </c>
      <c r="J31" s="48" t="s">
        <v>55</v>
      </c>
      <c r="L31" s="56" t="s">
        <v>56</v>
      </c>
    </row>
    <row r="32" spans="3:15" s="48" customFormat="1" ht="15" x14ac:dyDescent="0.2">
      <c r="F32" s="58" t="str">
        <f>IFERROR(F14*$J14/100,"")</f>
        <v/>
      </c>
      <c r="G32" s="171"/>
      <c r="H32" s="58" t="str">
        <f>IFERROR(H14*$J14/100,"")</f>
        <v/>
      </c>
      <c r="J32" s="53" t="str">
        <f>IFERROR(H32-F32,"")</f>
        <v/>
      </c>
      <c r="L32" s="59" t="str">
        <f>IFERROR(J32/F32,"")</f>
        <v/>
      </c>
      <c r="O32" s="48" t="str">
        <f>'For Bill Impact(HideBeforeFile)'!$D$5</f>
        <v>Commodity</v>
      </c>
    </row>
    <row r="33" spans="3:15" s="48" customFormat="1" ht="15" x14ac:dyDescent="0.2"/>
    <row r="34" spans="3:15" s="48" customFormat="1" ht="15.75" x14ac:dyDescent="0.25">
      <c r="C34" s="17" t="s">
        <v>68</v>
      </c>
      <c r="E34" s="52"/>
      <c r="F34" s="52" t="s">
        <v>35</v>
      </c>
      <c r="G34" s="52"/>
      <c r="H34" s="52" t="s">
        <v>52</v>
      </c>
      <c r="J34" s="48" t="s">
        <v>55</v>
      </c>
      <c r="L34" s="56" t="s">
        <v>56</v>
      </c>
    </row>
    <row r="35" spans="3:15" s="48" customFormat="1" ht="15" x14ac:dyDescent="0.2">
      <c r="C35" s="47" t="str">
        <f>IF(C16&lt;&gt;"",C16,"")</f>
        <v>Customer (excl. Bill 32)</v>
      </c>
      <c r="F35" s="58">
        <f>F16*$J16</f>
        <v>734759.04</v>
      </c>
      <c r="G35" s="171"/>
      <c r="H35" s="58">
        <f>H16*$J16</f>
        <v>746515.18463999999</v>
      </c>
      <c r="J35" s="53">
        <f>IFERROR(H35-F35,"")</f>
        <v>11756.144639999955</v>
      </c>
      <c r="L35" s="59">
        <f>IFERROR(J35/F35,"")</f>
        <v>1.5999999999999938E-2</v>
      </c>
      <c r="O35" s="48" t="str">
        <f>'For Bill Impact(HideBeforeFile)'!$K$5</f>
        <v>Dist. Customer Rate</v>
      </c>
    </row>
    <row r="36" spans="3:15" s="48" customFormat="1" ht="15" x14ac:dyDescent="0.2">
      <c r="C36" s="47" t="s">
        <v>149</v>
      </c>
      <c r="F36" s="58">
        <v>12</v>
      </c>
      <c r="G36" s="171"/>
      <c r="H36" s="58">
        <v>12</v>
      </c>
      <c r="J36" s="53">
        <f>IFERROR(H36-F36,"")</f>
        <v>0</v>
      </c>
      <c r="L36" s="59">
        <f>IFERROR(J36/F36,"")</f>
        <v>0</v>
      </c>
    </row>
    <row r="37" spans="3:15" s="48" customFormat="1" ht="15" x14ac:dyDescent="0.2">
      <c r="C37" s="47" t="str">
        <f>IF(C17&lt;&gt;"",C17,"")</f>
        <v/>
      </c>
      <c r="F37" s="58" t="str">
        <f>IFERROR(F17*$J17/100,"")</f>
        <v/>
      </c>
      <c r="H37" s="58" t="str">
        <f>IFERROR(H17*$J17/100,"")</f>
        <v/>
      </c>
      <c r="J37" s="53" t="str">
        <f t="shared" ref="J37:J41" si="0">IFERROR(H37-F37,"")</f>
        <v/>
      </c>
      <c r="L37" s="59" t="str">
        <f t="shared" ref="L37:L41" si="1">IFERROR(J37/F37,"")</f>
        <v/>
      </c>
      <c r="O37" s="48" t="str">
        <f>'For Bill Impact(HideBeforeFile)'!$L$5</f>
        <v>Dist. Vol. Rate Tier 1</v>
      </c>
    </row>
    <row r="38" spans="3:15" s="48" customFormat="1" ht="15" x14ac:dyDescent="0.2">
      <c r="C38" s="47" t="str">
        <f>IF(C18&lt;&gt;"",C18,"")</f>
        <v/>
      </c>
      <c r="F38" s="58" t="str">
        <f>IFERROR(F18*$J18/100,"")</f>
        <v/>
      </c>
      <c r="H38" s="58" t="str">
        <f>IFERROR(H18*$J18/100,"")</f>
        <v/>
      </c>
      <c r="J38" s="53" t="str">
        <f t="shared" si="0"/>
        <v/>
      </c>
      <c r="L38" s="59" t="str">
        <f t="shared" si="1"/>
        <v/>
      </c>
      <c r="O38" s="48" t="str">
        <f>'For Bill Impact(HideBeforeFile)'!$M$5</f>
        <v>Dist. Vol. Rate Tier 2</v>
      </c>
    </row>
    <row r="39" spans="3:15" s="48" customFormat="1" ht="15" x14ac:dyDescent="0.2">
      <c r="C39" s="47" t="str">
        <f>IF(C19&lt;&gt;"",C19,"")</f>
        <v/>
      </c>
      <c r="F39" s="58" t="str">
        <f>IFERROR(F19*$J19/100,"")</f>
        <v/>
      </c>
      <c r="H39" s="58" t="str">
        <f>IFERROR(H19*$J19/100,"")</f>
        <v/>
      </c>
      <c r="J39" s="53" t="str">
        <f t="shared" si="0"/>
        <v/>
      </c>
      <c r="L39" s="59" t="str">
        <f t="shared" si="1"/>
        <v/>
      </c>
      <c r="O39" s="48" t="str">
        <f>'For Bill Impact(HideBeforeFile)'!$N$5</f>
        <v>Dist. Vol. Rate Tier 3</v>
      </c>
    </row>
    <row r="40" spans="3:15" s="48" customFormat="1" ht="15" x14ac:dyDescent="0.2">
      <c r="C40" s="47" t="str">
        <f>IF(C20&lt;&gt;"",C20,"")</f>
        <v/>
      </c>
      <c r="F40" s="58" t="str">
        <f>IFERROR(F20*$J20/100,"")</f>
        <v/>
      </c>
      <c r="H40" s="58" t="str">
        <f>IFERROR(H20*$J20/100,"")</f>
        <v/>
      </c>
      <c r="J40" s="53" t="str">
        <f t="shared" si="0"/>
        <v/>
      </c>
      <c r="L40" s="59" t="str">
        <f t="shared" si="1"/>
        <v/>
      </c>
      <c r="O40" s="48" t="str">
        <f>'For Bill Impact(HideBeforeFile)'!$O$5</f>
        <v>Dist. Capacity Rate</v>
      </c>
    </row>
    <row r="41" spans="3:15" s="48" customFormat="1" ht="15" x14ac:dyDescent="0.2">
      <c r="C41" s="47" t="str">
        <f>IF(C21&lt;&gt;"",C21,"")</f>
        <v/>
      </c>
      <c r="F41" s="58" t="str">
        <f>IFERROR(F21*$J21/100,"")</f>
        <v/>
      </c>
      <c r="H41" s="58" t="str">
        <f>IFERROR(H21*$J21/100,"")</f>
        <v/>
      </c>
      <c r="J41" s="53" t="str">
        <f t="shared" si="0"/>
        <v/>
      </c>
      <c r="L41" s="59" t="str">
        <f t="shared" si="1"/>
        <v/>
      </c>
      <c r="O41" s="48" t="str">
        <f>'For Bill Impact(HideBeforeFile)'!$E$5</f>
        <v>System Gas</v>
      </c>
    </row>
    <row r="42" spans="3:15" s="48" customFormat="1" ht="15.75" x14ac:dyDescent="0.25">
      <c r="C42" s="17" t="s">
        <v>54</v>
      </c>
      <c r="F42" s="35">
        <f>SUM(F35:F41)</f>
        <v>734771.04</v>
      </c>
      <c r="H42" s="35">
        <f>SUM(H35:H41)</f>
        <v>746527.18463999999</v>
      </c>
      <c r="J42" s="36">
        <f t="shared" ref="J42" si="2">H42-F42</f>
        <v>11756.144639999955</v>
      </c>
      <c r="L42" s="37">
        <f>IF(ISERROR(J42/F42),0,J42/F42)</f>
        <v>1.5999738694110692E-2</v>
      </c>
    </row>
    <row r="43" spans="3:15" s="48" customFormat="1" ht="15" x14ac:dyDescent="0.2"/>
    <row r="44" spans="3:15" s="48" customFormat="1" ht="15.75" x14ac:dyDescent="0.25">
      <c r="C44" s="17" t="s">
        <v>67</v>
      </c>
    </row>
    <row r="45" spans="3:15" s="48" customFormat="1" ht="15" x14ac:dyDescent="0.2"/>
    <row r="46" spans="3:15" s="48" customFormat="1" ht="15.75" x14ac:dyDescent="0.25">
      <c r="C46" s="17" t="s">
        <v>67</v>
      </c>
      <c r="E46" s="52"/>
      <c r="F46" s="52" t="s">
        <v>35</v>
      </c>
      <c r="G46" s="52"/>
      <c r="H46" s="52" t="s">
        <v>52</v>
      </c>
      <c r="J46" s="48" t="s">
        <v>55</v>
      </c>
      <c r="L46" s="56" t="s">
        <v>56</v>
      </c>
    </row>
    <row r="47" spans="3:15" s="48" customFormat="1" ht="15" x14ac:dyDescent="0.2">
      <c r="C47" s="48" t="s">
        <v>99</v>
      </c>
      <c r="E47" s="60"/>
      <c r="F47" s="58">
        <f>F23*$J23</f>
        <v>6.7200000000000006</v>
      </c>
      <c r="G47" s="60"/>
      <c r="H47" s="58">
        <f>H23*$J23</f>
        <v>8.866927168131987</v>
      </c>
      <c r="I47" s="60"/>
      <c r="J47" s="53">
        <f>IFERROR(H47-F47,"")</f>
        <v>2.1469271681319864</v>
      </c>
      <c r="L47" s="59">
        <f t="shared" ref="L47:L48" si="3">IFERROR(J47/F47,"")</f>
        <v>0.31948320954345033</v>
      </c>
      <c r="O47" s="48" t="str">
        <f>'For Bill Impact(HideBeforeFile)'!$F$5</f>
        <v>REDA</v>
      </c>
    </row>
    <row r="48" spans="3:15" s="48" customFormat="1" ht="15" x14ac:dyDescent="0.2">
      <c r="C48" s="48" t="s">
        <v>98</v>
      </c>
      <c r="E48" s="60"/>
      <c r="F48" s="55">
        <f>IFERROR(F24*$J24,"")</f>
        <v>184959.96</v>
      </c>
      <c r="G48" s="60"/>
      <c r="H48" s="55">
        <v>0</v>
      </c>
      <c r="I48" s="60"/>
      <c r="J48" s="173">
        <f t="shared" ref="J48" si="4">IFERROR(H48-F48,"")</f>
        <v>-184959.96</v>
      </c>
      <c r="L48" s="59">
        <f t="shared" si="3"/>
        <v>-1</v>
      </c>
      <c r="O48" s="48" t="str">
        <f>'For Bill Impact(HideBeforeFile)'!$G$5</f>
        <v>PGTVA</v>
      </c>
    </row>
    <row r="49" spans="3:15" s="48" customFormat="1" ht="15" x14ac:dyDescent="0.2">
      <c r="C49" s="48" t="s">
        <v>100</v>
      </c>
      <c r="E49" s="60"/>
      <c r="F49" s="55" t="str">
        <f>IFERROR(F25*$J25/100,"")</f>
        <v/>
      </c>
      <c r="G49" s="60"/>
      <c r="H49" s="55">
        <f>IFERROR(H25*$J25,"")</f>
        <v>11083</v>
      </c>
      <c r="I49" s="60"/>
      <c r="J49" s="53">
        <f>H49</f>
        <v>11083</v>
      </c>
      <c r="L49" s="59">
        <f>J49/H49</f>
        <v>1</v>
      </c>
      <c r="O49" s="48" t="str">
        <f>'For Bill Impact(HideBeforeFile)'!$H$5</f>
        <v>ADVADA</v>
      </c>
    </row>
    <row r="50" spans="3:15" s="48" customFormat="1" ht="15.75" x14ac:dyDescent="0.25">
      <c r="C50" s="20" t="s">
        <v>69</v>
      </c>
      <c r="F50" s="38">
        <f>SUM(F47:F49)</f>
        <v>184966.68</v>
      </c>
      <c r="H50" s="38">
        <f>SUM(H47:H49)</f>
        <v>11091.866927168132</v>
      </c>
      <c r="J50" s="38">
        <f>SUM(J47:J49)</f>
        <v>-173874.81307283186</v>
      </c>
      <c r="L50" s="37">
        <f t="shared" ref="L50" si="5">IF(ISERROR(J50/F50),0,J50/F50)</f>
        <v>-0.94003316204211418</v>
      </c>
    </row>
    <row r="51" spans="3:15" s="48" customFormat="1" ht="15" x14ac:dyDescent="0.2">
      <c r="C51" s="47"/>
    </row>
    <row r="52" spans="3:15" s="48" customFormat="1" ht="15.75" x14ac:dyDescent="0.25">
      <c r="C52" s="17" t="s">
        <v>108</v>
      </c>
    </row>
    <row r="53" spans="3:15" s="48" customFormat="1" ht="15" x14ac:dyDescent="0.2">
      <c r="C53" s="47" t="s">
        <v>134</v>
      </c>
      <c r="F53" s="58" t="str">
        <f>IFERROR(F27*$J27/100,"")</f>
        <v/>
      </c>
      <c r="G53" s="60"/>
      <c r="H53" s="58" t="str">
        <f>IFERROR(H27*$J27/100,"")</f>
        <v/>
      </c>
      <c r="J53" s="53" t="str">
        <f>IFERROR(H53-F53,"")</f>
        <v/>
      </c>
      <c r="L53" s="59" t="str">
        <f t="shared" ref="L53:L54" si="6">IFERROR(J53/F53,"")</f>
        <v/>
      </c>
    </row>
    <row r="54" spans="3:15" s="48" customFormat="1" ht="15" x14ac:dyDescent="0.2">
      <c r="C54" s="47" t="s">
        <v>135</v>
      </c>
      <c r="F54" s="58">
        <f>F28*$J28/100</f>
        <v>1684.3263120000001</v>
      </c>
      <c r="G54" s="60"/>
      <c r="H54" s="58">
        <f>H28*$J28/100</f>
        <v>1684.3263120000001</v>
      </c>
      <c r="J54" s="53">
        <f>IFERROR(H54-F54,"")</f>
        <v>0</v>
      </c>
      <c r="L54" s="59">
        <f t="shared" si="6"/>
        <v>0</v>
      </c>
    </row>
    <row r="55" spans="3:15" s="48" customFormat="1" ht="18" customHeight="1" x14ac:dyDescent="0.25">
      <c r="C55" s="20" t="s">
        <v>136</v>
      </c>
      <c r="F55" s="38">
        <f>SUM(F53:F54)</f>
        <v>1684.3263120000001</v>
      </c>
      <c r="H55" s="38">
        <f>SUM(H53:H54)</f>
        <v>1684.3263120000001</v>
      </c>
      <c r="J55" s="38">
        <f>SUM(J53:J54)</f>
        <v>0</v>
      </c>
      <c r="L55" s="37">
        <f t="shared" ref="L55" si="7">IF(ISERROR(J55/F55),0,J55/F55)</f>
        <v>0</v>
      </c>
    </row>
    <row r="56" spans="3:15" s="48" customFormat="1" ht="18" customHeight="1" x14ac:dyDescent="0.2">
      <c r="C56" s="47"/>
    </row>
    <row r="57" spans="3:15" s="48" customFormat="1" ht="16.5" thickBot="1" x14ac:dyDescent="0.3">
      <c r="C57" s="20" t="s">
        <v>70</v>
      </c>
      <c r="F57" s="39">
        <f>SUM(F32,F42,F50,F55)</f>
        <v>921422.04631200002</v>
      </c>
      <c r="H57" s="39">
        <f>SUM(H32,H42,H50,H55)</f>
        <v>759303.37787916814</v>
      </c>
      <c r="J57" s="39">
        <f>SUM(J32,J42,J50,J55)</f>
        <v>-162118.66843283191</v>
      </c>
      <c r="L57" s="40">
        <f t="shared" ref="L57" si="8">IFERROR(J57/F57,"")</f>
        <v>-0.17594398688604568</v>
      </c>
    </row>
    <row r="58" spans="3:15" s="48" customFormat="1" ht="15.75" x14ac:dyDescent="0.25">
      <c r="C58" s="20"/>
      <c r="E58" s="122"/>
      <c r="F58" s="121"/>
      <c r="G58" s="122"/>
      <c r="H58" s="121"/>
      <c r="I58" s="122"/>
      <c r="J58" s="123"/>
      <c r="K58" s="122"/>
      <c r="L58" s="124"/>
    </row>
    <row r="59" spans="3:15" s="48" customFormat="1" ht="15.75" x14ac:dyDescent="0.25">
      <c r="C59" s="20"/>
      <c r="E59" s="122"/>
      <c r="F59" s="121"/>
      <c r="G59" s="122"/>
      <c r="H59" s="121"/>
      <c r="I59" s="122"/>
      <c r="J59" s="123"/>
      <c r="K59" s="122"/>
      <c r="L59" s="124"/>
    </row>
    <row r="60" spans="3:15" s="48" customFormat="1" ht="15.75" customHeight="1" x14ac:dyDescent="0.25">
      <c r="C60" s="116" t="str">
        <f ca="1">MID(CELL("filename",A1),FIND("]",CELL("filename",A1))+1,255)</f>
        <v>G1.6 Rate 6 Bill Impact</v>
      </c>
      <c r="E60" s="122"/>
      <c r="F60" s="121"/>
      <c r="G60" s="122"/>
      <c r="H60" s="121"/>
      <c r="I60" s="122"/>
      <c r="J60" s="123"/>
      <c r="K60" s="122"/>
      <c r="L60" s="124"/>
    </row>
    <row r="61" spans="3:15" s="48" customFormat="1" ht="15.75" customHeight="1" x14ac:dyDescent="0.25">
      <c r="C61" s="116"/>
      <c r="E61" s="122"/>
      <c r="F61" s="121"/>
      <c r="G61" s="122"/>
      <c r="H61" s="121"/>
      <c r="I61" s="122"/>
      <c r="J61" s="123"/>
      <c r="K61" s="122"/>
      <c r="L61" s="124"/>
    </row>
    <row r="62" spans="3:15" s="48" customFormat="1" ht="15.75" customHeight="1" x14ac:dyDescent="0.25">
      <c r="D62" s="125"/>
    </row>
    <row r="63" spans="3:15" s="48" customFormat="1" ht="15.75" customHeight="1" x14ac:dyDescent="0.25">
      <c r="D63" s="125"/>
    </row>
    <row r="64" spans="3:15" s="48" customFormat="1" ht="15.75" customHeight="1" x14ac:dyDescent="0.25">
      <c r="D64" s="125"/>
    </row>
    <row r="65" spans="1:13" s="48" customFormat="1" ht="15.75" customHeight="1" x14ac:dyDescent="0.25">
      <c r="D65" s="125"/>
    </row>
    <row r="66" spans="1:13" s="48" customFormat="1" ht="15.75" customHeight="1" x14ac:dyDescent="0.25">
      <c r="D66" s="125"/>
    </row>
    <row r="67" spans="1:13" s="48" customFormat="1" ht="15.75" customHeight="1" x14ac:dyDescent="0.25">
      <c r="D67" s="125"/>
    </row>
    <row r="68" spans="1:13" s="48" customFormat="1" ht="15.75" customHeight="1" x14ac:dyDescent="0.25">
      <c r="D68" s="125"/>
    </row>
    <row r="69" spans="1:13" s="48" customFormat="1" ht="15.75" customHeight="1" x14ac:dyDescent="0.25">
      <c r="D69" s="125"/>
    </row>
    <row r="70" spans="1:13" s="48" customFormat="1" ht="15.75" customHeight="1" x14ac:dyDescent="0.25">
      <c r="D70" s="125"/>
    </row>
    <row r="71" spans="1:13" s="48" customFormat="1" ht="15.75" customHeight="1" x14ac:dyDescent="0.25">
      <c r="D71" s="125"/>
    </row>
    <row r="72" spans="1:13" s="48" customFormat="1" ht="15.75" customHeight="1" x14ac:dyDescent="0.25">
      <c r="D72" s="125"/>
    </row>
    <row r="73" spans="1:13" s="48" customFormat="1" ht="15.75" customHeight="1" x14ac:dyDescent="0.25">
      <c r="D73" s="125"/>
    </row>
    <row r="74" spans="1:13" s="48" customFormat="1" ht="15.75" customHeight="1" x14ac:dyDescent="0.25">
      <c r="D74" s="125"/>
    </row>
    <row r="75" spans="1:13" s="48" customFormat="1" ht="15.75" customHeight="1" x14ac:dyDescent="0.25">
      <c r="D75" s="125"/>
    </row>
    <row r="76" spans="1:13" s="48" customFormat="1" ht="15.75" customHeight="1" x14ac:dyDescent="0.25">
      <c r="D76" s="125"/>
    </row>
    <row r="77" spans="1:13" s="48" customFormat="1" ht="15.75" customHeight="1" x14ac:dyDescent="0.25">
      <c r="D77" s="125"/>
    </row>
    <row r="78" spans="1:13" ht="15.75" customHeight="1" x14ac:dyDescent="0.25">
      <c r="A78" s="48"/>
      <c r="B78" s="48"/>
      <c r="C78" s="48"/>
      <c r="D78" s="125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5.75" customHeight="1" x14ac:dyDescent="0.25">
      <c r="A79" s="48"/>
      <c r="B79" s="48"/>
      <c r="C79" s="48"/>
      <c r="D79" s="125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0" hidden="1" customHeight="1" x14ac:dyDescent="0.25"/>
    <row r="160" ht="0" hidden="1" customHeight="1" x14ac:dyDescent="0.25"/>
  </sheetData>
  <sheetProtection algorithmName="SHA-512" hashValue="QEOlnodqqXRwi/VW1CezODJewFGvwg6hOp9DK8M/RZi9e/WD0ys7MpzBqwKKSXnL1VB2hkmfvYPrp21urkqr0w==" saltValue="O+CXkzFRumEpRlzzuETGlg==" spinCount="100000" sheet="1" objects="1" scenarios="1"/>
  <pageMargins left="0.70866141732283472" right="0.70866141732283472" top="0.74803149606299213" bottom="0.74803149606299213" header="0.31496062992125984" footer="0.31496062992125984"/>
  <pageSetup scale="48" orientation="landscape" r:id="rId1"/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S58"/>
  <sheetViews>
    <sheetView showGridLines="0" view="pageBreakPreview" zoomScaleNormal="100" zoomScaleSheetLayoutView="100" workbookViewId="0">
      <selection activeCell="C33" sqref="C33"/>
    </sheetView>
  </sheetViews>
  <sheetFormatPr defaultRowHeight="15" x14ac:dyDescent="0.25"/>
  <cols>
    <col min="1" max="1" width="15.42578125" customWidth="1"/>
    <col min="2" max="2" width="40.5703125" hidden="1" customWidth="1"/>
    <col min="3" max="3" width="43.85546875" customWidth="1"/>
    <col min="4" max="4" width="20.7109375" customWidth="1"/>
    <col min="5" max="13" width="16.42578125" customWidth="1"/>
    <col min="14" max="15" width="18.28515625" customWidth="1"/>
  </cols>
  <sheetData>
    <row r="1" spans="3:14" ht="15.75" x14ac:dyDescent="0.25">
      <c r="C1" s="5"/>
    </row>
    <row r="2" spans="3:14" ht="18" x14ac:dyDescent="0.25">
      <c r="C2" s="6" t="str">
        <f>'A1.1 Distributor Information'!C3</f>
        <v>Name of LDC:       EPCOR Natural Gas Limited Partnership</v>
      </c>
    </row>
    <row r="3" spans="3:14" ht="18" x14ac:dyDescent="0.25">
      <c r="C3" s="6" t="str">
        <f>'A1.1 Distributor Information'!C4</f>
        <v>OEB Application Number:          EB-2020-0234 Exhibit A - 2021 IRM Application</v>
      </c>
    </row>
    <row r="5" spans="3:14" ht="26.25" x14ac:dyDescent="0.4">
      <c r="C5" s="50" t="s">
        <v>82</v>
      </c>
    </row>
    <row r="7" spans="3:14" ht="60" x14ac:dyDescent="0.25">
      <c r="C7" s="105" t="s">
        <v>83</v>
      </c>
      <c r="D7" s="174" t="s">
        <v>138</v>
      </c>
      <c r="E7" s="174" t="s">
        <v>140</v>
      </c>
      <c r="F7" s="174" t="s">
        <v>178</v>
      </c>
      <c r="G7" s="174" t="s">
        <v>179</v>
      </c>
      <c r="H7" s="174" t="s">
        <v>180</v>
      </c>
      <c r="I7" s="174" t="s">
        <v>181</v>
      </c>
      <c r="J7" s="174" t="s">
        <v>182</v>
      </c>
      <c r="K7" s="174" t="s">
        <v>183</v>
      </c>
      <c r="L7" s="174" t="s">
        <v>139</v>
      </c>
      <c r="M7" s="174" t="s">
        <v>141</v>
      </c>
    </row>
    <row r="8" spans="3:14" x14ac:dyDescent="0.25"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3:14" x14ac:dyDescent="0.25">
      <c r="C9" s="106" t="str">
        <f>'G1.1 Rate 1 Bill Impact'!C10</f>
        <v>RATE 1 - General Service Rate - Residential</v>
      </c>
      <c r="D9" s="107">
        <f>'G1.1 Rate 1 Bill Impact'!J42</f>
        <v>15.107104390532811</v>
      </c>
      <c r="E9" s="175">
        <f>'G1.1 Rate 1 Bill Impact'!L42</f>
        <v>3.064218708324239E-2</v>
      </c>
      <c r="F9" s="107">
        <f>'G1.1 Rate 1 Bill Impact'!J47</f>
        <v>2.1565537421658565</v>
      </c>
      <c r="G9" s="175">
        <f>'G1.1 Rate 1 Bill Impact'!L47</f>
        <v>0.30459798618161815</v>
      </c>
      <c r="H9" s="107">
        <f>'G1.1 Rate 1 Bill Impact'!J48</f>
        <v>3.774859148010814</v>
      </c>
      <c r="I9" s="175">
        <f>'G1.1 Rate 1 Bill Impact'!L48</f>
        <v>1.3956578614320008</v>
      </c>
      <c r="J9" s="107">
        <f>'G1.1 Rate 1 Bill Impact'!J49</f>
        <v>3.1361657829995333</v>
      </c>
      <c r="K9" s="175">
        <f>'G1.1 Rate 1 Bill Impact'!L49</f>
        <v>1</v>
      </c>
      <c r="L9" s="107">
        <f>'G1.1 Rate 1 Bill Impact'!J57</f>
        <v>24.174683063709015</v>
      </c>
      <c r="M9" s="175">
        <f>'G1.1 Rate 1 Bill Impact'!L57</f>
        <v>2.6648300889345486E-2</v>
      </c>
      <c r="N9" s="183"/>
    </row>
    <row r="10" spans="3:14" x14ac:dyDescent="0.25">
      <c r="C10" s="106" t="str">
        <f>'G1.1 Rate 1 Bill Impact'!C62</f>
        <v>RATE 1 - General Service Rate - Commercial</v>
      </c>
      <c r="D10" s="107">
        <f>'G1.1 Rate 1 Bill Impact'!J94</f>
        <v>29.326389259247662</v>
      </c>
      <c r="E10" s="175">
        <f>'G1.1 Rate 1 Bill Impact'!L94</f>
        <v>1.8001100356242153E-2</v>
      </c>
      <c r="F10" s="107">
        <f>'G1.1 Rate 1 Bill Impact'!J99</f>
        <v>2.1565537421658565</v>
      </c>
      <c r="G10" s="175">
        <f>'G1.1 Rate 1 Bill Impact'!L99</f>
        <v>0.30459798618161815</v>
      </c>
      <c r="H10" s="107">
        <f>'G1.1 Rate 1 Bill Impact'!J100</f>
        <v>21.177334704208349</v>
      </c>
      <c r="I10" s="175">
        <f>'G1.1 Rate 1 Bill Impact'!L100</f>
        <v>1.3956578614320001</v>
      </c>
      <c r="J10" s="107">
        <f>'G1.1 Rate 1 Bill Impact'!J101</f>
        <v>17.594201497416115</v>
      </c>
      <c r="K10" s="175">
        <f>'G1.1 Rate 1 Bill Impact'!L101</f>
        <v>1</v>
      </c>
      <c r="L10" s="107">
        <f>'G1.1 Rate 1 Bill Impact'!J109</f>
        <v>70.254479203037988</v>
      </c>
      <c r="M10" s="175">
        <f>'G1.1 Rate 1 Bill Impact'!L109</f>
        <v>1.7922165173239565E-2</v>
      </c>
      <c r="N10" s="183"/>
    </row>
    <row r="11" spans="3:14" x14ac:dyDescent="0.25">
      <c r="C11" s="106" t="str">
        <f>'G1.1 Rate 1 Bill Impact'!C114</f>
        <v>RATE 1 - General Service Rate - Industrial</v>
      </c>
      <c r="D11" s="107">
        <f>'G1.1 Rate 1 Bill Impact'!J146</f>
        <v>60.926805387716286</v>
      </c>
      <c r="E11" s="175">
        <f>'G1.1 Rate 1 Bill Impact'!L146</f>
        <v>1.5242684298060413E-2</v>
      </c>
      <c r="F11" s="107">
        <f>'G1.1 Rate 1 Bill Impact'!J151</f>
        <v>2.1565537421658565</v>
      </c>
      <c r="G11" s="175">
        <f>'G1.1 Rate 1 Bill Impact'!L151</f>
        <v>0.30459798618161815</v>
      </c>
      <c r="H11" s="107">
        <f>'G1.1 Rate 1 Bill Impact'!J152</f>
        <v>59.977530264994165</v>
      </c>
      <c r="I11" s="175">
        <f>'G1.1 Rate 1 Bill Impact'!L152</f>
        <v>1.3956578614320001</v>
      </c>
      <c r="J11" s="107">
        <f>'G1.1 Rate 1 Bill Impact'!J153</f>
        <v>49.829535564264404</v>
      </c>
      <c r="K11" s="175">
        <f>'G1.1 Rate 1 Bill Impact'!L153</f>
        <v>1</v>
      </c>
      <c r="L11" s="107">
        <f>'G1.1 Rate 1 Bill Impact'!J161</f>
        <v>172.89042495914072</v>
      </c>
      <c r="M11" s="175">
        <f>'G1.1 Rate 1 Bill Impact'!L161</f>
        <v>1.6509553681457057E-2</v>
      </c>
      <c r="N11" s="183"/>
    </row>
    <row r="12" spans="3:14" x14ac:dyDescent="0.25">
      <c r="C12" s="106"/>
      <c r="D12" s="107"/>
      <c r="E12" s="175"/>
      <c r="F12" s="107"/>
      <c r="G12" s="175"/>
      <c r="H12" s="107"/>
      <c r="I12" s="175"/>
      <c r="J12" s="107"/>
      <c r="K12" s="175"/>
      <c r="L12" s="107"/>
      <c r="M12" s="175"/>
      <c r="N12" s="183"/>
    </row>
    <row r="13" spans="3:14" x14ac:dyDescent="0.25">
      <c r="C13" s="106" t="str">
        <f>'G1.2 Rate 2 Bill Impact'!C10</f>
        <v>RATE 2 - Seasonal Service - Apr to Oct</v>
      </c>
      <c r="D13" s="107">
        <f>'G1.2 Rate 2 Bill Impact'!J42</f>
        <v>43.351995332380284</v>
      </c>
      <c r="E13" s="175">
        <f>'G1.2 Rate 2 Bill Impact'!L42</f>
        <v>2.6958730226436953E-2</v>
      </c>
      <c r="F13" s="107">
        <f>'G1.2 Rate 2 Bill Impact'!J47</f>
        <v>1.2579896829300825</v>
      </c>
      <c r="G13" s="175">
        <f>'G1.2 Rate 2 Bill Impact'!L47</f>
        <v>0.30459798618161804</v>
      </c>
      <c r="H13" s="107">
        <f>'G1.2 Rate 2 Bill Impact'!J48</f>
        <v>28.210760247274013</v>
      </c>
      <c r="I13" s="175">
        <f>'G1.2 Rate 2 Bill Impact'!L48</f>
        <v>1.3956578614320001</v>
      </c>
      <c r="J13" s="107">
        <f>'G1.2 Rate 2 Bill Impact'!J49</f>
        <v>23.43759529319815</v>
      </c>
      <c r="K13" s="175">
        <f>'G1.2 Rate 2 Bill Impact'!L49</f>
        <v>1</v>
      </c>
      <c r="L13" s="107">
        <f>'G1.2 Rate 2 Bill Impact'!J57</f>
        <v>96.258340555782524</v>
      </c>
      <c r="M13" s="175">
        <f>'G1.2 Rate 2 Bill Impact'!L57</f>
        <v>2.0680920676988492E-2</v>
      </c>
      <c r="N13" s="183"/>
    </row>
    <row r="14" spans="3:14" x14ac:dyDescent="0.25">
      <c r="C14" s="106" t="str">
        <f>'G1.2 Rate 2 Bill Impact'!C62</f>
        <v>RATE 2 - Seasonal Service - Nov to Mar</v>
      </c>
      <c r="D14" s="107">
        <f>'G1.2 Rate 2 Bill Impact'!J94</f>
        <v>45.439062281170663</v>
      </c>
      <c r="E14" s="175">
        <f>'G1.2 Rate 2 Bill Impact'!L94</f>
        <v>2.8356268713875917E-2</v>
      </c>
      <c r="F14" s="107">
        <f>'G1.2 Rate 2 Bill Impact'!J99</f>
        <v>0.89856405923577354</v>
      </c>
      <c r="G14" s="175">
        <f>'G1.2 Rate 2 Bill Impact'!L99</f>
        <v>0.30459798618161815</v>
      </c>
      <c r="H14" s="107">
        <f>'G1.2 Rate 2 Bill Impact'!J100</f>
        <v>17.394141576241537</v>
      </c>
      <c r="I14" s="175">
        <f>'G1.2 Rate 2 Bill Impact'!L100</f>
        <v>1.3956578614319999</v>
      </c>
      <c r="J14" s="107">
        <f>'G1.2 Rate 2 Bill Impact'!J101</f>
        <v>14.451111815603571</v>
      </c>
      <c r="K14" s="175">
        <f>'G1.2 Rate 2 Bill Impact'!L101</f>
        <v>1</v>
      </c>
      <c r="L14" s="107">
        <f>'G1.2 Rate 2 Bill Impact'!J109</f>
        <v>78.18287973225155</v>
      </c>
      <c r="M14" s="175">
        <f>'G1.2 Rate 2 Bill Impact'!L109</f>
        <v>2.2458859676329272E-2</v>
      </c>
      <c r="N14" s="183"/>
    </row>
    <row r="15" spans="3:14" x14ac:dyDescent="0.25">
      <c r="C15" s="106" t="str">
        <f>'G1.2 Rate 2 Bill Impact'!C114</f>
        <v>RATE 2 - Seasonal Service - Annual</v>
      </c>
      <c r="D15" s="107">
        <f>'G1.2 Rate 2 Bill Impact'!J127</f>
        <v>88.791057613550947</v>
      </c>
      <c r="E15" s="175">
        <f>'G1.2 Rate 2 Bill Impact'!L127</f>
        <v>2.7656269102759208E-2</v>
      </c>
      <c r="F15" s="107">
        <f>'G1.2 Rate 2 Bill Impact'!J132</f>
        <v>2.1565537421658565</v>
      </c>
      <c r="G15" s="175">
        <f>'G1.2 Rate 2 Bill Impact'!L132</f>
        <v>0.30459798618161815</v>
      </c>
      <c r="H15" s="107">
        <f>'G1.2 Rate 2 Bill Impact'!J133</f>
        <v>45.604901823515547</v>
      </c>
      <c r="I15" s="175">
        <f>'G1.2 Rate 2 Bill Impact'!L133</f>
        <v>1.3956578614319999</v>
      </c>
      <c r="J15" s="107">
        <f>'G1.2 Rate 2 Bill Impact'!J134</f>
        <v>37.888707108801725</v>
      </c>
      <c r="K15" s="175">
        <f>'G1.2 Rate 2 Bill Impact'!L134</f>
        <v>1</v>
      </c>
      <c r="L15" s="107">
        <f>'G1.2 Rate 2 Bill Impact'!J142</f>
        <v>174.44122028803406</v>
      </c>
      <c r="M15" s="175">
        <f>'G1.2 Rate 2 Bill Impact'!L142</f>
        <v>2.1441685863331113E-2</v>
      </c>
      <c r="N15" s="183"/>
    </row>
    <row r="16" spans="3:14" x14ac:dyDescent="0.25">
      <c r="C16" s="106"/>
      <c r="D16" s="107"/>
      <c r="E16" s="175"/>
      <c r="F16" s="107"/>
      <c r="G16" s="175"/>
      <c r="H16" s="107"/>
      <c r="I16" s="175"/>
      <c r="J16" s="107"/>
      <c r="K16" s="175"/>
      <c r="L16" s="107"/>
      <c r="M16" s="175"/>
      <c r="N16" s="183"/>
    </row>
    <row r="17" spans="3:14" x14ac:dyDescent="0.25">
      <c r="C17" s="106" t="str">
        <f>'G1.3 Rate 3 Bill Impact'!C10</f>
        <v>RATE 3 - Special Large Volume Contract Rate</v>
      </c>
      <c r="D17" s="107">
        <f>'G1.3 Rate 3 Bill Impact'!J42</f>
        <v>992.66623719839117</v>
      </c>
      <c r="E17" s="175">
        <f>'G1.3 Rate 3 Bill Impact'!L42</f>
        <v>4.3036890811143189E-2</v>
      </c>
      <c r="F17" s="107">
        <f>'G1.3 Rate 3 Bill Impact'!J47</f>
        <v>2.1565537421658565</v>
      </c>
      <c r="G17" s="175">
        <f>'G1.3 Rate 3 Bill Impact'!L47</f>
        <v>0.30459798618161815</v>
      </c>
      <c r="H17" s="107">
        <f>'G1.3 Rate 3 Bill Impact'!J48</f>
        <v>459.86716627242043</v>
      </c>
      <c r="I17" s="175">
        <f>'G1.3 Rate 3 Bill Impact'!L48</f>
        <v>1.3956578614320001</v>
      </c>
      <c r="J17" s="107">
        <f>'G1.3 Rate 3 Bill Impact'!J49</f>
        <v>382.05920142702786</v>
      </c>
      <c r="K17" s="175">
        <f>'G1.3 Rate 3 Bill Impact'!L49</f>
        <v>1</v>
      </c>
      <c r="L17" s="107">
        <f>'G1.3 Rate 3 Bill Impact'!J57</f>
        <v>1836.7491586400054</v>
      </c>
      <c r="M17" s="175">
        <f>'G1.3 Rate 3 Bill Impact'!L57</f>
        <v>2.5277155361010897E-2</v>
      </c>
      <c r="N17" s="183"/>
    </row>
    <row r="18" spans="3:14" x14ac:dyDescent="0.25">
      <c r="C18" s="106"/>
      <c r="D18" s="107"/>
      <c r="E18" s="175"/>
      <c r="F18" s="107"/>
      <c r="G18" s="175"/>
      <c r="H18" s="107"/>
      <c r="I18" s="175"/>
      <c r="J18" s="107"/>
      <c r="K18" s="175"/>
      <c r="L18" s="107"/>
      <c r="M18" s="175"/>
      <c r="N18" s="183"/>
    </row>
    <row r="19" spans="3:14" x14ac:dyDescent="0.25">
      <c r="C19" s="106" t="str">
        <f>'G1.4 Rate 4 Bill Impact'!C10</f>
        <v>RATE 4 - General Service Peaking - Apr to Dec</v>
      </c>
      <c r="D19" s="107">
        <f>'G1.4 Rate 4 Bill Impact'!J42</f>
        <v>176.32580335841976</v>
      </c>
      <c r="E19" s="175">
        <f>'G1.4 Rate 4 Bill Impact'!L42</f>
        <v>3.3121633601135937E-2</v>
      </c>
      <c r="F19" s="107">
        <f>'G1.4 Rate 4 Bill Impact'!J47</f>
        <v>1.6174153066243928</v>
      </c>
      <c r="G19" s="175">
        <f>'G1.4 Rate 4 Bill Impact'!L47</f>
        <v>0.30459798618161826</v>
      </c>
      <c r="H19" s="107">
        <f>'G1.4 Rate 4 Bill Impact'!J48</f>
        <v>78.838616004039636</v>
      </c>
      <c r="I19" s="175">
        <f>'G1.4 Rate 4 Bill Impact'!L48</f>
        <v>1.3956578614320003</v>
      </c>
      <c r="J19" s="107">
        <f>'G1.4 Rate 4 Bill Impact'!J49</f>
        <v>65.499389565621016</v>
      </c>
      <c r="K19" s="175">
        <f>'G1.4 Rate 4 Bill Impact'!L49</f>
        <v>1</v>
      </c>
      <c r="L19" s="107">
        <f>'G1.4 Rate 4 Bill Impact'!J57</f>
        <v>322.28122423470484</v>
      </c>
      <c r="M19" s="175">
        <f>'G1.4 Rate 4 Bill Impact'!L57</f>
        <v>2.330168794272457E-2</v>
      </c>
      <c r="N19" s="183"/>
    </row>
    <row r="20" spans="3:14" x14ac:dyDescent="0.25">
      <c r="C20" s="106" t="str">
        <f>'G1.4 Rate 4 Bill Impact'!C62</f>
        <v>RATE 4 - General Service Peaking - Jan to Mar</v>
      </c>
      <c r="D20" s="107">
        <f>'G1.4 Rate 4 Bill Impact'!J94</f>
        <v>34.806707025669084</v>
      </c>
      <c r="E20" s="175">
        <f>'G1.4 Rate 4 Bill Impact'!L94</f>
        <v>3.2375554304799353E-2</v>
      </c>
      <c r="F20" s="107">
        <f>'G1.4 Rate 4 Bill Impact'!J99</f>
        <v>0.53913843554146412</v>
      </c>
      <c r="G20" s="175">
        <f>'G1.4 Rate 4 Bill Impact'!L99</f>
        <v>0.30459798618161815</v>
      </c>
      <c r="H20" s="107">
        <f>'G1.4 Rate 4 Bill Impact'!J100</f>
        <v>9.5181087239787203</v>
      </c>
      <c r="I20" s="175">
        <f>'G1.4 Rate 4 Bill Impact'!L100</f>
        <v>1.3956578614320001</v>
      </c>
      <c r="J20" s="107">
        <f>'G1.4 Rate 4 Bill Impact'!J101</f>
        <v>7.9076770095491531</v>
      </c>
      <c r="K20" s="175">
        <f>'G1.4 Rate 4 Bill Impact'!L101</f>
        <v>1</v>
      </c>
      <c r="L20" s="107">
        <f>'G1.4 Rate 4 Bill Impact'!J109</f>
        <v>52.771631194738418</v>
      </c>
      <c r="M20" s="175">
        <f>'G1.4 Rate 4 Bill Impact'!L109</f>
        <v>2.509003783169568E-2</v>
      </c>
      <c r="N20" s="183"/>
    </row>
    <row r="21" spans="3:14" x14ac:dyDescent="0.25">
      <c r="C21" s="106" t="str">
        <f>'G1.4 Rate 4 Bill Impact'!C114</f>
        <v>RATE 4 - General Service Peaking - Annual</v>
      </c>
      <c r="D21" s="107">
        <f>'G1.4 Rate 4 Bill Impact'!J127</f>
        <v>211.13251038408816</v>
      </c>
      <c r="E21" s="175">
        <f>'G1.4 Rate 4 Bill Impact'!L127</f>
        <v>3.2996278916689506E-2</v>
      </c>
      <c r="F21" s="107">
        <f>'G1.4 Rate 4 Bill Impact'!J132</f>
        <v>2.1565537421658565</v>
      </c>
      <c r="G21" s="175">
        <f>'G1.4 Rate 4 Bill Impact'!L132</f>
        <v>0.30459798618161815</v>
      </c>
      <c r="H21" s="107">
        <f>'G1.4 Rate 4 Bill Impact'!J133</f>
        <v>88.356724728018349</v>
      </c>
      <c r="I21" s="175">
        <f>'G1.4 Rate 4 Bill Impact'!L133</f>
        <v>1.3956578614320001</v>
      </c>
      <c r="J21" s="107">
        <f>'G1.4 Rate 4 Bill Impact'!J134</f>
        <v>73.407066575170163</v>
      </c>
      <c r="K21" s="175">
        <f>'G1.4 Rate 4 Bill Impact'!L134</f>
        <v>1</v>
      </c>
      <c r="L21" s="107">
        <f>'G1.4 Rate 4 Bill Impact'!J142</f>
        <v>375.0528554294425</v>
      </c>
      <c r="M21" s="175">
        <f>'G1.4 Rate 4 Bill Impact'!L142</f>
        <v>2.3537748888920983E-2</v>
      </c>
      <c r="N21" s="183"/>
    </row>
    <row r="22" spans="3:14" x14ac:dyDescent="0.25">
      <c r="C22" s="106"/>
      <c r="D22" s="107"/>
      <c r="E22" s="175"/>
      <c r="F22" s="107"/>
      <c r="G22" s="175"/>
      <c r="H22" s="107"/>
      <c r="I22" s="175"/>
      <c r="J22" s="107"/>
      <c r="K22" s="175"/>
      <c r="L22" s="107"/>
      <c r="M22" s="175"/>
      <c r="N22" s="183"/>
    </row>
    <row r="23" spans="3:14" x14ac:dyDescent="0.25">
      <c r="C23" s="106" t="str">
        <f>'G1.5 Rate 5 Bill Impact'!C10</f>
        <v>RATE 5 - Interruptible Peaking Contract Rate</v>
      </c>
      <c r="D23" s="107">
        <f>'G1.5 Rate 5 Bill Impact'!J42</f>
        <v>544.05345300495901</v>
      </c>
      <c r="E23" s="175">
        <f>'G1.5 Rate 5 Bill Impact'!L42</f>
        <v>3.1415237206644589E-2</v>
      </c>
      <c r="F23" s="107">
        <f>'G1.5 Rate 5 Bill Impact'!J47</f>
        <v>2.1565537421658565</v>
      </c>
      <c r="G23" s="175">
        <f>'G1.5 Rate 5 Bill Impact'!L47</f>
        <v>0.30459798618161815</v>
      </c>
      <c r="H23" s="107">
        <f>'G1.5 Rate 5 Bill Impact'!J48</f>
        <v>355.27169808208566</v>
      </c>
      <c r="I23" s="175">
        <f>'G1.5 Rate 5 Bill Impact'!L48</f>
        <v>1.3956578614319999</v>
      </c>
      <c r="J23" s="107">
        <f>'G1.5 Rate 5 Bill Impact'!J49</f>
        <v>295.16093170795745</v>
      </c>
      <c r="K23" s="175">
        <f>'G1.5 Rate 5 Bill Impact'!L49</f>
        <v>1</v>
      </c>
      <c r="L23" s="107">
        <f>'G1.5 Rate 5 Bill Impact'!J57</f>
        <v>1196.6426365371681</v>
      </c>
      <c r="M23" s="175">
        <f>'G1.5 Rate 5 Bill Impact'!L57</f>
        <v>2.1507828772644195E-2</v>
      </c>
      <c r="N23" s="183"/>
    </row>
    <row r="24" spans="3:14" x14ac:dyDescent="0.25">
      <c r="C24" s="106"/>
      <c r="D24" s="107"/>
      <c r="E24" s="175"/>
      <c r="F24" s="107"/>
      <c r="G24" s="175"/>
      <c r="H24" s="107"/>
      <c r="I24" s="175"/>
      <c r="J24" s="107"/>
      <c r="K24" s="175"/>
      <c r="L24" s="107"/>
      <c r="M24" s="175"/>
      <c r="N24" s="183"/>
    </row>
    <row r="25" spans="3:14" x14ac:dyDescent="0.25">
      <c r="C25" s="106" t="str">
        <f>'G1.6 Rate 6 Bill Impact'!C10</f>
        <v>RATE 6 - Integrated Grain Processors Co-Operative Aylmer Ethanol Production Facility</v>
      </c>
      <c r="D25" s="107">
        <f>'G1.6 Rate 6 Bill Impact'!J42</f>
        <v>11756.144639999955</v>
      </c>
      <c r="E25" s="175">
        <f>'G1.6 Rate 6 Bill Impact'!L42</f>
        <v>1.5999738694110692E-2</v>
      </c>
      <c r="F25" s="107">
        <f>'G1.6 Rate 6 Bill Impact'!J47</f>
        <v>2.1469271681319864</v>
      </c>
      <c r="G25" s="175">
        <f>'G1.6 Rate 6 Bill Impact'!L47</f>
        <v>0.31948320954345033</v>
      </c>
      <c r="H25" s="107">
        <f>'G1.6 Rate 6 Bill Impact'!J48</f>
        <v>-184959.96</v>
      </c>
      <c r="I25" s="175">
        <f>'G1.6 Rate 6 Bill Impact'!L48</f>
        <v>-1</v>
      </c>
      <c r="J25" s="107">
        <f>'G1.6 Rate 6 Bill Impact'!J49</f>
        <v>11083</v>
      </c>
      <c r="K25" s="175">
        <f>'G1.6 Rate 6 Bill Impact'!L49</f>
        <v>1</v>
      </c>
      <c r="L25" s="107">
        <f>'G1.6 Rate 6 Bill Impact'!J57</f>
        <v>-162118.66843283191</v>
      </c>
      <c r="M25" s="175">
        <f>'G1.6 Rate 6 Bill Impact'!L57</f>
        <v>-0.17594398688604568</v>
      </c>
      <c r="N25" s="183"/>
    </row>
    <row r="30" spans="3:14" x14ac:dyDescent="0.25">
      <c r="C30" t="str">
        <f ca="1">MID(CELL("filename",A1),FIND("]",CELL("filename",A1))+1,255)</f>
        <v>G1.7 Summary of Bill Impacts</v>
      </c>
    </row>
    <row r="35" spans="1:19" ht="15.75" x14ac:dyDescent="0.25">
      <c r="A35" s="48"/>
      <c r="C35" s="181"/>
      <c r="D35" s="181"/>
      <c r="E35" s="181"/>
      <c r="G35" s="181"/>
      <c r="H35" s="181"/>
      <c r="I35" s="181"/>
      <c r="K35" s="181"/>
      <c r="M35" s="181"/>
      <c r="N35" s="181"/>
      <c r="O35" s="181"/>
      <c r="Q35" s="181"/>
      <c r="S35" s="181"/>
    </row>
    <row r="36" spans="1:19" ht="15.75" x14ac:dyDescent="0.25">
      <c r="A36" s="48"/>
      <c r="C36" s="181"/>
      <c r="D36" s="181"/>
      <c r="E36" s="181"/>
      <c r="G36" s="181"/>
      <c r="H36" s="181"/>
      <c r="I36" s="181"/>
      <c r="K36" s="181"/>
      <c r="M36" s="181"/>
      <c r="N36" s="181"/>
      <c r="O36" s="181"/>
      <c r="Q36" s="181"/>
      <c r="S36" s="181"/>
    </row>
    <row r="37" spans="1:19" ht="15.75" x14ac:dyDescent="0.25">
      <c r="A37" s="48"/>
      <c r="C37" s="181"/>
      <c r="D37" s="181"/>
      <c r="E37" s="181"/>
      <c r="G37" s="181"/>
      <c r="H37" s="181"/>
      <c r="I37" s="181"/>
      <c r="K37" s="181"/>
      <c r="M37" s="181"/>
      <c r="N37" s="181"/>
      <c r="O37" s="181"/>
      <c r="Q37" s="181"/>
      <c r="S37" s="181"/>
    </row>
    <row r="38" spans="1:19" ht="15.75" x14ac:dyDescent="0.25">
      <c r="A38" s="48"/>
      <c r="C38" s="181"/>
      <c r="D38" s="181"/>
      <c r="E38" s="181"/>
      <c r="G38" s="181"/>
      <c r="H38" s="181"/>
      <c r="I38" s="181"/>
      <c r="K38" s="181"/>
      <c r="M38" s="181"/>
      <c r="N38" s="181"/>
      <c r="O38" s="181"/>
      <c r="Q38" s="181"/>
      <c r="S38" s="181"/>
    </row>
    <row r="41" spans="1:19" ht="15.75" x14ac:dyDescent="0.25">
      <c r="A41" s="48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</row>
    <row r="42" spans="1:19" ht="15.75" x14ac:dyDescent="0.25">
      <c r="A42" s="48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</row>
    <row r="43" spans="1:19" ht="15.75" x14ac:dyDescent="0.25">
      <c r="A43" s="48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</row>
    <row r="44" spans="1:19" ht="15.75" x14ac:dyDescent="0.25">
      <c r="A44" s="48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</row>
    <row r="46" spans="1:19" x14ac:dyDescent="0.25"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</row>
    <row r="49" spans="1:19" ht="15.75" x14ac:dyDescent="0.25">
      <c r="A49" s="48" t="s">
        <v>99</v>
      </c>
      <c r="C49" s="181" t="s">
        <v>184</v>
      </c>
      <c r="D49" s="181" t="s">
        <v>185</v>
      </c>
      <c r="E49" s="181" t="s">
        <v>186</v>
      </c>
      <c r="G49" s="181" t="s">
        <v>187</v>
      </c>
      <c r="H49" s="181" t="s">
        <v>188</v>
      </c>
      <c r="I49" s="181" t="s">
        <v>189</v>
      </c>
      <c r="K49" s="181" t="s">
        <v>190</v>
      </c>
      <c r="M49" s="181" t="s">
        <v>191</v>
      </c>
      <c r="N49" s="181" t="s">
        <v>192</v>
      </c>
      <c r="O49" s="181" t="s">
        <v>193</v>
      </c>
      <c r="Q49" s="181" t="s">
        <v>194</v>
      </c>
      <c r="S49" s="181" t="s">
        <v>195</v>
      </c>
    </row>
    <row r="50" spans="1:19" ht="15.75" x14ac:dyDescent="0.25">
      <c r="A50" s="48" t="s">
        <v>98</v>
      </c>
      <c r="C50" s="181" t="s">
        <v>196</v>
      </c>
      <c r="D50" s="181" t="s">
        <v>197</v>
      </c>
      <c r="E50" s="181" t="s">
        <v>198</v>
      </c>
      <c r="G50" s="181" t="s">
        <v>199</v>
      </c>
      <c r="H50" s="181" t="s">
        <v>200</v>
      </c>
      <c r="I50" s="181" t="s">
        <v>201</v>
      </c>
      <c r="K50" s="181" t="s">
        <v>202</v>
      </c>
      <c r="M50" s="181" t="s">
        <v>203</v>
      </c>
      <c r="N50" s="181" t="s">
        <v>204</v>
      </c>
      <c r="O50" s="181" t="s">
        <v>205</v>
      </c>
      <c r="Q50" s="181" t="s">
        <v>206</v>
      </c>
      <c r="S50" s="181" t="s">
        <v>207</v>
      </c>
    </row>
    <row r="51" spans="1:19" ht="15.75" x14ac:dyDescent="0.25">
      <c r="A51" s="48" t="s">
        <v>102</v>
      </c>
      <c r="C51" s="181" t="s">
        <v>208</v>
      </c>
      <c r="D51" s="181" t="s">
        <v>209</v>
      </c>
      <c r="E51" s="181" t="s">
        <v>210</v>
      </c>
      <c r="G51" s="181" t="s">
        <v>211</v>
      </c>
      <c r="H51" s="181" t="s">
        <v>212</v>
      </c>
      <c r="I51" s="181" t="s">
        <v>213</v>
      </c>
      <c r="K51" s="181" t="s">
        <v>214</v>
      </c>
      <c r="M51" s="181" t="s">
        <v>215</v>
      </c>
      <c r="N51" s="181" t="s">
        <v>216</v>
      </c>
      <c r="O51" s="181" t="s">
        <v>217</v>
      </c>
      <c r="Q51" s="181" t="s">
        <v>218</v>
      </c>
      <c r="S51" s="181" t="s">
        <v>219</v>
      </c>
    </row>
    <row r="52" spans="1:19" ht="15.75" x14ac:dyDescent="0.25">
      <c r="A52" s="48" t="s">
        <v>11</v>
      </c>
      <c r="C52" s="181" t="s">
        <v>154</v>
      </c>
      <c r="D52" s="181" t="s">
        <v>156</v>
      </c>
      <c r="E52" s="181" t="s">
        <v>158</v>
      </c>
      <c r="G52" s="181" t="s">
        <v>160</v>
      </c>
      <c r="H52" s="181" t="s">
        <v>162</v>
      </c>
      <c r="I52" s="181" t="s">
        <v>164</v>
      </c>
      <c r="K52" s="181" t="s">
        <v>166</v>
      </c>
      <c r="M52" s="181" t="s">
        <v>168</v>
      </c>
      <c r="N52" s="181" t="s">
        <v>170</v>
      </c>
      <c r="O52" s="181" t="s">
        <v>172</v>
      </c>
      <c r="Q52" s="181" t="s">
        <v>174</v>
      </c>
      <c r="S52" s="181" t="s">
        <v>176</v>
      </c>
    </row>
    <row r="55" spans="1:19" ht="15.75" x14ac:dyDescent="0.25">
      <c r="A55" s="48" t="s">
        <v>99</v>
      </c>
      <c r="C55" s="182" t="s">
        <v>220</v>
      </c>
      <c r="D55" s="182" t="s">
        <v>221</v>
      </c>
      <c r="E55" s="182" t="s">
        <v>222</v>
      </c>
      <c r="F55" s="182"/>
      <c r="G55" s="182" t="s">
        <v>223</v>
      </c>
      <c r="H55" s="182" t="s">
        <v>224</v>
      </c>
      <c r="I55" s="182" t="s">
        <v>225</v>
      </c>
      <c r="J55" s="182"/>
      <c r="K55" s="182" t="s">
        <v>226</v>
      </c>
      <c r="L55" s="182"/>
      <c r="M55" s="182" t="s">
        <v>227</v>
      </c>
      <c r="N55" s="182" t="s">
        <v>228</v>
      </c>
      <c r="O55" s="182" t="s">
        <v>229</v>
      </c>
      <c r="P55" s="182"/>
      <c r="Q55" s="182" t="s">
        <v>230</v>
      </c>
      <c r="R55" s="182"/>
      <c r="S55" s="182" t="s">
        <v>231</v>
      </c>
    </row>
    <row r="56" spans="1:19" ht="15.75" x14ac:dyDescent="0.25">
      <c r="A56" s="48" t="s">
        <v>98</v>
      </c>
      <c r="C56" s="182" t="s">
        <v>232</v>
      </c>
      <c r="D56" s="182" t="s">
        <v>233</v>
      </c>
      <c r="E56" s="182" t="s">
        <v>234</v>
      </c>
      <c r="F56" s="182"/>
      <c r="G56" s="182" t="s">
        <v>235</v>
      </c>
      <c r="H56" s="182" t="s">
        <v>236</v>
      </c>
      <c r="I56" s="182" t="s">
        <v>237</v>
      </c>
      <c r="J56" s="182"/>
      <c r="K56" s="182" t="s">
        <v>238</v>
      </c>
      <c r="L56" s="182"/>
      <c r="M56" s="182" t="s">
        <v>239</v>
      </c>
      <c r="N56" s="182" t="s">
        <v>240</v>
      </c>
      <c r="O56" s="182" t="s">
        <v>241</v>
      </c>
      <c r="P56" s="182"/>
      <c r="Q56" s="182" t="s">
        <v>242</v>
      </c>
      <c r="R56" s="182"/>
      <c r="S56" s="182" t="s">
        <v>243</v>
      </c>
    </row>
    <row r="57" spans="1:19" ht="15.75" x14ac:dyDescent="0.25">
      <c r="A57" s="48" t="s">
        <v>102</v>
      </c>
      <c r="C57" s="182" t="s">
        <v>244</v>
      </c>
      <c r="D57" s="182" t="s">
        <v>245</v>
      </c>
      <c r="E57" s="182" t="s">
        <v>246</v>
      </c>
      <c r="F57" s="182"/>
      <c r="G57" s="182" t="s">
        <v>247</v>
      </c>
      <c r="H57" s="182" t="s">
        <v>248</v>
      </c>
      <c r="I57" s="182" t="s">
        <v>249</v>
      </c>
      <c r="J57" s="182"/>
      <c r="K57" s="182" t="s">
        <v>250</v>
      </c>
      <c r="L57" s="182"/>
      <c r="M57" s="182" t="s">
        <v>251</v>
      </c>
      <c r="N57" s="182" t="s">
        <v>252</v>
      </c>
      <c r="O57" s="182" t="s">
        <v>253</v>
      </c>
      <c r="P57" s="182"/>
      <c r="Q57" s="182" t="s">
        <v>254</v>
      </c>
      <c r="R57" s="182"/>
      <c r="S57" s="182" t="s">
        <v>255</v>
      </c>
    </row>
    <row r="58" spans="1:19" ht="15.75" x14ac:dyDescent="0.25">
      <c r="A58" s="48" t="s">
        <v>11</v>
      </c>
      <c r="C58" s="182" t="s">
        <v>155</v>
      </c>
      <c r="D58" s="182" t="s">
        <v>157</v>
      </c>
      <c r="E58" s="182" t="s">
        <v>159</v>
      </c>
      <c r="F58" s="182"/>
      <c r="G58" s="182" t="s">
        <v>161</v>
      </c>
      <c r="H58" s="182" t="s">
        <v>163</v>
      </c>
      <c r="I58" s="182" t="s">
        <v>165</v>
      </c>
      <c r="J58" s="182"/>
      <c r="K58" s="182" t="s">
        <v>167</v>
      </c>
      <c r="L58" s="182"/>
      <c r="M58" s="182" t="s">
        <v>169</v>
      </c>
      <c r="N58" s="182" t="s">
        <v>171</v>
      </c>
      <c r="O58" s="182" t="s">
        <v>173</v>
      </c>
      <c r="P58" s="182"/>
      <c r="Q58" s="182" t="s">
        <v>175</v>
      </c>
      <c r="R58" s="182"/>
      <c r="S58" s="182" t="s">
        <v>177</v>
      </c>
    </row>
  </sheetData>
  <sheetProtection algorithmName="SHA-512" hashValue="ZKVugLLPw8vYI5mSjimY2kAN54lW11hipZR+wclhMKRCJm0do7eD90bjG1H3/JwtfrLzVKTKr3D6V/tepwgi1Q==" saltValue="MJv5Aas4qAjJ6VWK+9fjlA==" spinCount="100000" sheet="1" objects="1" scenarios="1"/>
  <pageMargins left="0.70866141732283472" right="0.70866141732283472" top="0.74803149606299213" bottom="0.74803149606299213" header="0.31496062992125984" footer="0.31496062992125984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3"/>
  <sheetViews>
    <sheetView showGridLines="0" topLeftCell="A7" zoomScale="80" zoomScaleNormal="80" workbookViewId="0">
      <selection activeCell="E25" sqref="E25"/>
    </sheetView>
  </sheetViews>
  <sheetFormatPr defaultColWidth="0" defaultRowHeight="15" zeroHeight="1" x14ac:dyDescent="0.25"/>
  <cols>
    <col min="1" max="1" width="15.7109375" style="1" customWidth="1"/>
    <col min="2" max="2" width="1.7109375" style="1" hidden="1" customWidth="1"/>
    <col min="3" max="3" width="55.7109375" style="1" customWidth="1"/>
    <col min="4" max="4" width="2.7109375" style="1" customWidth="1"/>
    <col min="5" max="5" width="18" style="1" customWidth="1"/>
    <col min="6" max="6" width="12.7109375" style="1" customWidth="1"/>
    <col min="7" max="7" width="10.42578125" style="1" customWidth="1"/>
    <col min="8" max="8" width="11.28515625" style="1" customWidth="1"/>
    <col min="9" max="9" width="10.140625" style="1" customWidth="1"/>
    <col min="10" max="10" width="10.7109375" style="1" customWidth="1"/>
    <col min="11" max="11" width="11.7109375" style="1" customWidth="1"/>
    <col min="12" max="12" width="13" style="1" bestFit="1" customWidth="1"/>
    <col min="13" max="13" width="9.7109375" style="1" customWidth="1"/>
    <col min="14" max="14" width="10.7109375" style="1" customWidth="1"/>
    <col min="15" max="15" width="2.7109375" style="1" customWidth="1"/>
    <col min="16" max="16384" width="0" style="1" hidden="1"/>
  </cols>
  <sheetData>
    <row r="1" spans="1:14" ht="15.75" x14ac:dyDescent="0.25">
      <c r="A1" s="117"/>
      <c r="B1" s="117"/>
      <c r="C1" s="5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117" customFormat="1" ht="18" x14ac:dyDescent="0.25">
      <c r="C2" s="6" t="str">
        <f>'A1.1 Distributor Information'!C3</f>
        <v>Name of LDC:       EPCOR Natural Gas Limited Partnership</v>
      </c>
    </row>
    <row r="3" spans="1:14" s="117" customFormat="1" ht="18" x14ac:dyDescent="0.25">
      <c r="C3" s="6" t="str">
        <f>'A1.1 Distributor Information'!C4</f>
        <v>OEB Application Number:          EB-2020-0234 Exhibit A - 2021 IRM Application</v>
      </c>
    </row>
    <row r="4" spans="1:14" s="117" customFormat="1" x14ac:dyDescent="0.25"/>
    <row r="5" spans="1:14" s="117" customFormat="1" x14ac:dyDescent="0.25"/>
    <row r="6" spans="1:14" s="117" customFormat="1" x14ac:dyDescent="0.25"/>
    <row r="7" spans="1:14" s="117" customFormat="1" x14ac:dyDescent="0.25"/>
    <row r="8" spans="1:14" s="117" customFormat="1" x14ac:dyDescent="0.25"/>
    <row r="9" spans="1:14" s="117" customFormat="1" x14ac:dyDescent="0.25"/>
    <row r="10" spans="1:14" s="117" customFormat="1" ht="20.25" x14ac:dyDescent="0.3">
      <c r="C10" s="3" t="s">
        <v>62</v>
      </c>
    </row>
    <row r="11" spans="1:14" s="117" customFormat="1" x14ac:dyDescent="0.25"/>
    <row r="12" spans="1:14" s="117" customFormat="1" x14ac:dyDescent="0.25"/>
    <row r="13" spans="1:14" s="117" customFormat="1" x14ac:dyDescent="0.25"/>
    <row r="14" spans="1:14" s="117" customFormat="1" ht="15.75" thickBot="1" x14ac:dyDescent="0.3"/>
    <row r="15" spans="1:14" s="4" customFormat="1" ht="61.5" customHeight="1" x14ac:dyDescent="0.2">
      <c r="C15" s="69" t="s">
        <v>0</v>
      </c>
      <c r="D15" s="70"/>
      <c r="E15" s="71" t="s">
        <v>151</v>
      </c>
      <c r="F15" s="72" t="s">
        <v>24</v>
      </c>
      <c r="G15" s="72" t="s">
        <v>25</v>
      </c>
      <c r="H15" s="72" t="s">
        <v>26</v>
      </c>
      <c r="I15" s="72" t="s">
        <v>27</v>
      </c>
      <c r="J15" s="72" t="s">
        <v>6</v>
      </c>
      <c r="K15" s="72" t="s">
        <v>7</v>
      </c>
      <c r="L15" s="72" t="s">
        <v>8</v>
      </c>
      <c r="M15" s="73" t="s">
        <v>9</v>
      </c>
      <c r="N15" s="74" t="s">
        <v>10</v>
      </c>
    </row>
    <row r="16" spans="1:14" s="117" customFormat="1" x14ac:dyDescent="0.25">
      <c r="C16" s="75" t="s">
        <v>12</v>
      </c>
      <c r="D16" s="76"/>
      <c r="E16" s="77">
        <v>16.5</v>
      </c>
      <c r="F16" s="78">
        <v>13.381399999999999</v>
      </c>
      <c r="G16" s="78">
        <v>10.727499999999999</v>
      </c>
      <c r="H16" s="78"/>
      <c r="I16" s="78"/>
      <c r="J16" s="78"/>
      <c r="K16" s="78"/>
      <c r="L16" s="78">
        <v>4.3499999999999997E-2</v>
      </c>
      <c r="M16" s="78"/>
      <c r="N16" s="79"/>
    </row>
    <row r="17" spans="3:14" s="117" customFormat="1" x14ac:dyDescent="0.25">
      <c r="C17" s="75" t="s">
        <v>13</v>
      </c>
      <c r="D17" s="76"/>
      <c r="E17" s="77">
        <v>16.5</v>
      </c>
      <c r="F17" s="78">
        <v>13.381399999999999</v>
      </c>
      <c r="G17" s="78">
        <v>10.727499999999999</v>
      </c>
      <c r="H17" s="78"/>
      <c r="I17" s="78"/>
      <c r="J17" s="78"/>
      <c r="K17" s="78"/>
      <c r="L17" s="78">
        <v>4.3499999999999997E-2</v>
      </c>
      <c r="M17" s="78"/>
      <c r="N17" s="80"/>
    </row>
    <row r="18" spans="3:14" s="117" customFormat="1" x14ac:dyDescent="0.25">
      <c r="C18" s="75" t="s">
        <v>14</v>
      </c>
      <c r="D18" s="76"/>
      <c r="E18" s="77">
        <v>16.5</v>
      </c>
      <c r="F18" s="78">
        <v>13.381399999999999</v>
      </c>
      <c r="G18" s="78">
        <v>10.727499999999999</v>
      </c>
      <c r="H18" s="78"/>
      <c r="I18" s="78"/>
      <c r="J18" s="78"/>
      <c r="K18" s="78"/>
      <c r="L18" s="78">
        <v>4.3499999999999997E-2</v>
      </c>
      <c r="M18" s="78"/>
      <c r="N18" s="80"/>
    </row>
    <row r="19" spans="3:14" s="117" customFormat="1" x14ac:dyDescent="0.25">
      <c r="C19" s="75" t="s">
        <v>15</v>
      </c>
      <c r="D19" s="76"/>
      <c r="E19" s="77">
        <v>20</v>
      </c>
      <c r="F19" s="78">
        <v>16.5854</v>
      </c>
      <c r="G19" s="78"/>
      <c r="H19" s="78">
        <v>8.5817999999999994</v>
      </c>
      <c r="I19" s="78">
        <v>6.7868000000000004</v>
      </c>
      <c r="J19" s="78"/>
      <c r="K19" s="78"/>
      <c r="L19" s="78">
        <v>4.3499999999999997E-2</v>
      </c>
      <c r="M19" s="78"/>
      <c r="N19" s="80"/>
    </row>
    <row r="20" spans="3:14" s="117" customFormat="1" x14ac:dyDescent="0.25">
      <c r="C20" s="75" t="s">
        <v>16</v>
      </c>
      <c r="D20" s="76"/>
      <c r="E20" s="77">
        <v>20</v>
      </c>
      <c r="F20" s="78">
        <v>20.9056</v>
      </c>
      <c r="G20" s="78"/>
      <c r="H20" s="81">
        <v>14.2049</v>
      </c>
      <c r="I20" s="78">
        <v>15.289899999999999</v>
      </c>
      <c r="J20" s="78"/>
      <c r="K20" s="78"/>
      <c r="L20" s="78">
        <v>4.3499999999999997E-2</v>
      </c>
      <c r="M20" s="78"/>
      <c r="N20" s="80"/>
    </row>
    <row r="21" spans="3:14" s="117" customFormat="1" x14ac:dyDescent="0.25">
      <c r="C21" s="75" t="s">
        <v>17</v>
      </c>
      <c r="D21" s="76"/>
      <c r="E21" s="77">
        <v>200</v>
      </c>
      <c r="F21" s="78"/>
      <c r="G21" s="78"/>
      <c r="H21" s="78"/>
      <c r="I21" s="78"/>
      <c r="J21" s="81">
        <v>3.6011000000000002</v>
      </c>
      <c r="K21" s="78">
        <v>29.0974</v>
      </c>
      <c r="L21" s="78">
        <v>4.3499999999999997E-2</v>
      </c>
      <c r="M21" s="78">
        <v>7.6155999999999997</v>
      </c>
      <c r="N21" s="80">
        <v>10.511799999999999</v>
      </c>
    </row>
    <row r="22" spans="3:14" s="117" customFormat="1" x14ac:dyDescent="0.25">
      <c r="C22" s="75" t="s">
        <v>18</v>
      </c>
      <c r="D22" s="76"/>
      <c r="E22" s="77">
        <v>20</v>
      </c>
      <c r="F22" s="78">
        <v>18.263400000000001</v>
      </c>
      <c r="G22" s="78">
        <v>11.2057</v>
      </c>
      <c r="H22" s="78"/>
      <c r="I22" s="78"/>
      <c r="J22" s="78"/>
      <c r="K22" s="78"/>
      <c r="L22" s="78">
        <v>4.3499999999999997E-2</v>
      </c>
      <c r="M22" s="78"/>
      <c r="N22" s="80"/>
    </row>
    <row r="23" spans="3:14" s="117" customFormat="1" x14ac:dyDescent="0.25">
      <c r="C23" s="75" t="s">
        <v>19</v>
      </c>
      <c r="D23" s="76"/>
      <c r="E23" s="77">
        <v>20</v>
      </c>
      <c r="F23" s="81">
        <v>23.298999999999999</v>
      </c>
      <c r="G23" s="81">
        <v>18.004000000000001</v>
      </c>
      <c r="H23" s="78"/>
      <c r="I23" s="78"/>
      <c r="J23" s="78"/>
      <c r="K23" s="78"/>
      <c r="L23" s="78">
        <v>4.3499999999999997E-2</v>
      </c>
      <c r="M23" s="78"/>
      <c r="N23" s="80"/>
    </row>
    <row r="24" spans="3:14" s="117" customFormat="1" x14ac:dyDescent="0.25">
      <c r="C24" s="75" t="s">
        <v>20</v>
      </c>
      <c r="D24" s="76"/>
      <c r="E24" s="77">
        <v>190</v>
      </c>
      <c r="F24" s="78"/>
      <c r="G24" s="78"/>
      <c r="H24" s="78"/>
      <c r="I24" s="78"/>
      <c r="J24" s="81">
        <v>7.5122178823619947</v>
      </c>
      <c r="K24" s="82">
        <v>1</v>
      </c>
      <c r="L24" s="78">
        <v>4.3499999999999997E-2</v>
      </c>
      <c r="M24" s="81">
        <v>5.98</v>
      </c>
      <c r="N24" s="127">
        <v>9.2650000000000006</v>
      </c>
    </row>
    <row r="25" spans="3:14" s="117" customFormat="1" ht="29.25" x14ac:dyDescent="0.25">
      <c r="C25" s="83" t="s">
        <v>21</v>
      </c>
      <c r="D25" s="84"/>
      <c r="E25" s="77">
        <v>61229.919999999998</v>
      </c>
      <c r="F25" s="78"/>
      <c r="G25" s="78"/>
      <c r="H25" s="78"/>
      <c r="I25" s="78"/>
      <c r="J25" s="81"/>
      <c r="K25" s="78"/>
      <c r="L25" s="78"/>
      <c r="M25" s="78"/>
      <c r="N25" s="80"/>
    </row>
    <row r="26" spans="3:14" s="117" customFormat="1" x14ac:dyDescent="0.25"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</row>
    <row r="27" spans="3:14" s="117" customFormat="1" ht="15.75" thickBot="1" x14ac:dyDescent="0.3">
      <c r="C27" s="203" t="s">
        <v>86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5"/>
    </row>
    <row r="28" spans="3:14" s="117" customFormat="1" ht="15.75" x14ac:dyDescent="0.25">
      <c r="C28" s="43"/>
    </row>
    <row r="29" spans="3:14" s="117" customFormat="1" x14ac:dyDescent="0.25"/>
    <row r="30" spans="3:14" s="117" customFormat="1" x14ac:dyDescent="0.25"/>
    <row r="31" spans="3:14" s="117" customFormat="1" x14ac:dyDescent="0.25"/>
    <row r="32" spans="3:14" s="117" customFormat="1" x14ac:dyDescent="0.25"/>
    <row r="33" spans="3:3" s="117" customFormat="1" x14ac:dyDescent="0.25"/>
    <row r="34" spans="3:3" s="117" customFormat="1" x14ac:dyDescent="0.25">
      <c r="C34" s="117" t="str">
        <f ca="1">MID(CELL("filename",A1),FIND("]",CELL("filename",A1))+1,255)</f>
        <v>B1.1 Current Distribution Rates</v>
      </c>
    </row>
    <row r="35" spans="3:3" s="117" customFormat="1" x14ac:dyDescent="0.25"/>
    <row r="36" spans="3:3" s="117" customFormat="1" x14ac:dyDescent="0.25"/>
    <row r="37" spans="3:3" s="117" customFormat="1" x14ac:dyDescent="0.25"/>
    <row r="38" spans="3:3" s="117" customFormat="1" x14ac:dyDescent="0.25"/>
    <row r="39" spans="3:3" s="117" customFormat="1" x14ac:dyDescent="0.25"/>
    <row r="40" spans="3:3" s="117" customFormat="1" x14ac:dyDescent="0.25"/>
    <row r="41" spans="3:3" s="117" customFormat="1" x14ac:dyDescent="0.25"/>
    <row r="42" spans="3:3" s="117" customFormat="1" x14ac:dyDescent="0.25"/>
    <row r="43" spans="3:3" s="117" customFormat="1" x14ac:dyDescent="0.25"/>
    <row r="44" spans="3:3" s="117" customFormat="1" x14ac:dyDescent="0.25"/>
    <row r="45" spans="3:3" s="117" customFormat="1" x14ac:dyDescent="0.25"/>
    <row r="46" spans="3:3" s="117" customFormat="1" x14ac:dyDescent="0.25"/>
    <row r="47" spans="3:3" s="117" customFormat="1" x14ac:dyDescent="0.25"/>
    <row r="48" spans="3:3" s="117" customFormat="1" x14ac:dyDescent="0.25"/>
    <row r="49" s="117" customFormat="1" x14ac:dyDescent="0.25"/>
    <row r="50" s="117" customFormat="1" x14ac:dyDescent="0.25"/>
    <row r="51" s="117" customFormat="1" x14ac:dyDescent="0.25"/>
    <row r="52" s="117" customFormat="1" x14ac:dyDescent="0.25"/>
    <row r="53" s="117" customFormat="1" x14ac:dyDescent="0.25"/>
  </sheetData>
  <sheetProtection algorithmName="SHA-512" hashValue="B+jzEuNc5X4BWfw/BS6gJnnexnC6wylhgmow+zxsLG45GsydB+f3X9ZU4D7cday4EZJZzBCEwqpwa0KL69qaHA==" saltValue="fjFZ5vnNQ4EsmoKK0wQeNQ==" spinCount="100000" sheet="1" objects="1" scenarios="1"/>
  <mergeCells count="2">
    <mergeCell ref="C26:N26"/>
    <mergeCell ref="C27:N27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49"/>
  <sheetViews>
    <sheetView showGridLines="0" view="pageBreakPreview" zoomScale="60" zoomScaleNormal="80" workbookViewId="0">
      <selection activeCell="L22" sqref="L22:L23"/>
    </sheetView>
  </sheetViews>
  <sheetFormatPr defaultColWidth="0" defaultRowHeight="15" zeroHeight="1" x14ac:dyDescent="0.25"/>
  <cols>
    <col min="1" max="1" width="15.7109375" style="1" customWidth="1"/>
    <col min="2" max="2" width="1.7109375" style="1" hidden="1" customWidth="1"/>
    <col min="3" max="3" width="55.7109375" style="1" customWidth="1"/>
    <col min="4" max="4" width="2.7109375" style="1" customWidth="1"/>
    <col min="5" max="5" width="17.140625" style="1" customWidth="1"/>
    <col min="6" max="7" width="13.85546875" style="1" customWidth="1"/>
    <col min="8" max="9" width="15.140625" style="1" customWidth="1"/>
    <col min="10" max="10" width="15.28515625" style="1" customWidth="1"/>
    <col min="11" max="11" width="15.7109375" style="1" customWidth="1"/>
    <col min="12" max="12" width="15.140625" style="1" customWidth="1"/>
    <col min="13" max="14" width="15" style="1" bestFit="1" customWidth="1"/>
    <col min="15" max="15" width="2.7109375" style="1" customWidth="1"/>
    <col min="16" max="16384" width="0" style="1" hidden="1"/>
  </cols>
  <sheetData>
    <row r="1" spans="1:14" ht="15.75" x14ac:dyDescent="0.25">
      <c r="A1" s="117"/>
      <c r="B1" s="117"/>
      <c r="C1" s="5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117" customFormat="1" ht="18" x14ac:dyDescent="0.25">
      <c r="C2" s="6" t="str">
        <f>'A1.1 Distributor Information'!C3</f>
        <v>Name of LDC:       EPCOR Natural Gas Limited Partnership</v>
      </c>
    </row>
    <row r="3" spans="1:14" s="117" customFormat="1" ht="18" x14ac:dyDescent="0.25">
      <c r="C3" s="6" t="str">
        <f>'A1.1 Distributor Information'!C4</f>
        <v>OEB Application Number:          EB-2020-0234 Exhibit A - 2021 IRM Application</v>
      </c>
    </row>
    <row r="4" spans="1:14" s="117" customFormat="1" x14ac:dyDescent="0.25"/>
    <row r="5" spans="1:14" s="117" customFormat="1" x14ac:dyDescent="0.25"/>
    <row r="6" spans="1:14" s="117" customFormat="1" x14ac:dyDescent="0.25"/>
    <row r="7" spans="1:14" s="117" customFormat="1" x14ac:dyDescent="0.25"/>
    <row r="8" spans="1:14" s="117" customFormat="1" x14ac:dyDescent="0.25">
      <c r="C8" s="12"/>
    </row>
    <row r="9" spans="1:14" s="117" customFormat="1" x14ac:dyDescent="0.25"/>
    <row r="10" spans="1:14" s="117" customFormat="1" ht="20.25" x14ac:dyDescent="0.3">
      <c r="C10" s="3" t="s">
        <v>142</v>
      </c>
    </row>
    <row r="11" spans="1:14" s="117" customFormat="1" x14ac:dyDescent="0.25"/>
    <row r="12" spans="1:14" s="117" customFormat="1" x14ac:dyDescent="0.25"/>
    <row r="13" spans="1:14" s="117" customFormat="1" x14ac:dyDescent="0.25"/>
    <row r="14" spans="1:14" s="117" customFormat="1" x14ac:dyDescent="0.25"/>
    <row r="15" spans="1:14" s="117" customFormat="1" ht="32.25" x14ac:dyDescent="0.25">
      <c r="C15" s="117" t="s">
        <v>0</v>
      </c>
      <c r="E15" s="11" t="s">
        <v>1</v>
      </c>
      <c r="F15" s="11" t="s">
        <v>2</v>
      </c>
      <c r="G15" s="11" t="s">
        <v>3</v>
      </c>
      <c r="H15" s="11" t="s">
        <v>4</v>
      </c>
      <c r="I15" s="11" t="s">
        <v>5</v>
      </c>
      <c r="J15" s="11" t="s">
        <v>6</v>
      </c>
      <c r="K15" s="11" t="s">
        <v>7</v>
      </c>
      <c r="L15" s="11" t="s">
        <v>8</v>
      </c>
      <c r="M15" s="11" t="s">
        <v>9</v>
      </c>
      <c r="N15" s="11" t="s">
        <v>10</v>
      </c>
    </row>
    <row r="16" spans="1:14" s="117" customFormat="1" x14ac:dyDescent="0.25">
      <c r="C16" s="117" t="s">
        <v>12</v>
      </c>
      <c r="E16" s="22">
        <v>8561</v>
      </c>
      <c r="F16" s="22">
        <v>17877110.199999999</v>
      </c>
      <c r="G16" s="22">
        <v>212795.9</v>
      </c>
      <c r="H16" s="8"/>
      <c r="I16" s="8"/>
      <c r="J16" s="8"/>
      <c r="L16" s="22">
        <v>18063122.899999999</v>
      </c>
    </row>
    <row r="17" spans="3:14" s="117" customFormat="1" x14ac:dyDescent="0.25">
      <c r="C17" s="117" t="s">
        <v>13</v>
      </c>
      <c r="E17" s="22">
        <v>485</v>
      </c>
      <c r="F17" s="22">
        <v>2600506.4</v>
      </c>
      <c r="G17" s="22">
        <v>3148914.5</v>
      </c>
      <c r="H17" s="8"/>
      <c r="I17" s="8"/>
      <c r="J17" s="8"/>
      <c r="L17" s="22">
        <v>5070409.4000000004</v>
      </c>
    </row>
    <row r="18" spans="3:14" s="117" customFormat="1" x14ac:dyDescent="0.25">
      <c r="C18" s="117" t="s">
        <v>14</v>
      </c>
      <c r="E18" s="22">
        <v>71</v>
      </c>
      <c r="F18" s="22">
        <v>457186</v>
      </c>
      <c r="G18" s="22">
        <v>1926549.1</v>
      </c>
      <c r="H18" s="8"/>
      <c r="I18" s="8"/>
      <c r="J18" s="8"/>
      <c r="L18" s="22">
        <v>2195898</v>
      </c>
    </row>
    <row r="19" spans="3:14" s="117" customFormat="1" x14ac:dyDescent="0.25">
      <c r="C19" s="117" t="s">
        <v>15</v>
      </c>
      <c r="E19" s="22">
        <v>49</v>
      </c>
      <c r="F19" s="22">
        <v>82559.199999999997</v>
      </c>
      <c r="H19" s="22">
        <v>593404.1</v>
      </c>
      <c r="I19" s="22">
        <v>97824.6</v>
      </c>
      <c r="J19" s="8"/>
      <c r="L19" s="22">
        <v>773787.9</v>
      </c>
    </row>
    <row r="20" spans="3:14" s="117" customFormat="1" x14ac:dyDescent="0.25">
      <c r="C20" s="117" t="s">
        <v>16</v>
      </c>
      <c r="E20" s="22">
        <v>49</v>
      </c>
      <c r="F20" s="22">
        <v>77152.800000000003</v>
      </c>
      <c r="H20" s="22">
        <v>379184.8</v>
      </c>
      <c r="I20" s="22">
        <v>20763.2</v>
      </c>
      <c r="J20" s="8"/>
      <c r="L20" s="22">
        <v>477100.79999999999</v>
      </c>
    </row>
    <row r="21" spans="3:14" s="117" customFormat="1" x14ac:dyDescent="0.25">
      <c r="C21" s="117" t="s">
        <v>17</v>
      </c>
      <c r="E21" s="22">
        <v>6</v>
      </c>
      <c r="F21" s="8"/>
      <c r="G21" s="8"/>
      <c r="H21" s="8"/>
      <c r="I21" s="8"/>
      <c r="J21" s="22">
        <v>1544524.2</v>
      </c>
      <c r="K21" s="22">
        <v>232423.2</v>
      </c>
      <c r="L21" s="22">
        <v>1163879.6000000001</v>
      </c>
    </row>
    <row r="22" spans="3:14" s="117" customFormat="1" x14ac:dyDescent="0.25">
      <c r="C22" s="117" t="s">
        <v>18</v>
      </c>
      <c r="E22" s="22">
        <v>36</v>
      </c>
      <c r="F22" s="22">
        <v>86779</v>
      </c>
      <c r="G22" s="22">
        <v>1501960</v>
      </c>
      <c r="I22" s="8"/>
      <c r="J22" s="8"/>
      <c r="L22" s="22">
        <v>1587048.6</v>
      </c>
    </row>
    <row r="23" spans="3:14" s="117" customFormat="1" x14ac:dyDescent="0.25">
      <c r="C23" s="117" t="s">
        <v>19</v>
      </c>
      <c r="E23" s="22">
        <v>36</v>
      </c>
      <c r="F23" s="22">
        <v>34352.6</v>
      </c>
      <c r="G23" s="22">
        <v>157454.29999999999</v>
      </c>
      <c r="L23" s="22">
        <v>175801.2</v>
      </c>
    </row>
    <row r="24" spans="3:14" s="117" customFormat="1" x14ac:dyDescent="0.25">
      <c r="C24" s="117" t="s">
        <v>20</v>
      </c>
      <c r="E24" s="22">
        <v>4</v>
      </c>
      <c r="J24" s="22">
        <v>795484.4</v>
      </c>
      <c r="L24" s="22">
        <v>795484.4</v>
      </c>
    </row>
    <row r="25" spans="3:14" s="117" customFormat="1" ht="30" x14ac:dyDescent="0.25">
      <c r="C25" s="10" t="s">
        <v>21</v>
      </c>
      <c r="E25" s="22">
        <v>1</v>
      </c>
      <c r="J25" s="22">
        <v>62382456</v>
      </c>
      <c r="K25" s="125"/>
      <c r="L25" s="9"/>
    </row>
    <row r="26" spans="3:14" s="117" customFormat="1" x14ac:dyDescent="0.25">
      <c r="E26" s="25">
        <f>SUM(E16:E19,E21:E22,E24:E25)</f>
        <v>9213</v>
      </c>
      <c r="F26" s="25">
        <f t="shared" ref="F26:L26" si="0">SUM(F16:F25)</f>
        <v>21215646.199999999</v>
      </c>
      <c r="G26" s="25">
        <f t="shared" si="0"/>
        <v>6947673.7999999998</v>
      </c>
      <c r="H26" s="25">
        <f t="shared" si="0"/>
        <v>972588.89999999991</v>
      </c>
      <c r="I26" s="25">
        <f t="shared" si="0"/>
        <v>118587.8</v>
      </c>
      <c r="J26" s="25">
        <f t="shared" si="0"/>
        <v>64722464.600000001</v>
      </c>
      <c r="K26" s="25">
        <f t="shared" si="0"/>
        <v>232423.2</v>
      </c>
      <c r="L26" s="25">
        <f t="shared" si="0"/>
        <v>30302532.799999997</v>
      </c>
      <c r="M26" s="25">
        <f t="shared" ref="M26" si="1">SUM(M16:M25)</f>
        <v>0</v>
      </c>
      <c r="N26" s="25">
        <f t="shared" ref="N26" si="2">SUM(N16:N25)</f>
        <v>0</v>
      </c>
    </row>
    <row r="27" spans="3:14" s="117" customFormat="1" x14ac:dyDescent="0.25"/>
    <row r="28" spans="3:14" s="117" customFormat="1" x14ac:dyDescent="0.25"/>
    <row r="29" spans="3:14" s="117" customFormat="1" x14ac:dyDescent="0.25"/>
    <row r="30" spans="3:14" s="117" customFormat="1" x14ac:dyDescent="0.25">
      <c r="C30" s="117" t="str">
        <f ca="1">MID(CELL("filename",A1),FIND("]",CELL("filename",A1))+1,255)</f>
        <v>B1.2 Billing Determinants</v>
      </c>
    </row>
    <row r="31" spans="3:14" s="117" customFormat="1" x14ac:dyDescent="0.25"/>
    <row r="32" spans="3:14" s="117" customFormat="1" x14ac:dyDescent="0.25">
      <c r="G32" s="125"/>
    </row>
    <row r="33" spans="6:12" s="117" customFormat="1" x14ac:dyDescent="0.25">
      <c r="F33" s="125"/>
      <c r="G33" s="125"/>
    </row>
    <row r="34" spans="6:12" s="117" customFormat="1" x14ac:dyDescent="0.25">
      <c r="F34" s="125"/>
      <c r="G34" s="125"/>
    </row>
    <row r="35" spans="6:12" s="117" customFormat="1" x14ac:dyDescent="0.25">
      <c r="F35" s="125"/>
      <c r="G35" s="125"/>
    </row>
    <row r="36" spans="6:12" s="117" customFormat="1" x14ac:dyDescent="0.25">
      <c r="F36" s="125"/>
      <c r="G36" s="125"/>
      <c r="L36" s="126"/>
    </row>
    <row r="37" spans="6:12" s="117" customFormat="1" x14ac:dyDescent="0.25">
      <c r="F37" s="125"/>
      <c r="G37" s="125"/>
    </row>
    <row r="38" spans="6:12" s="117" customFormat="1" x14ac:dyDescent="0.25">
      <c r="F38" s="125"/>
      <c r="G38" s="125"/>
    </row>
    <row r="39" spans="6:12" s="117" customFormat="1" x14ac:dyDescent="0.25">
      <c r="F39" s="125"/>
      <c r="G39" s="125"/>
    </row>
    <row r="40" spans="6:12" s="117" customFormat="1" x14ac:dyDescent="0.25">
      <c r="F40" s="125"/>
      <c r="G40" s="125"/>
    </row>
    <row r="41" spans="6:12" s="117" customFormat="1" x14ac:dyDescent="0.25">
      <c r="F41" s="125"/>
      <c r="G41" s="125"/>
    </row>
    <row r="42" spans="6:12" s="117" customFormat="1" x14ac:dyDescent="0.25">
      <c r="F42" s="125"/>
      <c r="G42" s="125"/>
    </row>
    <row r="43" spans="6:12" s="117" customFormat="1" x14ac:dyDescent="0.25">
      <c r="F43" s="125"/>
      <c r="G43" s="125"/>
    </row>
    <row r="44" spans="6:12" s="117" customFormat="1" x14ac:dyDescent="0.25">
      <c r="F44" s="125"/>
      <c r="G44" s="125"/>
    </row>
    <row r="45" spans="6:12" s="117" customFormat="1" x14ac:dyDescent="0.25">
      <c r="F45" s="125"/>
      <c r="G45" s="125"/>
    </row>
    <row r="46" spans="6:12" s="117" customFormat="1" x14ac:dyDescent="0.25">
      <c r="F46" s="125"/>
      <c r="G46" s="125"/>
    </row>
    <row r="47" spans="6:12" s="117" customFormat="1" x14ac:dyDescent="0.25">
      <c r="F47" s="125"/>
      <c r="G47" s="125"/>
    </row>
    <row r="48" spans="6:12" s="117" customFormat="1" x14ac:dyDescent="0.25">
      <c r="F48" s="125"/>
      <c r="G48" s="125"/>
    </row>
    <row r="49" s="117" customFormat="1" x14ac:dyDescent="0.25"/>
  </sheetData>
  <sheetProtection algorithmName="SHA-512" hashValue="xdiEdU76PWlv8vjzBWg1F9KIeW2Zm6qi3Mb3vMEx4ciRiyYwZpCmohqseBQ5+3kw7FihfMnJNaS/jj/aIi5e0Q==" saltValue="NjLY9uYC5YQleCLDS+VS1g==" spinCount="100000" sheet="1" objects="1" scenarios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48"/>
  <sheetViews>
    <sheetView showGridLines="0" zoomScaleNormal="100" workbookViewId="0">
      <selection activeCell="J31" sqref="J31"/>
    </sheetView>
  </sheetViews>
  <sheetFormatPr defaultColWidth="0" defaultRowHeight="15" zeroHeight="1" x14ac:dyDescent="0.25"/>
  <cols>
    <col min="1" max="1" width="15.7109375" style="1" customWidth="1"/>
    <col min="2" max="2" width="1.7109375" style="1" hidden="1" customWidth="1"/>
    <col min="3" max="3" width="55.7109375" style="1" customWidth="1"/>
    <col min="4" max="4" width="2.7109375" style="1" customWidth="1"/>
    <col min="5" max="5" width="11.5703125" style="1" bestFit="1" customWidth="1"/>
    <col min="6" max="6" width="12.7109375" style="1" customWidth="1"/>
    <col min="7" max="7" width="10.28515625" style="1" bestFit="1" customWidth="1"/>
    <col min="8" max="9" width="11.28515625" style="1" bestFit="1" customWidth="1"/>
    <col min="10" max="10" width="11.5703125" style="1" bestFit="1" customWidth="1"/>
    <col min="11" max="11" width="10" style="1" bestFit="1" customWidth="1"/>
    <col min="12" max="12" width="11.28515625" style="1" bestFit="1" customWidth="1"/>
    <col min="13" max="14" width="12.42578125" style="1" bestFit="1" customWidth="1"/>
    <col min="15" max="15" width="11.5703125" style="1" bestFit="1" customWidth="1"/>
    <col min="16" max="16" width="2.7109375" style="1" customWidth="1"/>
    <col min="17" max="17" width="9.140625" style="1" hidden="1" customWidth="1"/>
    <col min="18" max="18" width="11.42578125" style="1" hidden="1" customWidth="1"/>
    <col min="19" max="19" width="13.28515625" style="1" hidden="1" customWidth="1"/>
    <col min="20" max="22" width="0" style="1" hidden="1" customWidth="1"/>
    <col min="23" max="16384" width="9.140625" style="1" hidden="1"/>
  </cols>
  <sheetData>
    <row r="1" spans="1:22" ht="15.75" x14ac:dyDescent="0.25">
      <c r="A1" s="117"/>
      <c r="B1" s="117"/>
      <c r="C1" s="5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s="117" customFormat="1" ht="18" x14ac:dyDescent="0.25">
      <c r="C2" s="6" t="str">
        <f>'A1.1 Distributor Information'!C3</f>
        <v>Name of LDC:       EPCOR Natural Gas Limited Partnership</v>
      </c>
    </row>
    <row r="3" spans="1:22" s="117" customFormat="1" ht="18" x14ac:dyDescent="0.25">
      <c r="C3" s="6" t="str">
        <f>'A1.1 Distributor Information'!C4</f>
        <v>OEB Application Number:          EB-2020-0234 Exhibit A - 2021 IRM Application</v>
      </c>
    </row>
    <row r="4" spans="1:22" s="117" customFormat="1" x14ac:dyDescent="0.25"/>
    <row r="5" spans="1:22" s="117" customFormat="1" x14ac:dyDescent="0.25"/>
    <row r="6" spans="1:22" s="117" customFormat="1" x14ac:dyDescent="0.25"/>
    <row r="7" spans="1:22" s="117" customFormat="1" x14ac:dyDescent="0.25"/>
    <row r="8" spans="1:22" s="117" customFormat="1" x14ac:dyDescent="0.25"/>
    <row r="9" spans="1:22" s="117" customFormat="1" x14ac:dyDescent="0.25"/>
    <row r="10" spans="1:22" s="117" customFormat="1" ht="20.25" x14ac:dyDescent="0.3">
      <c r="C10" s="3" t="s">
        <v>89</v>
      </c>
    </row>
    <row r="11" spans="1:22" s="117" customFormat="1" x14ac:dyDescent="0.25"/>
    <row r="12" spans="1:22" s="117" customFormat="1" x14ac:dyDescent="0.25"/>
    <row r="13" spans="1:22" s="117" customFormat="1" x14ac:dyDescent="0.25"/>
    <row r="14" spans="1:22" s="117" customFormat="1" x14ac:dyDescent="0.25"/>
    <row r="15" spans="1:22" s="117" customFormat="1" ht="47.25" x14ac:dyDescent="0.25">
      <c r="C15" s="117" t="s">
        <v>0</v>
      </c>
      <c r="E15" s="11" t="s">
        <v>1</v>
      </c>
      <c r="F15" s="11" t="s">
        <v>2</v>
      </c>
      <c r="G15" s="11" t="s">
        <v>3</v>
      </c>
      <c r="H15" s="11" t="s">
        <v>4</v>
      </c>
      <c r="I15" s="11" t="s">
        <v>5</v>
      </c>
      <c r="J15" s="11" t="s">
        <v>7</v>
      </c>
      <c r="K15" s="11" t="s">
        <v>6</v>
      </c>
      <c r="L15" s="11" t="s">
        <v>8</v>
      </c>
      <c r="M15" s="11" t="s">
        <v>9</v>
      </c>
      <c r="N15" s="11" t="s">
        <v>10</v>
      </c>
      <c r="O15" s="11" t="s">
        <v>11</v>
      </c>
    </row>
    <row r="16" spans="1:22" s="117" customFormat="1" x14ac:dyDescent="0.25">
      <c r="C16" s="117" t="s">
        <v>12</v>
      </c>
      <c r="E16" s="26">
        <f>'B1.1 Current Distribution Rates'!E16*'B1.2 Billing Determinants'!E16*12</f>
        <v>1695078</v>
      </c>
      <c r="F16" s="26">
        <f>'B1.1 Current Distribution Rates'!F16*'B1.2 Billing Determinants'!F16/100</f>
        <v>2392207.6243027998</v>
      </c>
      <c r="G16" s="26">
        <f>'B1.1 Current Distribution Rates'!G16*'B1.2 Billing Determinants'!G16/100</f>
        <v>22827.680172499997</v>
      </c>
      <c r="H16" s="26">
        <f>'B1.1 Current Distribution Rates'!H16*'B1.2 Billing Determinants'!H16/100</f>
        <v>0</v>
      </c>
      <c r="I16" s="26">
        <f>'B1.1 Current Distribution Rates'!I16*'B1.2 Billing Determinants'!I16/100</f>
        <v>0</v>
      </c>
      <c r="J16" s="26">
        <f>'B1.1 Current Distribution Rates'!J16*'B1.2 Billing Determinants'!J16/100</f>
        <v>0</v>
      </c>
      <c r="K16" s="26">
        <f>'B1.1 Current Distribution Rates'!K16*'B1.2 Billing Determinants'!K16/100</f>
        <v>0</v>
      </c>
      <c r="L16" s="26">
        <f>'B1.1 Current Distribution Rates'!L16*'B1.2 Billing Determinants'!L16/100</f>
        <v>7857.4584614999985</v>
      </c>
      <c r="M16" s="26">
        <f>'B1.1 Current Distribution Rates'!M16*'B1.2 Billing Determinants'!M16/100</f>
        <v>0</v>
      </c>
      <c r="N16" s="26">
        <f>'B1.1 Current Distribution Rates'!N16*'B1.2 Billing Determinants'!N16/100</f>
        <v>0</v>
      </c>
      <c r="O16" s="26">
        <f>SUM(E16:N16)</f>
        <v>4117970.7629367998</v>
      </c>
      <c r="R16" s="61"/>
      <c r="S16" s="8"/>
      <c r="T16" s="64"/>
      <c r="U16" s="14"/>
      <c r="V16" s="14"/>
    </row>
    <row r="17" spans="3:22" s="117" customFormat="1" x14ac:dyDescent="0.25">
      <c r="C17" s="117" t="s">
        <v>13</v>
      </c>
      <c r="E17" s="26">
        <f>'B1.1 Current Distribution Rates'!E17*'B1.2 Billing Determinants'!E17*12</f>
        <v>96030</v>
      </c>
      <c r="F17" s="26">
        <f>'B1.1 Current Distribution Rates'!F17*'B1.2 Billing Determinants'!F17/100</f>
        <v>347984.16340959998</v>
      </c>
      <c r="G17" s="26">
        <f>'B1.1 Current Distribution Rates'!G17*'B1.2 Billing Determinants'!G17/100</f>
        <v>337799.80298749998</v>
      </c>
      <c r="H17" s="26">
        <f>'B1.1 Current Distribution Rates'!H17*'B1.2 Billing Determinants'!H17/100</f>
        <v>0</v>
      </c>
      <c r="I17" s="26">
        <f>'B1.1 Current Distribution Rates'!I17*'B1.2 Billing Determinants'!I17/100</f>
        <v>0</v>
      </c>
      <c r="J17" s="26">
        <f>'B1.1 Current Distribution Rates'!J17*'B1.2 Billing Determinants'!J17/100</f>
        <v>0</v>
      </c>
      <c r="K17" s="26">
        <f>'B1.1 Current Distribution Rates'!K17*'B1.2 Billing Determinants'!K17/100</f>
        <v>0</v>
      </c>
      <c r="L17" s="26">
        <f>'B1.1 Current Distribution Rates'!L17*'B1.2 Billing Determinants'!L17/100</f>
        <v>2205.6280889999998</v>
      </c>
      <c r="M17" s="26">
        <f>'B1.1 Current Distribution Rates'!M17*'B1.2 Billing Determinants'!M17/100</f>
        <v>0</v>
      </c>
      <c r="N17" s="26">
        <f>'B1.1 Current Distribution Rates'!N17*'B1.2 Billing Determinants'!N17/100</f>
        <v>0</v>
      </c>
      <c r="O17" s="26">
        <f t="shared" ref="O17:O25" si="0">SUM(E17:N17)</f>
        <v>784019.5944860999</v>
      </c>
      <c r="R17" s="61"/>
      <c r="S17" s="8"/>
      <c r="T17" s="64"/>
      <c r="U17" s="14"/>
      <c r="V17" s="14"/>
    </row>
    <row r="18" spans="3:22" s="117" customFormat="1" x14ac:dyDescent="0.25">
      <c r="C18" s="117" t="s">
        <v>14</v>
      </c>
      <c r="E18" s="26">
        <f>'B1.1 Current Distribution Rates'!E18*'B1.2 Billing Determinants'!E18*12</f>
        <v>14058</v>
      </c>
      <c r="F18" s="26">
        <f>'B1.1 Current Distribution Rates'!F18*'B1.2 Billing Determinants'!F18/100</f>
        <v>61177.887403999994</v>
      </c>
      <c r="G18" s="26">
        <f>'B1.1 Current Distribution Rates'!G18*'B1.2 Billing Determinants'!G18/100</f>
        <v>206670.5547025</v>
      </c>
      <c r="H18" s="26">
        <f>'B1.1 Current Distribution Rates'!H18*'B1.2 Billing Determinants'!H18/100</f>
        <v>0</v>
      </c>
      <c r="I18" s="26">
        <f>'B1.1 Current Distribution Rates'!I18*'B1.2 Billing Determinants'!I18/100</f>
        <v>0</v>
      </c>
      <c r="J18" s="26">
        <f>'B1.1 Current Distribution Rates'!J18*'B1.2 Billing Determinants'!J18/100</f>
        <v>0</v>
      </c>
      <c r="K18" s="26">
        <f>'B1.1 Current Distribution Rates'!K18*'B1.2 Billing Determinants'!K18/100</f>
        <v>0</v>
      </c>
      <c r="L18" s="26">
        <f>'B1.1 Current Distribution Rates'!L18*'B1.2 Billing Determinants'!L18/100</f>
        <v>955.21562999999992</v>
      </c>
      <c r="M18" s="26">
        <f>'B1.1 Current Distribution Rates'!M18*'B1.2 Billing Determinants'!M18/100</f>
        <v>0</v>
      </c>
      <c r="N18" s="26">
        <f>'B1.1 Current Distribution Rates'!N18*'B1.2 Billing Determinants'!N18/100</f>
        <v>0</v>
      </c>
      <c r="O18" s="26">
        <f t="shared" si="0"/>
        <v>282861.65773649997</v>
      </c>
      <c r="R18" s="61"/>
      <c r="S18" s="8"/>
      <c r="T18" s="64"/>
      <c r="U18" s="14"/>
      <c r="V18" s="14"/>
    </row>
    <row r="19" spans="3:22" s="117" customFormat="1" x14ac:dyDescent="0.25">
      <c r="C19" s="117" t="s">
        <v>15</v>
      </c>
      <c r="E19" s="26">
        <f>'B1.1 Current Distribution Rates'!E19*'B1.2 Billing Determinants'!E19*7</f>
        <v>6860</v>
      </c>
      <c r="F19" s="26">
        <f>'B1.1 Current Distribution Rates'!F19*'B1.2 Billing Determinants'!F19/100</f>
        <v>13692.773556800001</v>
      </c>
      <c r="G19" s="26">
        <f>'B1.1 Current Distribution Rates'!G19*'B1.2 Billing Determinants'!G19/100</f>
        <v>0</v>
      </c>
      <c r="H19" s="26">
        <f>'B1.1 Current Distribution Rates'!H19*'B1.2 Billing Determinants'!H19/100</f>
        <v>50924.753053799999</v>
      </c>
      <c r="I19" s="26">
        <f>'B1.1 Current Distribution Rates'!I19*'B1.2 Billing Determinants'!I19/100</f>
        <v>6639.1599528000006</v>
      </c>
      <c r="J19" s="26">
        <f>'B1.1 Current Distribution Rates'!J19*'B1.2 Billing Determinants'!J19/100</f>
        <v>0</v>
      </c>
      <c r="K19" s="26">
        <f>'B1.1 Current Distribution Rates'!K19*'B1.2 Billing Determinants'!K19/100</f>
        <v>0</v>
      </c>
      <c r="L19" s="26">
        <f>'B1.1 Current Distribution Rates'!L19*'B1.2 Billing Determinants'!L19/100</f>
        <v>336.59773649999994</v>
      </c>
      <c r="M19" s="26">
        <f>'B1.1 Current Distribution Rates'!M19*'B1.2 Billing Determinants'!M19/100</f>
        <v>0</v>
      </c>
      <c r="N19" s="26">
        <f>'B1.1 Current Distribution Rates'!N19*'B1.2 Billing Determinants'!N19/100</f>
        <v>0</v>
      </c>
      <c r="O19" s="26">
        <f t="shared" si="0"/>
        <v>78453.284299899999</v>
      </c>
      <c r="R19" s="61"/>
      <c r="S19" s="8"/>
      <c r="T19" s="64"/>
      <c r="U19" s="14"/>
      <c r="V19" s="14"/>
    </row>
    <row r="20" spans="3:22" s="117" customFormat="1" x14ac:dyDescent="0.25">
      <c r="C20" s="117" t="s">
        <v>16</v>
      </c>
      <c r="E20" s="26">
        <f>'B1.1 Current Distribution Rates'!E20*'B1.2 Billing Determinants'!E20*5</f>
        <v>4900</v>
      </c>
      <c r="F20" s="26">
        <f>'B1.1 Current Distribution Rates'!F20*'B1.2 Billing Determinants'!F20/100</f>
        <v>16129.255756799999</v>
      </c>
      <c r="G20" s="26">
        <f>'B1.1 Current Distribution Rates'!G20*'B1.2 Billing Determinants'!G20/100</f>
        <v>0</v>
      </c>
      <c r="H20" s="26">
        <f>'B1.1 Current Distribution Rates'!H20*'B1.2 Billing Determinants'!H20/100</f>
        <v>53862.821655200001</v>
      </c>
      <c r="I20" s="26">
        <f>'B1.1 Current Distribution Rates'!I20*'B1.2 Billing Determinants'!I20/100</f>
        <v>3174.6725167999998</v>
      </c>
      <c r="J20" s="26">
        <f>'B1.1 Current Distribution Rates'!J20*'B1.2 Billing Determinants'!J20/100</f>
        <v>0</v>
      </c>
      <c r="K20" s="26">
        <f>'B1.1 Current Distribution Rates'!K20*'B1.2 Billing Determinants'!K20/100</f>
        <v>0</v>
      </c>
      <c r="L20" s="26">
        <f>'B1.1 Current Distribution Rates'!L20*'B1.2 Billing Determinants'!L20/100</f>
        <v>207.538848</v>
      </c>
      <c r="M20" s="26">
        <f>'B1.1 Current Distribution Rates'!M20*'B1.2 Billing Determinants'!M20/100</f>
        <v>0</v>
      </c>
      <c r="N20" s="26">
        <f>'B1.1 Current Distribution Rates'!N20*'B1.2 Billing Determinants'!N20/100</f>
        <v>0</v>
      </c>
      <c r="O20" s="26">
        <f t="shared" si="0"/>
        <v>78274.288776799993</v>
      </c>
      <c r="R20" s="61"/>
      <c r="S20" s="8"/>
      <c r="T20" s="64"/>
      <c r="U20" s="14"/>
      <c r="V20" s="14"/>
    </row>
    <row r="21" spans="3:22" s="117" customFormat="1" x14ac:dyDescent="0.25">
      <c r="C21" s="117" t="s">
        <v>17</v>
      </c>
      <c r="E21" s="26">
        <f>'B1.1 Current Distribution Rates'!E21*'B1.2 Billing Determinants'!E21*12</f>
        <v>14400</v>
      </c>
      <c r="F21" s="26">
        <f>'B1.1 Current Distribution Rates'!F21*'B1.2 Billing Determinants'!F21/100</f>
        <v>0</v>
      </c>
      <c r="G21" s="26">
        <f>'B1.1 Current Distribution Rates'!G21*'B1.2 Billing Determinants'!G21/100</f>
        <v>0</v>
      </c>
      <c r="H21" s="26">
        <f>'B1.1 Current Distribution Rates'!H21*'B1.2 Billing Determinants'!H21/100</f>
        <v>0</v>
      </c>
      <c r="I21" s="26">
        <f>'B1.1 Current Distribution Rates'!I21*'B1.2 Billing Determinants'!I21/100</f>
        <v>0</v>
      </c>
      <c r="J21" s="26">
        <f>'B1.1 Current Distribution Rates'!J21*'B1.2 Billing Determinants'!J21/100</f>
        <v>55619.860966200002</v>
      </c>
      <c r="K21" s="26">
        <f>'B1.1 Current Distribution Rates'!K21*'B1.2 Billing Determinants'!K21/100</f>
        <v>67629.108196800007</v>
      </c>
      <c r="L21" s="26">
        <f>'B1.1 Current Distribution Rates'!L21*'B1.2 Billing Determinants'!L21/100</f>
        <v>506.28762600000005</v>
      </c>
      <c r="M21" s="26">
        <f>'B1.1 Current Distribution Rates'!M21*'B1.2 Billing Determinants'!M21/100</f>
        <v>0</v>
      </c>
      <c r="N21" s="26">
        <f>'B1.1 Current Distribution Rates'!N21*'B1.2 Billing Determinants'!N21/100</f>
        <v>0</v>
      </c>
      <c r="O21" s="26">
        <f t="shared" si="0"/>
        <v>138155.25678900001</v>
      </c>
      <c r="R21" s="61"/>
      <c r="S21" s="8"/>
      <c r="T21" s="64"/>
      <c r="U21" s="14"/>
      <c r="V21" s="14"/>
    </row>
    <row r="22" spans="3:22" s="117" customFormat="1" x14ac:dyDescent="0.25">
      <c r="C22" s="117" t="s">
        <v>18</v>
      </c>
      <c r="E22" s="26">
        <f>'B1.1 Current Distribution Rates'!E22*'B1.2 Billing Determinants'!E22*9</f>
        <v>6480</v>
      </c>
      <c r="F22" s="26">
        <f>'B1.1 Current Distribution Rates'!F22*'B1.2 Billing Determinants'!F22/100</f>
        <v>15848.795886000002</v>
      </c>
      <c r="G22" s="26">
        <f>'B1.1 Current Distribution Rates'!G22*'B1.2 Billing Determinants'!G22/100</f>
        <v>168305.13172000003</v>
      </c>
      <c r="H22" s="26">
        <f>'B1.1 Current Distribution Rates'!H22*'B1.2 Billing Determinants'!H22/100</f>
        <v>0</v>
      </c>
      <c r="I22" s="26">
        <f>'B1.1 Current Distribution Rates'!I22*'B1.2 Billing Determinants'!I22/100</f>
        <v>0</v>
      </c>
      <c r="J22" s="26">
        <f>'B1.1 Current Distribution Rates'!J22*'B1.2 Billing Determinants'!J22/100</f>
        <v>0</v>
      </c>
      <c r="K22" s="26">
        <f>'B1.1 Current Distribution Rates'!K22*'B1.2 Billing Determinants'!K22/100</f>
        <v>0</v>
      </c>
      <c r="L22" s="26">
        <f>'B1.1 Current Distribution Rates'!L22*'B1.2 Billing Determinants'!L22/100</f>
        <v>690.36614100000008</v>
      </c>
      <c r="M22" s="26">
        <f>'B1.1 Current Distribution Rates'!M22*'B1.2 Billing Determinants'!M22/100</f>
        <v>0</v>
      </c>
      <c r="N22" s="26">
        <f>'B1.1 Current Distribution Rates'!N22*'B1.2 Billing Determinants'!N22/100</f>
        <v>0</v>
      </c>
      <c r="O22" s="26">
        <f t="shared" si="0"/>
        <v>191324.29374700005</v>
      </c>
      <c r="R22" s="61"/>
      <c r="S22" s="8"/>
      <c r="T22" s="64"/>
      <c r="U22" s="14"/>
      <c r="V22" s="14"/>
    </row>
    <row r="23" spans="3:22" s="117" customFormat="1" x14ac:dyDescent="0.25">
      <c r="C23" s="117" t="s">
        <v>19</v>
      </c>
      <c r="E23" s="26">
        <f>'B1.1 Current Distribution Rates'!E23*'B1.2 Billing Determinants'!E23*3</f>
        <v>2160</v>
      </c>
      <c r="F23" s="26">
        <f>'B1.1 Current Distribution Rates'!F23*'B1.2 Billing Determinants'!F23/100</f>
        <v>8003.8122739999999</v>
      </c>
      <c r="G23" s="26">
        <f>'B1.1 Current Distribution Rates'!G23*'B1.2 Billing Determinants'!G23/100</f>
        <v>28348.072172</v>
      </c>
      <c r="H23" s="26">
        <f>'B1.1 Current Distribution Rates'!H23*'B1.2 Billing Determinants'!H23/100</f>
        <v>0</v>
      </c>
      <c r="I23" s="26">
        <f>'B1.1 Current Distribution Rates'!I23*'B1.2 Billing Determinants'!I23/100</f>
        <v>0</v>
      </c>
      <c r="J23" s="26">
        <f>'B1.1 Current Distribution Rates'!J23*'B1.2 Billing Determinants'!J23/100</f>
        <v>0</v>
      </c>
      <c r="K23" s="26">
        <f>'B1.1 Current Distribution Rates'!K23*'B1.2 Billing Determinants'!K23/100</f>
        <v>0</v>
      </c>
      <c r="L23" s="26">
        <f>'B1.1 Current Distribution Rates'!L23*'B1.2 Billing Determinants'!L23/100</f>
        <v>76.473522000000003</v>
      </c>
      <c r="M23" s="26">
        <f>'B1.1 Current Distribution Rates'!M23*'B1.2 Billing Determinants'!M23/100</f>
        <v>0</v>
      </c>
      <c r="N23" s="26">
        <f>'B1.1 Current Distribution Rates'!N23*'B1.2 Billing Determinants'!N23/100</f>
        <v>0</v>
      </c>
      <c r="O23" s="26">
        <f t="shared" si="0"/>
        <v>38588.357967999997</v>
      </c>
      <c r="R23" s="61"/>
      <c r="S23" s="8"/>
      <c r="T23" s="64"/>
      <c r="U23" s="14"/>
      <c r="V23" s="14"/>
    </row>
    <row r="24" spans="3:22" s="117" customFormat="1" x14ac:dyDescent="0.25">
      <c r="C24" s="117" t="s">
        <v>20</v>
      </c>
      <c r="E24" s="26">
        <f>'B1.1 Current Distribution Rates'!E24*'B1.2 Billing Determinants'!E24*12</f>
        <v>9120</v>
      </c>
      <c r="F24" s="26">
        <f>'B1.1 Current Distribution Rates'!F24*'B1.2 Billing Determinants'!F24/100</f>
        <v>0</v>
      </c>
      <c r="G24" s="26">
        <f>'B1.1 Current Distribution Rates'!G24*'B1.2 Billing Determinants'!G24/100</f>
        <v>0</v>
      </c>
      <c r="H24" s="26">
        <f>'B1.1 Current Distribution Rates'!H24*'B1.2 Billing Determinants'!H24/100</f>
        <v>0</v>
      </c>
      <c r="I24" s="26">
        <f>'B1.1 Current Distribution Rates'!I24*'B1.2 Billing Determinants'!I24/100</f>
        <v>0</v>
      </c>
      <c r="J24" s="26">
        <f>'B1.1 Current Distribution Rates'!J24*'B1.2 Billing Determinants'!J24/100</f>
        <v>59758.521348200018</v>
      </c>
      <c r="K24" s="26">
        <f>'B1.1 Current Distribution Rates'!K24*'B1.2 Billing Determinants'!K24/100</f>
        <v>0</v>
      </c>
      <c r="L24" s="26">
        <f>'B1.1 Current Distribution Rates'!L24*'B1.2 Billing Determinants'!L24/100</f>
        <v>346.03571399999998</v>
      </c>
      <c r="M24" s="26">
        <f>'B1.1 Current Distribution Rates'!M24*'B1.2 Billing Determinants'!M24/100</f>
        <v>0</v>
      </c>
      <c r="N24" s="26">
        <f>'B1.1 Current Distribution Rates'!N24*'B1.2 Billing Determinants'!N24/100</f>
        <v>0</v>
      </c>
      <c r="O24" s="26">
        <f t="shared" si="0"/>
        <v>69224.557062200009</v>
      </c>
      <c r="R24" s="61"/>
      <c r="S24" s="8"/>
      <c r="T24" s="64"/>
      <c r="U24" s="14"/>
      <c r="V24" s="14"/>
    </row>
    <row r="25" spans="3:22" s="117" customFormat="1" ht="30" x14ac:dyDescent="0.25">
      <c r="C25" s="10" t="s">
        <v>21</v>
      </c>
      <c r="E25" s="26">
        <f>'B1.1 Current Distribution Rates'!E25*'B1.2 Billing Determinants'!E25*12</f>
        <v>734759.04</v>
      </c>
      <c r="F25" s="26">
        <f>'B1.1 Current Distribution Rates'!F25*'B1.2 Billing Determinants'!F25/100</f>
        <v>0</v>
      </c>
      <c r="G25" s="26">
        <f>'B1.1 Current Distribution Rates'!G25*'B1.2 Billing Determinants'!G25/100</f>
        <v>0</v>
      </c>
      <c r="H25" s="26">
        <f>'B1.1 Current Distribution Rates'!H25*'B1.2 Billing Determinants'!H25/100</f>
        <v>0</v>
      </c>
      <c r="I25" s="26">
        <f>'B1.1 Current Distribution Rates'!I25*'B1.2 Billing Determinants'!I25/100</f>
        <v>0</v>
      </c>
      <c r="J25" s="26">
        <f>'B1.1 Current Distribution Rates'!J25*'B1.2 Billing Determinants'!J25/100</f>
        <v>0</v>
      </c>
      <c r="K25" s="26">
        <f>'B1.1 Current Distribution Rates'!K25*'B1.2 Billing Determinants'!K25/100</f>
        <v>0</v>
      </c>
      <c r="L25" s="26">
        <f>'B1.1 Current Distribution Rates'!L25*'B1.2 Billing Determinants'!L25/100</f>
        <v>0</v>
      </c>
      <c r="M25" s="26">
        <f>'B1.1 Current Distribution Rates'!M25*'B1.2 Billing Determinants'!M25/100</f>
        <v>0</v>
      </c>
      <c r="N25" s="26">
        <f>'B1.1 Current Distribution Rates'!N25*'B1.2 Billing Determinants'!N25/100</f>
        <v>0</v>
      </c>
      <c r="O25" s="26">
        <f t="shared" si="0"/>
        <v>734759.04</v>
      </c>
      <c r="R25" s="61"/>
      <c r="S25" s="8"/>
      <c r="T25" s="64"/>
      <c r="U25" s="14"/>
      <c r="V25" s="14"/>
    </row>
    <row r="26" spans="3:22" s="117" customFormat="1" ht="15.75" thickBot="1" x14ac:dyDescent="0.3">
      <c r="E26" s="27">
        <f>SUM(E16:E25)</f>
        <v>2583845.04</v>
      </c>
      <c r="F26" s="27">
        <f t="shared" ref="F26:O26" si="1">SUM(F16:F25)</f>
        <v>2855044.3125900002</v>
      </c>
      <c r="G26" s="27">
        <f t="shared" si="1"/>
        <v>763951.24175449996</v>
      </c>
      <c r="H26" s="27">
        <f t="shared" si="1"/>
        <v>104787.57470900001</v>
      </c>
      <c r="I26" s="27">
        <f t="shared" si="1"/>
        <v>9813.8324696</v>
      </c>
      <c r="J26" s="27">
        <f t="shared" si="1"/>
        <v>115378.38231440002</v>
      </c>
      <c r="K26" s="27">
        <f t="shared" si="1"/>
        <v>67629.108196800007</v>
      </c>
      <c r="L26" s="27">
        <f t="shared" si="1"/>
        <v>13181.601767999999</v>
      </c>
      <c r="M26" s="27">
        <f t="shared" si="1"/>
        <v>0</v>
      </c>
      <c r="N26" s="27">
        <f t="shared" si="1"/>
        <v>0</v>
      </c>
      <c r="O26" s="27">
        <f t="shared" si="1"/>
        <v>6513631.0938022994</v>
      </c>
      <c r="R26" s="61"/>
      <c r="S26" s="61"/>
      <c r="T26" s="64"/>
    </row>
    <row r="27" spans="3:22" s="117" customFormat="1" x14ac:dyDescent="0.25"/>
    <row r="28" spans="3:22" s="117" customFormat="1" x14ac:dyDescent="0.25"/>
    <row r="29" spans="3:22" s="117" customFormat="1" x14ac:dyDescent="0.25">
      <c r="C29" s="117" t="str">
        <f ca="1">MID(CELL("filename",A1),FIND("]",CELL("filename",A1))+1,255)</f>
        <v>B1.3 Current Rev From Rates</v>
      </c>
      <c r="F29" s="61"/>
      <c r="R29" s="61"/>
      <c r="S29" s="61"/>
      <c r="T29" s="64"/>
      <c r="U29" s="64"/>
      <c r="V29" s="14"/>
    </row>
    <row r="30" spans="3:22" s="117" customFormat="1" x14ac:dyDescent="0.25">
      <c r="S30" s="176"/>
    </row>
    <row r="31" spans="3:22" s="117" customFormat="1" x14ac:dyDescent="0.25"/>
    <row r="32" spans="3:22" s="117" customFormat="1" x14ac:dyDescent="0.25"/>
    <row r="33" s="117" customFormat="1" x14ac:dyDescent="0.25"/>
    <row r="34" s="117" customFormat="1" x14ac:dyDescent="0.25"/>
    <row r="35" s="117" customFormat="1" x14ac:dyDescent="0.25"/>
    <row r="36" s="117" customFormat="1" x14ac:dyDescent="0.25"/>
    <row r="37" s="117" customFormat="1" x14ac:dyDescent="0.25"/>
    <row r="38" s="117" customFormat="1" x14ac:dyDescent="0.25"/>
    <row r="39" s="117" customFormat="1" x14ac:dyDescent="0.25"/>
    <row r="40" s="117" customFormat="1" x14ac:dyDescent="0.25"/>
    <row r="41" s="117" customFormat="1" x14ac:dyDescent="0.25"/>
    <row r="42" s="117" customFormat="1" x14ac:dyDescent="0.25"/>
    <row r="43" s="117" customFormat="1" x14ac:dyDescent="0.25"/>
    <row r="44" s="117" customFormat="1" x14ac:dyDescent="0.25"/>
    <row r="45" s="117" customFormat="1" x14ac:dyDescent="0.25"/>
    <row r="46" s="117" customFormat="1" x14ac:dyDescent="0.25"/>
    <row r="47" s="117" customFormat="1" x14ac:dyDescent="0.25"/>
    <row r="48" s="117" customFormat="1" x14ac:dyDescent="0.25"/>
  </sheetData>
  <sheetProtection algorithmName="SHA-512" hashValue="s7ShQYCgY95khQKAUmlsJL3ToD/LOKQ+j101PpGRuaSPfM70Lv45sbGCTv0wMLIB5FA/6mdb/zz011iatlqeGw==" saltValue="Wowcz6vtSS2hPa/9Wamf9w==" spinCount="100000" sheet="1" objects="1" scenario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49"/>
  <sheetViews>
    <sheetView showGridLines="0" view="pageBreakPreview" zoomScale="85" zoomScaleNormal="100" zoomScaleSheetLayoutView="85" workbookViewId="0">
      <selection activeCell="K18" sqref="K18"/>
    </sheetView>
  </sheetViews>
  <sheetFormatPr defaultColWidth="0" defaultRowHeight="15" zeroHeight="1" x14ac:dyDescent="0.25"/>
  <cols>
    <col min="1" max="1" width="15.7109375" style="1" customWidth="1"/>
    <col min="2" max="2" width="0" style="1" hidden="1" customWidth="1"/>
    <col min="3" max="3" width="35.7109375" style="1" customWidth="1"/>
    <col min="4" max="4" width="2.7109375" style="1" customWidth="1"/>
    <col min="5" max="5" width="14" style="1" customWidth="1"/>
    <col min="6" max="6" width="20.5703125" style="1" customWidth="1"/>
    <col min="7" max="7" width="11.140625" style="1" customWidth="1"/>
    <col min="8" max="8" width="17.28515625" style="1" customWidth="1"/>
    <col min="9" max="9" width="14.140625" style="1" customWidth="1"/>
    <col min="10" max="10" width="12.7109375" style="1" bestFit="1" customWidth="1"/>
    <col min="11" max="11" width="12.28515625" style="1" bestFit="1" customWidth="1"/>
    <col min="12" max="12" width="14.42578125" style="1" bestFit="1" customWidth="1"/>
    <col min="13" max="13" width="15.28515625" style="1" bestFit="1" customWidth="1"/>
    <col min="14" max="15" width="15.7109375" style="1" customWidth="1"/>
    <col min="16" max="16" width="15.7109375" style="1" hidden="1" customWidth="1"/>
    <col min="17" max="16384" width="0" style="1" hidden="1"/>
  </cols>
  <sheetData>
    <row r="1" spans="1:15" ht="15.75" x14ac:dyDescent="0.25">
      <c r="A1" s="117"/>
      <c r="B1" s="117"/>
      <c r="C1" s="5"/>
      <c r="D1" s="117"/>
      <c r="E1" s="117"/>
      <c r="F1" s="125"/>
      <c r="G1" s="117"/>
      <c r="H1" s="117"/>
      <c r="I1" s="117"/>
      <c r="J1" s="117"/>
      <c r="K1" s="117"/>
      <c r="L1" s="117"/>
      <c r="M1" s="117"/>
    </row>
    <row r="2" spans="1:15" s="117" customFormat="1" ht="18" x14ac:dyDescent="0.25">
      <c r="C2" s="6" t="str">
        <f>'A1.1 Distributor Information'!C3</f>
        <v>Name of LDC:       EPCOR Natural Gas Limited Partnership</v>
      </c>
      <c r="F2" s="125"/>
    </row>
    <row r="3" spans="1:15" s="117" customFormat="1" ht="18" x14ac:dyDescent="0.25">
      <c r="C3" s="6" t="str">
        <f>'A1.1 Distributor Information'!C4</f>
        <v>OEB Application Number:          EB-2020-0234 Exhibit A - 2021 IRM Application</v>
      </c>
      <c r="F3" s="125"/>
    </row>
    <row r="4" spans="1:15" s="117" customFormat="1" x14ac:dyDescent="0.25">
      <c r="F4" s="125"/>
    </row>
    <row r="5" spans="1:15" s="117" customFormat="1" x14ac:dyDescent="0.25">
      <c r="F5" s="125"/>
    </row>
    <row r="6" spans="1:15" s="117" customFormat="1" x14ac:dyDescent="0.25">
      <c r="F6" s="125"/>
    </row>
    <row r="7" spans="1:15" s="117" customFormat="1" x14ac:dyDescent="0.25">
      <c r="F7" s="125"/>
    </row>
    <row r="8" spans="1:15" s="117" customFormat="1" ht="20.25" x14ac:dyDescent="0.3">
      <c r="C8" s="3" t="s">
        <v>75</v>
      </c>
      <c r="F8" s="125"/>
      <c r="I8" s="130"/>
      <c r="J8" s="130"/>
    </row>
    <row r="9" spans="1:15" s="117" customFormat="1" x14ac:dyDescent="0.25">
      <c r="F9" s="125"/>
      <c r="I9" s="130"/>
      <c r="J9" s="130"/>
    </row>
    <row r="10" spans="1:15" s="117" customFormat="1" x14ac:dyDescent="0.25">
      <c r="F10" s="125"/>
      <c r="I10" s="130"/>
      <c r="J10" s="130"/>
    </row>
    <row r="11" spans="1:15" s="117" customFormat="1" x14ac:dyDescent="0.25">
      <c r="C11" s="117" t="s">
        <v>31</v>
      </c>
      <c r="E11" s="32">
        <v>0.02</v>
      </c>
      <c r="F11" s="125"/>
      <c r="I11" s="130"/>
      <c r="J11" s="130"/>
    </row>
    <row r="12" spans="1:15" s="117" customFormat="1" x14ac:dyDescent="0.25">
      <c r="C12" s="117" t="s">
        <v>32</v>
      </c>
      <c r="E12" s="29">
        <v>0</v>
      </c>
      <c r="F12" s="125"/>
      <c r="I12" s="130"/>
      <c r="J12" s="130"/>
    </row>
    <row r="13" spans="1:15" s="117" customFormat="1" x14ac:dyDescent="0.25">
      <c r="C13" s="117" t="s">
        <v>33</v>
      </c>
      <c r="E13" s="29">
        <v>4.0000000000000001E-3</v>
      </c>
      <c r="F13" s="125"/>
      <c r="I13" s="13"/>
      <c r="J13" s="13"/>
      <c r="K13" s="13"/>
      <c r="L13" s="13"/>
      <c r="M13" s="13"/>
      <c r="O13" s="13"/>
    </row>
    <row r="14" spans="1:15" s="117" customFormat="1" x14ac:dyDescent="0.25">
      <c r="C14" s="117" t="s">
        <v>34</v>
      </c>
      <c r="E14" s="33">
        <f>E11-E12-E13</f>
        <v>1.6E-2</v>
      </c>
      <c r="F14" s="125"/>
    </row>
    <row r="15" spans="1:15" s="117" customFormat="1" x14ac:dyDescent="0.25">
      <c r="F15" s="125"/>
    </row>
    <row r="16" spans="1:15" s="117" customFormat="1" ht="45" x14ac:dyDescent="0.25">
      <c r="E16" s="132" t="s">
        <v>152</v>
      </c>
      <c r="F16" s="132" t="s">
        <v>262</v>
      </c>
      <c r="G16" s="15" t="s">
        <v>36</v>
      </c>
      <c r="H16" s="132" t="s">
        <v>153</v>
      </c>
      <c r="I16" s="15" t="s">
        <v>37</v>
      </c>
      <c r="J16" s="15" t="s">
        <v>90</v>
      </c>
      <c r="K16" s="15"/>
      <c r="L16" s="15" t="s">
        <v>38</v>
      </c>
      <c r="M16" s="15" t="s">
        <v>90</v>
      </c>
    </row>
    <row r="17" spans="3:13" s="117" customFormat="1" x14ac:dyDescent="0.25">
      <c r="C17" s="117" t="s">
        <v>28</v>
      </c>
      <c r="E17" s="65">
        <f>'B1.1 Current Distribution Rates'!E16</f>
        <v>16.5</v>
      </c>
      <c r="F17" s="65">
        <v>16.5</v>
      </c>
      <c r="G17" s="29">
        <f>E14</f>
        <v>1.6E-2</v>
      </c>
      <c r="H17" s="65">
        <f>F17*(1+G17)</f>
        <v>16.763999999999999</v>
      </c>
      <c r="I17" s="23">
        <f>SUM('B1.2 Billing Determinants'!E16:E18)</f>
        <v>9117</v>
      </c>
      <c r="J17" s="23">
        <f>H17*I17*12</f>
        <v>1834048.656</v>
      </c>
      <c r="K17" s="41" t="s">
        <v>74</v>
      </c>
      <c r="L17" s="30">
        <f>E17+1</f>
        <v>17.5</v>
      </c>
      <c r="M17" s="23">
        <f>I17*L17*12</f>
        <v>1914570</v>
      </c>
    </row>
    <row r="18" spans="3:13" s="117" customFormat="1" x14ac:dyDescent="0.25">
      <c r="C18" s="117" t="s">
        <v>29</v>
      </c>
      <c r="E18" s="34">
        <f>'B1.1 Current Distribution Rates'!F16</f>
        <v>13.381399999999999</v>
      </c>
      <c r="F18" s="34">
        <v>13.630100000000001</v>
      </c>
      <c r="G18" s="29">
        <f>E14</f>
        <v>1.6E-2</v>
      </c>
      <c r="H18" s="34">
        <f t="shared" ref="H18:H20" si="0">F18*(1+G18)</f>
        <v>13.8481816</v>
      </c>
      <c r="I18" s="23">
        <f>SUM('B1.2 Billing Determinants'!F16:F18)</f>
        <v>20934802.599999998</v>
      </c>
      <c r="J18" s="23">
        <f>H18*I18/100</f>
        <v>2899089.4816495217</v>
      </c>
      <c r="K18" s="41" t="s">
        <v>74</v>
      </c>
      <c r="L18" s="31">
        <f>M18/I18*100</f>
        <v>13.52846228945657</v>
      </c>
      <c r="M18" s="133">
        <f>(J$21-M$17-M$20)*J18/(J$21-J$17-J$20)</f>
        <v>2832156.8751131729</v>
      </c>
    </row>
    <row r="19" spans="3:13" s="117" customFormat="1" x14ac:dyDescent="0.25">
      <c r="C19" s="117" t="s">
        <v>30</v>
      </c>
      <c r="E19" s="34">
        <f>'B1.1 Current Distribution Rates'!G16</f>
        <v>10.727499999999999</v>
      </c>
      <c r="F19" s="34">
        <v>10.954599999999999</v>
      </c>
      <c r="G19" s="29">
        <f>E14</f>
        <v>1.6E-2</v>
      </c>
      <c r="H19" s="34">
        <f t="shared" si="0"/>
        <v>11.1298736</v>
      </c>
      <c r="I19" s="23">
        <f>SUM('B1.2 Billing Determinants'!G16:G18)</f>
        <v>5288259.5</v>
      </c>
      <c r="J19" s="23">
        <f t="shared" ref="J19:J20" si="1">H19*I19/100</f>
        <v>588576.59798999201</v>
      </c>
      <c r="K19" s="41" t="s">
        <v>74</v>
      </c>
      <c r="L19" s="31">
        <f>M19/I19*100</f>
        <v>10.872913111134979</v>
      </c>
      <c r="M19" s="133">
        <f t="shared" ref="M19" si="2">(J$21-M$17-M$20)*J19/(J$21-J$17-J$20)</f>
        <v>574987.86052634113</v>
      </c>
    </row>
    <row r="20" spans="3:13" s="117" customFormat="1" x14ac:dyDescent="0.25">
      <c r="C20" s="117" t="s">
        <v>8</v>
      </c>
      <c r="E20" s="34">
        <f>'B1.1 Current Distribution Rates'!L16</f>
        <v>4.3499999999999997E-2</v>
      </c>
      <c r="F20" s="34">
        <f>E20</f>
        <v>4.3499999999999997E-2</v>
      </c>
      <c r="G20" s="29">
        <v>0</v>
      </c>
      <c r="H20" s="34">
        <f t="shared" si="0"/>
        <v>4.3499999999999997E-2</v>
      </c>
      <c r="I20" s="23">
        <f>SUM('B1.2 Billing Determinants'!L16:L18)</f>
        <v>25329430.299999997</v>
      </c>
      <c r="J20" s="23">
        <f t="shared" si="1"/>
        <v>11018.302180499997</v>
      </c>
      <c r="K20" s="41" t="s">
        <v>73</v>
      </c>
      <c r="L20" s="31">
        <f>E20</f>
        <v>4.3499999999999997E-2</v>
      </c>
      <c r="M20" s="23">
        <f>I20*L20/100</f>
        <v>11018.302180499997</v>
      </c>
    </row>
    <row r="21" spans="3:13" s="117" customFormat="1" x14ac:dyDescent="0.25">
      <c r="F21" s="125"/>
      <c r="J21" s="25">
        <f>SUM(J17:J20)</f>
        <v>5332733.0378200132</v>
      </c>
      <c r="M21" s="25">
        <f>SUM(M17:M20)</f>
        <v>5332733.0378200132</v>
      </c>
    </row>
    <row r="22" spans="3:13" s="117" customFormat="1" x14ac:dyDescent="0.25">
      <c r="F22" s="125"/>
      <c r="J22" s="125"/>
      <c r="K22" s="125"/>
      <c r="L22" s="125"/>
      <c r="M22" s="125"/>
    </row>
    <row r="23" spans="3:13" s="117" customFormat="1" x14ac:dyDescent="0.25">
      <c r="F23" s="125"/>
      <c r="M23" s="9">
        <f>(I17*L17)*12+SUMPRODUCT(I18:I20,L18:L20)/100-M21</f>
        <v>0</v>
      </c>
    </row>
    <row r="24" spans="3:13" s="117" customFormat="1" x14ac:dyDescent="0.25">
      <c r="E24" s="67"/>
      <c r="F24" s="67"/>
      <c r="J24" s="66"/>
    </row>
    <row r="25" spans="3:13" s="117" customFormat="1" x14ac:dyDescent="0.25">
      <c r="E25" s="67"/>
      <c r="F25" s="67"/>
      <c r="J25" s="68"/>
      <c r="M25" s="134"/>
    </row>
    <row r="26" spans="3:13" s="117" customFormat="1" x14ac:dyDescent="0.25">
      <c r="E26" s="67"/>
      <c r="F26" s="67"/>
      <c r="J26" s="68"/>
      <c r="M26" s="134"/>
    </row>
    <row r="27" spans="3:13" s="117" customFormat="1" x14ac:dyDescent="0.25">
      <c r="F27" s="125"/>
      <c r="J27" s="68"/>
    </row>
    <row r="28" spans="3:13" s="117" customFormat="1" x14ac:dyDescent="0.25">
      <c r="F28" s="125"/>
    </row>
    <row r="29" spans="3:13" s="117" customFormat="1" x14ac:dyDescent="0.25">
      <c r="F29" s="125"/>
    </row>
    <row r="30" spans="3:13" s="117" customFormat="1" x14ac:dyDescent="0.25">
      <c r="C30" s="117" t="str">
        <f ca="1">MID(CELL("filename",A1),FIND("]",CELL("filename",A1))+1,255)</f>
        <v>D1.1 Rate 1 Adjustment</v>
      </c>
      <c r="F30" s="125"/>
    </row>
    <row r="31" spans="3:13" s="117" customFormat="1" x14ac:dyDescent="0.25">
      <c r="F31" s="125"/>
    </row>
    <row r="32" spans="3:13" s="117" customFormat="1" x14ac:dyDescent="0.25">
      <c r="F32" s="125"/>
    </row>
    <row r="33" spans="6:6" s="117" customFormat="1" x14ac:dyDescent="0.25">
      <c r="F33" s="125"/>
    </row>
    <row r="34" spans="6:6" s="117" customFormat="1" x14ac:dyDescent="0.25">
      <c r="F34" s="125"/>
    </row>
    <row r="35" spans="6:6" s="117" customFormat="1" x14ac:dyDescent="0.25">
      <c r="F35" s="125"/>
    </row>
    <row r="36" spans="6:6" s="117" customFormat="1" x14ac:dyDescent="0.25">
      <c r="F36" s="125"/>
    </row>
    <row r="37" spans="6:6" s="117" customFormat="1" x14ac:dyDescent="0.25">
      <c r="F37" s="125"/>
    </row>
    <row r="38" spans="6:6" s="117" customFormat="1" x14ac:dyDescent="0.25">
      <c r="F38" s="125"/>
    </row>
    <row r="39" spans="6:6" s="117" customFormat="1" x14ac:dyDescent="0.25">
      <c r="F39" s="125"/>
    </row>
    <row r="40" spans="6:6" s="117" customFormat="1" x14ac:dyDescent="0.25">
      <c r="F40" s="125"/>
    </row>
    <row r="41" spans="6:6" s="117" customFormat="1" x14ac:dyDescent="0.25">
      <c r="F41" s="125"/>
    </row>
    <row r="42" spans="6:6" s="117" customFormat="1" x14ac:dyDescent="0.25">
      <c r="F42" s="125"/>
    </row>
    <row r="43" spans="6:6" s="117" customFormat="1" x14ac:dyDescent="0.25">
      <c r="F43" s="125"/>
    </row>
    <row r="44" spans="6:6" s="117" customFormat="1" x14ac:dyDescent="0.25">
      <c r="F44" s="125"/>
    </row>
    <row r="45" spans="6:6" s="117" customFormat="1" x14ac:dyDescent="0.25">
      <c r="F45" s="125"/>
    </row>
    <row r="46" spans="6:6" s="117" customFormat="1" x14ac:dyDescent="0.25">
      <c r="F46" s="125"/>
    </row>
    <row r="47" spans="6:6" s="117" customFormat="1" x14ac:dyDescent="0.25">
      <c r="F47" s="125"/>
    </row>
    <row r="48" spans="6:6" s="117" customFormat="1" x14ac:dyDescent="0.25">
      <c r="F48" s="125"/>
    </row>
    <row r="49" spans="6:6" s="117" customFormat="1" x14ac:dyDescent="0.25">
      <c r="F49" s="125"/>
    </row>
  </sheetData>
  <sheetProtection algorithmName="SHA-512" hashValue="q7XzzW6yYFuetzqctDWxbISP6/sl6ez3rNW9AMWWsrOdlp/E4nXVODDYO3zAi2FvIk3xg817NwzDDyNPlwK/Fw==" saltValue="xDsX9rnSKiXJdVQw7SXefg==" spinCount="100000" sheet="1" objects="1" scenarios="1"/>
  <dataValidations count="1">
    <dataValidation type="list" allowBlank="1" showInputMessage="1" showErrorMessage="1" sqref="K17:K20">
      <formula1>"Change,No Change,Re-Balance"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50"/>
  <sheetViews>
    <sheetView showGridLines="0" workbookViewId="0">
      <selection activeCell="I23" sqref="I18:I23"/>
    </sheetView>
  </sheetViews>
  <sheetFormatPr defaultColWidth="0" defaultRowHeight="15" customHeight="1" zeroHeight="1" x14ac:dyDescent="0.25"/>
  <cols>
    <col min="1" max="1" width="15.7109375" style="1" customWidth="1"/>
    <col min="2" max="2" width="0" style="1" hidden="1" customWidth="1"/>
    <col min="3" max="3" width="35.7109375" style="1" customWidth="1"/>
    <col min="4" max="4" width="2.7109375" style="1" customWidth="1"/>
    <col min="5" max="5" width="12.140625" style="1" bestFit="1" customWidth="1"/>
    <col min="6" max="6" width="21.28515625" style="1" customWidth="1"/>
    <col min="7" max="7" width="9.140625" style="1" bestFit="1" customWidth="1"/>
    <col min="8" max="8" width="14.42578125" style="1" bestFit="1" customWidth="1"/>
    <col min="9" max="9" width="13.28515625" style="1" bestFit="1" customWidth="1"/>
    <col min="10" max="10" width="12.7109375" style="1" bestFit="1" customWidth="1"/>
    <col min="11" max="11" width="12.28515625" style="1" bestFit="1" customWidth="1"/>
    <col min="12" max="12" width="14.42578125" style="1" bestFit="1" customWidth="1"/>
    <col min="13" max="13" width="12.7109375" style="1" bestFit="1" customWidth="1"/>
    <col min="14" max="15" width="15.7109375" style="1" customWidth="1"/>
    <col min="16" max="16" width="15.7109375" style="1" hidden="1" customWidth="1"/>
    <col min="17" max="16384" width="0" style="1" hidden="1"/>
  </cols>
  <sheetData>
    <row r="1" spans="1:15" ht="15.75" x14ac:dyDescent="0.25">
      <c r="A1" s="117"/>
      <c r="B1" s="117"/>
      <c r="C1" s="5"/>
      <c r="D1" s="117"/>
      <c r="E1" s="117"/>
      <c r="F1" s="125"/>
      <c r="G1" s="117"/>
      <c r="H1" s="117"/>
      <c r="I1" s="117"/>
      <c r="J1" s="117"/>
      <c r="K1" s="117"/>
      <c r="L1" s="117"/>
      <c r="M1" s="117"/>
    </row>
    <row r="2" spans="1:15" s="117" customFormat="1" ht="18" x14ac:dyDescent="0.25">
      <c r="C2" s="6" t="str">
        <f>'A1.1 Distributor Information'!C3</f>
        <v>Name of LDC:       EPCOR Natural Gas Limited Partnership</v>
      </c>
      <c r="F2" s="125"/>
    </row>
    <row r="3" spans="1:15" s="117" customFormat="1" ht="18" x14ac:dyDescent="0.25">
      <c r="C3" s="6" t="str">
        <f>'A1.1 Distributor Information'!C4</f>
        <v>OEB Application Number:          EB-2020-0234 Exhibit A - 2021 IRM Application</v>
      </c>
      <c r="F3" s="125"/>
    </row>
    <row r="4" spans="1:15" s="117" customFormat="1" ht="15" customHeight="1" x14ac:dyDescent="0.25">
      <c r="F4" s="125"/>
    </row>
    <row r="5" spans="1:15" s="117" customFormat="1" ht="15" customHeight="1" x14ac:dyDescent="0.25">
      <c r="F5" s="125"/>
    </row>
    <row r="6" spans="1:15" s="117" customFormat="1" ht="15" customHeight="1" x14ac:dyDescent="0.25">
      <c r="F6" s="125"/>
    </row>
    <row r="7" spans="1:15" s="117" customFormat="1" ht="15" customHeight="1" x14ac:dyDescent="0.25">
      <c r="F7" s="125"/>
    </row>
    <row r="8" spans="1:15" s="117" customFormat="1" ht="20.25" x14ac:dyDescent="0.3">
      <c r="C8" s="3" t="s">
        <v>76</v>
      </c>
      <c r="F8" s="125"/>
    </row>
    <row r="9" spans="1:15" s="117" customFormat="1" ht="15" customHeight="1" x14ac:dyDescent="0.25">
      <c r="F9" s="125"/>
    </row>
    <row r="10" spans="1:15" s="117" customFormat="1" ht="15" customHeight="1" x14ac:dyDescent="0.25">
      <c r="F10" s="125"/>
    </row>
    <row r="11" spans="1:15" s="117" customFormat="1" x14ac:dyDescent="0.25">
      <c r="C11" s="117" t="s">
        <v>31</v>
      </c>
      <c r="E11" s="29">
        <f>'D1.1 Rate 1 Adjustment'!E11</f>
        <v>0.02</v>
      </c>
      <c r="F11" s="125"/>
      <c r="I11" s="130"/>
    </row>
    <row r="12" spans="1:15" s="117" customFormat="1" x14ac:dyDescent="0.25">
      <c r="C12" s="117" t="s">
        <v>32</v>
      </c>
      <c r="E12" s="29">
        <f>'D1.1 Rate 1 Adjustment'!E12</f>
        <v>0</v>
      </c>
      <c r="F12" s="125"/>
    </row>
    <row r="13" spans="1:15" s="117" customFormat="1" x14ac:dyDescent="0.25">
      <c r="C13" s="117" t="s">
        <v>33</v>
      </c>
      <c r="E13" s="29">
        <f>'D1.1 Rate 1 Adjustment'!E13</f>
        <v>4.0000000000000001E-3</v>
      </c>
      <c r="F13" s="125"/>
      <c r="I13" s="13"/>
      <c r="J13" s="13"/>
      <c r="K13" s="13"/>
      <c r="L13" s="13"/>
      <c r="M13" s="13"/>
      <c r="O13" s="13"/>
    </row>
    <row r="14" spans="1:15" s="117" customFormat="1" x14ac:dyDescent="0.25">
      <c r="C14" s="117" t="s">
        <v>34</v>
      </c>
      <c r="E14" s="33">
        <f>E11-E12-E13</f>
        <v>1.6E-2</v>
      </c>
      <c r="F14" s="125"/>
    </row>
    <row r="15" spans="1:15" s="117" customFormat="1" ht="15" customHeight="1" x14ac:dyDescent="0.25">
      <c r="F15" s="125"/>
    </row>
    <row r="16" spans="1:15" s="117" customFormat="1" ht="45" x14ac:dyDescent="0.25">
      <c r="E16" s="132" t="s">
        <v>152</v>
      </c>
      <c r="F16" s="132" t="str">
        <f>'D1.1 Rate 1 Adjustment'!F16</f>
        <v>2020 Rate including previously disallowed ratebase</v>
      </c>
      <c r="G16" s="15" t="s">
        <v>36</v>
      </c>
      <c r="H16" s="132" t="s">
        <v>153</v>
      </c>
      <c r="I16" s="15" t="s">
        <v>37</v>
      </c>
      <c r="J16" s="15" t="s">
        <v>90</v>
      </c>
      <c r="K16" s="15"/>
      <c r="L16" s="15" t="s">
        <v>38</v>
      </c>
      <c r="M16" s="15" t="s">
        <v>90</v>
      </c>
    </row>
    <row r="17" spans="3:14" s="117" customFormat="1" x14ac:dyDescent="0.25">
      <c r="C17" s="117" t="s">
        <v>28</v>
      </c>
      <c r="E17" s="65">
        <f>'B1.1 Current Distribution Rates'!E19</f>
        <v>20</v>
      </c>
      <c r="F17" s="65">
        <v>20</v>
      </c>
      <c r="G17" s="29">
        <f>$E$14</f>
        <v>1.6E-2</v>
      </c>
      <c r="H17" s="65">
        <f>F17*(1+G17)</f>
        <v>20.32</v>
      </c>
      <c r="I17" s="23">
        <f>'B1.2 Billing Determinants'!E19</f>
        <v>49</v>
      </c>
      <c r="J17" s="23">
        <f>H17*I17*12</f>
        <v>11948.16</v>
      </c>
      <c r="K17" s="41" t="s">
        <v>73</v>
      </c>
      <c r="L17" s="30">
        <f>E17+I11</f>
        <v>20</v>
      </c>
      <c r="M17" s="23">
        <f>I17*L17*12</f>
        <v>11760</v>
      </c>
    </row>
    <row r="18" spans="3:14" s="117" customFormat="1" x14ac:dyDescent="0.25">
      <c r="C18" s="117" t="s">
        <v>39</v>
      </c>
      <c r="E18" s="34">
        <f>'B1.1 Current Distribution Rates'!F19</f>
        <v>16.5854</v>
      </c>
      <c r="F18" s="34">
        <v>16.758199999999999</v>
      </c>
      <c r="G18" s="29">
        <f t="shared" ref="G18:G23" si="0">$E$14</f>
        <v>1.6E-2</v>
      </c>
      <c r="H18" s="34">
        <f t="shared" ref="H18:H24" si="1">F18*(1+G18)</f>
        <v>17.026331199999998</v>
      </c>
      <c r="I18" s="23">
        <f>'B1.2 Billing Determinants'!F19</f>
        <v>82559.199999999997</v>
      </c>
      <c r="J18" s="23">
        <f>H18*I18/100</f>
        <v>14056.802828070398</v>
      </c>
      <c r="K18" s="41" t="s">
        <v>74</v>
      </c>
      <c r="L18" s="31">
        <f>M18/I18*100</f>
        <v>17.047892273401757</v>
      </c>
      <c r="M18" s="133">
        <f>(J$25-M$17-M$24)*J18/(J$25-J$17-J$24)</f>
        <v>14074.603477782304</v>
      </c>
      <c r="N18" s="8"/>
    </row>
    <row r="19" spans="3:14" s="117" customFormat="1" x14ac:dyDescent="0.25">
      <c r="C19" s="10" t="s">
        <v>40</v>
      </c>
      <c r="E19" s="34">
        <f>'B1.1 Current Distribution Rates'!H19</f>
        <v>8.5817999999999994</v>
      </c>
      <c r="F19" s="34">
        <v>8.7056000000000004</v>
      </c>
      <c r="G19" s="29">
        <f t="shared" si="0"/>
        <v>1.6E-2</v>
      </c>
      <c r="H19" s="34">
        <f t="shared" si="1"/>
        <v>8.8448896000000001</v>
      </c>
      <c r="I19" s="23">
        <f>'B1.2 Billing Determinants'!H19</f>
        <v>593404.1</v>
      </c>
      <c r="J19" s="23">
        <f t="shared" ref="J19:J24" si="2">H19*I19/100</f>
        <v>52485.937526873604</v>
      </c>
      <c r="K19" s="41" t="s">
        <v>74</v>
      </c>
      <c r="L19" s="31">
        <f t="shared" ref="L19:L23" si="3">M19/I19*100</f>
        <v>8.8560902110803301</v>
      </c>
      <c r="M19" s="133">
        <f t="shared" ref="M19:M23" si="4">(J$25-M$17-M$24)*J19/(J$25-J$17-J$24)</f>
        <v>52552.402412249328</v>
      </c>
      <c r="N19" s="8"/>
    </row>
    <row r="20" spans="3:14" s="117" customFormat="1" x14ac:dyDescent="0.25">
      <c r="C20" s="10" t="s">
        <v>41</v>
      </c>
      <c r="E20" s="34">
        <f>'B1.1 Current Distribution Rates'!I19</f>
        <v>6.7868000000000004</v>
      </c>
      <c r="F20" s="34">
        <v>6.7868000000000004</v>
      </c>
      <c r="G20" s="29">
        <f t="shared" si="0"/>
        <v>1.6E-2</v>
      </c>
      <c r="H20" s="34">
        <f t="shared" si="1"/>
        <v>6.8953888000000001</v>
      </c>
      <c r="I20" s="23">
        <f>'B1.2 Billing Determinants'!I19</f>
        <v>97824.6</v>
      </c>
      <c r="J20" s="23">
        <f t="shared" si="2"/>
        <v>6745.3865120448008</v>
      </c>
      <c r="K20" s="41" t="s">
        <v>74</v>
      </c>
      <c r="L20" s="31">
        <f t="shared" si="3"/>
        <v>6.904120686059545</v>
      </c>
      <c r="M20" s="133">
        <f t="shared" si="4"/>
        <v>6753.9284446550055</v>
      </c>
      <c r="N20" s="8"/>
    </row>
    <row r="21" spans="3:14" s="117" customFormat="1" x14ac:dyDescent="0.25">
      <c r="C21" s="117" t="s">
        <v>42</v>
      </c>
      <c r="E21" s="34">
        <f>'B1.1 Current Distribution Rates'!F20</f>
        <v>20.9056</v>
      </c>
      <c r="F21" s="34">
        <v>21.1234</v>
      </c>
      <c r="G21" s="29">
        <f t="shared" si="0"/>
        <v>1.6E-2</v>
      </c>
      <c r="H21" s="34">
        <f t="shared" si="1"/>
        <v>21.4613744</v>
      </c>
      <c r="I21" s="23">
        <f>'B1.2 Billing Determinants'!F20</f>
        <v>77152.800000000003</v>
      </c>
      <c r="J21" s="23">
        <f t="shared" si="2"/>
        <v>16558.051268083203</v>
      </c>
      <c r="K21" s="41" t="s">
        <v>74</v>
      </c>
      <c r="L21" s="31">
        <f t="shared" si="3"/>
        <v>21.488551732762158</v>
      </c>
      <c r="M21" s="133">
        <f t="shared" si="4"/>
        <v>16579.019341274521</v>
      </c>
    </row>
    <row r="22" spans="3:14" s="117" customFormat="1" x14ac:dyDescent="0.25">
      <c r="C22" s="10" t="s">
        <v>43</v>
      </c>
      <c r="E22" s="34">
        <f>'B1.1 Current Distribution Rates'!H20</f>
        <v>14.2049</v>
      </c>
      <c r="F22" s="34">
        <v>14.4099</v>
      </c>
      <c r="G22" s="29">
        <f t="shared" si="0"/>
        <v>1.6E-2</v>
      </c>
      <c r="H22" s="34">
        <f t="shared" si="1"/>
        <v>14.6404584</v>
      </c>
      <c r="I22" s="23">
        <f>'B1.2 Billing Determinants'!H20</f>
        <v>379184.8</v>
      </c>
      <c r="J22" s="23">
        <f t="shared" si="2"/>
        <v>55514.392903123196</v>
      </c>
      <c r="K22" s="41" t="s">
        <v>74</v>
      </c>
      <c r="L22" s="31">
        <f t="shared" si="3"/>
        <v>14.658998154365744</v>
      </c>
      <c r="M22" s="133">
        <f t="shared" si="4"/>
        <v>55584.692833635432</v>
      </c>
    </row>
    <row r="23" spans="3:14" s="117" customFormat="1" x14ac:dyDescent="0.25">
      <c r="C23" s="10" t="s">
        <v>44</v>
      </c>
      <c r="E23" s="34">
        <f>'B1.1 Current Distribution Rates'!I20</f>
        <v>15.289899999999999</v>
      </c>
      <c r="F23" s="34">
        <v>15.289899999999999</v>
      </c>
      <c r="G23" s="29">
        <f t="shared" si="0"/>
        <v>1.6E-2</v>
      </c>
      <c r="H23" s="34">
        <f t="shared" si="1"/>
        <v>15.534538399999999</v>
      </c>
      <c r="I23" s="23">
        <f>'B1.2 Billing Determinants'!I20</f>
        <v>20763.2</v>
      </c>
      <c r="J23" s="23">
        <f t="shared" si="2"/>
        <v>3225.4672770687994</v>
      </c>
      <c r="K23" s="41" t="s">
        <v>74</v>
      </c>
      <c r="L23" s="31">
        <f t="shared" si="3"/>
        <v>15.554210360962722</v>
      </c>
      <c r="M23" s="133">
        <f t="shared" si="4"/>
        <v>3229.5518056674123</v>
      </c>
    </row>
    <row r="24" spans="3:14" s="117" customFormat="1" x14ac:dyDescent="0.25">
      <c r="C24" s="117" t="s">
        <v>8</v>
      </c>
      <c r="E24" s="34">
        <f>'B1.1 Current Distribution Rates'!L19</f>
        <v>4.3499999999999997E-2</v>
      </c>
      <c r="F24" s="34">
        <f>E24</f>
        <v>4.3499999999999997E-2</v>
      </c>
      <c r="G24" s="29">
        <v>0</v>
      </c>
      <c r="H24" s="34">
        <f t="shared" si="1"/>
        <v>4.3499999999999997E-2</v>
      </c>
      <c r="I24" s="23">
        <f>SUM('B1.2 Billing Determinants'!L19:L20)</f>
        <v>1250888.7</v>
      </c>
      <c r="J24" s="23">
        <f t="shared" si="2"/>
        <v>544.13658449999991</v>
      </c>
      <c r="K24" s="41" t="s">
        <v>73</v>
      </c>
      <c r="L24" s="31">
        <f t="shared" ref="L24" si="5">E24</f>
        <v>4.3499999999999997E-2</v>
      </c>
      <c r="M24" s="23">
        <f t="shared" ref="M24" si="6">I24*L24/100</f>
        <v>544.13658449999991</v>
      </c>
    </row>
    <row r="25" spans="3:14" s="117" customFormat="1" x14ac:dyDescent="0.25">
      <c r="F25" s="125"/>
      <c r="J25" s="25">
        <f>SUM(J17:J24)</f>
        <v>161078.33489976398</v>
      </c>
      <c r="M25" s="25">
        <f>SUM(M17:M24)</f>
        <v>161078.33489976398</v>
      </c>
    </row>
    <row r="26" spans="3:14" s="117" customFormat="1" ht="15" customHeight="1" x14ac:dyDescent="0.25">
      <c r="F26" s="125"/>
    </row>
    <row r="27" spans="3:14" s="117" customFormat="1" ht="15" customHeight="1" x14ac:dyDescent="0.25">
      <c r="F27" s="125"/>
      <c r="M27" s="9">
        <f>(I17*L17)*12+SUMPRODUCT(I18:I24,L18:L24)/100-M25</f>
        <v>0</v>
      </c>
    </row>
    <row r="28" spans="3:14" s="117" customFormat="1" ht="15" customHeight="1" x14ac:dyDescent="0.25">
      <c r="F28" s="125"/>
    </row>
    <row r="29" spans="3:14" s="117" customFormat="1" ht="15" customHeight="1" x14ac:dyDescent="0.25">
      <c r="F29" s="125"/>
      <c r="J29" s="9"/>
    </row>
    <row r="30" spans="3:14" s="117" customFormat="1" ht="15" customHeight="1" x14ac:dyDescent="0.25">
      <c r="F30" s="125"/>
    </row>
    <row r="31" spans="3:14" s="117" customFormat="1" ht="15" customHeight="1" x14ac:dyDescent="0.25">
      <c r="C31" s="117" t="str">
        <f ca="1">MID(CELL("filename",A1),FIND("]",CELL("filename",A1))+1,255)</f>
        <v>D1.2 Rate 2 Adjustment</v>
      </c>
      <c r="F31" s="125"/>
    </row>
    <row r="32" spans="3:14" s="117" customFormat="1" ht="15" customHeight="1" x14ac:dyDescent="0.25">
      <c r="F32" s="125"/>
    </row>
    <row r="33" spans="6:6" s="117" customFormat="1" ht="15" customHeight="1" x14ac:dyDescent="0.25">
      <c r="F33" s="125"/>
    </row>
    <row r="34" spans="6:6" s="117" customFormat="1" ht="15" customHeight="1" x14ac:dyDescent="0.25">
      <c r="F34" s="125"/>
    </row>
    <row r="35" spans="6:6" s="117" customFormat="1" ht="15" customHeight="1" x14ac:dyDescent="0.25">
      <c r="F35" s="125"/>
    </row>
    <row r="36" spans="6:6" s="117" customFormat="1" ht="15" customHeight="1" x14ac:dyDescent="0.25">
      <c r="F36" s="125"/>
    </row>
    <row r="37" spans="6:6" s="117" customFormat="1" ht="15" customHeight="1" x14ac:dyDescent="0.25">
      <c r="F37" s="125"/>
    </row>
    <row r="38" spans="6:6" s="117" customFormat="1" ht="15" customHeight="1" x14ac:dyDescent="0.25">
      <c r="F38" s="125"/>
    </row>
    <row r="39" spans="6:6" s="117" customFormat="1" ht="15" customHeight="1" x14ac:dyDescent="0.25">
      <c r="F39" s="125"/>
    </row>
    <row r="40" spans="6:6" s="117" customFormat="1" ht="15" customHeight="1" x14ac:dyDescent="0.25">
      <c r="F40" s="125"/>
    </row>
    <row r="41" spans="6:6" s="117" customFormat="1" ht="15" customHeight="1" x14ac:dyDescent="0.25">
      <c r="F41" s="125"/>
    </row>
    <row r="42" spans="6:6" s="117" customFormat="1" ht="15" customHeight="1" x14ac:dyDescent="0.25">
      <c r="F42" s="125"/>
    </row>
    <row r="43" spans="6:6" s="117" customFormat="1" ht="15" customHeight="1" x14ac:dyDescent="0.25">
      <c r="F43" s="125"/>
    </row>
    <row r="44" spans="6:6" s="117" customFormat="1" ht="15" customHeight="1" x14ac:dyDescent="0.25">
      <c r="F44" s="125"/>
    </row>
    <row r="45" spans="6:6" s="117" customFormat="1" ht="15" customHeight="1" x14ac:dyDescent="0.25">
      <c r="F45" s="125"/>
    </row>
    <row r="46" spans="6:6" s="117" customFormat="1" ht="15" customHeight="1" x14ac:dyDescent="0.25">
      <c r="F46" s="125"/>
    </row>
    <row r="47" spans="6:6" s="117" customFormat="1" ht="15" customHeight="1" x14ac:dyDescent="0.25">
      <c r="F47" s="125"/>
    </row>
    <row r="48" spans="6:6" s="117" customFormat="1" ht="15" customHeight="1" x14ac:dyDescent="0.25">
      <c r="F48" s="125"/>
    </row>
    <row r="49" spans="6:6" s="117" customFormat="1" ht="15" customHeight="1" x14ac:dyDescent="0.25">
      <c r="F49" s="125"/>
    </row>
    <row r="50" spans="6:6" s="117" customFormat="1" ht="15" customHeight="1" x14ac:dyDescent="0.25">
      <c r="F50" s="125"/>
    </row>
  </sheetData>
  <sheetProtection algorithmName="SHA-512" hashValue="VKkOlS47o2plFxOrnFEGDiI6qPwWhVtVT2yQsmDSdqAR5ZMdmjKwosDGl2iJY5I7dPBG/i5j/TT8Zi+N0jLiqQ==" saltValue="tJfmkc1VQn4uzDe/QweULA==" spinCount="100000" sheet="1" objects="1" scenarios="1"/>
  <dataValidations count="1">
    <dataValidation type="list" allowBlank="1" showInputMessage="1" showErrorMessage="1" sqref="K17:K24">
      <formula1>"Change,No Change,Re-Balance"</formula1>
    </dataValidation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5"/>
  <sheetViews>
    <sheetView showGridLines="0" workbookViewId="0">
      <selection activeCell="K25" sqref="K25"/>
    </sheetView>
  </sheetViews>
  <sheetFormatPr defaultColWidth="0" defaultRowHeight="15" customHeight="1" zeroHeight="1" x14ac:dyDescent="0.25"/>
  <cols>
    <col min="1" max="1" width="15.7109375" style="1" customWidth="1"/>
    <col min="2" max="2" width="0" style="1" hidden="1" customWidth="1"/>
    <col min="3" max="3" width="35.7109375" style="1" customWidth="1"/>
    <col min="4" max="4" width="2.7109375" style="1" customWidth="1"/>
    <col min="5" max="5" width="12.140625" style="1" bestFit="1" customWidth="1"/>
    <col min="6" max="6" width="20.85546875" style="1" customWidth="1"/>
    <col min="7" max="7" width="9.140625" style="1" bestFit="1" customWidth="1"/>
    <col min="8" max="8" width="14.42578125" style="1" bestFit="1" customWidth="1"/>
    <col min="9" max="9" width="13.28515625" style="1" bestFit="1" customWidth="1"/>
    <col min="10" max="10" width="12.7109375" style="1" bestFit="1" customWidth="1"/>
    <col min="11" max="11" width="12.28515625" style="1" bestFit="1" customWidth="1"/>
    <col min="12" max="12" width="14.42578125" style="1" bestFit="1" customWidth="1"/>
    <col min="13" max="13" width="12.7109375" style="1" bestFit="1" customWidth="1"/>
    <col min="14" max="15" width="15.7109375" style="1" customWidth="1"/>
    <col min="16" max="16" width="15.7109375" style="1" hidden="1" customWidth="1"/>
    <col min="17" max="16384" width="0" style="1" hidden="1"/>
  </cols>
  <sheetData>
    <row r="1" spans="1:15" ht="15.75" x14ac:dyDescent="0.25">
      <c r="A1" s="117"/>
      <c r="B1" s="117"/>
      <c r="C1" s="5"/>
      <c r="D1" s="117"/>
      <c r="E1" s="117"/>
      <c r="F1" s="125"/>
      <c r="G1" s="117"/>
      <c r="H1" s="117"/>
      <c r="I1" s="117"/>
      <c r="J1" s="117"/>
      <c r="K1" s="117"/>
      <c r="L1" s="117"/>
      <c r="M1" s="117"/>
    </row>
    <row r="2" spans="1:15" s="117" customFormat="1" ht="18" x14ac:dyDescent="0.25">
      <c r="C2" s="6" t="str">
        <f>'A1.1 Distributor Information'!C3</f>
        <v>Name of LDC:       EPCOR Natural Gas Limited Partnership</v>
      </c>
      <c r="F2" s="125"/>
    </row>
    <row r="3" spans="1:15" s="117" customFormat="1" ht="18" x14ac:dyDescent="0.25">
      <c r="C3" s="6" t="str">
        <f>'A1.1 Distributor Information'!C4</f>
        <v>OEB Application Number:          EB-2020-0234 Exhibit A - 2021 IRM Application</v>
      </c>
      <c r="F3" s="125"/>
    </row>
    <row r="4" spans="1:15" s="117" customFormat="1" ht="15" customHeight="1" x14ac:dyDescent="0.25">
      <c r="F4" s="125"/>
    </row>
    <row r="5" spans="1:15" s="117" customFormat="1" ht="15" customHeight="1" x14ac:dyDescent="0.25">
      <c r="F5" s="125"/>
    </row>
    <row r="6" spans="1:15" s="117" customFormat="1" ht="15" customHeight="1" x14ac:dyDescent="0.25">
      <c r="F6" s="125"/>
    </row>
    <row r="7" spans="1:15" s="117" customFormat="1" ht="15" customHeight="1" x14ac:dyDescent="0.25">
      <c r="F7" s="125"/>
    </row>
    <row r="8" spans="1:15" s="117" customFormat="1" ht="20.25" x14ac:dyDescent="0.3">
      <c r="C8" s="3" t="s">
        <v>77</v>
      </c>
      <c r="F8" s="125"/>
    </row>
    <row r="9" spans="1:15" s="117" customFormat="1" ht="15" customHeight="1" x14ac:dyDescent="0.25">
      <c r="F9" s="125"/>
    </row>
    <row r="10" spans="1:15" s="117" customFormat="1" ht="15" customHeight="1" x14ac:dyDescent="0.25">
      <c r="F10" s="125"/>
    </row>
    <row r="11" spans="1:15" s="117" customFormat="1" x14ac:dyDescent="0.25">
      <c r="C11" s="117" t="s">
        <v>31</v>
      </c>
      <c r="E11" s="29">
        <f>'D1.1 Rate 1 Adjustment'!E11</f>
        <v>0.02</v>
      </c>
      <c r="F11" s="125"/>
    </row>
    <row r="12" spans="1:15" s="117" customFormat="1" x14ac:dyDescent="0.25">
      <c r="C12" s="117" t="s">
        <v>32</v>
      </c>
      <c r="E12" s="29">
        <f>'D1.1 Rate 1 Adjustment'!E12</f>
        <v>0</v>
      </c>
      <c r="F12" s="125"/>
    </row>
    <row r="13" spans="1:15" s="117" customFormat="1" x14ac:dyDescent="0.25">
      <c r="C13" s="117" t="s">
        <v>33</v>
      </c>
      <c r="E13" s="29">
        <f>'D1.1 Rate 1 Adjustment'!E13</f>
        <v>4.0000000000000001E-3</v>
      </c>
      <c r="F13" s="125"/>
      <c r="I13" s="13"/>
      <c r="J13" s="13"/>
      <c r="K13" s="13"/>
      <c r="L13" s="13"/>
      <c r="M13" s="13"/>
      <c r="O13" s="13"/>
    </row>
    <row r="14" spans="1:15" s="117" customFormat="1" x14ac:dyDescent="0.25">
      <c r="C14" s="117" t="s">
        <v>34</v>
      </c>
      <c r="E14" s="33">
        <f>E11-E12-E13</f>
        <v>1.6E-2</v>
      </c>
      <c r="F14" s="125"/>
    </row>
    <row r="15" spans="1:15" s="117" customFormat="1" ht="15" customHeight="1" x14ac:dyDescent="0.25">
      <c r="F15" s="125"/>
    </row>
    <row r="16" spans="1:15" s="117" customFormat="1" ht="45" x14ac:dyDescent="0.25">
      <c r="E16" s="132" t="s">
        <v>152</v>
      </c>
      <c r="F16" s="132" t="str">
        <f>'D1.1 Rate 1 Adjustment'!F16</f>
        <v>2020 Rate including previously disallowed ratebase</v>
      </c>
      <c r="G16" s="15" t="s">
        <v>36</v>
      </c>
      <c r="H16" s="132" t="s">
        <v>153</v>
      </c>
      <c r="I16" s="15" t="s">
        <v>37</v>
      </c>
      <c r="J16" s="15" t="s">
        <v>90</v>
      </c>
      <c r="K16" s="15"/>
      <c r="L16" s="15" t="s">
        <v>38</v>
      </c>
      <c r="M16" s="15" t="s">
        <v>90</v>
      </c>
    </row>
    <row r="17" spans="3:13" s="117" customFormat="1" x14ac:dyDescent="0.25">
      <c r="C17" s="117" t="s">
        <v>28</v>
      </c>
      <c r="E17" s="65">
        <f>'B1.1 Current Distribution Rates'!E21</f>
        <v>200</v>
      </c>
      <c r="F17" s="65">
        <v>200</v>
      </c>
      <c r="G17" s="29">
        <f>E14</f>
        <v>1.6E-2</v>
      </c>
      <c r="H17" s="65">
        <f>F17*(1+G17)</f>
        <v>203.2</v>
      </c>
      <c r="I17" s="23">
        <f>'B1.2 Billing Determinants'!E21</f>
        <v>6</v>
      </c>
      <c r="J17" s="23">
        <f>H17*I17*12</f>
        <v>14630.399999999998</v>
      </c>
      <c r="K17" s="41" t="s">
        <v>73</v>
      </c>
      <c r="L17" s="30">
        <f>E17+I11</f>
        <v>200</v>
      </c>
      <c r="M17" s="23">
        <f>I17*L17*12</f>
        <v>14400</v>
      </c>
    </row>
    <row r="18" spans="3:13" s="117" customFormat="1" x14ac:dyDescent="0.25">
      <c r="C18" s="117" t="s">
        <v>45</v>
      </c>
      <c r="E18" s="34">
        <f>'B1.1 Current Distribution Rates'!J21</f>
        <v>3.6011000000000002</v>
      </c>
      <c r="F18" s="34">
        <v>3.8403</v>
      </c>
      <c r="G18" s="29">
        <f>E14</f>
        <v>1.6E-2</v>
      </c>
      <c r="H18" s="34">
        <f t="shared" ref="H18:H20" si="0">F18*(1+G18)</f>
        <v>3.9017447999999999</v>
      </c>
      <c r="I18" s="23">
        <f>'B1.2 Billing Determinants'!J21</f>
        <v>1544524.2</v>
      </c>
      <c r="J18" s="23">
        <f>H18*I18/100</f>
        <v>60263.392658241595</v>
      </c>
      <c r="K18" s="41" t="s">
        <v>74</v>
      </c>
      <c r="L18" s="34">
        <f>M18/I18*100</f>
        <v>3.9087148718964557</v>
      </c>
      <c r="M18" s="133">
        <f>(J$21-M$17-M$20)*J18/(J$21-J$17-J$20)</f>
        <v>60371.047105439757</v>
      </c>
    </row>
    <row r="19" spans="3:13" s="117" customFormat="1" x14ac:dyDescent="0.25">
      <c r="C19" s="117" t="s">
        <v>46</v>
      </c>
      <c r="E19" s="34">
        <f>'B1.1 Current Distribution Rates'!K21</f>
        <v>29.0974</v>
      </c>
      <c r="F19" s="34">
        <v>29.0974</v>
      </c>
      <c r="G19" s="29">
        <f>E14</f>
        <v>1.6E-2</v>
      </c>
      <c r="H19" s="34">
        <f t="shared" si="0"/>
        <v>29.562958399999999</v>
      </c>
      <c r="I19" s="23">
        <f>'B1.2 Billing Determinants'!K21</f>
        <v>232423.2</v>
      </c>
      <c r="J19" s="23">
        <f t="shared" ref="J19:J20" si="1">H19*I19/100</f>
        <v>68711.173927948796</v>
      </c>
      <c r="K19" s="41" t="s">
        <v>74</v>
      </c>
      <c r="L19" s="34">
        <f t="shared" ref="L19" si="2">M19/I19*100</f>
        <v>29.615769630893396</v>
      </c>
      <c r="M19" s="133">
        <f t="shared" ref="M19" si="3">(J$21-M$17-M$20)*J19/(J$21-J$17-J$20)</f>
        <v>68833.919480750628</v>
      </c>
    </row>
    <row r="20" spans="3:13" s="117" customFormat="1" x14ac:dyDescent="0.25">
      <c r="C20" s="117" t="s">
        <v>8</v>
      </c>
      <c r="E20" s="34">
        <f>'B1.1 Current Distribution Rates'!L21</f>
        <v>4.3499999999999997E-2</v>
      </c>
      <c r="F20" s="34">
        <f>E20</f>
        <v>4.3499999999999997E-2</v>
      </c>
      <c r="G20" s="29">
        <v>0</v>
      </c>
      <c r="H20" s="34">
        <f t="shared" si="0"/>
        <v>4.3499999999999997E-2</v>
      </c>
      <c r="I20" s="23">
        <f>'B1.2 Billing Determinants'!L21</f>
        <v>1163879.6000000001</v>
      </c>
      <c r="J20" s="23">
        <f t="shared" si="1"/>
        <v>506.28762600000005</v>
      </c>
      <c r="K20" s="41" t="s">
        <v>73</v>
      </c>
      <c r="L20" s="34">
        <f>E20</f>
        <v>4.3499999999999997E-2</v>
      </c>
      <c r="M20" s="23">
        <f>I20*L20/100</f>
        <v>506.28762600000005</v>
      </c>
    </row>
    <row r="21" spans="3:13" s="117" customFormat="1" x14ac:dyDescent="0.25">
      <c r="F21" s="125"/>
      <c r="J21" s="25">
        <f>SUM(J17:J20)</f>
        <v>144111.2542121904</v>
      </c>
      <c r="M21" s="25">
        <f>SUM(M17:M20)</f>
        <v>144111.2542121904</v>
      </c>
    </row>
    <row r="22" spans="3:13" s="117" customFormat="1" ht="15" customHeight="1" x14ac:dyDescent="0.25">
      <c r="F22" s="125"/>
    </row>
    <row r="23" spans="3:13" s="117" customFormat="1" ht="15" customHeight="1" x14ac:dyDescent="0.25">
      <c r="F23" s="125"/>
      <c r="M23" s="9">
        <f>(I17*L17)*12+SUMPRODUCT(I18:I20,L18:L20)/100-M21</f>
        <v>0</v>
      </c>
    </row>
    <row r="24" spans="3:13" s="117" customFormat="1" ht="15" customHeight="1" x14ac:dyDescent="0.25">
      <c r="F24" s="125"/>
    </row>
    <row r="25" spans="3:13" s="117" customFormat="1" ht="15" customHeight="1" x14ac:dyDescent="0.25">
      <c r="F25" s="125"/>
    </row>
    <row r="26" spans="3:13" s="117" customFormat="1" ht="15" customHeight="1" x14ac:dyDescent="0.25">
      <c r="C26" s="117" t="str">
        <f ca="1">MID(CELL("filename",A1),FIND("]",CELL("filename",A1))+1,255)</f>
        <v>D1.3 Rate 3 Adjustment</v>
      </c>
      <c r="F26" s="125"/>
    </row>
    <row r="27" spans="3:13" s="117" customFormat="1" ht="15" customHeight="1" x14ac:dyDescent="0.25">
      <c r="F27" s="125"/>
    </row>
    <row r="28" spans="3:13" s="117" customFormat="1" ht="15" customHeight="1" x14ac:dyDescent="0.25">
      <c r="F28" s="125"/>
    </row>
    <row r="29" spans="3:13" s="117" customFormat="1" ht="15" customHeight="1" x14ac:dyDescent="0.25">
      <c r="F29" s="125"/>
    </row>
    <row r="30" spans="3:13" s="117" customFormat="1" ht="15" customHeight="1" x14ac:dyDescent="0.25">
      <c r="F30" s="125"/>
    </row>
    <row r="31" spans="3:13" s="117" customFormat="1" ht="15" customHeight="1" x14ac:dyDescent="0.25">
      <c r="F31" s="125"/>
    </row>
    <row r="32" spans="3:13" s="117" customFormat="1" ht="15" customHeight="1" x14ac:dyDescent="0.25">
      <c r="F32" s="125"/>
    </row>
    <row r="33" spans="6:6" s="117" customFormat="1" ht="15" customHeight="1" x14ac:dyDescent="0.25">
      <c r="F33" s="125"/>
    </row>
    <row r="34" spans="6:6" s="117" customFormat="1" ht="15" customHeight="1" x14ac:dyDescent="0.25">
      <c r="F34" s="125"/>
    </row>
    <row r="35" spans="6:6" s="117" customFormat="1" ht="15" customHeight="1" x14ac:dyDescent="0.25">
      <c r="F35" s="125"/>
    </row>
    <row r="36" spans="6:6" s="117" customFormat="1" ht="15" customHeight="1" x14ac:dyDescent="0.25">
      <c r="F36" s="125"/>
    </row>
    <row r="37" spans="6:6" s="117" customFormat="1" ht="15" customHeight="1" x14ac:dyDescent="0.25">
      <c r="F37" s="125"/>
    </row>
    <row r="38" spans="6:6" s="117" customFormat="1" ht="15" customHeight="1" x14ac:dyDescent="0.25">
      <c r="F38" s="125"/>
    </row>
    <row r="39" spans="6:6" s="117" customFormat="1" ht="15" customHeight="1" x14ac:dyDescent="0.25">
      <c r="F39" s="125"/>
    </row>
    <row r="40" spans="6:6" s="117" customFormat="1" ht="15" customHeight="1" x14ac:dyDescent="0.25">
      <c r="F40" s="125"/>
    </row>
    <row r="41" spans="6:6" s="117" customFormat="1" ht="15" customHeight="1" x14ac:dyDescent="0.25">
      <c r="F41" s="125"/>
    </row>
    <row r="42" spans="6:6" s="117" customFormat="1" ht="15" customHeight="1" x14ac:dyDescent="0.25">
      <c r="F42" s="125"/>
    </row>
    <row r="43" spans="6:6" s="117" customFormat="1" ht="15" customHeight="1" x14ac:dyDescent="0.25">
      <c r="F43" s="125"/>
    </row>
    <row r="44" spans="6:6" s="117" customFormat="1" ht="15" customHeight="1" x14ac:dyDescent="0.25">
      <c r="F44" s="125"/>
    </row>
    <row r="45" spans="6:6" s="117" customFormat="1" ht="15" customHeight="1" x14ac:dyDescent="0.25">
      <c r="F45" s="125"/>
    </row>
  </sheetData>
  <sheetProtection algorithmName="SHA-512" hashValue="G7thDGZJi4H5Z0Hywej3IjhHxSAdNJoWsZtpctsS8LM1fxB4nxg4sRumECXdzguxwdBSHI45lS7w8u4UXr5olQ==" saltValue="muCTZMJTkDPXoD4kLUTkUg==" spinCount="100000" sheet="1" objects="1" scenarios="1"/>
  <dataValidations count="1">
    <dataValidation type="list" allowBlank="1" showInputMessage="1" showErrorMessage="1" sqref="K17:K20">
      <formula1>"Change,No Change,Re-Balance"</formula1>
    </dataValidation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7"/>
  <sheetViews>
    <sheetView showGridLines="0" workbookViewId="0">
      <selection activeCell="I18" sqref="I18:I21"/>
    </sheetView>
  </sheetViews>
  <sheetFormatPr defaultColWidth="0" defaultRowHeight="15" customHeight="1" zeroHeight="1" x14ac:dyDescent="0.25"/>
  <cols>
    <col min="1" max="1" width="15.7109375" style="1" customWidth="1"/>
    <col min="2" max="2" width="0" style="1" hidden="1" customWidth="1"/>
    <col min="3" max="3" width="35.7109375" style="1" customWidth="1"/>
    <col min="4" max="4" width="2.7109375" style="1" customWidth="1"/>
    <col min="5" max="5" width="12.140625" style="1" bestFit="1" customWidth="1"/>
    <col min="6" max="6" width="20.7109375" style="1" customWidth="1"/>
    <col min="7" max="7" width="9.140625" style="1" bestFit="1" customWidth="1"/>
    <col min="8" max="8" width="14.42578125" style="1" bestFit="1" customWidth="1"/>
    <col min="9" max="9" width="13.28515625" style="1" bestFit="1" customWidth="1"/>
    <col min="10" max="10" width="12.7109375" style="1" bestFit="1" customWidth="1"/>
    <col min="11" max="11" width="12.28515625" style="1" bestFit="1" customWidth="1"/>
    <col min="12" max="12" width="14.42578125" style="1" bestFit="1" customWidth="1"/>
    <col min="13" max="13" width="12.7109375" style="1" bestFit="1" customWidth="1"/>
    <col min="14" max="15" width="15.7109375" style="1" customWidth="1"/>
    <col min="16" max="16" width="15.7109375" style="1" hidden="1" customWidth="1"/>
    <col min="17" max="16384" width="0" style="1" hidden="1"/>
  </cols>
  <sheetData>
    <row r="1" spans="1:15" ht="15.75" x14ac:dyDescent="0.25">
      <c r="A1" s="117"/>
      <c r="B1" s="117"/>
      <c r="C1" s="5"/>
      <c r="D1" s="117"/>
      <c r="E1" s="117"/>
      <c r="F1" s="125"/>
      <c r="G1" s="117"/>
      <c r="H1" s="117"/>
      <c r="I1" s="117"/>
      <c r="J1" s="117"/>
      <c r="K1" s="117"/>
      <c r="L1" s="117"/>
      <c r="M1" s="117"/>
    </row>
    <row r="2" spans="1:15" s="117" customFormat="1" ht="18" x14ac:dyDescent="0.25">
      <c r="C2" s="6" t="str">
        <f>'A1.1 Distributor Information'!C3</f>
        <v>Name of LDC:       EPCOR Natural Gas Limited Partnership</v>
      </c>
      <c r="F2" s="125"/>
    </row>
    <row r="3" spans="1:15" s="117" customFormat="1" ht="18" x14ac:dyDescent="0.25">
      <c r="C3" s="6" t="str">
        <f>'A1.1 Distributor Information'!C4</f>
        <v>OEB Application Number:          EB-2020-0234 Exhibit A - 2021 IRM Application</v>
      </c>
      <c r="F3" s="125"/>
    </row>
    <row r="4" spans="1:15" s="117" customFormat="1" ht="15" customHeight="1" x14ac:dyDescent="0.25">
      <c r="F4" s="125"/>
    </row>
    <row r="5" spans="1:15" s="117" customFormat="1" ht="15" customHeight="1" x14ac:dyDescent="0.25">
      <c r="F5" s="125"/>
    </row>
    <row r="6" spans="1:15" s="117" customFormat="1" ht="15" customHeight="1" x14ac:dyDescent="0.25">
      <c r="F6" s="125"/>
    </row>
    <row r="7" spans="1:15" s="117" customFormat="1" ht="15" customHeight="1" x14ac:dyDescent="0.25">
      <c r="F7" s="125"/>
    </row>
    <row r="8" spans="1:15" s="117" customFormat="1" ht="20.25" x14ac:dyDescent="0.3">
      <c r="C8" s="3" t="s">
        <v>78</v>
      </c>
      <c r="F8" s="125"/>
    </row>
    <row r="9" spans="1:15" s="117" customFormat="1" ht="15" customHeight="1" x14ac:dyDescent="0.25">
      <c r="F9" s="125"/>
    </row>
    <row r="10" spans="1:15" s="117" customFormat="1" ht="15" customHeight="1" x14ac:dyDescent="0.25">
      <c r="F10" s="125"/>
    </row>
    <row r="11" spans="1:15" s="117" customFormat="1" x14ac:dyDescent="0.25">
      <c r="C11" s="117" t="s">
        <v>31</v>
      </c>
      <c r="E11" s="29">
        <f>'D1.1 Rate 1 Adjustment'!E11</f>
        <v>0.02</v>
      </c>
      <c r="F11" s="125"/>
    </row>
    <row r="12" spans="1:15" s="117" customFormat="1" x14ac:dyDescent="0.25">
      <c r="C12" s="117" t="s">
        <v>32</v>
      </c>
      <c r="E12" s="29">
        <f>'D1.1 Rate 1 Adjustment'!E12</f>
        <v>0</v>
      </c>
      <c r="F12" s="125"/>
      <c r="G12" s="125"/>
    </row>
    <row r="13" spans="1:15" s="117" customFormat="1" x14ac:dyDescent="0.25">
      <c r="C13" s="117" t="s">
        <v>33</v>
      </c>
      <c r="E13" s="29">
        <f>'D1.1 Rate 1 Adjustment'!E13</f>
        <v>4.0000000000000001E-3</v>
      </c>
      <c r="F13" s="125"/>
      <c r="G13" s="125"/>
      <c r="I13" s="13"/>
      <c r="J13" s="13"/>
      <c r="K13" s="13"/>
      <c r="L13" s="13"/>
      <c r="M13" s="13"/>
      <c r="O13" s="13"/>
    </row>
    <row r="14" spans="1:15" s="117" customFormat="1" x14ac:dyDescent="0.25">
      <c r="C14" s="117" t="s">
        <v>34</v>
      </c>
      <c r="E14" s="33">
        <f>E11-E12-E13</f>
        <v>1.6E-2</v>
      </c>
      <c r="F14" s="125"/>
      <c r="G14" s="125"/>
    </row>
    <row r="15" spans="1:15" s="117" customFormat="1" ht="15" customHeight="1" x14ac:dyDescent="0.25">
      <c r="F15" s="125"/>
    </row>
    <row r="16" spans="1:15" s="117" customFormat="1" ht="45" x14ac:dyDescent="0.25">
      <c r="E16" s="132" t="s">
        <v>152</v>
      </c>
      <c r="F16" s="132" t="str">
        <f>'D1.1 Rate 1 Adjustment'!F16</f>
        <v>2020 Rate including previously disallowed ratebase</v>
      </c>
      <c r="G16" s="15" t="s">
        <v>36</v>
      </c>
      <c r="H16" s="132" t="s">
        <v>153</v>
      </c>
      <c r="I16" s="15" t="s">
        <v>37</v>
      </c>
      <c r="J16" s="15" t="s">
        <v>90</v>
      </c>
      <c r="K16" s="15"/>
      <c r="L16" s="15" t="s">
        <v>38</v>
      </c>
      <c r="M16" s="15" t="s">
        <v>90</v>
      </c>
    </row>
    <row r="17" spans="3:13" s="117" customFormat="1" x14ac:dyDescent="0.25">
      <c r="C17" s="117" t="s">
        <v>28</v>
      </c>
      <c r="E17" s="65">
        <f>'B1.1 Current Distribution Rates'!E22</f>
        <v>20</v>
      </c>
      <c r="F17" s="65">
        <v>20</v>
      </c>
      <c r="G17" s="29">
        <f>$E$14</f>
        <v>1.6E-2</v>
      </c>
      <c r="H17" s="65">
        <f>F17*(1+G17)</f>
        <v>20.32</v>
      </c>
      <c r="I17" s="23">
        <f>'B1.2 Billing Determinants'!E22</f>
        <v>36</v>
      </c>
      <c r="J17" s="23">
        <f>H17*I17*12</f>
        <v>8778.24</v>
      </c>
      <c r="K17" s="41" t="s">
        <v>73</v>
      </c>
      <c r="L17" s="30">
        <f>E17</f>
        <v>20</v>
      </c>
      <c r="M17" s="23">
        <f>I17*L17*12</f>
        <v>8640</v>
      </c>
    </row>
    <row r="18" spans="3:13" s="117" customFormat="1" x14ac:dyDescent="0.25">
      <c r="C18" s="117" t="s">
        <v>47</v>
      </c>
      <c r="E18" s="34">
        <f>'B1.1 Current Distribution Rates'!F22</f>
        <v>18.263400000000001</v>
      </c>
      <c r="F18" s="34">
        <v>18.584</v>
      </c>
      <c r="G18" s="29">
        <f t="shared" ref="G18:G21" si="0">$E$14</f>
        <v>1.6E-2</v>
      </c>
      <c r="H18" s="34">
        <f t="shared" ref="H18:H22" si="1">F18*(1+G18)</f>
        <v>18.881343999999999</v>
      </c>
      <c r="I18" s="23">
        <f>'B1.2 Billing Determinants'!F22</f>
        <v>86779</v>
      </c>
      <c r="J18" s="23">
        <f>H18*I18/100</f>
        <v>16385.041509759998</v>
      </c>
      <c r="K18" s="41" t="s">
        <v>74</v>
      </c>
      <c r="L18" s="31">
        <f>M18/I18*100</f>
        <v>18.892793646765796</v>
      </c>
      <c r="M18" s="23">
        <f>(J$23-M$17-M$22)*J18/(J$23-J$17-J$22)</f>
        <v>16394.977398726889</v>
      </c>
    </row>
    <row r="19" spans="3:13" s="117" customFormat="1" x14ac:dyDescent="0.25">
      <c r="C19" s="10" t="s">
        <v>49</v>
      </c>
      <c r="E19" s="34">
        <f>'B1.1 Current Distribution Rates'!G22</f>
        <v>11.2057</v>
      </c>
      <c r="F19" s="34">
        <v>11.4025</v>
      </c>
      <c r="G19" s="29">
        <f t="shared" si="0"/>
        <v>1.6E-2</v>
      </c>
      <c r="H19" s="34">
        <f t="shared" si="1"/>
        <v>11.58494</v>
      </c>
      <c r="I19" s="23">
        <f>'B1.2 Billing Determinants'!G22</f>
        <v>1501960</v>
      </c>
      <c r="J19" s="23">
        <f t="shared" ref="J19:J22" si="2">H19*I19/100</f>
        <v>174001.16482400001</v>
      </c>
      <c r="K19" s="41" t="s">
        <v>74</v>
      </c>
      <c r="L19" s="31">
        <f t="shared" ref="L19:L20" si="3">M19/I19*100</f>
        <v>11.591965107471317</v>
      </c>
      <c r="M19" s="23">
        <f t="shared" ref="M19:M21" si="4">(J$23-M$17-M$22)*J19/(J$23-J$17-J$22)</f>
        <v>174106.67912817621</v>
      </c>
    </row>
    <row r="20" spans="3:13" s="117" customFormat="1" x14ac:dyDescent="0.25">
      <c r="C20" s="117" t="s">
        <v>48</v>
      </c>
      <c r="E20" s="34">
        <f>'B1.1 Current Distribution Rates'!F23</f>
        <v>23.298999999999999</v>
      </c>
      <c r="F20" s="34">
        <v>23.708100000000002</v>
      </c>
      <c r="G20" s="29">
        <f t="shared" si="0"/>
        <v>1.6E-2</v>
      </c>
      <c r="H20" s="34">
        <f t="shared" si="1"/>
        <v>24.087429600000004</v>
      </c>
      <c r="I20" s="23">
        <f>'B1.2 Billing Determinants'!F23</f>
        <v>34352.6</v>
      </c>
      <c r="J20" s="23">
        <f t="shared" si="2"/>
        <v>8274.6583407696016</v>
      </c>
      <c r="K20" s="41" t="s">
        <v>74</v>
      </c>
      <c r="L20" s="31">
        <f t="shared" si="3"/>
        <v>24.102036217008624</v>
      </c>
      <c r="M20" s="23">
        <f t="shared" si="4"/>
        <v>8279.6760934841041</v>
      </c>
    </row>
    <row r="21" spans="3:13" s="117" customFormat="1" x14ac:dyDescent="0.25">
      <c r="C21" s="10" t="s">
        <v>50</v>
      </c>
      <c r="E21" s="34">
        <f>'B1.1 Current Distribution Rates'!G23</f>
        <v>18.004000000000001</v>
      </c>
      <c r="F21" s="34">
        <v>18.3202</v>
      </c>
      <c r="G21" s="29">
        <f t="shared" si="0"/>
        <v>1.6E-2</v>
      </c>
      <c r="H21" s="34">
        <f t="shared" si="1"/>
        <v>18.6133232</v>
      </c>
      <c r="I21" s="23">
        <f>'B1.2 Billing Determinants'!G23</f>
        <v>157454.29999999999</v>
      </c>
      <c r="J21" s="23">
        <f t="shared" si="2"/>
        <v>29307.477751297596</v>
      </c>
      <c r="K21" s="41" t="s">
        <v>74</v>
      </c>
      <c r="L21" s="31">
        <f>M21/I21*100</f>
        <v>18.624610318956027</v>
      </c>
      <c r="M21" s="23">
        <f t="shared" si="4"/>
        <v>29325.249805439973</v>
      </c>
    </row>
    <row r="22" spans="3:13" s="117" customFormat="1" x14ac:dyDescent="0.25">
      <c r="C22" s="117" t="s">
        <v>8</v>
      </c>
      <c r="E22" s="34">
        <f>'B1.1 Current Distribution Rates'!L22</f>
        <v>4.3499999999999997E-2</v>
      </c>
      <c r="F22" s="34">
        <f>E22</f>
        <v>4.3499999999999997E-2</v>
      </c>
      <c r="G22" s="29">
        <v>0</v>
      </c>
      <c r="H22" s="34">
        <f t="shared" si="1"/>
        <v>4.3499999999999997E-2</v>
      </c>
      <c r="I22" s="23">
        <f>SUM('B1.2 Billing Determinants'!L22:L23)</f>
        <v>1762849.8</v>
      </c>
      <c r="J22" s="23">
        <f t="shared" si="2"/>
        <v>766.83966299999997</v>
      </c>
      <c r="K22" s="41" t="s">
        <v>73</v>
      </c>
      <c r="L22" s="31">
        <f>E22</f>
        <v>4.3499999999999997E-2</v>
      </c>
      <c r="M22" s="23">
        <f t="shared" ref="M22" si="5">I22*L22/100</f>
        <v>766.83966299999997</v>
      </c>
    </row>
    <row r="23" spans="3:13" s="117" customFormat="1" x14ac:dyDescent="0.25">
      <c r="F23" s="125"/>
      <c r="J23" s="25">
        <f>SUM(J17:J22)</f>
        <v>237513.42208882715</v>
      </c>
      <c r="M23" s="25">
        <f>SUM(M17:M22)</f>
        <v>237513.42208882715</v>
      </c>
    </row>
    <row r="24" spans="3:13" s="117" customFormat="1" ht="15" customHeight="1" x14ac:dyDescent="0.25">
      <c r="F24" s="125"/>
    </row>
    <row r="25" spans="3:13" s="117" customFormat="1" ht="15" customHeight="1" x14ac:dyDescent="0.25">
      <c r="F25" s="125"/>
      <c r="M25" s="9">
        <f>(I17*L17)*12+SUMPRODUCT(I18:I22,L18:L22)/100-M23</f>
        <v>0</v>
      </c>
    </row>
    <row r="26" spans="3:13" s="117" customFormat="1" ht="15" customHeight="1" x14ac:dyDescent="0.25">
      <c r="F26" s="125"/>
    </row>
    <row r="27" spans="3:13" s="117" customFormat="1" ht="15" customHeight="1" x14ac:dyDescent="0.25">
      <c r="F27" s="125"/>
    </row>
    <row r="28" spans="3:13" s="117" customFormat="1" ht="15" customHeight="1" x14ac:dyDescent="0.25">
      <c r="C28" s="117" t="str">
        <f ca="1">MID(CELL("filename",A1),FIND("]",CELL("filename",A1))+1,255)</f>
        <v>D1.4 Rate 4 Adjustment</v>
      </c>
      <c r="F28" s="125"/>
    </row>
    <row r="29" spans="3:13" s="117" customFormat="1" ht="15" customHeight="1" x14ac:dyDescent="0.25">
      <c r="F29" s="125"/>
    </row>
    <row r="30" spans="3:13" s="117" customFormat="1" ht="15" customHeight="1" x14ac:dyDescent="0.25">
      <c r="F30" s="125"/>
    </row>
    <row r="31" spans="3:13" s="117" customFormat="1" ht="15" customHeight="1" x14ac:dyDescent="0.25">
      <c r="F31" s="125"/>
    </row>
    <row r="32" spans="3:13" s="117" customFormat="1" ht="15" customHeight="1" x14ac:dyDescent="0.25">
      <c r="F32" s="125"/>
    </row>
    <row r="33" spans="6:6" s="117" customFormat="1" ht="15" customHeight="1" x14ac:dyDescent="0.25">
      <c r="F33" s="125"/>
    </row>
    <row r="34" spans="6:6" s="117" customFormat="1" ht="15" customHeight="1" x14ac:dyDescent="0.25">
      <c r="F34" s="125"/>
    </row>
    <row r="35" spans="6:6" s="117" customFormat="1" ht="15" customHeight="1" x14ac:dyDescent="0.25">
      <c r="F35" s="125"/>
    </row>
    <row r="36" spans="6:6" s="117" customFormat="1" ht="15" customHeight="1" x14ac:dyDescent="0.25">
      <c r="F36" s="125"/>
    </row>
    <row r="37" spans="6:6" s="117" customFormat="1" ht="15" customHeight="1" x14ac:dyDescent="0.25">
      <c r="F37" s="125"/>
    </row>
    <row r="38" spans="6:6" s="117" customFormat="1" ht="15" customHeight="1" x14ac:dyDescent="0.25">
      <c r="F38" s="125"/>
    </row>
    <row r="39" spans="6:6" s="117" customFormat="1" ht="15" customHeight="1" x14ac:dyDescent="0.25">
      <c r="F39" s="125"/>
    </row>
    <row r="40" spans="6:6" s="117" customFormat="1" ht="15" customHeight="1" x14ac:dyDescent="0.25">
      <c r="F40" s="125"/>
    </row>
    <row r="41" spans="6:6" s="117" customFormat="1" ht="15" customHeight="1" x14ac:dyDescent="0.25">
      <c r="F41" s="125"/>
    </row>
    <row r="42" spans="6:6" s="117" customFormat="1" ht="15" customHeight="1" x14ac:dyDescent="0.25">
      <c r="F42" s="125"/>
    </row>
    <row r="43" spans="6:6" s="117" customFormat="1" ht="15" customHeight="1" x14ac:dyDescent="0.25">
      <c r="F43" s="125"/>
    </row>
    <row r="44" spans="6:6" s="117" customFormat="1" ht="15" customHeight="1" x14ac:dyDescent="0.25">
      <c r="F44" s="125"/>
    </row>
    <row r="45" spans="6:6" s="117" customFormat="1" ht="15" customHeight="1" x14ac:dyDescent="0.25">
      <c r="F45" s="125"/>
    </row>
    <row r="46" spans="6:6" s="117" customFormat="1" ht="15" customHeight="1" x14ac:dyDescent="0.25">
      <c r="F46" s="125"/>
    </row>
    <row r="47" spans="6:6" s="117" customFormat="1" ht="15" customHeight="1" x14ac:dyDescent="0.25">
      <c r="F47" s="125"/>
    </row>
  </sheetData>
  <sheetProtection algorithmName="SHA-512" hashValue="PofTJEYvost6HvA1oVcAg1mqn7vEd/e9WzOvqc6o27o6l86VAnz7Mhh7LgqUoO0n4bWqb+nYIeg40UHGWwuDFA==" saltValue="FRlujSrY+U3Mu+grNaeVaA==" spinCount="100000" sheet="1" objects="1" scenarios="1"/>
  <dataValidations count="1">
    <dataValidation type="list" allowBlank="1" showInputMessage="1" showErrorMessage="1" sqref="K17:K22">
      <formula1>"Change,No Change,Re-Balance"</formula1>
    </dataValidation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13</vt:i4>
      </vt:variant>
    </vt:vector>
  </HeadingPairs>
  <TitlesOfParts>
    <vt:vector size="39" baseType="lpstr">
      <vt:lpstr>For Bill Impact(HideBeforeFile)</vt:lpstr>
      <vt:lpstr>A1.1 Distributor Information</vt:lpstr>
      <vt:lpstr>B1.1 Current Distribution Rates</vt:lpstr>
      <vt:lpstr>B1.2 Billing Determinants</vt:lpstr>
      <vt:lpstr>B1.3 Current Rev From Rates</vt:lpstr>
      <vt:lpstr>D1.1 Rate 1 Adjustment</vt:lpstr>
      <vt:lpstr>D1.2 Rate 2 Adjustment</vt:lpstr>
      <vt:lpstr>D1.3 Rate 3 Adjustment</vt:lpstr>
      <vt:lpstr>D1.4 Rate 4 Adjustment</vt:lpstr>
      <vt:lpstr>D1.5 Rate 5 Adjustment</vt:lpstr>
      <vt:lpstr>D1.6 Rate 6 Adjustment</vt:lpstr>
      <vt:lpstr>E1.1 Proposed Dist Rates </vt:lpstr>
      <vt:lpstr>E1.2 Billing Determinants</vt:lpstr>
      <vt:lpstr>E1.3 Proposed Rev From Rate</vt:lpstr>
      <vt:lpstr>F1.1 REDA</vt:lpstr>
      <vt:lpstr>F1.2 PGTVA</vt:lpstr>
      <vt:lpstr>F1.3 ADVADA</vt:lpstr>
      <vt:lpstr>F1.4 Proposed Rate Riders</vt:lpstr>
      <vt:lpstr>C1.1 Current Rate Riders</vt:lpstr>
      <vt:lpstr>G1.1 Rate 1 Bill Impact</vt:lpstr>
      <vt:lpstr>G1.2 Rate 2 Bill Impact</vt:lpstr>
      <vt:lpstr>G1.3 Rate 3 Bill Impact</vt:lpstr>
      <vt:lpstr>G1.4 Rate 4 Bill Impact</vt:lpstr>
      <vt:lpstr>G1.5 Rate 5 Bill Impact</vt:lpstr>
      <vt:lpstr>G1.6 Rate 6 Bill Impact</vt:lpstr>
      <vt:lpstr>G1.7 Summary of Bill Impacts</vt:lpstr>
      <vt:lpstr>'G1.1 Rate 1 Bill Impact'!Print_Area</vt:lpstr>
      <vt:lpstr>'G1.2 Rate 2 Bill Impact'!Print_Area</vt:lpstr>
      <vt:lpstr>'G1.3 Rate 3 Bill Impact'!Print_Area</vt:lpstr>
      <vt:lpstr>'G1.4 Rate 4 Bill Impact'!Print_Area</vt:lpstr>
      <vt:lpstr>'G1.5 Rate 5 Bill Impact'!Print_Area</vt:lpstr>
      <vt:lpstr>'G1.6 Rate 6 Bill Impact'!Print_Area</vt:lpstr>
      <vt:lpstr>'G1.7 Summary of Bill Impacts'!Print_Area</vt:lpstr>
      <vt:lpstr>'G1.1 Rate 1 Bill Impact'!Print_Titles</vt:lpstr>
      <vt:lpstr>'G1.2 Rate 2 Bill Impact'!Print_Titles</vt:lpstr>
      <vt:lpstr>'G1.3 Rate 3 Bill Impact'!Print_Titles</vt:lpstr>
      <vt:lpstr>'G1.4 Rate 4 Bill Impact'!Print_Titles</vt:lpstr>
      <vt:lpstr>'G1.5 Rate 5 Bill Impact'!Print_Titles</vt:lpstr>
      <vt:lpstr>'G1.6 Rate 6 Bill Impact'!Print_Titles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Hesselink, Tim</cp:lastModifiedBy>
  <cp:lastPrinted>2020-09-29T22:36:28Z</cp:lastPrinted>
  <dcterms:created xsi:type="dcterms:W3CDTF">2011-04-04T21:13:53Z</dcterms:created>
  <dcterms:modified xsi:type="dcterms:W3CDTF">2020-10-08T19:19:30Z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</Properties>
</file>