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PUC Core Utility Files\0100 Admin General\0106.0 Inititiatives\PUCD UDM Microgrid\OEB ICM\Revised Application\"/>
    </mc:Choice>
  </mc:AlternateContent>
  <xr:revisionPtr revIDLastSave="0" documentId="8_{14386E9D-0BA3-427A-85B5-1A786CF74664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VVM Energy Savings Estimates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3" l="1"/>
  <c r="I40" i="3"/>
  <c r="H40" i="3"/>
  <c r="G40" i="3"/>
  <c r="F40" i="3"/>
  <c r="L37" i="3"/>
  <c r="L40" i="3" s="1"/>
  <c r="K37" i="3"/>
  <c r="K40" i="3" s="1"/>
  <c r="J37" i="3"/>
  <c r="J40" i="3" s="1"/>
  <c r="E37" i="3"/>
  <c r="D37" i="3"/>
  <c r="D40" i="3" s="1"/>
  <c r="C37" i="3"/>
  <c r="C40" i="3" s="1"/>
  <c r="B29" i="3"/>
  <c r="E25" i="3"/>
  <c r="B25" i="3"/>
  <c r="H24" i="3"/>
  <c r="K24" i="3" s="1"/>
  <c r="H23" i="3"/>
  <c r="K23" i="3" s="1"/>
  <c r="J48" i="3" s="1"/>
  <c r="H22" i="3"/>
  <c r="K22" i="3" s="1"/>
  <c r="H21" i="3"/>
  <c r="K21" i="3" s="1"/>
  <c r="H20" i="3"/>
  <c r="K20" i="3" s="1"/>
  <c r="H19" i="3"/>
  <c r="K19" i="3" s="1"/>
  <c r="E11" i="3"/>
  <c r="F7" i="3" s="1"/>
  <c r="B11" i="3"/>
  <c r="C5" i="3" s="1"/>
  <c r="H10" i="3"/>
  <c r="H9" i="3"/>
  <c r="H8" i="3"/>
  <c r="H7" i="3"/>
  <c r="H6" i="3"/>
  <c r="H5" i="3"/>
  <c r="K48" i="3" l="1"/>
  <c r="H46" i="3"/>
  <c r="D48" i="3"/>
  <c r="L48" i="3"/>
  <c r="C48" i="3"/>
  <c r="F6" i="3"/>
  <c r="E48" i="3"/>
  <c r="I46" i="3"/>
  <c r="C46" i="3"/>
  <c r="K46" i="3"/>
  <c r="D46" i="3"/>
  <c r="L46" i="3"/>
  <c r="J46" i="3"/>
  <c r="F46" i="3"/>
  <c r="G46" i="3"/>
  <c r="B37" i="3"/>
  <c r="J25" i="3"/>
  <c r="C19" i="3"/>
  <c r="F22" i="3"/>
  <c r="F19" i="3"/>
  <c r="F5" i="3"/>
  <c r="C10" i="3"/>
  <c r="C20" i="3"/>
  <c r="C22" i="3"/>
  <c r="F10" i="3"/>
  <c r="F20" i="3"/>
  <c r="C6" i="3"/>
  <c r="K25" i="3"/>
  <c r="C24" i="3"/>
  <c r="C21" i="3"/>
  <c r="F24" i="3"/>
  <c r="F8" i="3"/>
  <c r="F21" i="3"/>
  <c r="H11" i="3"/>
  <c r="I9" i="3" s="1"/>
  <c r="H25" i="3"/>
  <c r="J43" i="3" s="1"/>
  <c r="C23" i="3"/>
  <c r="C8" i="3"/>
  <c r="F23" i="3"/>
  <c r="C9" i="3"/>
  <c r="C7" i="3"/>
  <c r="F9" i="3"/>
  <c r="B38" i="3" l="1"/>
  <c r="B48" i="3"/>
  <c r="B49" i="3" s="1"/>
  <c r="E39" i="3"/>
  <c r="E40" i="3" s="1"/>
  <c r="E31" i="3"/>
  <c r="E32" i="3" s="1"/>
  <c r="B32" i="3" s="1"/>
  <c r="I7" i="3"/>
  <c r="C11" i="3"/>
  <c r="I10" i="3"/>
  <c r="I19" i="3"/>
  <c r="I20" i="3"/>
  <c r="I6" i="3"/>
  <c r="F25" i="3"/>
  <c r="I5" i="3"/>
  <c r="F11" i="3"/>
  <c r="C25" i="3"/>
  <c r="I22" i="3"/>
  <c r="I23" i="3"/>
  <c r="I8" i="3"/>
  <c r="I21" i="3"/>
  <c r="I24" i="3"/>
  <c r="B40" i="3" l="1"/>
  <c r="I44" i="3" s="1"/>
  <c r="J44" i="3" s="1"/>
  <c r="E46" i="3"/>
  <c r="B46" i="3" s="1"/>
  <c r="I25" i="3"/>
  <c r="I11" i="3"/>
  <c r="B47" i="3" l="1"/>
</calcChain>
</file>

<file path=xl/sharedStrings.xml><?xml version="1.0" encoding="utf-8"?>
<sst xmlns="http://schemas.openxmlformats.org/spreadsheetml/2006/main" count="89" uniqueCount="58">
  <si>
    <t>Class %</t>
  </si>
  <si>
    <t>Res</t>
  </si>
  <si>
    <t>Street lights</t>
  </si>
  <si>
    <t>USL</t>
  </si>
  <si>
    <t>Total Base Revenue Requirement</t>
  </si>
  <si>
    <t xml:space="preserve">Class % </t>
  </si>
  <si>
    <t>Voltage Savings</t>
  </si>
  <si>
    <t>Energy Savings</t>
  </si>
  <si>
    <t>volts</t>
  </si>
  <si>
    <t>%</t>
  </si>
  <si>
    <t>CVR factor</t>
  </si>
  <si>
    <t>Total</t>
  </si>
  <si>
    <t>Residential</t>
  </si>
  <si>
    <t>GS &lt;50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</si>
  <si>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</si>
  <si>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</si>
  <si>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</si>
  <si>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</si>
  <si>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</si>
  <si>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</si>
  <si>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</si>
  <si>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Cost of Power  (COP*)</t>
  </si>
  <si>
    <t>(*) gross w/loss factor</t>
  </si>
  <si>
    <t>ENTER VALUES</t>
  </si>
  <si>
    <t>2018 Test Year Weather Normal       (kWh w/LF)</t>
  </si>
  <si>
    <t>2018 Test Year Weather Normal    kWh   (Load Forecast)</t>
  </si>
  <si>
    <t xml:space="preserve">Loss Factor </t>
  </si>
  <si>
    <t>Number of Customers</t>
  </si>
  <si>
    <t>kW</t>
  </si>
  <si>
    <t>LV Feeder Energy Consumption Base for VVM</t>
  </si>
  <si>
    <t>2018 CoS Rate Application Data</t>
  </si>
  <si>
    <t>GS&lt;50kW</t>
  </si>
  <si>
    <t>GS&gt;50kW</t>
  </si>
  <si>
    <t>Sentinel lights</t>
  </si>
  <si>
    <t>Reduce GS&gt;50kW 34.5kV (no VVM)</t>
  </si>
  <si>
    <t>2018 CoS Rate Application Data - adjusting 34.5kV load</t>
  </si>
  <si>
    <t>2020 CoS Cost of Power (uses 2019 IESO rates)</t>
  </si>
  <si>
    <t>REDUCE GS&gt;50kW by 16.3%</t>
  </si>
  <si>
    <t xml:space="preserve">Revised COP </t>
  </si>
  <si>
    <t>Estimate for VVM customers</t>
  </si>
  <si>
    <t>Total $'s saved with VVM</t>
  </si>
  <si>
    <t>Total kWh saved with VVM</t>
  </si>
  <si>
    <t>System Energy Loss Savings Estimate kWh</t>
  </si>
  <si>
    <t>Using avg $/kWh from COP</t>
  </si>
  <si>
    <t>Total kWh saved with losses incl.</t>
  </si>
  <si>
    <t>Total VVM w/Syst losses included</t>
  </si>
  <si>
    <t>Energy Savings Estimated from VVM System</t>
  </si>
  <si>
    <t>Avg rate</t>
  </si>
  <si>
    <t>1. Table below is from 2018 CoS application with normalized load forecast.</t>
  </si>
  <si>
    <t>2. VVM Energy Savings estimate is only applicable to customers on the 12.5 kV distribution network with intended design &amp; application.</t>
  </si>
  <si>
    <t>3. A reduction of the energy consumption above in the GS&gt;50kW customers connected to the 34.5kV subtransmission network is thus needed .</t>
  </si>
  <si>
    <t>4. The 7 customers for above annual energy consumption was totaled across two years and an average of 41,744,343.60 kWh used.</t>
  </si>
  <si>
    <t>5. Note: as actual consumption in period was above Normalized this creates a more conservative estimate on total energy saved by VVM.</t>
  </si>
  <si>
    <t>6. The Table below shows where the reduction applied results in 617,414,773 kWh energy for VVM targeted customers on the LV customers.</t>
  </si>
  <si>
    <t>7. The Cost of Power forecast from the 2018 CoS rate Applcation was used in original application for estimating energy $ savings.</t>
  </si>
  <si>
    <t>8. Table below uses the current Cost of Power forecast with updated IESO rates as provided below and the 16.3% reduction in energy from the GS&gt;50kW class kWh used to get balance for VVM customers.</t>
  </si>
  <si>
    <t xml:space="preserve">9. Next table describes the VVM energy and $ savings estimated to be achieved by the VVM system. </t>
  </si>
  <si>
    <t>2018 CoS Cost of Power (CoS Application)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</si>
</sst>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_(&quot;$&quot;* #,##0.0000_);_(&quot;$&quot;* \(#,##0.0000\);_(&quot;$&quot;* &quot;-&quot;??_);_(@_)"/>
    <numFmt numFmtId="171" formatCode="_(&quot;$&quot;* #,##0_);_(&quot;$&quot;* \(#,##0\);_(&quot;$&quot;* &quot;-&quot;??_);_(@_)"/>
    <numFmt numFmtId="172" formatCode="0.0"/>
    <numFmt numFmtId="174" formatCode="&quot;$&quot;#,##0.00;[Red]&quot;$&quot;#,##0.00"/>
    <numFmt numFmtId="175" formatCode="_-* #,##0_-;\-* #,##0_-;_-* &quot;-&quot;??_-;_-@_-"/>
    <numFmt numFmtId="176" formatCode="&quot;$&quot;#,##0;[Red]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71" fontId="0" fillId="0" borderId="1" xfId="2" applyNumberFormat="1" applyFont="1" applyFill="1" applyBorder="1"/>
    <xf numFmtId="10" fontId="0" fillId="0" borderId="1" xfId="3" applyNumberFormat="1" applyFont="1" applyFill="1" applyBorder="1"/>
    <xf numFmtId="168" fontId="0" fillId="0" borderId="1" xfId="1" applyNumberFormat="1" applyFont="1" applyFill="1" applyBorder="1"/>
    <xf numFmtId="10" fontId="0" fillId="0" borderId="0" xfId="3" applyNumberFormat="1" applyFont="1"/>
    <xf numFmtId="0" fontId="0" fillId="0" borderId="0" xfId="0" applyFont="1"/>
    <xf numFmtId="0" fontId="0" fillId="0" borderId="2" xfId="0" applyFont="1" applyBorder="1"/>
    <xf numFmtId="0" fontId="3" fillId="0" borderId="0" xfId="0" applyFont="1"/>
    <xf numFmtId="0" fontId="6" fillId="3" borderId="2" xfId="4" applyNumberFormat="1" applyFont="1" applyFill="1" applyBorder="1" applyAlignment="1">
      <alignment horizontal="center" vertical="center"/>
    </xf>
    <xf numFmtId="0" fontId="6" fillId="3" borderId="2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/>
    <xf numFmtId="164" fontId="8" fillId="3" borderId="2" xfId="4" applyNumberFormat="1" applyFont="1" applyFill="1" applyBorder="1"/>
    <xf numFmtId="164" fontId="7" fillId="3" borderId="2" xfId="4" applyNumberFormat="1" applyFont="1" applyFill="1" applyBorder="1"/>
    <xf numFmtId="0" fontId="1" fillId="0" borderId="1" xfId="0" applyFont="1" applyFill="1" applyBorder="1"/>
    <xf numFmtId="168" fontId="1" fillId="0" borderId="1" xfId="1" applyNumberFormat="1" applyFont="1" applyFill="1" applyBorder="1"/>
    <xf numFmtId="0" fontId="4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/>
    <xf numFmtId="168" fontId="2" fillId="0" borderId="4" xfId="0" applyNumberFormat="1" applyFont="1" applyFill="1" applyBorder="1"/>
    <xf numFmtId="0" fontId="0" fillId="0" borderId="3" xfId="0" applyFont="1" applyFill="1" applyBorder="1" applyAlignment="1">
      <alignment horizontal="center" wrapText="1"/>
    </xf>
    <xf numFmtId="10" fontId="0" fillId="0" borderId="3" xfId="3" applyNumberFormat="1" applyFont="1" applyFill="1" applyBorder="1"/>
    <xf numFmtId="0" fontId="3" fillId="0" borderId="5" xfId="0" applyFont="1" applyFill="1" applyBorder="1"/>
    <xf numFmtId="0" fontId="0" fillId="0" borderId="6" xfId="0" applyFont="1" applyFill="1" applyBorder="1"/>
    <xf numFmtId="0" fontId="0" fillId="0" borderId="6" xfId="0" applyFont="1" applyBorder="1"/>
    <xf numFmtId="0" fontId="0" fillId="0" borderId="9" xfId="0" applyFont="1" applyBorder="1"/>
    <xf numFmtId="0" fontId="0" fillId="0" borderId="10" xfId="0" applyFont="1" applyFill="1" applyBorder="1"/>
    <xf numFmtId="0" fontId="0" fillId="0" borderId="11" xfId="0" applyFont="1" applyFill="1" applyBorder="1" applyAlignment="1">
      <alignment horizontal="center" wrapText="1"/>
    </xf>
    <xf numFmtId="10" fontId="0" fillId="0" borderId="11" xfId="3" applyNumberFormat="1" applyFont="1" applyFill="1" applyBorder="1"/>
    <xf numFmtId="0" fontId="0" fillId="0" borderId="12" xfId="0" applyFont="1" applyFill="1" applyBorder="1"/>
    <xf numFmtId="171" fontId="0" fillId="0" borderId="13" xfId="2" applyNumberFormat="1" applyFont="1" applyFill="1" applyBorder="1"/>
    <xf numFmtId="10" fontId="0" fillId="0" borderId="13" xfId="3" applyNumberFormat="1" applyFont="1" applyFill="1" applyBorder="1"/>
    <xf numFmtId="0" fontId="0" fillId="0" borderId="13" xfId="0" applyFont="1" applyFill="1" applyBorder="1"/>
    <xf numFmtId="168" fontId="0" fillId="0" borderId="13" xfId="1" applyNumberFormat="1" applyFont="1" applyFill="1" applyBorder="1"/>
    <xf numFmtId="9" fontId="0" fillId="0" borderId="13" xfId="3" applyFont="1" applyFill="1" applyBorder="1"/>
    <xf numFmtId="9" fontId="0" fillId="0" borderId="14" xfId="3" applyFont="1" applyFill="1" applyBorder="1"/>
    <xf numFmtId="0" fontId="0" fillId="0" borderId="6" xfId="0" applyBorder="1"/>
    <xf numFmtId="0" fontId="0" fillId="0" borderId="9" xfId="0" applyBorder="1"/>
    <xf numFmtId="168" fontId="4" fillId="2" borderId="11" xfId="1" applyNumberFormat="1" applyFont="1" applyFill="1" applyBorder="1"/>
    <xf numFmtId="9" fontId="0" fillId="0" borderId="15" xfId="3" applyFont="1" applyFill="1" applyBorder="1"/>
    <xf numFmtId="168" fontId="4" fillId="0" borderId="11" xfId="1" applyNumberFormat="1" applyFont="1" applyFill="1" applyBorder="1"/>
    <xf numFmtId="168" fontId="0" fillId="2" borderId="14" xfId="1" applyNumberFormat="1" applyFont="1" applyFill="1" applyBorder="1"/>
    <xf numFmtId="170" fontId="0" fillId="0" borderId="0" xfId="2" applyNumberFormat="1" applyFont="1" applyFill="1"/>
    <xf numFmtId="164" fontId="0" fillId="0" borderId="0" xfId="0" applyNumberFormat="1"/>
    <xf numFmtId="174" fontId="0" fillId="0" borderId="0" xfId="0" applyNumberFormat="1"/>
    <xf numFmtId="174" fontId="3" fillId="0" borderId="0" xfId="0" applyNumberFormat="1" applyFont="1"/>
    <xf numFmtId="169" fontId="2" fillId="0" borderId="16" xfId="3" applyNumberFormat="1" applyFont="1" applyFill="1" applyBorder="1"/>
    <xf numFmtId="171" fontId="12" fillId="0" borderId="0" xfId="2" applyNumberFormat="1" applyFont="1"/>
    <xf numFmtId="164" fontId="8" fillId="3" borderId="17" xfId="4" applyNumberFormat="1" applyFont="1" applyFill="1" applyBorder="1"/>
    <xf numFmtId="0" fontId="11" fillId="0" borderId="18" xfId="0" applyFont="1" applyBorder="1"/>
    <xf numFmtId="0" fontId="11" fillId="0" borderId="19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1" fillId="0" borderId="0" xfId="0" applyFont="1" applyFill="1" applyBorder="1"/>
    <xf numFmtId="176" fontId="7" fillId="3" borderId="2" xfId="4" applyNumberFormat="1" applyFont="1" applyFill="1" applyBorder="1"/>
    <xf numFmtId="176" fontId="7" fillId="3" borderId="25" xfId="4" applyNumberFormat="1" applyFont="1" applyFill="1" applyBorder="1"/>
    <xf numFmtId="0" fontId="13" fillId="5" borderId="20" xfId="0" applyFont="1" applyFill="1" applyBorder="1"/>
    <xf numFmtId="0" fontId="10" fillId="0" borderId="18" xfId="0" applyFont="1" applyFill="1" applyBorder="1" applyAlignment="1">
      <alignment horizontal="right"/>
    </xf>
    <xf numFmtId="0" fontId="11" fillId="5" borderId="18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11" fillId="0" borderId="6" xfId="0" applyFont="1" applyBorder="1"/>
    <xf numFmtId="10" fontId="11" fillId="0" borderId="6" xfId="0" applyNumberFormat="1" applyFont="1" applyBorder="1"/>
    <xf numFmtId="175" fontId="11" fillId="0" borderId="9" xfId="0" applyNumberFormat="1" applyFont="1" applyBorder="1"/>
    <xf numFmtId="0" fontId="11" fillId="0" borderId="22" xfId="0" applyFont="1" applyBorder="1"/>
    <xf numFmtId="0" fontId="11" fillId="0" borderId="23" xfId="0" applyFont="1" applyBorder="1"/>
    <xf numFmtId="0" fontId="10" fillId="0" borderId="29" xfId="0" applyFont="1" applyFill="1" applyBorder="1" applyAlignment="1">
      <alignment horizontal="right"/>
    </xf>
    <xf numFmtId="172" fontId="11" fillId="5" borderId="29" xfId="0" applyNumberFormat="1" applyFont="1" applyFill="1" applyBorder="1"/>
    <xf numFmtId="0" fontId="11" fillId="0" borderId="29" xfId="0" applyFont="1" applyBorder="1"/>
    <xf numFmtId="0" fontId="11" fillId="0" borderId="0" xfId="0" applyFont="1" applyBorder="1"/>
    <xf numFmtId="0" fontId="11" fillId="0" borderId="12" xfId="0" applyFont="1" applyBorder="1"/>
    <xf numFmtId="0" fontId="11" fillId="0" borderId="16" xfId="0" applyFont="1" applyBorder="1"/>
    <xf numFmtId="170" fontId="11" fillId="0" borderId="16" xfId="2" applyNumberFormat="1" applyFont="1" applyBorder="1"/>
    <xf numFmtId="171" fontId="11" fillId="0" borderId="31" xfId="2" applyNumberFormat="1" applyFont="1" applyBorder="1"/>
    <xf numFmtId="0" fontId="11" fillId="0" borderId="24" xfId="0" applyFont="1" applyBorder="1"/>
    <xf numFmtId="0" fontId="10" fillId="0" borderId="30" xfId="0" applyFont="1" applyFill="1" applyBorder="1" applyAlignment="1">
      <alignment horizontal="right"/>
    </xf>
    <xf numFmtId="0" fontId="11" fillId="0" borderId="2" xfId="0" applyFont="1" applyBorder="1"/>
    <xf numFmtId="0" fontId="11" fillId="0" borderId="30" xfId="0" applyFont="1" applyFill="1" applyBorder="1"/>
    <xf numFmtId="176" fontId="7" fillId="3" borderId="17" xfId="4" applyNumberFormat="1" applyFont="1" applyFill="1" applyBorder="1"/>
    <xf numFmtId="0" fontId="15" fillId="4" borderId="2" xfId="0" applyFont="1" applyFill="1" applyBorder="1"/>
    <xf numFmtId="164" fontId="15" fillId="4" borderId="2" xfId="4" applyNumberFormat="1" applyFont="1" applyFill="1" applyBorder="1"/>
    <xf numFmtId="168" fontId="8" fillId="3" borderId="2" xfId="1" applyNumberFormat="1" applyFont="1" applyFill="1" applyBorder="1"/>
    <xf numFmtId="168" fontId="15" fillId="4" borderId="2" xfId="0" applyNumberFormat="1" applyFont="1" applyFill="1" applyBorder="1" applyAlignment="1">
      <alignment horizontal="right"/>
    </xf>
    <xf numFmtId="170" fontId="14" fillId="0" borderId="0" xfId="2" applyNumberFormat="1" applyFont="1" applyFill="1"/>
    <xf numFmtId="10" fontId="14" fillId="0" borderId="0" xfId="3" applyNumberFormat="1" applyFont="1"/>
    <xf numFmtId="0" fontId="11" fillId="0" borderId="32" xfId="0" applyFont="1" applyBorder="1"/>
    <xf numFmtId="0" fontId="11" fillId="0" borderId="33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75" fontId="7" fillId="3" borderId="26" xfId="1" applyNumberFormat="1" applyFont="1" applyFill="1" applyBorder="1"/>
    <xf numFmtId="175" fontId="7" fillId="3" borderId="27" xfId="1" applyNumberFormat="1" applyFont="1" applyFill="1" applyBorder="1"/>
    <xf numFmtId="175" fontId="7" fillId="3" borderId="28" xfId="1" applyNumberFormat="1" applyFont="1" applyFill="1" applyBorder="1"/>
  </cellXfs>
  <cellStyles count="7">
    <cellStyle name="Comma" xfId="1" builtinId="3"/>
    <cellStyle name="Comma 2" xfId="6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263E-A8AE-42B8-B2E0-A62F80470798}">
  <sheetPr>
    <pageSetUpPr fitToPage="1"/>
  </sheetPr>
  <dimension ref="A1:P49"/>
  <sheetViews>
    <sheetView tabSelected="1" workbookViewId="0">
      <selection activeCell="B5" sqref="B5"/>
    </sheetView>
  </sheetViews>
  <sheetFormatPr defaultRowHeight="15" x14ac:dyDescent="0.25"/>
  <cols>
    <col min="1" max="1" width="28.42578125" customWidth="1"/>
    <col min="2" max="2" width="19.5703125" customWidth="1"/>
    <col min="3" max="3" width="14.140625" customWidth="1"/>
    <col min="4" max="4" width="12.28515625" bestFit="1" customWidth="1"/>
    <col min="5" max="5" width="16.140625" customWidth="1"/>
    <col min="6" max="6" width="12.5703125" customWidth="1"/>
    <col min="7" max="7" width="11.28515625" customWidth="1"/>
    <col min="8" max="8" width="15.42578125" customWidth="1"/>
    <col min="10" max="10" width="15.5703125" customWidth="1"/>
    <col min="11" max="11" width="17.85546875" customWidth="1"/>
    <col min="12" max="12" width="10" customWidth="1"/>
    <col min="13" max="13" width="11.85546875" bestFit="1" customWidth="1"/>
    <col min="16" max="16" width="12.7109375" bestFit="1" customWidth="1"/>
  </cols>
  <sheetData>
    <row r="1" spans="1:9" x14ac:dyDescent="0.25">
      <c r="A1" s="10" t="s">
        <v>46</v>
      </c>
    </row>
    <row r="2" spans="1:9" ht="15.75" thickBot="1" x14ac:dyDescent="0.3">
      <c r="A2" t="s">
        <v>48</v>
      </c>
    </row>
    <row r="3" spans="1:9" x14ac:dyDescent="0.25">
      <c r="A3" s="24" t="s">
        <v>30</v>
      </c>
      <c r="B3" s="25"/>
      <c r="C3" s="25"/>
      <c r="D3" s="25"/>
      <c r="E3" s="26"/>
      <c r="F3" s="26"/>
      <c r="G3" s="89" t="s">
        <v>26</v>
      </c>
      <c r="H3" s="90">
        <v>1.0481</v>
      </c>
      <c r="I3" s="27"/>
    </row>
    <row r="4" spans="1:9" ht="60" x14ac:dyDescent="0.25">
      <c r="A4" s="28"/>
      <c r="B4" s="2" t="s">
        <v>4</v>
      </c>
      <c r="C4" s="3" t="s">
        <v>0</v>
      </c>
      <c r="D4" s="2" t="s">
        <v>27</v>
      </c>
      <c r="E4" s="18" t="s">
        <v>25</v>
      </c>
      <c r="F4" s="2" t="s">
        <v>5</v>
      </c>
      <c r="G4" s="2" t="s">
        <v>28</v>
      </c>
      <c r="H4" s="18" t="s">
        <v>24</v>
      </c>
      <c r="I4" s="29" t="s">
        <v>5</v>
      </c>
    </row>
    <row r="5" spans="1:9" x14ac:dyDescent="0.25">
      <c r="A5" s="28" t="s">
        <v>1</v>
      </c>
      <c r="B5" s="4">
        <v>11226807</v>
      </c>
      <c r="C5" s="5">
        <f>B5/B$11</f>
        <v>0.58502304828250551</v>
      </c>
      <c r="D5" s="17">
        <v>29816</v>
      </c>
      <c r="E5" s="6">
        <v>288323799</v>
      </c>
      <c r="F5" s="5">
        <f t="shared" ref="F5:F10" si="0">E5/E$11</f>
        <v>0.4584510269037308</v>
      </c>
      <c r="G5" s="6"/>
      <c r="H5" s="6">
        <f>E5*H$3</f>
        <v>302192173.73190004</v>
      </c>
      <c r="I5" s="30">
        <f t="shared" ref="I5:I10" si="1">H5/H$11</f>
        <v>0.45845102690373085</v>
      </c>
    </row>
    <row r="6" spans="1:9" x14ac:dyDescent="0.25">
      <c r="A6" s="28" t="s">
        <v>31</v>
      </c>
      <c r="B6" s="4">
        <v>3149458</v>
      </c>
      <c r="C6" s="5">
        <f t="shared" ref="C6:C10" si="2">B6/B$11</f>
        <v>0.16411661121436605</v>
      </c>
      <c r="D6" s="16">
        <v>3431</v>
      </c>
      <c r="E6" s="6">
        <v>92411463</v>
      </c>
      <c r="F6" s="5">
        <f t="shared" si="0"/>
        <v>0.14693941414814018</v>
      </c>
      <c r="G6" s="6"/>
      <c r="H6" s="6">
        <f t="shared" ref="H6:H10" si="3">E6*H$3</f>
        <v>96856454.37030001</v>
      </c>
      <c r="I6" s="30">
        <f t="shared" si="1"/>
        <v>0.14693941414814018</v>
      </c>
    </row>
    <row r="7" spans="1:9" x14ac:dyDescent="0.25">
      <c r="A7" s="28" t="s">
        <v>32</v>
      </c>
      <c r="B7" s="4">
        <v>4544464</v>
      </c>
      <c r="C7" s="5">
        <f t="shared" si="2"/>
        <v>0.23680964517249722</v>
      </c>
      <c r="D7" s="16">
        <v>357</v>
      </c>
      <c r="E7" s="6">
        <v>244620598</v>
      </c>
      <c r="F7" s="5">
        <f t="shared" si="0"/>
        <v>0.3889604838166853</v>
      </c>
      <c r="G7" s="6">
        <v>614743</v>
      </c>
      <c r="H7" s="6">
        <f t="shared" si="3"/>
        <v>256386848.7638</v>
      </c>
      <c r="I7" s="30">
        <f t="shared" si="1"/>
        <v>0.38896048381668524</v>
      </c>
    </row>
    <row r="8" spans="1:9" x14ac:dyDescent="0.25">
      <c r="A8" s="28" t="s">
        <v>33</v>
      </c>
      <c r="B8" s="4">
        <v>34742</v>
      </c>
      <c r="C8" s="5">
        <f t="shared" si="2"/>
        <v>1.8103874720061372E-3</v>
      </c>
      <c r="D8" s="16">
        <v>354</v>
      </c>
      <c r="E8" s="6">
        <v>209800</v>
      </c>
      <c r="F8" s="5">
        <f t="shared" si="0"/>
        <v>3.3359377816883832E-4</v>
      </c>
      <c r="G8" s="6">
        <v>593</v>
      </c>
      <c r="H8" s="6">
        <f t="shared" si="3"/>
        <v>219891.38</v>
      </c>
      <c r="I8" s="30">
        <f t="shared" si="1"/>
        <v>3.3359377816883832E-4</v>
      </c>
    </row>
    <row r="9" spans="1:9" x14ac:dyDescent="0.25">
      <c r="A9" s="28" t="s">
        <v>2</v>
      </c>
      <c r="B9" s="4">
        <v>195345</v>
      </c>
      <c r="C9" s="5">
        <f t="shared" si="2"/>
        <v>1.0179325908670741E-2</v>
      </c>
      <c r="D9" s="16">
        <v>8070</v>
      </c>
      <c r="E9" s="6">
        <v>2398221</v>
      </c>
      <c r="F9" s="5">
        <f t="shared" si="0"/>
        <v>3.8133060260907986E-3</v>
      </c>
      <c r="G9" s="6">
        <v>7030</v>
      </c>
      <c r="H9" s="6">
        <f t="shared" si="3"/>
        <v>2513575.4301</v>
      </c>
      <c r="I9" s="30">
        <f t="shared" si="1"/>
        <v>3.8133060260907986E-3</v>
      </c>
    </row>
    <row r="10" spans="1:9" x14ac:dyDescent="0.25">
      <c r="A10" s="28" t="s">
        <v>3</v>
      </c>
      <c r="B10" s="4">
        <v>39551</v>
      </c>
      <c r="C10" s="5">
        <f t="shared" si="2"/>
        <v>2.0609819499543703E-3</v>
      </c>
      <c r="D10" s="16">
        <v>22</v>
      </c>
      <c r="E10" s="6">
        <v>944731</v>
      </c>
      <c r="F10" s="5">
        <f t="shared" si="0"/>
        <v>1.5021753271841029E-3</v>
      </c>
      <c r="G10" s="6"/>
      <c r="H10" s="6">
        <f t="shared" si="3"/>
        <v>990172.56110000005</v>
      </c>
      <c r="I10" s="30">
        <f t="shared" si="1"/>
        <v>1.5021753271841029E-3</v>
      </c>
    </row>
    <row r="11" spans="1:9" ht="15.75" thickBot="1" x14ac:dyDescent="0.3">
      <c r="A11" s="31"/>
      <c r="B11" s="32">
        <f>SUM(B5:B10)</f>
        <v>19190367</v>
      </c>
      <c r="C11" s="33">
        <f>SUM(C5:C10)</f>
        <v>1</v>
      </c>
      <c r="D11" s="34"/>
      <c r="E11" s="35">
        <f>SUM(E5:E10)</f>
        <v>628908612</v>
      </c>
      <c r="F11" s="36">
        <f>SUM(F5:F10)</f>
        <v>1</v>
      </c>
      <c r="G11" s="35"/>
      <c r="H11" s="35">
        <f>SUM(H5:H10)</f>
        <v>659159116.23720002</v>
      </c>
      <c r="I11" s="37">
        <f>SUM(I5:I10)</f>
        <v>1</v>
      </c>
    </row>
    <row r="12" spans="1:9" x14ac:dyDescent="0.25">
      <c r="A12" t="s">
        <v>49</v>
      </c>
    </row>
    <row r="13" spans="1:9" x14ac:dyDescent="0.25">
      <c r="A13" t="s">
        <v>50</v>
      </c>
    </row>
    <row r="14" spans="1:9" x14ac:dyDescent="0.25">
      <c r="A14" t="s">
        <v>51</v>
      </c>
    </row>
    <row r="15" spans="1:9" x14ac:dyDescent="0.25">
      <c r="A15" t="s">
        <v>52</v>
      </c>
    </row>
    <row r="16" spans="1:9" ht="15.75" thickBot="1" x14ac:dyDescent="0.3">
      <c r="A16" t="s">
        <v>53</v>
      </c>
    </row>
    <row r="17" spans="1:16" x14ac:dyDescent="0.25">
      <c r="A17" s="24" t="s">
        <v>35</v>
      </c>
      <c r="B17" s="25"/>
      <c r="C17" s="25"/>
      <c r="D17" s="25"/>
      <c r="E17" s="26"/>
      <c r="F17" s="26"/>
      <c r="G17" s="89" t="s">
        <v>26</v>
      </c>
      <c r="H17" s="90">
        <v>1.0481</v>
      </c>
      <c r="I17" s="26"/>
      <c r="J17" s="38"/>
      <c r="K17" s="39"/>
    </row>
    <row r="18" spans="1:16" ht="60" x14ac:dyDescent="0.25">
      <c r="A18" s="28"/>
      <c r="B18" s="2" t="s">
        <v>4</v>
      </c>
      <c r="C18" s="3" t="s">
        <v>0</v>
      </c>
      <c r="D18" s="2" t="s">
        <v>27</v>
      </c>
      <c r="E18" s="18" t="s">
        <v>25</v>
      </c>
      <c r="F18" s="2" t="s">
        <v>5</v>
      </c>
      <c r="G18" s="2" t="s">
        <v>28</v>
      </c>
      <c r="H18" s="18" t="s">
        <v>24</v>
      </c>
      <c r="I18" s="22" t="s">
        <v>5</v>
      </c>
      <c r="J18" s="19" t="s">
        <v>34</v>
      </c>
      <c r="K18" s="29" t="s">
        <v>29</v>
      </c>
    </row>
    <row r="19" spans="1:16" x14ac:dyDescent="0.25">
      <c r="A19" s="28" t="s">
        <v>1</v>
      </c>
      <c r="B19" s="4">
        <v>11226807</v>
      </c>
      <c r="C19" s="5">
        <f>B19/B$11</f>
        <v>0.58502304828250551</v>
      </c>
      <c r="D19" s="17">
        <v>29816</v>
      </c>
      <c r="E19" s="6">
        <v>288323799</v>
      </c>
      <c r="F19" s="5">
        <f t="shared" ref="F19:F24" si="4">E19/E$11</f>
        <v>0.4584510269037308</v>
      </c>
      <c r="G19" s="6"/>
      <c r="H19" s="6">
        <f>E19*H$3</f>
        <v>302192173.73190004</v>
      </c>
      <c r="I19" s="23">
        <f t="shared" ref="I19:I24" si="5">H19/H$11</f>
        <v>0.45845102690373085</v>
      </c>
      <c r="J19" s="20"/>
      <c r="K19" s="42">
        <f>H19-J19</f>
        <v>302192173.73190004</v>
      </c>
    </row>
    <row r="20" spans="1:16" x14ac:dyDescent="0.25">
      <c r="A20" s="28" t="s">
        <v>31</v>
      </c>
      <c r="B20" s="4">
        <v>3149458</v>
      </c>
      <c r="C20" s="5">
        <f t="shared" ref="C20:C24" si="6">B20/B$11</f>
        <v>0.16411661121436605</v>
      </c>
      <c r="D20" s="16">
        <v>3431</v>
      </c>
      <c r="E20" s="6">
        <v>92411463</v>
      </c>
      <c r="F20" s="5">
        <f t="shared" si="4"/>
        <v>0.14693941414814018</v>
      </c>
      <c r="G20" s="6"/>
      <c r="H20" s="6">
        <f t="shared" ref="H20:H24" si="7">E20*H$3</f>
        <v>96856454.37030001</v>
      </c>
      <c r="I20" s="23">
        <f t="shared" si="5"/>
        <v>0.14693941414814018</v>
      </c>
      <c r="J20" s="21"/>
      <c r="K20" s="42">
        <f>H20+J20</f>
        <v>96856454.37030001</v>
      </c>
    </row>
    <row r="21" spans="1:16" x14ac:dyDescent="0.25">
      <c r="A21" s="28" t="s">
        <v>32</v>
      </c>
      <c r="B21" s="4">
        <v>4544464</v>
      </c>
      <c r="C21" s="5">
        <f t="shared" si="6"/>
        <v>0.23680964517249722</v>
      </c>
      <c r="D21" s="16">
        <v>357</v>
      </c>
      <c r="E21" s="6">
        <v>244620598</v>
      </c>
      <c r="F21" s="5">
        <f t="shared" si="4"/>
        <v>0.3889604838166853</v>
      </c>
      <c r="G21" s="6">
        <v>614743</v>
      </c>
      <c r="H21" s="6">
        <f t="shared" si="7"/>
        <v>256386848.7638</v>
      </c>
      <c r="I21" s="23">
        <f t="shared" si="5"/>
        <v>0.38896048381668524</v>
      </c>
      <c r="J21" s="21">
        <v>41744343.600000001</v>
      </c>
      <c r="K21" s="40">
        <f t="shared" ref="K21:K24" si="8">H21-J21</f>
        <v>214642505.1638</v>
      </c>
    </row>
    <row r="22" spans="1:16" x14ac:dyDescent="0.25">
      <c r="A22" s="28" t="s">
        <v>33</v>
      </c>
      <c r="B22" s="4">
        <v>34742</v>
      </c>
      <c r="C22" s="5">
        <f t="shared" si="6"/>
        <v>1.8103874720061372E-3</v>
      </c>
      <c r="D22" s="16">
        <v>354</v>
      </c>
      <c r="E22" s="6">
        <v>209800</v>
      </c>
      <c r="F22" s="5">
        <f t="shared" si="4"/>
        <v>3.3359377816883832E-4</v>
      </c>
      <c r="G22" s="6">
        <v>593</v>
      </c>
      <c r="H22" s="6">
        <f t="shared" si="7"/>
        <v>219891.38</v>
      </c>
      <c r="I22" s="23">
        <f t="shared" si="5"/>
        <v>3.3359377816883832E-4</v>
      </c>
      <c r="J22" s="20"/>
      <c r="K22" s="42">
        <f t="shared" si="8"/>
        <v>219891.38</v>
      </c>
    </row>
    <row r="23" spans="1:16" x14ac:dyDescent="0.25">
      <c r="A23" s="28" t="s">
        <v>2</v>
      </c>
      <c r="B23" s="4">
        <v>195345</v>
      </c>
      <c r="C23" s="5">
        <f t="shared" si="6"/>
        <v>1.0179325908670741E-2</v>
      </c>
      <c r="D23" s="16">
        <v>8070</v>
      </c>
      <c r="E23" s="6">
        <v>2398221</v>
      </c>
      <c r="F23" s="5">
        <f t="shared" si="4"/>
        <v>3.8133060260907986E-3</v>
      </c>
      <c r="G23" s="6">
        <v>7030</v>
      </c>
      <c r="H23" s="6">
        <f t="shared" si="7"/>
        <v>2513575.4301</v>
      </c>
      <c r="I23" s="23">
        <f t="shared" si="5"/>
        <v>3.8133060260907986E-3</v>
      </c>
      <c r="J23" s="20"/>
      <c r="K23" s="42">
        <f t="shared" si="8"/>
        <v>2513575.4301</v>
      </c>
    </row>
    <row r="24" spans="1:16" x14ac:dyDescent="0.25">
      <c r="A24" s="28" t="s">
        <v>3</v>
      </c>
      <c r="B24" s="4">
        <v>39551</v>
      </c>
      <c r="C24" s="5">
        <f t="shared" si="6"/>
        <v>2.0609819499543703E-3</v>
      </c>
      <c r="D24" s="16">
        <v>22</v>
      </c>
      <c r="E24" s="6">
        <v>944731</v>
      </c>
      <c r="F24" s="5">
        <f t="shared" si="4"/>
        <v>1.5021753271841029E-3</v>
      </c>
      <c r="G24" s="6"/>
      <c r="H24" s="6">
        <f t="shared" si="7"/>
        <v>990172.56110000005</v>
      </c>
      <c r="I24" s="23">
        <f t="shared" si="5"/>
        <v>1.5021753271841029E-3</v>
      </c>
      <c r="J24" s="20"/>
      <c r="K24" s="42">
        <f t="shared" si="8"/>
        <v>990172.56110000005</v>
      </c>
    </row>
    <row r="25" spans="1:16" ht="15.75" thickBot="1" x14ac:dyDescent="0.3">
      <c r="A25" s="31"/>
      <c r="B25" s="32">
        <f>SUM(B19:B24)</f>
        <v>19190367</v>
      </c>
      <c r="C25" s="33">
        <f>SUM(C19:C24)</f>
        <v>1</v>
      </c>
      <c r="D25" s="34"/>
      <c r="E25" s="35">
        <f>SUM(E19:E24)</f>
        <v>628908612</v>
      </c>
      <c r="F25" s="36">
        <f>SUM(F19:F24)</f>
        <v>1</v>
      </c>
      <c r="G25" s="35"/>
      <c r="H25" s="35">
        <f>SUM(H19:H24)</f>
        <v>659159116.23720002</v>
      </c>
      <c r="I25" s="41">
        <f>SUM(I19:I24)</f>
        <v>1</v>
      </c>
      <c r="J25" s="48">
        <f>J21/H21</f>
        <v>0.16281780364817997</v>
      </c>
      <c r="K25" s="43">
        <f>SUM(K19:K24)</f>
        <v>617414772.6372</v>
      </c>
    </row>
    <row r="26" spans="1:16" x14ac:dyDescent="0.25">
      <c r="A26" t="s">
        <v>54</v>
      </c>
    </row>
    <row r="27" spans="1:16" ht="15.75" thickBot="1" x14ac:dyDescent="0.3">
      <c r="A27" s="10" t="s">
        <v>57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6" ht="39" thickBot="1" x14ac:dyDescent="0.3">
      <c r="A28" s="9"/>
      <c r="B28" s="11" t="s">
        <v>11</v>
      </c>
      <c r="C28" s="12" t="s">
        <v>12</v>
      </c>
      <c r="D28" s="12" t="s">
        <v>13</v>
      </c>
      <c r="E28" s="12" t="s">
        <v>14</v>
      </c>
      <c r="F28" s="12" t="s">
        <v>15</v>
      </c>
      <c r="G28" s="12"/>
      <c r="H28" s="12" t="s">
        <v>16</v>
      </c>
      <c r="I28" s="12" t="s">
        <v>17</v>
      </c>
      <c r="J28" s="12" t="s">
        <v>18</v>
      </c>
      <c r="K28" s="12" t="s">
        <v>19</v>
      </c>
      <c r="L28" s="12" t="s">
        <v>20</v>
      </c>
    </row>
    <row r="29" spans="1:16" ht="15.75" thickBot="1" x14ac:dyDescent="0.3">
      <c r="A29" s="13" t="s">
        <v>21</v>
      </c>
      <c r="B29" s="14">
        <f>SUM(C29:L29)</f>
        <v>77725426</v>
      </c>
      <c r="C29" s="15">
        <v>35945091</v>
      </c>
      <c r="D29" s="15">
        <v>11467389</v>
      </c>
      <c r="E29" s="15">
        <v>29880767</v>
      </c>
      <c r="F29" s="15">
        <v>0</v>
      </c>
      <c r="G29" s="15"/>
      <c r="H29" s="15">
        <v>0</v>
      </c>
      <c r="I29" s="15">
        <v>0</v>
      </c>
      <c r="J29" s="15">
        <v>288889</v>
      </c>
      <c r="K29" s="15">
        <v>25865</v>
      </c>
      <c r="L29" s="15">
        <v>117425</v>
      </c>
    </row>
    <row r="30" spans="1:16" x14ac:dyDescent="0.25">
      <c r="A30" s="53" t="s">
        <v>22</v>
      </c>
      <c r="B30" s="44"/>
      <c r="C30" s="7"/>
      <c r="D30" s="7"/>
      <c r="E30" s="7"/>
      <c r="F30" s="7"/>
      <c r="G30" s="7"/>
      <c r="H30" s="7"/>
      <c r="I30" s="7"/>
      <c r="J30" s="7"/>
      <c r="K30" s="7"/>
      <c r="L30" s="7"/>
      <c r="P30" s="46"/>
    </row>
    <row r="31" spans="1:16" ht="15.75" thickBot="1" x14ac:dyDescent="0.3">
      <c r="A31" s="54" t="s">
        <v>37</v>
      </c>
      <c r="B31" s="47"/>
      <c r="E31" s="49">
        <f>J25*E29</f>
        <v>4865120.8542630151</v>
      </c>
    </row>
    <row r="32" spans="1:16" ht="15.75" thickBot="1" x14ac:dyDescent="0.3">
      <c r="A32" s="51" t="s">
        <v>38</v>
      </c>
      <c r="B32" s="50">
        <f>SUM(C32:L32)</f>
        <v>72860305.145736992</v>
      </c>
      <c r="C32" s="15">
        <v>35945091</v>
      </c>
      <c r="D32" s="15">
        <v>11467389</v>
      </c>
      <c r="E32" s="15">
        <f>E29-E31</f>
        <v>25015646.145736985</v>
      </c>
      <c r="F32" s="15">
        <v>0</v>
      </c>
      <c r="G32" s="15"/>
      <c r="H32" s="15">
        <v>0</v>
      </c>
      <c r="I32" s="15">
        <v>0</v>
      </c>
      <c r="J32" s="15">
        <v>288889</v>
      </c>
      <c r="K32" s="15">
        <v>25865</v>
      </c>
      <c r="L32" s="15">
        <v>117425</v>
      </c>
    </row>
    <row r="33" spans="1:13" x14ac:dyDescent="0.25">
      <c r="A33" s="52" t="s">
        <v>39</v>
      </c>
    </row>
    <row r="34" spans="1:13" x14ac:dyDescent="0.25">
      <c r="A34" t="s">
        <v>55</v>
      </c>
    </row>
    <row r="35" spans="1:13" ht="15.75" thickBot="1" x14ac:dyDescent="0.3">
      <c r="A35" s="10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ht="39" thickBot="1" x14ac:dyDescent="0.3">
      <c r="A36" s="9"/>
      <c r="B36" s="11" t="s">
        <v>11</v>
      </c>
      <c r="C36" s="12" t="s">
        <v>12</v>
      </c>
      <c r="D36" s="12" t="s">
        <v>13</v>
      </c>
      <c r="E36" s="12" t="s">
        <v>14</v>
      </c>
      <c r="F36" s="12" t="s">
        <v>15</v>
      </c>
      <c r="G36" s="12"/>
      <c r="H36" s="12" t="s">
        <v>16</v>
      </c>
      <c r="I36" s="12" t="s">
        <v>17</v>
      </c>
      <c r="J36" s="12" t="s">
        <v>18</v>
      </c>
      <c r="K36" s="12" t="s">
        <v>19</v>
      </c>
      <c r="L36" s="12" t="s">
        <v>20</v>
      </c>
    </row>
    <row r="37" spans="1:13" ht="15.75" thickBot="1" x14ac:dyDescent="0.3">
      <c r="A37" s="13" t="s">
        <v>21</v>
      </c>
      <c r="B37" s="14">
        <f>SUM(C37:L37)</f>
        <v>88047743</v>
      </c>
      <c r="C37" s="15">
        <f>36180652+1247884+1813153+1027453+151096+203938</f>
        <v>40624176</v>
      </c>
      <c r="D37" s="15">
        <f>11121179+871348+542396+329312+48428+23466</f>
        <v>12936129</v>
      </c>
      <c r="E37" s="15">
        <f>11320606+20279800+1395098+871715+128193</f>
        <v>33995412</v>
      </c>
      <c r="F37" s="15">
        <v>0</v>
      </c>
      <c r="G37" s="15"/>
      <c r="H37" s="15">
        <v>0</v>
      </c>
      <c r="I37" s="15">
        <v>0</v>
      </c>
      <c r="J37" s="15">
        <f>8969+300022+12033+8546+1257</f>
        <v>330827</v>
      </c>
      <c r="K37" s="15">
        <f>27242+1019+748+110</f>
        <v>29119</v>
      </c>
      <c r="L37" s="15">
        <f>122673+5545+3367+495</f>
        <v>132080</v>
      </c>
      <c r="M37" s="45"/>
    </row>
    <row r="38" spans="1:13" x14ac:dyDescent="0.25">
      <c r="A38" s="53" t="s">
        <v>22</v>
      </c>
      <c r="B38" s="85">
        <f>B37/H11</f>
        <v>0.1335758557093456</v>
      </c>
      <c r="C38" s="86" t="s">
        <v>47</v>
      </c>
      <c r="D38" s="7"/>
      <c r="E38" s="7"/>
      <c r="F38" s="7"/>
      <c r="G38" s="7"/>
      <c r="H38" s="7"/>
      <c r="I38" s="7"/>
      <c r="J38" s="7"/>
      <c r="K38" s="7"/>
      <c r="L38" s="7"/>
    </row>
    <row r="39" spans="1:13" ht="15.75" thickBot="1" x14ac:dyDescent="0.3">
      <c r="A39" s="54" t="s">
        <v>37</v>
      </c>
      <c r="E39" s="49">
        <f>J25*E37</f>
        <v>5535058.3159549814</v>
      </c>
    </row>
    <row r="40" spans="1:13" ht="15.75" thickBot="1" x14ac:dyDescent="0.3">
      <c r="A40" s="87" t="s">
        <v>38</v>
      </c>
      <c r="B40" s="50">
        <f>SUM(C40:L40)</f>
        <v>82512684.684045017</v>
      </c>
      <c r="C40" s="15">
        <f>C37</f>
        <v>40624176</v>
      </c>
      <c r="D40" s="15">
        <f>D37</f>
        <v>12936129</v>
      </c>
      <c r="E40" s="15">
        <f>E37-E39</f>
        <v>28460353.684045017</v>
      </c>
      <c r="F40" s="15">
        <f t="shared" ref="F40:L40" si="9">F37</f>
        <v>0</v>
      </c>
      <c r="G40" s="15">
        <f t="shared" si="9"/>
        <v>0</v>
      </c>
      <c r="H40" s="15">
        <f t="shared" si="9"/>
        <v>0</v>
      </c>
      <c r="I40" s="15">
        <f t="shared" si="9"/>
        <v>0</v>
      </c>
      <c r="J40" s="15">
        <f t="shared" si="9"/>
        <v>330827</v>
      </c>
      <c r="K40" s="15">
        <f t="shared" si="9"/>
        <v>29119</v>
      </c>
      <c r="L40" s="15">
        <f t="shared" si="9"/>
        <v>132080</v>
      </c>
    </row>
    <row r="41" spans="1:13" ht="15.75" thickBot="1" x14ac:dyDescent="0.3">
      <c r="A41" s="88" t="s">
        <v>39</v>
      </c>
    </row>
    <row r="42" spans="1:13" s="8" customFormat="1" ht="15.75" thickBot="1" x14ac:dyDescent="0.3">
      <c r="A42" s="1" t="s">
        <v>56</v>
      </c>
    </row>
    <row r="43" spans="1:13" s="8" customFormat="1" x14ac:dyDescent="0.25">
      <c r="A43" s="58" t="s">
        <v>23</v>
      </c>
      <c r="B43" s="59" t="s">
        <v>10</v>
      </c>
      <c r="C43" s="60">
        <v>0.9</v>
      </c>
      <c r="D43" s="51"/>
      <c r="E43" s="61"/>
      <c r="F43" s="62" t="s">
        <v>42</v>
      </c>
      <c r="G43" s="63"/>
      <c r="H43" s="63"/>
      <c r="I43" s="64">
        <v>2.5999999999999999E-2</v>
      </c>
      <c r="J43" s="65">
        <f>I43*(H25-E25)</f>
        <v>786513.11016720056</v>
      </c>
      <c r="K43" s="61"/>
      <c r="L43" s="66"/>
    </row>
    <row r="44" spans="1:13" s="8" customFormat="1" ht="15.75" thickBot="1" x14ac:dyDescent="0.3">
      <c r="A44" s="67"/>
      <c r="B44" s="68" t="s">
        <v>6</v>
      </c>
      <c r="C44" s="69">
        <v>3</v>
      </c>
      <c r="D44" s="70" t="s">
        <v>8</v>
      </c>
      <c r="E44" s="71"/>
      <c r="F44" s="72" t="s">
        <v>43</v>
      </c>
      <c r="G44" s="73"/>
      <c r="H44" s="73"/>
      <c r="I44" s="74">
        <f>B40/K25</f>
        <v>0.13364222616767613</v>
      </c>
      <c r="J44" s="75">
        <f>J43*I44</f>
        <v>105111.36295280738</v>
      </c>
      <c r="K44" s="71"/>
      <c r="L44" s="76"/>
    </row>
    <row r="45" spans="1:13" s="8" customFormat="1" ht="15.75" thickBot="1" x14ac:dyDescent="0.3">
      <c r="A45" s="67"/>
      <c r="B45" s="77" t="s">
        <v>7</v>
      </c>
      <c r="C45" s="79">
        <f>C43*C44</f>
        <v>2.7</v>
      </c>
      <c r="D45" s="79" t="s">
        <v>9</v>
      </c>
      <c r="E45" s="71"/>
      <c r="F45" s="71"/>
      <c r="G45" s="71"/>
      <c r="H45" s="71"/>
      <c r="I45" s="71"/>
      <c r="J45" s="71"/>
      <c r="K45" s="71"/>
      <c r="L45" s="76"/>
    </row>
    <row r="46" spans="1:13" s="8" customFormat="1" ht="15.75" thickBot="1" x14ac:dyDescent="0.3">
      <c r="A46" s="78" t="s">
        <v>40</v>
      </c>
      <c r="B46" s="14">
        <f>SUM(C46:L46)</f>
        <v>2227842.4864692157</v>
      </c>
      <c r="C46" s="80">
        <f t="shared" ref="C46:L46" si="10">C40*$C45/100</f>
        <v>1096852.7520000001</v>
      </c>
      <c r="D46" s="56">
        <f t="shared" si="10"/>
        <v>349275.48300000007</v>
      </c>
      <c r="E46" s="56">
        <f t="shared" si="10"/>
        <v>768429.54946921556</v>
      </c>
      <c r="F46" s="56">
        <f t="shared" si="10"/>
        <v>0</v>
      </c>
      <c r="G46" s="56">
        <f t="shared" si="10"/>
        <v>0</v>
      </c>
      <c r="H46" s="56">
        <f t="shared" si="10"/>
        <v>0</v>
      </c>
      <c r="I46" s="56">
        <f t="shared" si="10"/>
        <v>0</v>
      </c>
      <c r="J46" s="56">
        <f t="shared" si="10"/>
        <v>8932.3289999999997</v>
      </c>
      <c r="K46" s="56">
        <f t="shared" si="10"/>
        <v>786.21300000000008</v>
      </c>
      <c r="L46" s="57">
        <f t="shared" si="10"/>
        <v>3566.16</v>
      </c>
    </row>
    <row r="47" spans="1:13" s="8" customFormat="1" ht="15.75" thickBot="1" x14ac:dyDescent="0.3">
      <c r="A47" s="81" t="s">
        <v>45</v>
      </c>
      <c r="B47" s="82">
        <f>B46+J44</f>
        <v>2332953.8494220232</v>
      </c>
      <c r="C47" s="55"/>
      <c r="D47" s="55"/>
      <c r="E47" s="71"/>
      <c r="F47" s="71"/>
      <c r="G47" s="71"/>
      <c r="H47" s="71"/>
      <c r="I47" s="71"/>
      <c r="J47" s="71"/>
      <c r="K47" s="71"/>
      <c r="L47" s="76"/>
    </row>
    <row r="48" spans="1:13" s="8" customFormat="1" ht="15.75" thickBot="1" x14ac:dyDescent="0.3">
      <c r="A48" s="78" t="s">
        <v>41</v>
      </c>
      <c r="B48" s="83">
        <f>SUM(C48:L48)</f>
        <v>16670198.861204406</v>
      </c>
      <c r="C48" s="91">
        <f>$K19*$C45/100</f>
        <v>8159188.6907613017</v>
      </c>
      <c r="D48" s="92">
        <f>$K20*$C45/100</f>
        <v>2615124.2679981007</v>
      </c>
      <c r="E48" s="92">
        <f>$K21*$C45/100</f>
        <v>5795347.6394226002</v>
      </c>
      <c r="F48" s="92">
        <v>0</v>
      </c>
      <c r="G48" s="92">
        <v>0</v>
      </c>
      <c r="H48" s="92">
        <v>0</v>
      </c>
      <c r="I48" s="92">
        <v>0</v>
      </c>
      <c r="J48" s="92">
        <f>$K23*$C45/100</f>
        <v>67866.536612700002</v>
      </c>
      <c r="K48" s="92">
        <f>$K22*$C45/100</f>
        <v>5937.0672599999998</v>
      </c>
      <c r="L48" s="93">
        <f>$K24*$C45/100</f>
        <v>26734.659149700004</v>
      </c>
    </row>
    <row r="49" spans="1:4" s="8" customFormat="1" ht="15.75" thickBot="1" x14ac:dyDescent="0.3">
      <c r="A49" s="81" t="s">
        <v>44</v>
      </c>
      <c r="B49" s="84">
        <f>B48+J43</f>
        <v>17456711.971371606</v>
      </c>
      <c r="C49" s="1"/>
      <c r="D49" s="1"/>
    </row>
  </sheetData>
  <pageMargins left="0.70866141732283472" right="0.70866141732283472" top="0.27" bottom="0.33" header="0.17" footer="0.17"/>
  <pageSetup paperSize="17" scale="87" orientation="landscape" r:id="rId1"/>
  <headerFooter>
    <oddFooter>&amp;L&amp;"-,Bold Italic"&amp;9&amp;Z&amp;F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VVM Energy Savings Estimates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Kevin Bell</cp:lastModifiedBy>
  <cp:lastPrinted>2020-01-11T20:28:52Z</cp:lastPrinted>
  <dcterms:created xsi:type="dcterms:W3CDTF">2018-06-29T15:16:21Z</dcterms:created>
  <dcterms:modified xsi:type="dcterms:W3CDTF">2020-01-20T16:57:40Z</dcterms:modified>
</cp:coreProperties>
</file>