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17. Application Submission to OEB\Models\"/>
    </mc:Choice>
  </mc:AlternateContent>
  <bookViews>
    <workbookView xWindow="0" yWindow="0" windowWidth="23040" windowHeight="1091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Results!$A$1:$J$29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" l="1"/>
  <c r="C14" i="5" l="1"/>
  <c r="D14" i="5"/>
  <c r="C16" i="5"/>
  <c r="D16" i="5"/>
  <c r="D6" i="5"/>
  <c r="I37" i="4"/>
  <c r="J37" i="4"/>
  <c r="K37" i="4"/>
  <c r="L37" i="4"/>
  <c r="M37" i="4"/>
  <c r="H37" i="4"/>
  <c r="L15" i="4"/>
  <c r="M15" i="4"/>
  <c r="K15" i="4"/>
  <c r="L13" i="4"/>
  <c r="M13" i="4"/>
  <c r="K13" i="4"/>
  <c r="K122" i="4" l="1"/>
  <c r="L122" i="4" s="1"/>
  <c r="M122" i="4" s="1"/>
  <c r="K110" i="4"/>
  <c r="L110" i="4" s="1"/>
  <c r="M110" i="4" s="1"/>
  <c r="K108" i="4"/>
  <c r="L108" i="4" s="1"/>
  <c r="M108" i="4" s="1"/>
  <c r="K107" i="4"/>
  <c r="L107" i="4" s="1"/>
  <c r="M107" i="4" s="1"/>
  <c r="K106" i="4"/>
  <c r="L106" i="4" s="1"/>
  <c r="M106" i="4" s="1"/>
  <c r="K105" i="4"/>
  <c r="L105" i="4" s="1"/>
  <c r="M105" i="4" s="1"/>
  <c r="K104" i="4"/>
  <c r="L104" i="4" s="1"/>
  <c r="M104" i="4" s="1"/>
  <c r="L103" i="4"/>
  <c r="M103" i="4" s="1"/>
  <c r="K103" i="4"/>
  <c r="K102" i="4"/>
  <c r="L102" i="4" s="1"/>
  <c r="M102" i="4" s="1"/>
  <c r="K101" i="4"/>
  <c r="L101" i="4" s="1"/>
  <c r="M101" i="4" s="1"/>
  <c r="K100" i="4"/>
  <c r="L100" i="4" s="1"/>
  <c r="M100" i="4" s="1"/>
  <c r="K99" i="4"/>
  <c r="L99" i="4" s="1"/>
  <c r="M99" i="4" s="1"/>
  <c r="K98" i="4"/>
  <c r="L98" i="4" s="1"/>
  <c r="M98" i="4" s="1"/>
  <c r="K97" i="4"/>
  <c r="L97" i="4" s="1"/>
  <c r="M97" i="4" s="1"/>
  <c r="K96" i="4"/>
  <c r="L96" i="4" s="1"/>
  <c r="M96" i="4" s="1"/>
  <c r="L95" i="4"/>
  <c r="M95" i="4" s="1"/>
  <c r="K95" i="4"/>
  <c r="K94" i="4"/>
  <c r="L94" i="4" s="1"/>
  <c r="M94" i="4" s="1"/>
  <c r="K93" i="4"/>
  <c r="L93" i="4" s="1"/>
  <c r="M93" i="4" s="1"/>
  <c r="K92" i="4"/>
  <c r="L92" i="4" s="1"/>
  <c r="M92" i="4" s="1"/>
  <c r="K89" i="4"/>
  <c r="L89" i="4" s="1"/>
  <c r="M89" i="4" s="1"/>
  <c r="K88" i="4"/>
  <c r="L88" i="4" s="1"/>
  <c r="M88" i="4" s="1"/>
  <c r="L85" i="4"/>
  <c r="M85" i="4" s="1"/>
  <c r="K85" i="4"/>
  <c r="K84" i="4"/>
  <c r="L84" i="4" s="1"/>
  <c r="M84" i="4" s="1"/>
  <c r="K83" i="4"/>
  <c r="L83" i="4" s="1"/>
  <c r="M83" i="4" s="1"/>
  <c r="K82" i="4"/>
  <c r="L82" i="4" s="1"/>
  <c r="M82" i="4" s="1"/>
  <c r="K81" i="4"/>
  <c r="L81" i="4" s="1"/>
  <c r="M81" i="4" s="1"/>
  <c r="K80" i="4"/>
  <c r="L80" i="4" s="1"/>
  <c r="M80" i="4" s="1"/>
  <c r="K79" i="4"/>
  <c r="L79" i="4" s="1"/>
  <c r="M79" i="4" s="1"/>
  <c r="K66" i="4"/>
  <c r="L66" i="4" s="1"/>
  <c r="M66" i="4" s="1"/>
  <c r="K67" i="4"/>
  <c r="L67" i="4"/>
  <c r="M67" i="4"/>
  <c r="K68" i="4"/>
  <c r="L68" i="4"/>
  <c r="M68" i="4"/>
  <c r="K69" i="4"/>
  <c r="L69" i="4" s="1"/>
  <c r="M69" i="4" s="1"/>
  <c r="K70" i="4"/>
  <c r="L70" i="4"/>
  <c r="M70" i="4"/>
  <c r="K71" i="4"/>
  <c r="L71" i="4"/>
  <c r="M71" i="4" s="1"/>
  <c r="K72" i="4"/>
  <c r="L72" i="4"/>
  <c r="M72" i="4"/>
  <c r="K73" i="4"/>
  <c r="L73" i="4"/>
  <c r="M73" i="4"/>
  <c r="K74" i="4"/>
  <c r="L74" i="4" s="1"/>
  <c r="M74" i="4" s="1"/>
  <c r="K75" i="4"/>
  <c r="L75" i="4"/>
  <c r="M75" i="4"/>
  <c r="K76" i="4"/>
  <c r="L76" i="4"/>
  <c r="M76" i="4"/>
  <c r="K77" i="4"/>
  <c r="L77" i="4" s="1"/>
  <c r="M77" i="4" s="1"/>
  <c r="M65" i="4"/>
  <c r="L65" i="4"/>
  <c r="K65" i="4"/>
  <c r="L45" i="4"/>
  <c r="M45" i="4" s="1"/>
  <c r="L46" i="4"/>
  <c r="M46" i="4"/>
  <c r="L47" i="4"/>
  <c r="M47" i="4"/>
  <c r="L48" i="4"/>
  <c r="M48" i="4"/>
  <c r="L49" i="4"/>
  <c r="M49" i="4" s="1"/>
  <c r="L50" i="4"/>
  <c r="M50" i="4"/>
  <c r="L51" i="4"/>
  <c r="M51" i="4"/>
  <c r="L52" i="4"/>
  <c r="M52" i="4"/>
  <c r="L53" i="4"/>
  <c r="M53" i="4" s="1"/>
  <c r="L54" i="4"/>
  <c r="M54" i="4"/>
  <c r="L55" i="4"/>
  <c r="M55" i="4"/>
  <c r="L56" i="4"/>
  <c r="M56" i="4"/>
  <c r="L57" i="4"/>
  <c r="M57" i="4" s="1"/>
  <c r="L58" i="4"/>
  <c r="M58" i="4"/>
  <c r="L59" i="4"/>
  <c r="M59" i="4"/>
  <c r="L60" i="4"/>
  <c r="M60" i="4"/>
  <c r="M44" i="4"/>
  <c r="L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44" i="4"/>
  <c r="H115" i="4"/>
  <c r="H86" i="4"/>
  <c r="H78" i="4"/>
  <c r="H64" i="4"/>
  <c r="H41" i="4"/>
  <c r="I41" i="4" s="1"/>
  <c r="J41" i="4" s="1"/>
  <c r="K41" i="4" s="1"/>
  <c r="L41" i="4" s="1"/>
  <c r="M41" i="4" s="1"/>
  <c r="L158" i="1" l="1"/>
  <c r="M158" i="1"/>
  <c r="F136" i="1" l="1"/>
  <c r="F139" i="1"/>
  <c r="F135" i="1"/>
  <c r="F134" i="1"/>
  <c r="I6" i="4"/>
  <c r="J6" i="4" s="1"/>
  <c r="K6" i="4" s="1"/>
  <c r="L6" i="4" s="1"/>
  <c r="M6" i="4" s="1"/>
  <c r="H6" i="4"/>
  <c r="E6" i="5"/>
  <c r="F6" i="5" s="1"/>
  <c r="G6" i="5" s="1"/>
  <c r="H6" i="5" s="1"/>
  <c r="I6" i="5" s="1"/>
  <c r="J6" i="5" s="1"/>
  <c r="I5" i="1"/>
  <c r="J5" i="1" s="1"/>
  <c r="K5" i="1" s="1"/>
  <c r="L5" i="1" s="1"/>
  <c r="M5" i="1" s="1"/>
  <c r="H5" i="1"/>
  <c r="J27" i="4" l="1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B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I78" i="4"/>
  <c r="J78" i="4"/>
  <c r="K78" i="4"/>
  <c r="L78" i="4"/>
  <c r="I86" i="4"/>
  <c r="J86" i="4"/>
  <c r="K86" i="4"/>
  <c r="L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K115" i="4" l="1"/>
  <c r="I115" i="4"/>
  <c r="J115" i="4"/>
  <c r="M115" i="4"/>
  <c r="L115" i="4"/>
  <c r="G49" i="4"/>
  <c r="G17" i="4" l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M97" i="1" s="1"/>
  <c r="G15" i="4"/>
  <c r="M98" i="1" s="1"/>
  <c r="M130" i="1" s="1"/>
  <c r="G16" i="4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E10" i="5"/>
  <c r="M129" i="1" l="1"/>
  <c r="M155" i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9" i="4" l="1"/>
  <c r="I29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J29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K29" i="4" l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29" i="4" l="1"/>
  <c r="M31" i="4" s="1"/>
  <c r="M89" i="1" s="1"/>
  <c r="L29" i="4"/>
  <c r="H89" i="1"/>
  <c r="H107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F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G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E12" i="5"/>
  <c r="E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E14" i="5" l="1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F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H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F16" i="5"/>
  <c r="F22" i="5" s="1"/>
  <c r="F14" i="5"/>
  <c r="K232" i="1"/>
  <c r="L168" i="1"/>
  <c r="K241" i="1"/>
  <c r="L177" i="1"/>
  <c r="I258" i="1"/>
  <c r="I259" i="1" s="1"/>
  <c r="I261" i="1"/>
  <c r="G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G14" i="5"/>
  <c r="G16" i="5"/>
  <c r="K245" i="1"/>
  <c r="K246" i="1" s="1"/>
  <c r="K248" i="1" s="1"/>
  <c r="K257" i="1" s="1"/>
  <c r="H10" i="5"/>
  <c r="H14" i="5" s="1"/>
  <c r="H16" i="5" s="1"/>
  <c r="G22" i="5" l="1"/>
  <c r="H18" i="5"/>
  <c r="H24" i="5" s="1"/>
  <c r="H22" i="5"/>
  <c r="G18" i="5"/>
  <c r="G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I12" i="5"/>
  <c r="M245" i="1" l="1"/>
  <c r="M246" i="1" s="1"/>
  <c r="M248" i="1" s="1"/>
  <c r="M257" i="1" s="1"/>
  <c r="M258" i="1" s="1"/>
  <c r="M259" i="1" s="1"/>
  <c r="L261" i="1"/>
  <c r="J12" i="5"/>
  <c r="I10" i="5"/>
  <c r="I14" i="5" s="1"/>
  <c r="I16" i="5" s="1"/>
  <c r="M261" i="1" l="1"/>
  <c r="I18" i="5"/>
  <c r="I24" i="5" s="1"/>
  <c r="I22" i="5"/>
  <c r="J10" i="5"/>
  <c r="J14" i="5" s="1"/>
  <c r="J16" i="5" s="1"/>
  <c r="J18" i="5" l="1"/>
  <c r="J24" i="5" s="1"/>
  <c r="J22" i="5"/>
</calcChain>
</file>

<file path=xl/sharedStrings.xml><?xml version="1.0" encoding="utf-8"?>
<sst xmlns="http://schemas.openxmlformats.org/spreadsheetml/2006/main" count="521" uniqueCount="275">
  <si>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</si>
  <si>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</si>
  <si>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</si>
  <si>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</si>
  <si>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</si>
  <si>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</si>
  <si>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</si>
  <si>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</si>
  <si>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</si>
  <si>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</si>
  <si>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</si>
  <si>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</si>
  <si>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</si>
  <si>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</si>
  <si>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</si>
  <si>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</si>
  <si>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</si>
  <si>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</si>
  <si>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</si>
  <si>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</si>
  <si>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</si>
  <si>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</si>
  <si>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</si>
  <si>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</si>
  <si>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</si>
  <si>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</si>
  <si>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</si>
  <si>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</si>
  <si>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</si>
  <si>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</si>
  <si>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</si>
  <si>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</si>
  <si>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</si>
  <si>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</si>
  <si>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</si>
  <si>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</si>
  <si>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</si>
  <si>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</si>
  <si>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</si>
  <si>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</si>
  <si>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</si>
  <si>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</si>
  <si>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</si>
  <si>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</si>
  <si>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</si>
  <si>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</si>
  <si>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</si>
  <si>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</si>
  <si>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</si>
  <si>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</si>
  <si>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</si>
  <si>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</si>
  <si>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</si>
  <si>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</si>
  <si>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</si>
  <si>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</si>
  <si>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</si>
  <si>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</si>
  <si>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</si>
  <si>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</si>
  <si>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</si>
  <si>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</si>
  <si>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</si>
  <si>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</si>
  <si>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</si>
  <si>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</si>
  <si>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</si>
  <si>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</si>
  <si>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</si>
  <si>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</si>
  <si>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</si>
  <si>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</si>
  <si>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</si>
  <si>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</si>
  <si>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</si>
  <si>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</si>
  <si>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</si>
  <si>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</si>
  <si>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</si>
  <si>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</si>
  <si>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</si>
  <si>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</si>
  <si>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</si>
  <si>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</si>
  <si>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</si>
  <si>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</si>
  <si>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</si>
  <si>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</si>
  <si>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</si>
  <si>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</si>
  <si>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</si>
  <si>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</si>
  <si>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</si>
  <si>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</si>
  <si>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</si>
  <si>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</si>
  <si>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</si>
  <si>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</si>
  <si>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</si>
  <si>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</si>
  <si>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</si>
  <si>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</si>
  <si>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</si>
  <si>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</si>
  <si>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</si>
  <si>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</si>
  <si>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</si>
  <si>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</si>
  <si>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</si>
  <si>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</si>
  <si>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</si>
  <si>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</si>
  <si>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</si>
  <si>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</si>
  <si>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</si>
  <si>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</si>
  <si>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</si>
  <si>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</si>
  <si>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</si>
  <si>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</si>
  <si>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</si>
  <si>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</si>
  <si>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</si>
  <si>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</si>
  <si>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</si>
  <si>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</si>
  <si>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</si>
  <si>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</si>
  <si>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</si>
  <si>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</si>
  <si>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</si>
  <si>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</si>
  <si>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</si>
  <si>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</si>
  <si>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</si>
  <si>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</si>
  <si>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</si>
  <si>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</si>
  <si>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</si>
  <si>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</si>
  <si>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</si>
  <si>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</si>
  <si>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</si>
  <si>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</si>
  <si>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</si>
  <si>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</si>
  <si>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</si>
  <si>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</si>
  <si>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</si>
  <si>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</si>
  <si>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</si>
  <si>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</si>
  <si>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</si>
  <si>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</si>
  <si>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</si>
  <si>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</si>
  <si>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</si>
  <si>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</si>
  <si>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</si>
  <si>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</si>
  <si>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</si>
  <si>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</si>
  <si>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</si>
  <si>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</si>
  <si>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</si>
  <si>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</si>
  <si>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</si>
  <si>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</si>
  <si>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</si>
  <si>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</si>
  <si>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</si>
  <si>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</si>
  <si>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</si>
  <si>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</si>
  <si>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</si>
  <si>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</si>
  <si>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</si>
  <si>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</si>
  <si>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</si>
  <si>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</si>
  <si>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</si>
  <si>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</si>
  <si>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</si>
  <si>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</si>
  <si>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</si>
  <si>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</si>
  <si>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</si>
  <si>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</si>
  <si>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</si>
  <si>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</si>
  <si>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</si>
  <si>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</si>
  <si>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</si>
  <si>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</si>
  <si>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</si>
  <si>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</si>
  <si>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</si>
  <si>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</si>
  <si>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</si>
  <si>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</si>
  <si>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</si>
  <si>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</si>
  <si>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</si>
  <si>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</si>
  <si>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</si>
  <si>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</si>
  <si>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</si>
  <si>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</si>
  <si>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</si>
  <si>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</si>
  <si>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</si>
  <si>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</si>
  <si>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</si>
  <si>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</si>
  <si>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</si>
  <si>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</si>
  <si>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</si>
  <si>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</si>
  <si>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</si>
  <si>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</si>
  <si>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</si>
  <si>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</si>
  <si>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</si>
  <si>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</si>
  <si>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</si>
  <si>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</si>
  <si>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</si>
  <si>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</si>
  <si>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</si>
  <si>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</si>
  <si>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</si>
  <si>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</si>
  <si>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</si>
  <si>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</si>
  <si>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</si>
  <si>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</si>
  <si>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</si>
  <si>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</si>
  <si>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</si>
  <si>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</si>
  <si>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</si>
  <si>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</si>
  <si>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</si>
  <si>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</si>
  <si>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</si>
  <si>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</si>
  <si>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</si>
  <si>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</si>
  <si>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</si>
  <si>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</si>
  <si>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</si>
  <si>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</si>
  <si>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</si>
  <si>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</si>
  <si>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</si>
  <si>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</si>
  <si>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</si>
  <si>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</si>
  <si>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</si>
  <si>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</si>
  <si>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</si>
  <si>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</si>
  <si>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</si>
  <si>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</si>
  <si>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</si>
  <si>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</si>
  <si>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</si>
  <si>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</si>
  <si>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</si>
  <si>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</si>
  <si>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</si>
  <si>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</si>
  <si>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(Actual)</t>
  </si>
  <si>
    <t>(Forecast)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</si>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</sst>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6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8" fillId="0" borderId="0" xfId="0" applyFont="1" applyFill="1"/>
    <xf numFmtId="0" fontId="6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5" fontId="6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1" fillId="0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165" fontId="0" fillId="4" borderId="0" xfId="1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9" fillId="4" borderId="0" xfId="0" applyFont="1" applyFill="1"/>
    <xf numFmtId="165" fontId="0" fillId="2" borderId="6" xfId="0" applyNumberFormat="1" applyFill="1" applyBorder="1"/>
    <xf numFmtId="0" fontId="12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0" xfId="0" applyFont="1" applyBorder="1"/>
    <xf numFmtId="0" fontId="0" fillId="0" borderId="12" xfId="0" applyBorder="1" applyAlignment="1">
      <alignment horizontal="left"/>
    </xf>
    <xf numFmtId="0" fontId="6" fillId="0" borderId="13" xfId="0" applyFont="1" applyBorder="1"/>
    <xf numFmtId="0" fontId="0" fillId="0" borderId="14" xfId="0" applyBorder="1" applyAlignment="1">
      <alignment horizontal="left"/>
    </xf>
    <xf numFmtId="0" fontId="6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6" fillId="0" borderId="7" xfId="2" applyNumberFormat="1" applyFont="1" applyFill="1" applyBorder="1"/>
    <xf numFmtId="10" fontId="6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0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10" fontId="0" fillId="8" borderId="0" xfId="0" applyNumberFormat="1" applyFill="1" applyBorder="1" applyAlignment="1">
      <alignment horizontal="center"/>
    </xf>
    <xf numFmtId="1" fontId="0" fillId="2" borderId="6" xfId="0" applyNumberFormat="1" applyFill="1" applyBorder="1"/>
    <xf numFmtId="0" fontId="6" fillId="2" borderId="6" xfId="0" applyFont="1" applyFill="1" applyBorder="1"/>
    <xf numFmtId="1" fontId="6" fillId="2" borderId="6" xfId="0" applyNumberFormat="1" applyFont="1" applyFill="1" applyBorder="1"/>
    <xf numFmtId="0" fontId="17" fillId="9" borderId="0" xfId="0" applyFont="1" applyFill="1" applyAlignment="1">
      <alignment vertical="center"/>
    </xf>
    <xf numFmtId="0" fontId="15" fillId="9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10" borderId="2" xfId="0" applyFont="1" applyFill="1" applyBorder="1" applyAlignment="1">
      <alignment vertical="center"/>
    </xf>
    <xf numFmtId="0" fontId="17" fillId="10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/>
    </xf>
    <xf numFmtId="0" fontId="17" fillId="10" borderId="0" xfId="0" applyFont="1" applyFill="1" applyAlignment="1">
      <alignment vertical="center"/>
    </xf>
    <xf numFmtId="165" fontId="17" fillId="10" borderId="0" xfId="1" applyNumberFormat="1" applyFont="1" applyFill="1" applyBorder="1" applyAlignment="1">
      <alignment horizontal="center" vertical="center"/>
    </xf>
    <xf numFmtId="165" fontId="17" fillId="9" borderId="0" xfId="1" applyNumberFormat="1" applyFont="1" applyFill="1" applyBorder="1" applyAlignment="1">
      <alignment horizontal="center" vertical="center"/>
    </xf>
    <xf numFmtId="165" fontId="17" fillId="9" borderId="13" xfId="1" applyNumberFormat="1" applyFont="1" applyFill="1" applyBorder="1" applyAlignment="1">
      <alignment horizontal="center" vertical="center"/>
    </xf>
    <xf numFmtId="165" fontId="17" fillId="9" borderId="14" xfId="1" applyNumberFormat="1" applyFont="1" applyFill="1" applyBorder="1" applyAlignment="1">
      <alignment horizontal="center" vertical="center"/>
    </xf>
    <xf numFmtId="165" fontId="17" fillId="9" borderId="0" xfId="1" applyNumberFormat="1" applyFont="1" applyFill="1" applyBorder="1" applyAlignment="1">
      <alignment vertical="center"/>
    </xf>
    <xf numFmtId="165" fontId="17" fillId="9" borderId="0" xfId="1" applyNumberFormat="1" applyFont="1" applyFill="1" applyAlignment="1">
      <alignment vertical="center"/>
    </xf>
    <xf numFmtId="0" fontId="15" fillId="9" borderId="0" xfId="0" applyFont="1" applyFill="1" applyAlignment="1">
      <alignment vertical="center"/>
    </xf>
    <xf numFmtId="172" fontId="15" fillId="10" borderId="0" xfId="2" applyNumberFormat="1" applyFont="1" applyFill="1" applyBorder="1" applyAlignment="1">
      <alignment horizontal="center" vertical="center"/>
    </xf>
    <xf numFmtId="172" fontId="15" fillId="9" borderId="0" xfId="2" applyNumberFormat="1" applyFont="1" applyFill="1" applyBorder="1" applyAlignment="1">
      <alignment horizontal="center" vertical="center"/>
    </xf>
    <xf numFmtId="172" fontId="15" fillId="9" borderId="13" xfId="2" applyNumberFormat="1" applyFont="1" applyFill="1" applyBorder="1" applyAlignment="1">
      <alignment horizontal="center" vertical="center"/>
    </xf>
    <xf numFmtId="10" fontId="15" fillId="9" borderId="14" xfId="2" applyNumberFormat="1" applyFont="1" applyFill="1" applyBorder="1" applyAlignment="1">
      <alignment horizontal="center" vertical="center"/>
    </xf>
    <xf numFmtId="10" fontId="15" fillId="9" borderId="0" xfId="2" applyNumberFormat="1" applyFont="1" applyFill="1" applyBorder="1" applyAlignment="1">
      <alignment horizontal="center" vertical="center"/>
    </xf>
    <xf numFmtId="172" fontId="17" fillId="10" borderId="0" xfId="2" applyNumberFormat="1" applyFont="1" applyFill="1" applyBorder="1" applyAlignment="1">
      <alignment horizontal="center" vertical="center"/>
    </xf>
    <xf numFmtId="172" fontId="17" fillId="9" borderId="0" xfId="2" applyNumberFormat="1" applyFont="1" applyFill="1" applyBorder="1" applyAlignment="1">
      <alignment horizontal="center" vertical="center"/>
    </xf>
    <xf numFmtId="172" fontId="17" fillId="9" borderId="13" xfId="2" applyNumberFormat="1" applyFont="1" applyFill="1" applyBorder="1" applyAlignment="1">
      <alignment horizontal="center" vertical="center"/>
    </xf>
    <xf numFmtId="10" fontId="17" fillId="9" borderId="14" xfId="2" applyNumberFormat="1" applyFont="1" applyFill="1" applyBorder="1" applyAlignment="1">
      <alignment horizontal="center" vertical="center"/>
    </xf>
    <xf numFmtId="10" fontId="17" fillId="9" borderId="0" xfId="2" applyNumberFormat="1" applyFont="1" applyFill="1" applyBorder="1" applyAlignment="1">
      <alignment horizontal="center" vertical="center"/>
    </xf>
    <xf numFmtId="172" fontId="17" fillId="10" borderId="0" xfId="0" applyNumberFormat="1" applyFont="1" applyFill="1" applyAlignment="1">
      <alignment horizontal="center" vertical="center"/>
    </xf>
    <xf numFmtId="172" fontId="17" fillId="9" borderId="0" xfId="0" applyNumberFormat="1" applyFont="1" applyFill="1" applyAlignment="1">
      <alignment horizontal="center" vertical="center"/>
    </xf>
    <xf numFmtId="172" fontId="17" fillId="9" borderId="13" xfId="0" applyNumberFormat="1" applyFont="1" applyFill="1" applyBorder="1" applyAlignment="1">
      <alignment horizontal="center" vertical="center"/>
    </xf>
    <xf numFmtId="10" fontId="17" fillId="9" borderId="14" xfId="0" applyNumberFormat="1" applyFont="1" applyFill="1" applyBorder="1" applyAlignment="1">
      <alignment horizontal="center" vertical="center"/>
    </xf>
    <xf numFmtId="10" fontId="17" fillId="9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37" fontId="18" fillId="10" borderId="0" xfId="1" applyNumberFormat="1" applyFont="1" applyFill="1" applyBorder="1" applyAlignment="1">
      <alignment horizontal="center" vertical="center"/>
    </xf>
    <xf numFmtId="37" fontId="18" fillId="9" borderId="0" xfId="1" applyNumberFormat="1" applyFont="1" applyFill="1" applyBorder="1" applyAlignment="1">
      <alignment horizontal="center" vertical="center"/>
    </xf>
    <xf numFmtId="37" fontId="18" fillId="9" borderId="13" xfId="1" applyNumberFormat="1" applyFont="1" applyFill="1" applyBorder="1" applyAlignment="1">
      <alignment horizontal="center" vertical="center"/>
    </xf>
    <xf numFmtId="37" fontId="18" fillId="9" borderId="14" xfId="1" applyNumberFormat="1" applyFont="1" applyFill="1" applyBorder="1" applyAlignment="1">
      <alignment horizontal="center" vertical="center"/>
    </xf>
    <xf numFmtId="37" fontId="18" fillId="9" borderId="15" xfId="1" applyNumberFormat="1" applyFont="1" applyFill="1" applyBorder="1" applyAlignment="1">
      <alignment horizontal="center" vertical="center"/>
    </xf>
    <xf numFmtId="37" fontId="18" fillId="9" borderId="17" xfId="1" applyNumberFormat="1" applyFont="1" applyFill="1" applyBorder="1" applyAlignment="1">
      <alignment horizontal="center" vertical="center"/>
    </xf>
    <xf numFmtId="44" fontId="17" fillId="9" borderId="0" xfId="0" applyNumberFormat="1" applyFont="1" applyFill="1" applyAlignment="1">
      <alignment vertic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6" fillId="9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A20" zoomScale="90" zoomScaleNormal="90" workbookViewId="0">
      <selection activeCell="O40" sqref="O40"/>
    </sheetView>
  </sheetViews>
  <sheetFormatPr defaultRowHeight="13" x14ac:dyDescent="0.3"/>
  <cols>
    <col min="2" max="2" width="11.6328125" style="2" customWidth="1"/>
    <col min="3" max="3" width="3.36328125" customWidth="1"/>
    <col min="4" max="4" width="7.36328125" customWidth="1"/>
    <col min="6" max="6" width="48.36328125" customWidth="1"/>
    <col min="7" max="12" width="14.08984375" customWidth="1"/>
    <col min="13" max="13" width="14.08984375" style="87" customWidth="1"/>
    <col min="14" max="14" width="30.08984375" style="11" customWidth="1"/>
    <col min="15" max="15" width="24.36328125" style="87" customWidth="1"/>
  </cols>
  <sheetData>
    <row r="2" spans="2:15" ht="23" x14ac:dyDescent="0.5">
      <c r="C2" s="279" t="s">
        <v>188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2:15" ht="19.5" customHeight="1" x14ac:dyDescent="0.35">
      <c r="C3" s="280" t="str">
        <f>IF(F5="Click to Choose an LDC","",F5)</f>
        <v>Wellington North Power Inc.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</row>
    <row r="4" spans="2:15" s="87" customFormat="1" ht="19.5" customHeight="1" thickBot="1" x14ac:dyDescent="0.4">
      <c r="B4" s="2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26"/>
    </row>
    <row r="5" spans="2:15" ht="25.5" customHeight="1" thickBot="1" x14ac:dyDescent="0.35">
      <c r="B5" s="123" t="s">
        <v>186</v>
      </c>
      <c r="E5" s="74"/>
      <c r="F5" s="124" t="s">
        <v>259</v>
      </c>
      <c r="G5" s="13" t="s">
        <v>175</v>
      </c>
      <c r="H5" s="13" t="s">
        <v>176</v>
      </c>
      <c r="I5" s="13" t="s">
        <v>174</v>
      </c>
      <c r="J5" s="281" t="s">
        <v>177</v>
      </c>
      <c r="K5" s="281"/>
      <c r="L5" s="281"/>
      <c r="M5" s="281"/>
      <c r="N5" s="74"/>
      <c r="O5" s="89"/>
    </row>
    <row r="6" spans="2:15" ht="36" customHeight="1" x14ac:dyDescent="0.65">
      <c r="B6" s="5" t="s">
        <v>180</v>
      </c>
      <c r="C6" s="88"/>
      <c r="D6" s="25"/>
      <c r="E6" s="25"/>
      <c r="F6" s="25"/>
      <c r="G6" s="37">
        <v>2018</v>
      </c>
      <c r="H6" s="13">
        <f>G6+1</f>
        <v>2019</v>
      </c>
      <c r="I6" s="195">
        <f t="shared" ref="I6:M6" si="0">H6+1</f>
        <v>2020</v>
      </c>
      <c r="J6" s="195">
        <f t="shared" si="0"/>
        <v>2021</v>
      </c>
      <c r="K6" s="195">
        <f t="shared" si="0"/>
        <v>2022</v>
      </c>
      <c r="L6" s="195">
        <f t="shared" si="0"/>
        <v>2023</v>
      </c>
      <c r="M6" s="195">
        <f t="shared" si="0"/>
        <v>2024</v>
      </c>
      <c r="N6" s="127"/>
      <c r="O6" s="2"/>
    </row>
    <row r="7" spans="2:15" x14ac:dyDescent="0.3">
      <c r="C7" s="25"/>
      <c r="D7" s="25"/>
      <c r="E7" s="25"/>
      <c r="G7" s="25"/>
      <c r="H7" s="25"/>
      <c r="I7" s="25"/>
      <c r="J7" s="25"/>
      <c r="K7" s="25"/>
      <c r="L7" s="25"/>
      <c r="M7" s="25"/>
      <c r="N7" s="74"/>
    </row>
    <row r="8" spans="2:15" x14ac:dyDescent="0.3">
      <c r="C8" s="72" t="s">
        <v>85</v>
      </c>
      <c r="D8" s="72"/>
      <c r="E8" s="13"/>
      <c r="F8" s="25"/>
      <c r="H8" s="282"/>
      <c r="I8" s="282"/>
      <c r="J8" s="282"/>
      <c r="K8" s="282"/>
      <c r="L8" s="282"/>
      <c r="M8" s="282"/>
      <c r="N8" s="74"/>
    </row>
    <row r="9" spans="2:15" x14ac:dyDescent="0.3">
      <c r="B9" s="2">
        <v>1</v>
      </c>
      <c r="C9" s="73"/>
      <c r="D9" s="74" t="s">
        <v>86</v>
      </c>
      <c r="F9" s="25"/>
      <c r="G9" s="82">
        <f>'Benchmarking Calculations'!G92</f>
        <v>501091.49</v>
      </c>
      <c r="H9" s="116">
        <v>664109</v>
      </c>
      <c r="I9" s="116">
        <v>963000</v>
      </c>
      <c r="J9" s="116">
        <v>627000</v>
      </c>
      <c r="K9" s="116">
        <v>951550</v>
      </c>
      <c r="L9" s="116">
        <v>507450</v>
      </c>
      <c r="M9" s="116">
        <v>593500</v>
      </c>
      <c r="N9" s="74" t="s">
        <v>172</v>
      </c>
      <c r="O9" s="84"/>
    </row>
    <row r="10" spans="2:15" x14ac:dyDescent="0.3">
      <c r="B10" s="2">
        <v>2</v>
      </c>
      <c r="C10" s="73"/>
      <c r="D10" s="74" t="s">
        <v>87</v>
      </c>
      <c r="F10" s="25"/>
      <c r="G10" s="82">
        <f>'Benchmarking Calculations'!G93</f>
        <v>0</v>
      </c>
      <c r="H10" s="116"/>
      <c r="I10" s="116"/>
      <c r="J10" s="116"/>
      <c r="K10" s="116"/>
      <c r="L10" s="116"/>
      <c r="M10" s="116"/>
      <c r="N10" s="74" t="s">
        <v>172</v>
      </c>
      <c r="O10" s="84"/>
    </row>
    <row r="11" spans="2:15" x14ac:dyDescent="0.3">
      <c r="C11" s="73"/>
      <c r="D11" s="73"/>
      <c r="E11" s="13"/>
      <c r="F11" s="25"/>
      <c r="G11" s="82"/>
      <c r="H11" s="25"/>
      <c r="I11" s="25"/>
      <c r="J11" s="25"/>
      <c r="K11" s="25"/>
      <c r="L11" s="25"/>
      <c r="M11" s="25"/>
      <c r="N11" s="74"/>
      <c r="O11" s="84"/>
    </row>
    <row r="12" spans="2:15" x14ac:dyDescent="0.3">
      <c r="C12" s="72" t="s">
        <v>88</v>
      </c>
      <c r="D12" s="72"/>
      <c r="E12" s="13"/>
      <c r="F12" s="25"/>
      <c r="G12" s="82"/>
      <c r="H12" s="157"/>
      <c r="I12" s="157"/>
      <c r="J12" s="157"/>
      <c r="K12" s="157"/>
      <c r="L12" s="157"/>
      <c r="M12" s="157"/>
      <c r="N12" s="74"/>
      <c r="O12" s="84"/>
    </row>
    <row r="13" spans="2:15" x14ac:dyDescent="0.3">
      <c r="B13" s="2">
        <v>3</v>
      </c>
      <c r="C13" s="73"/>
      <c r="D13" s="36" t="s">
        <v>89</v>
      </c>
      <c r="F13" s="25"/>
      <c r="G13" s="82">
        <f>'Benchmarking Calculations'!G96</f>
        <v>3805</v>
      </c>
      <c r="H13" s="116">
        <v>3830</v>
      </c>
      <c r="I13" s="116">
        <v>3837</v>
      </c>
      <c r="J13" s="116">
        <v>3862</v>
      </c>
      <c r="K13" s="116">
        <f>J13*100.7%</f>
        <v>3889.0340000000006</v>
      </c>
      <c r="L13" s="116">
        <f t="shared" ref="L13:M13" si="1">K13*100.7%</f>
        <v>3916.2572380000011</v>
      </c>
      <c r="M13" s="116">
        <f t="shared" si="1"/>
        <v>3943.6710386660016</v>
      </c>
      <c r="N13" s="74" t="s">
        <v>172</v>
      </c>
      <c r="O13" s="84"/>
    </row>
    <row r="14" spans="2:15" x14ac:dyDescent="0.3">
      <c r="B14" s="2">
        <v>4</v>
      </c>
      <c r="C14" s="73"/>
      <c r="D14" s="36" t="s">
        <v>90</v>
      </c>
      <c r="F14" s="25"/>
      <c r="G14" s="82">
        <f>'Benchmarking Calculations'!G97</f>
        <v>99147429.620000005</v>
      </c>
      <c r="H14" s="116">
        <v>98783155</v>
      </c>
      <c r="I14" s="116">
        <v>98938804.020262182</v>
      </c>
      <c r="J14" s="116">
        <v>99677917.401985317</v>
      </c>
      <c r="K14" s="116">
        <v>99700000</v>
      </c>
      <c r="L14" s="116">
        <v>99750000</v>
      </c>
      <c r="M14" s="116">
        <v>99800000</v>
      </c>
      <c r="N14" s="74" t="s">
        <v>172</v>
      </c>
      <c r="O14" s="84"/>
    </row>
    <row r="15" spans="2:15" x14ac:dyDescent="0.3">
      <c r="B15" s="2">
        <v>5</v>
      </c>
      <c r="C15" s="25"/>
      <c r="D15" s="36" t="s">
        <v>91</v>
      </c>
      <c r="F15" s="25"/>
      <c r="G15" s="82">
        <f>'Benchmarking Calculations'!G98</f>
        <v>16660</v>
      </c>
      <c r="H15" s="116">
        <v>17014</v>
      </c>
      <c r="I15" s="116">
        <v>17020</v>
      </c>
      <c r="J15" s="116">
        <v>17030</v>
      </c>
      <c r="K15" s="116">
        <f>J15</f>
        <v>17030</v>
      </c>
      <c r="L15" s="116">
        <f t="shared" ref="L15:M15" si="2">K15</f>
        <v>17030</v>
      </c>
      <c r="M15" s="116">
        <f t="shared" si="2"/>
        <v>17030</v>
      </c>
      <c r="N15" s="74" t="s">
        <v>172</v>
      </c>
      <c r="O15" s="84"/>
    </row>
    <row r="16" spans="2:15" x14ac:dyDescent="0.3">
      <c r="B16" s="2">
        <v>6</v>
      </c>
      <c r="C16" s="25"/>
      <c r="D16" s="74" t="s">
        <v>189</v>
      </c>
      <c r="F16" s="25"/>
      <c r="G16" s="82">
        <f>'Benchmarking Calculations'!G99</f>
        <v>79</v>
      </c>
      <c r="H16" s="116">
        <v>208</v>
      </c>
      <c r="I16" s="116">
        <f t="shared" ref="I16:M16" si="3">H16</f>
        <v>208</v>
      </c>
      <c r="J16" s="116">
        <f t="shared" si="3"/>
        <v>208</v>
      </c>
      <c r="K16" s="116">
        <f t="shared" si="3"/>
        <v>208</v>
      </c>
      <c r="L16" s="116">
        <f t="shared" si="3"/>
        <v>208</v>
      </c>
      <c r="M16" s="116">
        <f t="shared" si="3"/>
        <v>208</v>
      </c>
      <c r="N16" s="74" t="s">
        <v>172</v>
      </c>
      <c r="O16" s="84"/>
    </row>
    <row r="17" spans="2:15" x14ac:dyDescent="0.3">
      <c r="B17" s="2">
        <v>7</v>
      </c>
      <c r="C17" s="37"/>
      <c r="D17" s="73" t="s">
        <v>121</v>
      </c>
      <c r="F17" s="74"/>
      <c r="G17" s="85">
        <f>'Benchmarking Calculations'!G145</f>
        <v>7.6379066478076379E-2</v>
      </c>
      <c r="H17" s="196">
        <v>6.83E-2</v>
      </c>
      <c r="I17" s="196">
        <f t="shared" ref="I17:M17" si="4">H17</f>
        <v>6.83E-2</v>
      </c>
      <c r="J17" s="196">
        <f t="shared" si="4"/>
        <v>6.83E-2</v>
      </c>
      <c r="K17" s="196">
        <f t="shared" si="4"/>
        <v>6.83E-2</v>
      </c>
      <c r="L17" s="196">
        <f t="shared" si="4"/>
        <v>6.83E-2</v>
      </c>
      <c r="M17" s="196">
        <f t="shared" si="4"/>
        <v>6.83E-2</v>
      </c>
      <c r="N17" s="74" t="s">
        <v>172</v>
      </c>
      <c r="O17" s="84"/>
    </row>
    <row r="18" spans="2:15" x14ac:dyDescent="0.3">
      <c r="C18" s="37"/>
      <c r="E18" s="73"/>
      <c r="F18" s="74"/>
      <c r="G18" s="50"/>
      <c r="H18" s="78"/>
      <c r="I18" s="57"/>
      <c r="J18" s="25"/>
      <c r="K18" s="25"/>
      <c r="L18" s="25"/>
      <c r="M18" s="25"/>
    </row>
    <row r="19" spans="2:15" x14ac:dyDescent="0.3">
      <c r="C19" s="72" t="s">
        <v>165</v>
      </c>
      <c r="E19" s="73"/>
      <c r="F19" s="74"/>
      <c r="G19" s="50"/>
      <c r="H19" s="282"/>
      <c r="I19" s="282"/>
      <c r="J19" s="282"/>
      <c r="K19" s="282"/>
      <c r="L19" s="282"/>
      <c r="M19" s="282"/>
    </row>
    <row r="20" spans="2:15" x14ac:dyDescent="0.3">
      <c r="B20" s="2">
        <v>8</v>
      </c>
      <c r="C20" s="37"/>
      <c r="D20" s="73" t="s">
        <v>166</v>
      </c>
      <c r="F20" s="74"/>
      <c r="G20" s="85">
        <f>LN('Benchmarking Calculations'!G135/'Benchmarking Calculations'!F135)</f>
        <v>2.8783109434923061E-2</v>
      </c>
      <c r="H20" s="115">
        <f>G20</f>
        <v>2.8783109434923061E-2</v>
      </c>
      <c r="I20" s="115">
        <f t="shared" ref="I20:M20" si="5">H20</f>
        <v>2.8783109434923061E-2</v>
      </c>
      <c r="J20" s="115">
        <f t="shared" si="5"/>
        <v>2.8783109434923061E-2</v>
      </c>
      <c r="K20" s="115">
        <f t="shared" si="5"/>
        <v>2.8783109434923061E-2</v>
      </c>
      <c r="L20" s="115">
        <f t="shared" si="5"/>
        <v>2.8783109434923061E-2</v>
      </c>
      <c r="M20" s="115">
        <f t="shared" si="5"/>
        <v>2.8783109434923061E-2</v>
      </c>
      <c r="N20" s="74" t="s">
        <v>271</v>
      </c>
    </row>
    <row r="21" spans="2:15" ht="14.25" customHeight="1" x14ac:dyDescent="0.3">
      <c r="B21" s="2">
        <v>9</v>
      </c>
      <c r="C21" s="37"/>
      <c r="D21" s="73" t="s">
        <v>167</v>
      </c>
      <c r="F21" s="74"/>
      <c r="G21" s="85">
        <f>LN('Benchmarking Calculations'!G134/'Benchmarking Calculations'!F134)</f>
        <v>1.6007659445930671E-2</v>
      </c>
      <c r="H21" s="115">
        <f t="shared" ref="H21:M22" si="6">G21</f>
        <v>1.6007659445930671E-2</v>
      </c>
      <c r="I21" s="115">
        <f t="shared" si="6"/>
        <v>1.6007659445930671E-2</v>
      </c>
      <c r="J21" s="115">
        <f t="shared" si="6"/>
        <v>1.6007659445930671E-2</v>
      </c>
      <c r="K21" s="115">
        <f t="shared" si="6"/>
        <v>1.6007659445930671E-2</v>
      </c>
      <c r="L21" s="115">
        <f t="shared" si="6"/>
        <v>1.6007659445930671E-2</v>
      </c>
      <c r="M21" s="115">
        <f t="shared" si="6"/>
        <v>1.6007659445930671E-2</v>
      </c>
      <c r="N21" s="74" t="s">
        <v>271</v>
      </c>
    </row>
    <row r="22" spans="2:15" x14ac:dyDescent="0.3">
      <c r="B22" s="2">
        <v>10</v>
      </c>
      <c r="C22" s="37"/>
      <c r="D22" s="25" t="s">
        <v>173</v>
      </c>
      <c r="F22" s="74"/>
      <c r="G22" s="85">
        <f>'Benchmarking Calculations'!G110</f>
        <v>6.0212000000000002E-2</v>
      </c>
      <c r="H22" s="115">
        <f t="shared" si="6"/>
        <v>6.0212000000000002E-2</v>
      </c>
      <c r="I22" s="115">
        <f t="shared" si="6"/>
        <v>6.0212000000000002E-2</v>
      </c>
      <c r="J22" s="115">
        <f t="shared" si="6"/>
        <v>6.0212000000000002E-2</v>
      </c>
      <c r="K22" s="115">
        <f t="shared" si="6"/>
        <v>6.0212000000000002E-2</v>
      </c>
      <c r="L22" s="115">
        <f t="shared" si="6"/>
        <v>6.0212000000000002E-2</v>
      </c>
      <c r="M22" s="115">
        <f t="shared" si="6"/>
        <v>6.0212000000000002E-2</v>
      </c>
      <c r="N22" s="74" t="s">
        <v>172</v>
      </c>
    </row>
    <row r="23" spans="2:15" s="87" customFormat="1" x14ac:dyDescent="0.3">
      <c r="B23" s="2"/>
      <c r="C23" s="37"/>
      <c r="D23" s="25"/>
      <c r="F23" s="74"/>
      <c r="G23" s="85"/>
      <c r="H23" s="90"/>
      <c r="I23" s="90"/>
      <c r="J23" s="90"/>
      <c r="K23" s="90"/>
      <c r="L23" s="90"/>
      <c r="M23" s="90"/>
      <c r="N23" s="74"/>
    </row>
    <row r="24" spans="2:15" s="87" customFormat="1" x14ac:dyDescent="0.3">
      <c r="B24" s="2"/>
      <c r="C24" s="37"/>
      <c r="D24" s="25"/>
      <c r="F24" s="74"/>
      <c r="G24" s="85"/>
      <c r="H24" s="90"/>
      <c r="I24" s="90"/>
      <c r="J24" s="90"/>
      <c r="K24" s="90"/>
      <c r="L24" s="90"/>
      <c r="M24" s="90"/>
      <c r="N24" s="74"/>
    </row>
    <row r="25" spans="2:15" s="87" customFormat="1" x14ac:dyDescent="0.3">
      <c r="B25" s="2"/>
      <c r="C25" s="75" t="s">
        <v>190</v>
      </c>
      <c r="D25" s="25"/>
      <c r="F25" s="74"/>
      <c r="G25" s="85"/>
      <c r="H25" s="90"/>
      <c r="I25" s="90"/>
      <c r="J25" s="90"/>
      <c r="K25" s="90"/>
      <c r="L25" s="90"/>
      <c r="M25" s="90"/>
      <c r="N25" s="74"/>
    </row>
    <row r="26" spans="2:15" ht="13.5" thickBot="1" x14ac:dyDescent="0.35">
      <c r="C26" s="37"/>
      <c r="D26" s="73"/>
      <c r="E26" s="13"/>
      <c r="F26" s="74"/>
      <c r="G26" s="50"/>
      <c r="H26" s="78"/>
      <c r="I26" s="57"/>
      <c r="J26" s="25"/>
      <c r="K26" s="25"/>
      <c r="L26" s="25"/>
      <c r="M26" s="25"/>
      <c r="N26" s="74"/>
    </row>
    <row r="27" spans="2:15" ht="13.5" thickBot="1" x14ac:dyDescent="0.35">
      <c r="E27" s="122" t="s">
        <v>170</v>
      </c>
      <c r="F27" s="72" t="s">
        <v>195</v>
      </c>
      <c r="G27" s="50">
        <f>G35-G36+G37</f>
        <v>6196.0300000000007</v>
      </c>
      <c r="H27" s="50">
        <f t="shared" ref="H27:M27" si="7">H35-H36+H37</f>
        <v>5430</v>
      </c>
      <c r="I27" s="50">
        <f t="shared" si="7"/>
        <v>5600</v>
      </c>
      <c r="J27" s="50">
        <f>J35-J36+J37</f>
        <v>5700</v>
      </c>
      <c r="K27" s="50">
        <f t="shared" si="7"/>
        <v>5814</v>
      </c>
      <c r="L27" s="50">
        <f t="shared" si="7"/>
        <v>5930.28</v>
      </c>
      <c r="M27" s="50">
        <f t="shared" si="7"/>
        <v>6048.8855999999996</v>
      </c>
      <c r="N27" s="58" t="s">
        <v>29</v>
      </c>
    </row>
    <row r="28" spans="2:15" ht="13.5" thickBot="1" x14ac:dyDescent="0.35">
      <c r="B28" s="11" t="s">
        <v>187</v>
      </c>
      <c r="E28" s="13"/>
      <c r="F28" s="72"/>
      <c r="G28" s="50"/>
      <c r="H28" s="50"/>
      <c r="I28" s="50"/>
      <c r="J28" s="50"/>
      <c r="K28" s="50"/>
      <c r="L28" s="50"/>
      <c r="M28" s="50"/>
      <c r="N28" s="74"/>
    </row>
    <row r="29" spans="2:15" ht="13.5" thickBot="1" x14ac:dyDescent="0.35">
      <c r="E29" s="122" t="s">
        <v>169</v>
      </c>
      <c r="F29" s="72" t="s">
        <v>199</v>
      </c>
      <c r="G29" s="50">
        <f>G115-G121+G122</f>
        <v>1702862.64</v>
      </c>
      <c r="H29" s="50">
        <f t="shared" ref="H29:M29" si="8">H115-H121+H122</f>
        <v>1806902.38</v>
      </c>
      <c r="I29" s="50">
        <f t="shared" si="8"/>
        <v>1884027</v>
      </c>
      <c r="J29" s="50">
        <f t="shared" si="8"/>
        <v>1904700</v>
      </c>
      <c r="K29" s="50">
        <f t="shared" si="8"/>
        <v>1942794</v>
      </c>
      <c r="L29" s="50">
        <f t="shared" si="8"/>
        <v>1981649.8800000001</v>
      </c>
      <c r="M29" s="50">
        <f t="shared" si="8"/>
        <v>2021282.8776</v>
      </c>
      <c r="N29" s="58" t="s">
        <v>29</v>
      </c>
    </row>
    <row r="30" spans="2:15" x14ac:dyDescent="0.3">
      <c r="C30" s="67"/>
      <c r="D30" s="73"/>
      <c r="E30" s="73"/>
      <c r="F30" s="74"/>
      <c r="G30" s="50"/>
      <c r="H30" s="78"/>
      <c r="I30" s="57"/>
      <c r="J30" s="25"/>
      <c r="K30" s="25"/>
      <c r="L30" s="25"/>
      <c r="M30" s="25"/>
      <c r="N30" s="74"/>
    </row>
    <row r="31" spans="2:15" x14ac:dyDescent="0.3">
      <c r="B31" s="2">
        <v>11</v>
      </c>
      <c r="D31" s="73"/>
      <c r="E31" s="68" t="s">
        <v>171</v>
      </c>
      <c r="F31" s="74"/>
      <c r="G31" s="50">
        <f t="shared" ref="G31:M31" si="9">IF($E$27="Y",G27,IF($E$29="Y",G29,"Error: Please enter Y for one method"))</f>
        <v>1702862.64</v>
      </c>
      <c r="H31" s="50">
        <f t="shared" si="9"/>
        <v>1806902.38</v>
      </c>
      <c r="I31" s="50">
        <f t="shared" si="9"/>
        <v>1884027</v>
      </c>
      <c r="J31" s="50">
        <f t="shared" si="9"/>
        <v>1904700</v>
      </c>
      <c r="K31" s="50">
        <f t="shared" si="9"/>
        <v>1942794</v>
      </c>
      <c r="L31" s="50">
        <f t="shared" si="9"/>
        <v>1981649.8800000001</v>
      </c>
      <c r="M31" s="50">
        <f t="shared" si="9"/>
        <v>2021282.8776</v>
      </c>
      <c r="N31" s="58" t="s">
        <v>29</v>
      </c>
    </row>
    <row r="32" spans="2:15" ht="13.5" thickBot="1" x14ac:dyDescent="0.35"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4"/>
    </row>
    <row r="33" spans="2:14" s="87" customFormat="1" x14ac:dyDescent="0.3">
      <c r="B33" s="2"/>
      <c r="C33" s="12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29"/>
    </row>
    <row r="34" spans="2:14" x14ac:dyDescent="0.3">
      <c r="C34" s="130"/>
      <c r="D34" s="75" t="s">
        <v>179</v>
      </c>
      <c r="E34" s="25"/>
      <c r="F34" s="25"/>
      <c r="G34" s="82"/>
      <c r="H34" s="278" t="s">
        <v>183</v>
      </c>
      <c r="I34" s="278"/>
      <c r="J34" s="278"/>
      <c r="K34" s="278"/>
      <c r="L34" s="278"/>
      <c r="M34" s="278"/>
      <c r="N34" s="131"/>
    </row>
    <row r="35" spans="2:14" x14ac:dyDescent="0.3">
      <c r="C35" s="130"/>
      <c r="D35" s="144" t="s">
        <v>192</v>
      </c>
      <c r="E35" s="25" t="s">
        <v>200</v>
      </c>
      <c r="F35" s="25"/>
      <c r="G35" s="81"/>
      <c r="H35" s="116"/>
      <c r="I35" s="116"/>
      <c r="J35" s="116"/>
      <c r="K35" s="116"/>
      <c r="L35" s="116"/>
      <c r="M35" s="116"/>
      <c r="N35" s="131" t="s">
        <v>172</v>
      </c>
    </row>
    <row r="36" spans="2:14" x14ac:dyDescent="0.3">
      <c r="C36" s="130"/>
      <c r="D36" s="144" t="s">
        <v>193</v>
      </c>
      <c r="E36" s="25" t="s">
        <v>191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1" t="s">
        <v>172</v>
      </c>
    </row>
    <row r="37" spans="2:14" x14ac:dyDescent="0.3">
      <c r="C37" s="130"/>
      <c r="D37" s="145" t="s">
        <v>194</v>
      </c>
      <c r="E37" s="25" t="s">
        <v>83</v>
      </c>
      <c r="F37" s="25"/>
      <c r="G37" s="50">
        <f>G122</f>
        <v>6196.0300000000007</v>
      </c>
      <c r="H37" s="116">
        <f>H122</f>
        <v>5430</v>
      </c>
      <c r="I37" s="116">
        <f t="shared" ref="I37:M37" si="10">I122</f>
        <v>5600</v>
      </c>
      <c r="J37" s="116">
        <f t="shared" si="10"/>
        <v>5700</v>
      </c>
      <c r="K37" s="116">
        <f t="shared" si="10"/>
        <v>5814</v>
      </c>
      <c r="L37" s="116">
        <f t="shared" si="10"/>
        <v>5930.28</v>
      </c>
      <c r="M37" s="116">
        <f t="shared" si="10"/>
        <v>6048.8855999999996</v>
      </c>
      <c r="N37" s="131" t="s">
        <v>172</v>
      </c>
    </row>
    <row r="38" spans="2:14" s="87" customFormat="1" ht="13.5" thickBot="1" x14ac:dyDescent="0.35">
      <c r="B38" s="2"/>
      <c r="C38" s="132"/>
      <c r="D38" s="71"/>
      <c r="E38" s="71"/>
      <c r="F38" s="71"/>
      <c r="G38" s="133"/>
      <c r="H38" s="142"/>
      <c r="I38" s="142"/>
      <c r="J38" s="142"/>
      <c r="K38" s="142"/>
      <c r="L38" s="142"/>
      <c r="M38" s="142"/>
      <c r="N38" s="134"/>
    </row>
    <row r="39" spans="2:14" s="87" customFormat="1" ht="13.5" thickBot="1" x14ac:dyDescent="0.35">
      <c r="B39" s="2"/>
      <c r="C39" s="75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4"/>
    </row>
    <row r="40" spans="2:14" x14ac:dyDescent="0.3">
      <c r="C40" s="12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29"/>
    </row>
    <row r="41" spans="2:14" x14ac:dyDescent="0.3">
      <c r="C41" s="130"/>
      <c r="D41" s="75" t="s">
        <v>178</v>
      </c>
      <c r="E41" s="25"/>
      <c r="F41" s="25"/>
      <c r="G41" s="224">
        <v>2018</v>
      </c>
      <c r="H41" s="225">
        <f>G41+1</f>
        <v>2019</v>
      </c>
      <c r="I41" s="225">
        <f t="shared" ref="I41" si="11">H41+1</f>
        <v>2020</v>
      </c>
      <c r="J41" s="225">
        <f t="shared" ref="J41" si="12">I41+1</f>
        <v>2021</v>
      </c>
      <c r="K41" s="225">
        <f t="shared" ref="K41" si="13">J41+1</f>
        <v>2022</v>
      </c>
      <c r="L41" s="225">
        <f t="shared" ref="L41" si="14">K41+1</f>
        <v>2023</v>
      </c>
      <c r="M41" s="225">
        <f t="shared" ref="M41" si="15">L41+1</f>
        <v>2024</v>
      </c>
      <c r="N41" s="131"/>
    </row>
    <row r="42" spans="2:14" x14ac:dyDescent="0.3">
      <c r="C42" s="70"/>
      <c r="D42" s="25"/>
      <c r="E42" s="25"/>
      <c r="F42" s="25"/>
      <c r="G42" s="25"/>
      <c r="H42" s="25"/>
      <c r="I42" s="25"/>
      <c r="J42" s="25"/>
      <c r="K42" s="226">
        <v>0.02</v>
      </c>
      <c r="L42" s="226">
        <v>0.02</v>
      </c>
      <c r="M42" s="226">
        <v>0.02</v>
      </c>
      <c r="N42" s="131"/>
    </row>
    <row r="43" spans="2:14" x14ac:dyDescent="0.3">
      <c r="C43" s="135"/>
      <c r="D43" s="75" t="s">
        <v>164</v>
      </c>
      <c r="E43" s="75"/>
      <c r="F43" s="13"/>
      <c r="G43" s="36"/>
      <c r="H43" s="25"/>
      <c r="I43" s="25"/>
      <c r="J43" s="25"/>
      <c r="K43" s="25"/>
      <c r="L43" s="25"/>
      <c r="M43" s="25"/>
      <c r="N43" s="131"/>
    </row>
    <row r="44" spans="2:14" x14ac:dyDescent="0.3">
      <c r="C44" s="135"/>
      <c r="D44" s="25"/>
      <c r="E44" s="74">
        <v>5005</v>
      </c>
      <c r="F44" s="127" t="s">
        <v>8</v>
      </c>
      <c r="G44" s="57">
        <f>'Benchmarking Calculations'!G10</f>
        <v>151447.92000000001</v>
      </c>
      <c r="H44" s="120">
        <v>118695.66</v>
      </c>
      <c r="I44" s="120">
        <v>125542</v>
      </c>
      <c r="J44" s="121">
        <v>118000</v>
      </c>
      <c r="K44" s="121">
        <f>J44*(1+$K$42)</f>
        <v>120360</v>
      </c>
      <c r="L44" s="227">
        <f>K44*(1+$L$42)</f>
        <v>122767.2</v>
      </c>
      <c r="M44" s="227">
        <f>L44*(1+$M$42)</f>
        <v>125222.54399999999</v>
      </c>
      <c r="N44" s="131" t="s">
        <v>172</v>
      </c>
    </row>
    <row r="45" spans="2:14" x14ac:dyDescent="0.3">
      <c r="C45" s="135"/>
      <c r="D45" s="25"/>
      <c r="E45" s="74">
        <v>5010</v>
      </c>
      <c r="F45" s="127" t="s">
        <v>9</v>
      </c>
      <c r="G45" s="57">
        <f>'Benchmarking Calculations'!G11</f>
        <v>0</v>
      </c>
      <c r="H45" s="120">
        <v>0</v>
      </c>
      <c r="I45" s="120">
        <v>0</v>
      </c>
      <c r="J45" s="121">
        <v>0</v>
      </c>
      <c r="K45" s="121">
        <f t="shared" ref="K45:K60" si="16">J45*(1+$K$42)</f>
        <v>0</v>
      </c>
      <c r="L45" s="227">
        <f t="shared" ref="L45:L60" si="17">K45*(1+$L$42)</f>
        <v>0</v>
      </c>
      <c r="M45" s="227">
        <f t="shared" ref="M45:M60" si="18">L45*(1+$M$42)</f>
        <v>0</v>
      </c>
      <c r="N45" s="131" t="s">
        <v>172</v>
      </c>
    </row>
    <row r="46" spans="2:14" x14ac:dyDescent="0.3">
      <c r="C46" s="135"/>
      <c r="D46" s="25"/>
      <c r="E46" s="74">
        <v>5012</v>
      </c>
      <c r="F46" s="127" t="s">
        <v>10</v>
      </c>
      <c r="G46" s="57">
        <f>'Benchmarking Calculations'!G12</f>
        <v>17505.419999999998</v>
      </c>
      <c r="H46" s="120">
        <v>19590.87</v>
      </c>
      <c r="I46" s="120">
        <v>18944</v>
      </c>
      <c r="J46" s="121">
        <v>21000</v>
      </c>
      <c r="K46" s="121">
        <f t="shared" si="16"/>
        <v>21420</v>
      </c>
      <c r="L46" s="227">
        <f t="shared" si="17"/>
        <v>21848.400000000001</v>
      </c>
      <c r="M46" s="227">
        <f t="shared" si="18"/>
        <v>22285.368000000002</v>
      </c>
      <c r="N46" s="131" t="s">
        <v>172</v>
      </c>
    </row>
    <row r="47" spans="2:14" x14ac:dyDescent="0.3">
      <c r="C47" s="135"/>
      <c r="D47" s="25"/>
      <c r="E47" s="74">
        <v>5014</v>
      </c>
      <c r="F47" s="127" t="s">
        <v>11</v>
      </c>
      <c r="G47" s="57">
        <f>'Benchmarking Calculations'!G13</f>
        <v>0</v>
      </c>
      <c r="H47" s="120">
        <v>0</v>
      </c>
      <c r="I47" s="120">
        <v>0</v>
      </c>
      <c r="J47" s="121">
        <v>0</v>
      </c>
      <c r="K47" s="121">
        <f t="shared" si="16"/>
        <v>0</v>
      </c>
      <c r="L47" s="227">
        <f t="shared" si="17"/>
        <v>0</v>
      </c>
      <c r="M47" s="227">
        <f t="shared" si="18"/>
        <v>0</v>
      </c>
      <c r="N47" s="131" t="s">
        <v>172</v>
      </c>
    </row>
    <row r="48" spans="2:14" ht="26" x14ac:dyDescent="0.3">
      <c r="C48" s="135"/>
      <c r="D48" s="25"/>
      <c r="E48" s="74">
        <v>5015</v>
      </c>
      <c r="F48" s="127" t="s">
        <v>12</v>
      </c>
      <c r="G48" s="57">
        <f>'Benchmarking Calculations'!G14</f>
        <v>0</v>
      </c>
      <c r="H48" s="120">
        <v>0</v>
      </c>
      <c r="I48" s="120">
        <v>0</v>
      </c>
      <c r="J48" s="121">
        <v>0</v>
      </c>
      <c r="K48" s="121">
        <f t="shared" si="16"/>
        <v>0</v>
      </c>
      <c r="L48" s="227">
        <f t="shared" si="17"/>
        <v>0</v>
      </c>
      <c r="M48" s="227">
        <f t="shared" si="18"/>
        <v>0</v>
      </c>
      <c r="N48" s="131" t="s">
        <v>172</v>
      </c>
    </row>
    <row r="49" spans="3:14" x14ac:dyDescent="0.3">
      <c r="C49" s="135"/>
      <c r="D49" s="25"/>
      <c r="E49" s="74">
        <v>5016</v>
      </c>
      <c r="F49" s="127" t="s">
        <v>13</v>
      </c>
      <c r="G49" s="57">
        <f>'Benchmarking Calculations'!G15</f>
        <v>4805.09</v>
      </c>
      <c r="H49" s="120">
        <v>4388.4399999999996</v>
      </c>
      <c r="I49" s="120">
        <v>9112</v>
      </c>
      <c r="J49" s="121">
        <v>4500</v>
      </c>
      <c r="K49" s="121">
        <f t="shared" si="16"/>
        <v>4590</v>
      </c>
      <c r="L49" s="227">
        <f t="shared" si="17"/>
        <v>4681.8</v>
      </c>
      <c r="M49" s="227">
        <f t="shared" si="18"/>
        <v>4775.4360000000006</v>
      </c>
      <c r="N49" s="131" t="s">
        <v>172</v>
      </c>
    </row>
    <row r="50" spans="3:14" ht="26" x14ac:dyDescent="0.3">
      <c r="C50" s="135"/>
      <c r="D50" s="25"/>
      <c r="E50" s="74">
        <v>5017</v>
      </c>
      <c r="F50" s="127" t="s">
        <v>14</v>
      </c>
      <c r="G50" s="57">
        <f>'Benchmarking Calculations'!G16</f>
        <v>17819.64</v>
      </c>
      <c r="H50" s="120">
        <v>19945.84</v>
      </c>
      <c r="I50" s="120">
        <v>17560</v>
      </c>
      <c r="J50" s="121">
        <v>20500</v>
      </c>
      <c r="K50" s="121">
        <f t="shared" si="16"/>
        <v>20910</v>
      </c>
      <c r="L50" s="227">
        <f t="shared" si="17"/>
        <v>21328.2</v>
      </c>
      <c r="M50" s="227">
        <f t="shared" si="18"/>
        <v>21754.764000000003</v>
      </c>
      <c r="N50" s="131" t="s">
        <v>172</v>
      </c>
    </row>
    <row r="51" spans="3:14" x14ac:dyDescent="0.3">
      <c r="C51" s="135"/>
      <c r="D51" s="25"/>
      <c r="E51" s="74">
        <v>5020</v>
      </c>
      <c r="F51" s="127" t="s">
        <v>15</v>
      </c>
      <c r="G51" s="57">
        <f>'Benchmarking Calculations'!G17</f>
        <v>13226.57</v>
      </c>
      <c r="H51" s="120">
        <v>8989.11</v>
      </c>
      <c r="I51" s="120">
        <v>12065</v>
      </c>
      <c r="J51" s="121">
        <v>12000</v>
      </c>
      <c r="K51" s="121">
        <f t="shared" si="16"/>
        <v>12240</v>
      </c>
      <c r="L51" s="227">
        <f t="shared" si="17"/>
        <v>12484.800000000001</v>
      </c>
      <c r="M51" s="227">
        <f t="shared" si="18"/>
        <v>12734.496000000001</v>
      </c>
      <c r="N51" s="131" t="s">
        <v>172</v>
      </c>
    </row>
    <row r="52" spans="3:14" ht="26" x14ac:dyDescent="0.3">
      <c r="C52" s="135"/>
      <c r="D52" s="25"/>
      <c r="E52" s="74">
        <v>5025</v>
      </c>
      <c r="F52" s="127" t="s">
        <v>16</v>
      </c>
      <c r="G52" s="57">
        <f>'Benchmarking Calculations'!G18</f>
        <v>9514.16</v>
      </c>
      <c r="H52" s="120">
        <v>9857.7800000000007</v>
      </c>
      <c r="I52" s="120">
        <v>9991</v>
      </c>
      <c r="J52" s="121">
        <v>17000</v>
      </c>
      <c r="K52" s="121">
        <f t="shared" si="16"/>
        <v>17340</v>
      </c>
      <c r="L52" s="227">
        <f t="shared" si="17"/>
        <v>17686.8</v>
      </c>
      <c r="M52" s="227">
        <f t="shared" si="18"/>
        <v>18040.536</v>
      </c>
      <c r="N52" s="131" t="s">
        <v>172</v>
      </c>
    </row>
    <row r="53" spans="3:14" x14ac:dyDescent="0.3">
      <c r="C53" s="135"/>
      <c r="D53" s="25"/>
      <c r="E53" s="74">
        <v>5035</v>
      </c>
      <c r="F53" s="127" t="s">
        <v>17</v>
      </c>
      <c r="G53" s="57">
        <f>'Benchmarking Calculations'!G19</f>
        <v>4925.83</v>
      </c>
      <c r="H53" s="120">
        <v>4385.57</v>
      </c>
      <c r="I53" s="120">
        <v>12289</v>
      </c>
      <c r="J53" s="121">
        <v>6500</v>
      </c>
      <c r="K53" s="121">
        <f t="shared" si="16"/>
        <v>6630</v>
      </c>
      <c r="L53" s="227">
        <f t="shared" si="17"/>
        <v>6762.6</v>
      </c>
      <c r="M53" s="227">
        <f t="shared" si="18"/>
        <v>6897.8520000000008</v>
      </c>
      <c r="N53" s="131" t="s">
        <v>172</v>
      </c>
    </row>
    <row r="54" spans="3:14" ht="26" x14ac:dyDescent="0.3">
      <c r="C54" s="135"/>
      <c r="D54" s="25"/>
      <c r="E54" s="74">
        <v>5040</v>
      </c>
      <c r="F54" s="127" t="s">
        <v>18</v>
      </c>
      <c r="G54" s="57">
        <f>'Benchmarking Calculations'!G20</f>
        <v>659.18</v>
      </c>
      <c r="H54" s="120">
        <v>13.35</v>
      </c>
      <c r="I54" s="120">
        <v>200</v>
      </c>
      <c r="J54" s="121">
        <v>500</v>
      </c>
      <c r="K54" s="121">
        <f t="shared" si="16"/>
        <v>510</v>
      </c>
      <c r="L54" s="227">
        <f t="shared" si="17"/>
        <v>520.20000000000005</v>
      </c>
      <c r="M54" s="227">
        <f t="shared" si="18"/>
        <v>530.60400000000004</v>
      </c>
      <c r="N54" s="131" t="s">
        <v>172</v>
      </c>
    </row>
    <row r="55" spans="3:14" ht="26" x14ac:dyDescent="0.3">
      <c r="C55" s="135"/>
      <c r="D55" s="25"/>
      <c r="E55" s="74">
        <v>5045</v>
      </c>
      <c r="F55" s="127" t="s">
        <v>19</v>
      </c>
      <c r="G55" s="57">
        <f>'Benchmarking Calculations'!G21</f>
        <v>3400.44</v>
      </c>
      <c r="H55" s="120">
        <v>5503.93</v>
      </c>
      <c r="I55" s="120">
        <v>3300</v>
      </c>
      <c r="J55" s="121">
        <v>5500</v>
      </c>
      <c r="K55" s="121">
        <f t="shared" si="16"/>
        <v>5610</v>
      </c>
      <c r="L55" s="227">
        <f t="shared" si="17"/>
        <v>5722.2</v>
      </c>
      <c r="M55" s="227">
        <f t="shared" si="18"/>
        <v>5836.6440000000002</v>
      </c>
      <c r="N55" s="131" t="s">
        <v>172</v>
      </c>
    </row>
    <row r="56" spans="3:14" x14ac:dyDescent="0.3">
      <c r="C56" s="135"/>
      <c r="D56" s="25"/>
      <c r="E56" s="74">
        <v>5055</v>
      </c>
      <c r="F56" s="127" t="s">
        <v>20</v>
      </c>
      <c r="G56" s="57">
        <f>'Benchmarking Calculations'!G22</f>
        <v>1704.28</v>
      </c>
      <c r="H56" s="120">
        <v>2250.14</v>
      </c>
      <c r="I56" s="120">
        <v>3596</v>
      </c>
      <c r="J56" s="121">
        <v>2500</v>
      </c>
      <c r="K56" s="121">
        <f t="shared" si="16"/>
        <v>2550</v>
      </c>
      <c r="L56" s="227">
        <f t="shared" si="17"/>
        <v>2601</v>
      </c>
      <c r="M56" s="227">
        <f t="shared" si="18"/>
        <v>2653.02</v>
      </c>
      <c r="N56" s="131" t="s">
        <v>172</v>
      </c>
    </row>
    <row r="57" spans="3:14" x14ac:dyDescent="0.3">
      <c r="C57" s="135"/>
      <c r="D57" s="25"/>
      <c r="E57" s="74">
        <v>5065</v>
      </c>
      <c r="F57" s="127" t="s">
        <v>21</v>
      </c>
      <c r="G57" s="57">
        <f>'Benchmarking Calculations'!G23</f>
        <v>50779.17</v>
      </c>
      <c r="H57" s="120">
        <v>58708.3</v>
      </c>
      <c r="I57" s="120">
        <v>48601</v>
      </c>
      <c r="J57" s="121">
        <v>60000</v>
      </c>
      <c r="K57" s="121">
        <f t="shared" si="16"/>
        <v>61200</v>
      </c>
      <c r="L57" s="227">
        <f t="shared" si="17"/>
        <v>62424</v>
      </c>
      <c r="M57" s="227">
        <f t="shared" si="18"/>
        <v>63672.480000000003</v>
      </c>
      <c r="N57" s="131" t="s">
        <v>172</v>
      </c>
    </row>
    <row r="58" spans="3:14" x14ac:dyDescent="0.3">
      <c r="C58" s="135"/>
      <c r="D58" s="25"/>
      <c r="E58" s="74">
        <v>5070</v>
      </c>
      <c r="F58" s="127" t="s">
        <v>22</v>
      </c>
      <c r="G58" s="57">
        <f>'Benchmarking Calculations'!G24</f>
        <v>43353.19</v>
      </c>
      <c r="H58" s="120">
        <v>57134.91</v>
      </c>
      <c r="I58" s="120">
        <v>66966</v>
      </c>
      <c r="J58" s="121">
        <v>60000</v>
      </c>
      <c r="K58" s="121">
        <f t="shared" si="16"/>
        <v>61200</v>
      </c>
      <c r="L58" s="227">
        <f t="shared" si="17"/>
        <v>62424</v>
      </c>
      <c r="M58" s="227">
        <f t="shared" si="18"/>
        <v>63672.480000000003</v>
      </c>
      <c r="N58" s="131" t="s">
        <v>172</v>
      </c>
    </row>
    <row r="59" spans="3:14" x14ac:dyDescent="0.3">
      <c r="C59" s="135"/>
      <c r="D59" s="25"/>
      <c r="E59" s="74">
        <v>5075</v>
      </c>
      <c r="F59" s="127" t="s">
        <v>23</v>
      </c>
      <c r="G59" s="57">
        <f>'Benchmarking Calculations'!G25</f>
        <v>14066.74</v>
      </c>
      <c r="H59" s="120">
        <v>13737.13</v>
      </c>
      <c r="I59" s="120">
        <v>11950</v>
      </c>
      <c r="J59" s="121">
        <v>15000</v>
      </c>
      <c r="K59" s="121">
        <f t="shared" si="16"/>
        <v>15300</v>
      </c>
      <c r="L59" s="227">
        <f t="shared" si="17"/>
        <v>15606</v>
      </c>
      <c r="M59" s="227">
        <f t="shared" si="18"/>
        <v>15918.12</v>
      </c>
      <c r="N59" s="131" t="s">
        <v>172</v>
      </c>
    </row>
    <row r="60" spans="3:14" x14ac:dyDescent="0.3">
      <c r="C60" s="135"/>
      <c r="D60" s="25"/>
      <c r="E60" s="74">
        <v>5085</v>
      </c>
      <c r="F60" s="127" t="s">
        <v>24</v>
      </c>
      <c r="G60" s="57">
        <f>'Benchmarking Calculations'!G26</f>
        <v>60203.12</v>
      </c>
      <c r="H60" s="120">
        <v>83325.279999999999</v>
      </c>
      <c r="I60" s="120">
        <v>88776</v>
      </c>
      <c r="J60" s="121">
        <v>99000</v>
      </c>
      <c r="K60" s="121">
        <f t="shared" si="16"/>
        <v>100980</v>
      </c>
      <c r="L60" s="227">
        <f t="shared" si="17"/>
        <v>102999.6</v>
      </c>
      <c r="M60" s="227">
        <f t="shared" si="18"/>
        <v>105059.592</v>
      </c>
      <c r="N60" s="131" t="s">
        <v>172</v>
      </c>
    </row>
    <row r="61" spans="3:14" x14ac:dyDescent="0.3">
      <c r="C61" s="135"/>
      <c r="D61" s="25"/>
      <c r="E61" s="74">
        <v>5090</v>
      </c>
      <c r="F61" s="127" t="s">
        <v>25</v>
      </c>
      <c r="G61" s="57">
        <f>'Benchmarking Calculations'!G27</f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v>0</v>
      </c>
      <c r="N61" s="131" t="s">
        <v>172</v>
      </c>
    </row>
    <row r="62" spans="3:14" x14ac:dyDescent="0.3">
      <c r="C62" s="135"/>
      <c r="D62" s="25"/>
      <c r="E62" s="74">
        <v>5095</v>
      </c>
      <c r="F62" s="127" t="s">
        <v>26</v>
      </c>
      <c r="G62" s="57">
        <f>'Benchmarking Calculations'!G28</f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31" t="s">
        <v>172</v>
      </c>
    </row>
    <row r="63" spans="3:14" x14ac:dyDescent="0.3">
      <c r="C63" s="135"/>
      <c r="D63" s="25"/>
      <c r="E63" s="105">
        <v>5096</v>
      </c>
      <c r="F63" s="143" t="s">
        <v>27</v>
      </c>
      <c r="G63" s="106">
        <f>'Benchmarking Calculations'!G29</f>
        <v>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31" t="s">
        <v>172</v>
      </c>
    </row>
    <row r="64" spans="3:14" x14ac:dyDescent="0.3">
      <c r="C64" s="135"/>
      <c r="D64" s="25"/>
      <c r="E64" s="15"/>
      <c r="F64" s="76" t="s">
        <v>28</v>
      </c>
      <c r="G64" s="104">
        <f>'Benchmarking Calculations'!G30</f>
        <v>393410.75</v>
      </c>
      <c r="H64" s="77">
        <f>SUM(H44:H63)</f>
        <v>406526.31000000006</v>
      </c>
      <c r="I64" s="77">
        <f t="shared" ref="I64:M64" si="19">SUM(I44:I63)</f>
        <v>428892</v>
      </c>
      <c r="J64" s="77">
        <f t="shared" si="19"/>
        <v>442000</v>
      </c>
      <c r="K64" s="77">
        <f t="shared" si="19"/>
        <v>450840</v>
      </c>
      <c r="L64" s="77">
        <f t="shared" si="19"/>
        <v>459856.80000000005</v>
      </c>
      <c r="M64" s="77">
        <f t="shared" si="19"/>
        <v>469053.93599999999</v>
      </c>
      <c r="N64" s="136" t="s">
        <v>29</v>
      </c>
    </row>
    <row r="65" spans="3:14" x14ac:dyDescent="0.3">
      <c r="C65" s="135"/>
      <c r="D65" s="25"/>
      <c r="E65" s="74">
        <v>5105</v>
      </c>
      <c r="F65" s="127" t="s">
        <v>30</v>
      </c>
      <c r="G65" s="57">
        <f>'Benchmarking Calculations'!G31</f>
        <v>93561.31</v>
      </c>
      <c r="H65" s="120">
        <v>73502.789999999994</v>
      </c>
      <c r="I65" s="120">
        <v>56597</v>
      </c>
      <c r="J65" s="121">
        <v>75000</v>
      </c>
      <c r="K65" s="121">
        <f>J65*(1+$K$42)</f>
        <v>76500</v>
      </c>
      <c r="L65" s="227">
        <f>K65*(1+$L$42)</f>
        <v>78030</v>
      </c>
      <c r="M65" s="227">
        <f>L65*(1+$M$42)</f>
        <v>79590.600000000006</v>
      </c>
      <c r="N65" s="131" t="s">
        <v>172</v>
      </c>
    </row>
    <row r="66" spans="3:14" x14ac:dyDescent="0.3">
      <c r="C66" s="135"/>
      <c r="D66" s="25"/>
      <c r="E66" s="74">
        <v>5110</v>
      </c>
      <c r="F66" s="127" t="s">
        <v>31</v>
      </c>
      <c r="G66" s="57">
        <f>'Benchmarking Calculations'!G32</f>
        <v>0</v>
      </c>
      <c r="H66" s="120">
        <v>0</v>
      </c>
      <c r="I66" s="120">
        <v>0</v>
      </c>
      <c r="J66" s="121">
        <v>0</v>
      </c>
      <c r="K66" s="121">
        <f t="shared" ref="K66:K85" si="20">J66*(1+$K$42)</f>
        <v>0</v>
      </c>
      <c r="L66" s="227">
        <f t="shared" ref="L66:L85" si="21">K66*(1+$L$42)</f>
        <v>0</v>
      </c>
      <c r="M66" s="227">
        <f t="shared" ref="M66:M85" si="22">L66*(1+$M$42)</f>
        <v>0</v>
      </c>
      <c r="N66" s="131" t="s">
        <v>172</v>
      </c>
    </row>
    <row r="67" spans="3:14" x14ac:dyDescent="0.3">
      <c r="C67" s="135"/>
      <c r="D67" s="25"/>
      <c r="E67" s="74">
        <v>5112</v>
      </c>
      <c r="F67" s="127" t="s">
        <v>32</v>
      </c>
      <c r="G67" s="57">
        <f>'Benchmarking Calculations'!G33</f>
        <v>0</v>
      </c>
      <c r="H67" s="120">
        <v>0</v>
      </c>
      <c r="I67" s="120">
        <v>0</v>
      </c>
      <c r="J67" s="121">
        <v>0</v>
      </c>
      <c r="K67" s="121">
        <f t="shared" si="20"/>
        <v>0</v>
      </c>
      <c r="L67" s="227">
        <f t="shared" si="21"/>
        <v>0</v>
      </c>
      <c r="M67" s="227">
        <f t="shared" si="22"/>
        <v>0</v>
      </c>
      <c r="N67" s="131" t="s">
        <v>172</v>
      </c>
    </row>
    <row r="68" spans="3:14" x14ac:dyDescent="0.3">
      <c r="C68" s="135"/>
      <c r="D68" s="25"/>
      <c r="E68" s="74">
        <v>5114</v>
      </c>
      <c r="F68" s="127" t="s">
        <v>33</v>
      </c>
      <c r="G68" s="57">
        <f>'Benchmarking Calculations'!G34</f>
        <v>587.20000000000005</v>
      </c>
      <c r="H68" s="120">
        <v>18049.509999999998</v>
      </c>
      <c r="I68" s="120">
        <v>17606</v>
      </c>
      <c r="J68" s="121">
        <v>19000</v>
      </c>
      <c r="K68" s="121">
        <f t="shared" si="20"/>
        <v>19380</v>
      </c>
      <c r="L68" s="227">
        <f t="shared" si="21"/>
        <v>19767.599999999999</v>
      </c>
      <c r="M68" s="227">
        <f t="shared" si="22"/>
        <v>20162.951999999997</v>
      </c>
      <c r="N68" s="131" t="s">
        <v>172</v>
      </c>
    </row>
    <row r="69" spans="3:14" x14ac:dyDescent="0.3">
      <c r="C69" s="135"/>
      <c r="D69" s="25"/>
      <c r="E69" s="74">
        <v>5120</v>
      </c>
      <c r="F69" s="127" t="s">
        <v>34</v>
      </c>
      <c r="G69" s="57">
        <f>'Benchmarking Calculations'!G35</f>
        <v>9971.85</v>
      </c>
      <c r="H69" s="120">
        <v>18113.07</v>
      </c>
      <c r="I69" s="120">
        <v>17025</v>
      </c>
      <c r="J69" s="121">
        <v>20000</v>
      </c>
      <c r="K69" s="121">
        <f t="shared" si="20"/>
        <v>20400</v>
      </c>
      <c r="L69" s="227">
        <f t="shared" si="21"/>
        <v>20808</v>
      </c>
      <c r="M69" s="227">
        <f t="shared" si="22"/>
        <v>21224.16</v>
      </c>
      <c r="N69" s="131" t="s">
        <v>172</v>
      </c>
    </row>
    <row r="70" spans="3:14" x14ac:dyDescent="0.3">
      <c r="C70" s="135"/>
      <c r="D70" s="25"/>
      <c r="E70" s="74">
        <v>5125</v>
      </c>
      <c r="F70" s="127" t="s">
        <v>35</v>
      </c>
      <c r="G70" s="57">
        <f>'Benchmarking Calculations'!G36</f>
        <v>13930.42</v>
      </c>
      <c r="H70" s="120">
        <v>5665.63</v>
      </c>
      <c r="I70" s="120">
        <v>13368</v>
      </c>
      <c r="J70" s="121">
        <v>7000</v>
      </c>
      <c r="K70" s="121">
        <f t="shared" si="20"/>
        <v>7140</v>
      </c>
      <c r="L70" s="227">
        <f t="shared" si="21"/>
        <v>7282.8</v>
      </c>
      <c r="M70" s="227">
        <f t="shared" si="22"/>
        <v>7428.4560000000001</v>
      </c>
      <c r="N70" s="131" t="s">
        <v>172</v>
      </c>
    </row>
    <row r="71" spans="3:14" x14ac:dyDescent="0.3">
      <c r="C71" s="135"/>
      <c r="D71" s="25"/>
      <c r="E71" s="74">
        <v>5130</v>
      </c>
      <c r="F71" s="127" t="s">
        <v>36</v>
      </c>
      <c r="G71" s="57">
        <f>'Benchmarking Calculations'!G37</f>
        <v>10208.11</v>
      </c>
      <c r="H71" s="120">
        <v>11951.27</v>
      </c>
      <c r="I71" s="120">
        <v>17247</v>
      </c>
      <c r="J71" s="121">
        <v>18000</v>
      </c>
      <c r="K71" s="121">
        <f t="shared" si="20"/>
        <v>18360</v>
      </c>
      <c r="L71" s="227">
        <f t="shared" si="21"/>
        <v>18727.2</v>
      </c>
      <c r="M71" s="227">
        <f t="shared" si="22"/>
        <v>19101.744000000002</v>
      </c>
      <c r="N71" s="131" t="s">
        <v>172</v>
      </c>
    </row>
    <row r="72" spans="3:14" x14ac:dyDescent="0.3">
      <c r="C72" s="135"/>
      <c r="D72" s="25"/>
      <c r="E72" s="74">
        <v>5135</v>
      </c>
      <c r="F72" s="127" t="s">
        <v>37</v>
      </c>
      <c r="G72" s="57">
        <f>'Benchmarking Calculations'!G38</f>
        <v>77569.53</v>
      </c>
      <c r="H72" s="120">
        <v>50933.82</v>
      </c>
      <c r="I72" s="120">
        <v>88435</v>
      </c>
      <c r="J72" s="121">
        <v>73000</v>
      </c>
      <c r="K72" s="121">
        <f t="shared" si="20"/>
        <v>74460</v>
      </c>
      <c r="L72" s="227">
        <f t="shared" si="21"/>
        <v>75949.2</v>
      </c>
      <c r="M72" s="227">
        <f t="shared" si="22"/>
        <v>77468.183999999994</v>
      </c>
      <c r="N72" s="131" t="s">
        <v>172</v>
      </c>
    </row>
    <row r="73" spans="3:14" x14ac:dyDescent="0.3">
      <c r="C73" s="135"/>
      <c r="D73" s="25"/>
      <c r="E73" s="74">
        <v>5145</v>
      </c>
      <c r="F73" s="127" t="s">
        <v>38</v>
      </c>
      <c r="G73" s="57">
        <f>'Benchmarking Calculations'!G39</f>
        <v>158.4</v>
      </c>
      <c r="H73" s="120">
        <v>558.4</v>
      </c>
      <c r="I73" s="120">
        <v>275</v>
      </c>
      <c r="J73" s="121">
        <v>500</v>
      </c>
      <c r="K73" s="121">
        <f t="shared" si="20"/>
        <v>510</v>
      </c>
      <c r="L73" s="227">
        <f t="shared" si="21"/>
        <v>520.20000000000005</v>
      </c>
      <c r="M73" s="227">
        <f t="shared" si="22"/>
        <v>530.60400000000004</v>
      </c>
      <c r="N73" s="131" t="s">
        <v>172</v>
      </c>
    </row>
    <row r="74" spans="3:14" x14ac:dyDescent="0.3">
      <c r="C74" s="135"/>
      <c r="D74" s="25"/>
      <c r="E74" s="74">
        <v>5150</v>
      </c>
      <c r="F74" s="127" t="s">
        <v>39</v>
      </c>
      <c r="G74" s="57">
        <f>'Benchmarking Calculations'!G40</f>
        <v>0</v>
      </c>
      <c r="H74" s="120">
        <v>0</v>
      </c>
      <c r="I74" s="120">
        <v>1207</v>
      </c>
      <c r="J74" s="121">
        <v>0</v>
      </c>
      <c r="K74" s="121">
        <f t="shared" si="20"/>
        <v>0</v>
      </c>
      <c r="L74" s="227">
        <f t="shared" si="21"/>
        <v>0</v>
      </c>
      <c r="M74" s="227">
        <f t="shared" si="22"/>
        <v>0</v>
      </c>
      <c r="N74" s="131" t="s">
        <v>172</v>
      </c>
    </row>
    <row r="75" spans="3:14" x14ac:dyDescent="0.3">
      <c r="C75" s="135"/>
      <c r="D75" s="25"/>
      <c r="E75" s="74">
        <v>5155</v>
      </c>
      <c r="F75" s="127" t="s">
        <v>40</v>
      </c>
      <c r="G75" s="57">
        <f>'Benchmarking Calculations'!G41</f>
        <v>8849.69</v>
      </c>
      <c r="H75" s="120">
        <v>1567.5</v>
      </c>
      <c r="I75" s="120">
        <v>5650</v>
      </c>
      <c r="J75" s="121">
        <v>4000</v>
      </c>
      <c r="K75" s="121">
        <f t="shared" si="20"/>
        <v>4080</v>
      </c>
      <c r="L75" s="227">
        <f t="shared" si="21"/>
        <v>4161.6000000000004</v>
      </c>
      <c r="M75" s="227">
        <f t="shared" si="22"/>
        <v>4244.8320000000003</v>
      </c>
      <c r="N75" s="131" t="s">
        <v>172</v>
      </c>
    </row>
    <row r="76" spans="3:14" x14ac:dyDescent="0.3">
      <c r="C76" s="135"/>
      <c r="D76" s="25"/>
      <c r="E76" s="74">
        <v>5160</v>
      </c>
      <c r="F76" s="127" t="s">
        <v>41</v>
      </c>
      <c r="G76" s="57">
        <f>'Benchmarking Calculations'!G42</f>
        <v>64.73</v>
      </c>
      <c r="H76" s="120">
        <v>353.26</v>
      </c>
      <c r="I76" s="120">
        <v>37</v>
      </c>
      <c r="J76" s="121">
        <v>500</v>
      </c>
      <c r="K76" s="121">
        <f t="shared" si="20"/>
        <v>510</v>
      </c>
      <c r="L76" s="227">
        <f t="shared" si="21"/>
        <v>520.20000000000005</v>
      </c>
      <c r="M76" s="227">
        <f t="shared" si="22"/>
        <v>530.60400000000004</v>
      </c>
      <c r="N76" s="131" t="s">
        <v>172</v>
      </c>
    </row>
    <row r="77" spans="3:14" x14ac:dyDescent="0.3">
      <c r="C77" s="135"/>
      <c r="D77" s="25"/>
      <c r="E77" s="105">
        <v>5175</v>
      </c>
      <c r="F77" s="143" t="s">
        <v>42</v>
      </c>
      <c r="G77" s="106">
        <f>'Benchmarking Calculations'!G43</f>
        <v>28813.29</v>
      </c>
      <c r="H77" s="120">
        <v>33513.380000000005</v>
      </c>
      <c r="I77" s="120">
        <v>35955</v>
      </c>
      <c r="J77" s="121">
        <v>35000</v>
      </c>
      <c r="K77" s="121">
        <f t="shared" si="20"/>
        <v>35700</v>
      </c>
      <c r="L77" s="227">
        <f t="shared" si="21"/>
        <v>36414</v>
      </c>
      <c r="M77" s="227">
        <f t="shared" si="22"/>
        <v>37142.28</v>
      </c>
      <c r="N77" s="131" t="s">
        <v>172</v>
      </c>
    </row>
    <row r="78" spans="3:14" x14ac:dyDescent="0.3">
      <c r="C78" s="135"/>
      <c r="D78" s="25"/>
      <c r="E78" s="15"/>
      <c r="F78" s="76" t="s">
        <v>43</v>
      </c>
      <c r="G78" s="104">
        <f>'Benchmarking Calculations'!G44</f>
        <v>243714.53</v>
      </c>
      <c r="H78" s="77">
        <f>SUM(H65:H77)</f>
        <v>214208.63</v>
      </c>
      <c r="I78" s="77">
        <f t="shared" ref="I78:M78" si="23">SUM(I65:I77)</f>
        <v>253402</v>
      </c>
      <c r="J78" s="77">
        <f t="shared" si="23"/>
        <v>252000</v>
      </c>
      <c r="K78" s="77">
        <f t="shared" si="23"/>
        <v>257040</v>
      </c>
      <c r="L78" s="77">
        <f t="shared" si="23"/>
        <v>262180.80000000005</v>
      </c>
      <c r="M78" s="77">
        <f t="shared" si="23"/>
        <v>267424.41599999997</v>
      </c>
      <c r="N78" s="136" t="s">
        <v>29</v>
      </c>
    </row>
    <row r="79" spans="3:14" x14ac:dyDescent="0.3">
      <c r="C79" s="135"/>
      <c r="D79" s="25"/>
      <c r="E79" s="74">
        <v>5305</v>
      </c>
      <c r="F79" s="74" t="s">
        <v>44</v>
      </c>
      <c r="G79" s="57">
        <f>'Benchmarking Calculations'!G45</f>
        <v>5723.14</v>
      </c>
      <c r="H79" s="120">
        <v>55422.45</v>
      </c>
      <c r="I79" s="120">
        <v>49029</v>
      </c>
      <c r="J79" s="120">
        <v>55000</v>
      </c>
      <c r="K79" s="121">
        <f t="shared" si="20"/>
        <v>56100</v>
      </c>
      <c r="L79" s="227">
        <f t="shared" si="21"/>
        <v>57222</v>
      </c>
      <c r="M79" s="227">
        <f t="shared" si="22"/>
        <v>58366.44</v>
      </c>
      <c r="N79" s="131" t="s">
        <v>172</v>
      </c>
    </row>
    <row r="80" spans="3:14" x14ac:dyDescent="0.3">
      <c r="C80" s="135"/>
      <c r="D80" s="25"/>
      <c r="E80" s="74">
        <v>5310</v>
      </c>
      <c r="F80" s="74" t="s">
        <v>45</v>
      </c>
      <c r="G80" s="57">
        <f>'Benchmarking Calculations'!G46</f>
        <v>67599.02</v>
      </c>
      <c r="H80" s="120">
        <v>68150.429999999993</v>
      </c>
      <c r="I80" s="120">
        <v>70162</v>
      </c>
      <c r="J80" s="120">
        <v>67000</v>
      </c>
      <c r="K80" s="121">
        <f t="shared" si="20"/>
        <v>68340</v>
      </c>
      <c r="L80" s="227">
        <f t="shared" si="21"/>
        <v>69706.8</v>
      </c>
      <c r="M80" s="227">
        <f t="shared" si="22"/>
        <v>71100.936000000002</v>
      </c>
      <c r="N80" s="131" t="s">
        <v>172</v>
      </c>
    </row>
    <row r="81" spans="3:15" x14ac:dyDescent="0.3">
      <c r="C81" s="135"/>
      <c r="D81" s="25"/>
      <c r="E81" s="74">
        <v>5315</v>
      </c>
      <c r="F81" s="74" t="s">
        <v>46</v>
      </c>
      <c r="G81" s="57">
        <f>'Benchmarking Calculations'!G47</f>
        <v>108405.4</v>
      </c>
      <c r="H81" s="120">
        <v>110052.28</v>
      </c>
      <c r="I81" s="120">
        <v>102955</v>
      </c>
      <c r="J81" s="120">
        <v>105000</v>
      </c>
      <c r="K81" s="121">
        <f t="shared" si="20"/>
        <v>107100</v>
      </c>
      <c r="L81" s="227">
        <f t="shared" si="21"/>
        <v>109242</v>
      </c>
      <c r="M81" s="227">
        <f t="shared" si="22"/>
        <v>111426.84</v>
      </c>
      <c r="N81" s="131" t="s">
        <v>172</v>
      </c>
    </row>
    <row r="82" spans="3:15" x14ac:dyDescent="0.3">
      <c r="C82" s="135"/>
      <c r="D82" s="25"/>
      <c r="E82" s="74">
        <v>5320</v>
      </c>
      <c r="F82" s="74" t="s">
        <v>47</v>
      </c>
      <c r="G82" s="57">
        <f>'Benchmarking Calculations'!G48</f>
        <v>105513.39</v>
      </c>
      <c r="H82" s="120">
        <v>98361.58</v>
      </c>
      <c r="I82" s="120">
        <v>113340</v>
      </c>
      <c r="J82" s="120">
        <v>111000</v>
      </c>
      <c r="K82" s="121">
        <f t="shared" si="20"/>
        <v>113220</v>
      </c>
      <c r="L82" s="227">
        <f t="shared" si="21"/>
        <v>115484.40000000001</v>
      </c>
      <c r="M82" s="227">
        <f t="shared" si="22"/>
        <v>117794.08800000002</v>
      </c>
      <c r="N82" s="131" t="s">
        <v>172</v>
      </c>
    </row>
    <row r="83" spans="3:15" x14ac:dyDescent="0.3">
      <c r="C83" s="135"/>
      <c r="D83" s="25"/>
      <c r="E83" s="74">
        <v>5325</v>
      </c>
      <c r="F83" s="74" t="s">
        <v>48</v>
      </c>
      <c r="G83" s="57">
        <f>'Benchmarking Calculations'!G49</f>
        <v>0</v>
      </c>
      <c r="H83" s="120">
        <v>0.01</v>
      </c>
      <c r="I83" s="120"/>
      <c r="J83" s="121"/>
      <c r="K83" s="121">
        <f t="shared" si="20"/>
        <v>0</v>
      </c>
      <c r="L83" s="227">
        <f t="shared" si="21"/>
        <v>0</v>
      </c>
      <c r="M83" s="227">
        <f t="shared" si="22"/>
        <v>0</v>
      </c>
      <c r="N83" s="131" t="s">
        <v>172</v>
      </c>
    </row>
    <row r="84" spans="3:15" x14ac:dyDescent="0.3">
      <c r="C84" s="135"/>
      <c r="D84" s="25"/>
      <c r="E84" s="74">
        <v>5330</v>
      </c>
      <c r="F84" s="74" t="s">
        <v>49</v>
      </c>
      <c r="G84" s="57">
        <f>'Benchmarking Calculations'!G50</f>
        <v>0</v>
      </c>
      <c r="H84" s="120">
        <v>0</v>
      </c>
      <c r="I84" s="120"/>
      <c r="J84" s="121"/>
      <c r="K84" s="121">
        <f t="shared" si="20"/>
        <v>0</v>
      </c>
      <c r="L84" s="227">
        <f t="shared" si="21"/>
        <v>0</v>
      </c>
      <c r="M84" s="227">
        <f t="shared" si="22"/>
        <v>0</v>
      </c>
      <c r="N84" s="131" t="s">
        <v>172</v>
      </c>
    </row>
    <row r="85" spans="3:15" x14ac:dyDescent="0.3">
      <c r="C85" s="135"/>
      <c r="D85" s="25"/>
      <c r="E85" s="105">
        <v>5340</v>
      </c>
      <c r="F85" s="105" t="s">
        <v>50</v>
      </c>
      <c r="G85" s="106">
        <f>'Benchmarking Calculations'!G51</f>
        <v>52455.76</v>
      </c>
      <c r="H85" s="120">
        <v>56524.56</v>
      </c>
      <c r="I85" s="120">
        <v>67998</v>
      </c>
      <c r="J85" s="121">
        <v>62500</v>
      </c>
      <c r="K85" s="121">
        <f t="shared" si="20"/>
        <v>63750</v>
      </c>
      <c r="L85" s="227">
        <f t="shared" si="21"/>
        <v>65025</v>
      </c>
      <c r="M85" s="227">
        <f t="shared" si="22"/>
        <v>66325.5</v>
      </c>
      <c r="N85" s="131" t="s">
        <v>172</v>
      </c>
    </row>
    <row r="86" spans="3:15" x14ac:dyDescent="0.3">
      <c r="C86" s="135"/>
      <c r="D86" s="25"/>
      <c r="E86" s="15"/>
      <c r="F86" s="76" t="s">
        <v>51</v>
      </c>
      <c r="G86" s="104">
        <f>'Benchmarking Calculations'!G52</f>
        <v>339696.71</v>
      </c>
      <c r="H86" s="77">
        <f>SUM(H79:H85)</f>
        <v>388511.31</v>
      </c>
      <c r="I86" s="77">
        <f t="shared" ref="I86:M86" si="24">SUM(I79:I85)</f>
        <v>403484</v>
      </c>
      <c r="J86" s="77">
        <f t="shared" si="24"/>
        <v>400500</v>
      </c>
      <c r="K86" s="77">
        <f t="shared" si="24"/>
        <v>408510</v>
      </c>
      <c r="L86" s="77">
        <f t="shared" si="24"/>
        <v>416680.2</v>
      </c>
      <c r="M86" s="77">
        <f t="shared" si="24"/>
        <v>425013.804</v>
      </c>
      <c r="N86" s="136" t="s">
        <v>29</v>
      </c>
      <c r="O86" s="20"/>
    </row>
    <row r="87" spans="3:15" x14ac:dyDescent="0.3">
      <c r="C87" s="135"/>
      <c r="D87" s="25"/>
      <c r="E87" s="74">
        <v>5405</v>
      </c>
      <c r="F87" s="74" t="s">
        <v>52</v>
      </c>
      <c r="G87" s="57">
        <f>'Benchmarking Calculations'!G53</f>
        <v>0</v>
      </c>
      <c r="H87" s="120"/>
      <c r="I87" s="120"/>
      <c r="J87" s="121"/>
      <c r="K87" s="121"/>
      <c r="L87" s="121"/>
      <c r="M87" s="121"/>
      <c r="N87" s="131" t="s">
        <v>172</v>
      </c>
    </row>
    <row r="88" spans="3:15" x14ac:dyDescent="0.3">
      <c r="C88" s="135"/>
      <c r="D88" s="25"/>
      <c r="E88" s="74">
        <v>5410</v>
      </c>
      <c r="F88" s="74" t="s">
        <v>53</v>
      </c>
      <c r="G88" s="57">
        <f>'Benchmarking Calculations'!G54</f>
        <v>7992.73</v>
      </c>
      <c r="H88" s="120">
        <v>6450</v>
      </c>
      <c r="I88" s="120">
        <v>3853</v>
      </c>
      <c r="J88" s="121">
        <v>6300</v>
      </c>
      <c r="K88" s="121">
        <f t="shared" ref="K88:K89" si="25">J88*(1+$K$42)</f>
        <v>6426</v>
      </c>
      <c r="L88" s="227">
        <f t="shared" ref="L88:L89" si="26">K88*(1+$L$42)</f>
        <v>6554.52</v>
      </c>
      <c r="M88" s="227">
        <f t="shared" ref="M88:M89" si="27">L88*(1+$M$42)</f>
        <v>6685.6104000000005</v>
      </c>
      <c r="N88" s="131" t="s">
        <v>172</v>
      </c>
    </row>
    <row r="89" spans="3:15" x14ac:dyDescent="0.3">
      <c r="C89" s="135"/>
      <c r="D89" s="25"/>
      <c r="E89" s="74">
        <v>5420</v>
      </c>
      <c r="F89" s="74" t="s">
        <v>54</v>
      </c>
      <c r="G89" s="57">
        <f>'Benchmarking Calculations'!G55</f>
        <v>1840</v>
      </c>
      <c r="H89" s="120">
        <v>920</v>
      </c>
      <c r="I89" s="120">
        <v>1605</v>
      </c>
      <c r="J89" s="121">
        <v>1200</v>
      </c>
      <c r="K89" s="121">
        <f t="shared" si="25"/>
        <v>1224</v>
      </c>
      <c r="L89" s="227">
        <f t="shared" si="26"/>
        <v>1248.48</v>
      </c>
      <c r="M89" s="227">
        <f t="shared" si="27"/>
        <v>1273.4496000000001</v>
      </c>
      <c r="N89" s="131" t="s">
        <v>172</v>
      </c>
    </row>
    <row r="90" spans="3:15" x14ac:dyDescent="0.3">
      <c r="C90" s="135"/>
      <c r="D90" s="25"/>
      <c r="E90" s="105">
        <v>5425</v>
      </c>
      <c r="F90" s="105" t="s">
        <v>55</v>
      </c>
      <c r="G90" s="106">
        <f>'Benchmarking Calculations'!G56</f>
        <v>0</v>
      </c>
      <c r="H90" s="120"/>
      <c r="I90" s="120"/>
      <c r="J90" s="121"/>
      <c r="K90" s="121"/>
      <c r="L90" s="121"/>
      <c r="M90" s="121"/>
      <c r="N90" s="131" t="s">
        <v>172</v>
      </c>
    </row>
    <row r="91" spans="3:15" x14ac:dyDescent="0.3">
      <c r="C91" s="135"/>
      <c r="D91" s="25"/>
      <c r="E91" s="15"/>
      <c r="F91" s="76" t="s">
        <v>56</v>
      </c>
      <c r="G91" s="104">
        <f>'Benchmarking Calculations'!G57</f>
        <v>9832.73</v>
      </c>
      <c r="H91" s="77">
        <f>SUM(H87:H90)</f>
        <v>7370</v>
      </c>
      <c r="I91" s="77">
        <f t="shared" ref="I91:M91" si="28">SUM(I87:I90)</f>
        <v>5458</v>
      </c>
      <c r="J91" s="77">
        <f t="shared" si="28"/>
        <v>7500</v>
      </c>
      <c r="K91" s="77">
        <f t="shared" si="28"/>
        <v>7650</v>
      </c>
      <c r="L91" s="77">
        <f t="shared" si="28"/>
        <v>7803</v>
      </c>
      <c r="M91" s="77">
        <f t="shared" si="28"/>
        <v>7959.06</v>
      </c>
      <c r="N91" s="136" t="s">
        <v>29</v>
      </c>
    </row>
    <row r="92" spans="3:15" x14ac:dyDescent="0.3">
      <c r="C92" s="135"/>
      <c r="D92" s="25"/>
      <c r="E92" s="74">
        <v>5605</v>
      </c>
      <c r="F92" s="74" t="s">
        <v>57</v>
      </c>
      <c r="G92" s="57">
        <f>'Benchmarking Calculations'!G58</f>
        <v>112839.96</v>
      </c>
      <c r="H92" s="120">
        <v>113724.52</v>
      </c>
      <c r="I92" s="120">
        <v>139133</v>
      </c>
      <c r="J92" s="120">
        <v>135340</v>
      </c>
      <c r="K92" s="121">
        <f t="shared" ref="K92:K110" si="29">J92*(1+$K$42)</f>
        <v>138046.79999999999</v>
      </c>
      <c r="L92" s="227">
        <f t="shared" ref="L92:L110" si="30">K92*(1+$L$42)</f>
        <v>140807.736</v>
      </c>
      <c r="M92" s="227">
        <f t="shared" ref="M92:M110" si="31">L92*(1+$M$42)</f>
        <v>143623.89072</v>
      </c>
      <c r="N92" s="131" t="s">
        <v>172</v>
      </c>
    </row>
    <row r="93" spans="3:15" x14ac:dyDescent="0.3">
      <c r="C93" s="135"/>
      <c r="D93" s="25"/>
      <c r="E93" s="74">
        <v>5610</v>
      </c>
      <c r="F93" s="74" t="s">
        <v>58</v>
      </c>
      <c r="G93" s="57">
        <f>'Benchmarking Calculations'!G59</f>
        <v>71567.25</v>
      </c>
      <c r="H93" s="120">
        <v>106181.84</v>
      </c>
      <c r="I93" s="120">
        <v>102036</v>
      </c>
      <c r="J93" s="120">
        <v>103150</v>
      </c>
      <c r="K93" s="121">
        <f t="shared" si="29"/>
        <v>105213</v>
      </c>
      <c r="L93" s="227">
        <f t="shared" si="30"/>
        <v>107317.26</v>
      </c>
      <c r="M93" s="227">
        <f t="shared" si="31"/>
        <v>109463.60519999999</v>
      </c>
      <c r="N93" s="131" t="s">
        <v>172</v>
      </c>
    </row>
    <row r="94" spans="3:15" x14ac:dyDescent="0.3">
      <c r="C94" s="135"/>
      <c r="D94" s="25"/>
      <c r="E94" s="74">
        <v>5615</v>
      </c>
      <c r="F94" s="74" t="s">
        <v>59</v>
      </c>
      <c r="G94" s="57">
        <f>'Benchmarking Calculations'!G60</f>
        <v>82092.149999999994</v>
      </c>
      <c r="H94" s="120">
        <v>78328.22</v>
      </c>
      <c r="I94" s="120">
        <v>79516</v>
      </c>
      <c r="J94" s="120">
        <v>81500</v>
      </c>
      <c r="K94" s="121">
        <f t="shared" si="29"/>
        <v>83130</v>
      </c>
      <c r="L94" s="227">
        <f t="shared" si="30"/>
        <v>84792.6</v>
      </c>
      <c r="M94" s="227">
        <f t="shared" si="31"/>
        <v>86488.452000000005</v>
      </c>
      <c r="N94" s="131" t="s">
        <v>172</v>
      </c>
    </row>
    <row r="95" spans="3:15" x14ac:dyDescent="0.3">
      <c r="C95" s="135"/>
      <c r="D95" s="25"/>
      <c r="E95" s="74">
        <v>5620</v>
      </c>
      <c r="F95" s="74" t="s">
        <v>60</v>
      </c>
      <c r="G95" s="57">
        <f>'Benchmarking Calculations'!G61</f>
        <v>38947.269999999997</v>
      </c>
      <c r="H95" s="120">
        <v>39583.870000000003</v>
      </c>
      <c r="I95" s="120">
        <v>32100</v>
      </c>
      <c r="J95" s="120">
        <v>38500</v>
      </c>
      <c r="K95" s="121">
        <f t="shared" si="29"/>
        <v>39270</v>
      </c>
      <c r="L95" s="227">
        <f t="shared" si="30"/>
        <v>40055.4</v>
      </c>
      <c r="M95" s="227">
        <f t="shared" si="31"/>
        <v>40856.508000000002</v>
      </c>
      <c r="N95" s="131" t="s">
        <v>172</v>
      </c>
    </row>
    <row r="96" spans="3:15" x14ac:dyDescent="0.3">
      <c r="C96" s="135"/>
      <c r="D96" s="25"/>
      <c r="E96" s="74">
        <v>5625</v>
      </c>
      <c r="F96" s="74" t="s">
        <v>61</v>
      </c>
      <c r="G96" s="57">
        <f>'Benchmarking Calculations'!G62</f>
        <v>0</v>
      </c>
      <c r="H96" s="120">
        <v>0</v>
      </c>
      <c r="I96" s="120">
        <v>0</v>
      </c>
      <c r="J96" s="120">
        <v>0</v>
      </c>
      <c r="K96" s="121">
        <f t="shared" si="29"/>
        <v>0</v>
      </c>
      <c r="L96" s="227">
        <f t="shared" si="30"/>
        <v>0</v>
      </c>
      <c r="M96" s="227">
        <f t="shared" si="31"/>
        <v>0</v>
      </c>
      <c r="N96" s="131" t="s">
        <v>172</v>
      </c>
    </row>
    <row r="97" spans="3:14" x14ac:dyDescent="0.3">
      <c r="C97" s="135"/>
      <c r="D97" s="25"/>
      <c r="E97" s="74">
        <v>5630</v>
      </c>
      <c r="F97" s="74" t="s">
        <v>62</v>
      </c>
      <c r="G97" s="57">
        <f>'Benchmarking Calculations'!G63</f>
        <v>111880.04</v>
      </c>
      <c r="H97" s="120">
        <v>156454.1</v>
      </c>
      <c r="I97" s="120">
        <v>143630</v>
      </c>
      <c r="J97" s="120">
        <v>140000</v>
      </c>
      <c r="K97" s="121">
        <f t="shared" si="29"/>
        <v>142800</v>
      </c>
      <c r="L97" s="227">
        <f t="shared" si="30"/>
        <v>145656</v>
      </c>
      <c r="M97" s="227">
        <f t="shared" si="31"/>
        <v>148569.12</v>
      </c>
      <c r="N97" s="131" t="s">
        <v>172</v>
      </c>
    </row>
    <row r="98" spans="3:14" x14ac:dyDescent="0.3">
      <c r="C98" s="135"/>
      <c r="D98" s="25"/>
      <c r="E98" s="74">
        <v>5640</v>
      </c>
      <c r="F98" s="74" t="s">
        <v>63</v>
      </c>
      <c r="G98" s="57">
        <f>'Benchmarking Calculations'!G64</f>
        <v>0</v>
      </c>
      <c r="H98" s="120"/>
      <c r="I98" s="120"/>
      <c r="J98" s="120"/>
      <c r="K98" s="121">
        <f t="shared" si="29"/>
        <v>0</v>
      </c>
      <c r="L98" s="227">
        <f t="shared" si="30"/>
        <v>0</v>
      </c>
      <c r="M98" s="227">
        <f t="shared" si="31"/>
        <v>0</v>
      </c>
      <c r="N98" s="131" t="s">
        <v>172</v>
      </c>
    </row>
    <row r="99" spans="3:14" x14ac:dyDescent="0.3">
      <c r="C99" s="135"/>
      <c r="D99" s="25"/>
      <c r="E99" s="74">
        <v>5645</v>
      </c>
      <c r="F99" s="74" t="s">
        <v>64</v>
      </c>
      <c r="G99" s="57">
        <f>'Benchmarking Calculations'!G65</f>
        <v>19299.759999999998</v>
      </c>
      <c r="H99" s="120">
        <v>12976.24</v>
      </c>
      <c r="I99" s="120">
        <v>12204</v>
      </c>
      <c r="J99" s="120">
        <v>20000</v>
      </c>
      <c r="K99" s="121">
        <f t="shared" si="29"/>
        <v>20400</v>
      </c>
      <c r="L99" s="227">
        <f t="shared" si="30"/>
        <v>20808</v>
      </c>
      <c r="M99" s="227">
        <f t="shared" si="31"/>
        <v>21224.16</v>
      </c>
      <c r="N99" s="131" t="s">
        <v>172</v>
      </c>
    </row>
    <row r="100" spans="3:14" x14ac:dyDescent="0.3">
      <c r="C100" s="135"/>
      <c r="D100" s="25"/>
      <c r="E100" s="74">
        <v>5646</v>
      </c>
      <c r="F100" s="74" t="s">
        <v>65</v>
      </c>
      <c r="G100" s="57">
        <f>'Benchmarking Calculations'!G66</f>
        <v>0</v>
      </c>
      <c r="H100" s="120">
        <v>0</v>
      </c>
      <c r="I100" s="120"/>
      <c r="J100" s="120"/>
      <c r="K100" s="121">
        <f t="shared" si="29"/>
        <v>0</v>
      </c>
      <c r="L100" s="227">
        <f t="shared" si="30"/>
        <v>0</v>
      </c>
      <c r="M100" s="227">
        <f t="shared" si="31"/>
        <v>0</v>
      </c>
      <c r="N100" s="131" t="s">
        <v>172</v>
      </c>
    </row>
    <row r="101" spans="3:14" x14ac:dyDescent="0.3">
      <c r="C101" s="135"/>
      <c r="D101" s="25"/>
      <c r="E101" s="74">
        <v>5647</v>
      </c>
      <c r="F101" s="74" t="s">
        <v>66</v>
      </c>
      <c r="G101" s="57">
        <f>'Benchmarking Calculations'!G67</f>
        <v>0</v>
      </c>
      <c r="H101" s="120">
        <v>0</v>
      </c>
      <c r="I101" s="120"/>
      <c r="J101" s="120"/>
      <c r="K101" s="121">
        <f t="shared" si="29"/>
        <v>0</v>
      </c>
      <c r="L101" s="227">
        <f t="shared" si="30"/>
        <v>0</v>
      </c>
      <c r="M101" s="227">
        <f t="shared" si="31"/>
        <v>0</v>
      </c>
      <c r="N101" s="131" t="s">
        <v>172</v>
      </c>
    </row>
    <row r="102" spans="3:14" x14ac:dyDescent="0.3">
      <c r="C102" s="135"/>
      <c r="D102" s="25"/>
      <c r="E102" s="74">
        <v>5650</v>
      </c>
      <c r="F102" s="74" t="s">
        <v>67</v>
      </c>
      <c r="G102" s="57">
        <f>'Benchmarking Calculations'!G68</f>
        <v>0</v>
      </c>
      <c r="H102" s="120">
        <v>0</v>
      </c>
      <c r="I102" s="120"/>
      <c r="J102" s="120"/>
      <c r="K102" s="121">
        <f t="shared" si="29"/>
        <v>0</v>
      </c>
      <c r="L102" s="227">
        <f t="shared" si="30"/>
        <v>0</v>
      </c>
      <c r="M102" s="227">
        <f t="shared" si="31"/>
        <v>0</v>
      </c>
      <c r="N102" s="131" t="s">
        <v>172</v>
      </c>
    </row>
    <row r="103" spans="3:14" x14ac:dyDescent="0.3">
      <c r="C103" s="135"/>
      <c r="D103" s="25"/>
      <c r="E103" s="74">
        <v>5655</v>
      </c>
      <c r="F103" s="74" t="s">
        <v>68</v>
      </c>
      <c r="G103" s="57">
        <f>'Benchmarking Calculations'!G69</f>
        <v>157479.72</v>
      </c>
      <c r="H103" s="120">
        <v>160787.34</v>
      </c>
      <c r="I103" s="120">
        <v>161354</v>
      </c>
      <c r="J103" s="120">
        <v>158510</v>
      </c>
      <c r="K103" s="121">
        <f t="shared" si="29"/>
        <v>161680.20000000001</v>
      </c>
      <c r="L103" s="227">
        <f t="shared" si="30"/>
        <v>164913.804</v>
      </c>
      <c r="M103" s="227">
        <f t="shared" si="31"/>
        <v>168212.08008000001</v>
      </c>
      <c r="N103" s="131" t="s">
        <v>172</v>
      </c>
    </row>
    <row r="104" spans="3:14" x14ac:dyDescent="0.3">
      <c r="C104" s="135"/>
      <c r="D104" s="25"/>
      <c r="E104" s="74">
        <v>5665</v>
      </c>
      <c r="F104" s="74" t="s">
        <v>69</v>
      </c>
      <c r="G104" s="57">
        <f>'Benchmarking Calculations'!G70</f>
        <v>61371.199999999997</v>
      </c>
      <c r="H104" s="120">
        <v>62061</v>
      </c>
      <c r="I104" s="120">
        <v>62217</v>
      </c>
      <c r="J104" s="120">
        <v>64000</v>
      </c>
      <c r="K104" s="121">
        <f t="shared" si="29"/>
        <v>65280</v>
      </c>
      <c r="L104" s="227">
        <f t="shared" si="30"/>
        <v>66585.600000000006</v>
      </c>
      <c r="M104" s="227">
        <f t="shared" si="31"/>
        <v>67917.312000000005</v>
      </c>
      <c r="N104" s="131" t="s">
        <v>172</v>
      </c>
    </row>
    <row r="105" spans="3:14" x14ac:dyDescent="0.3">
      <c r="C105" s="135"/>
      <c r="D105" s="25"/>
      <c r="E105" s="74">
        <v>5670</v>
      </c>
      <c r="F105" s="74" t="s">
        <v>70</v>
      </c>
      <c r="G105" s="57">
        <f>'Benchmarking Calculations'!G71</f>
        <v>0</v>
      </c>
      <c r="H105" s="120"/>
      <c r="I105" s="120"/>
      <c r="J105" s="121"/>
      <c r="K105" s="121">
        <f t="shared" si="29"/>
        <v>0</v>
      </c>
      <c r="L105" s="227">
        <f t="shared" si="30"/>
        <v>0</v>
      </c>
      <c r="M105" s="227">
        <f t="shared" si="31"/>
        <v>0</v>
      </c>
      <c r="N105" s="131" t="s">
        <v>172</v>
      </c>
    </row>
    <row r="106" spans="3:14" x14ac:dyDescent="0.3">
      <c r="C106" s="135"/>
      <c r="D106" s="25"/>
      <c r="E106" s="74">
        <v>5672</v>
      </c>
      <c r="F106" s="74" t="s">
        <v>71</v>
      </c>
      <c r="G106" s="57">
        <f>'Benchmarking Calculations'!G72</f>
        <v>0</v>
      </c>
      <c r="H106" s="120"/>
      <c r="I106" s="120"/>
      <c r="J106" s="121"/>
      <c r="K106" s="121">
        <f t="shared" si="29"/>
        <v>0</v>
      </c>
      <c r="L106" s="227">
        <f t="shared" si="30"/>
        <v>0</v>
      </c>
      <c r="M106" s="227">
        <f t="shared" si="31"/>
        <v>0</v>
      </c>
      <c r="N106" s="131" t="s">
        <v>172</v>
      </c>
    </row>
    <row r="107" spans="3:14" x14ac:dyDescent="0.3">
      <c r="C107" s="135"/>
      <c r="D107" s="25"/>
      <c r="E107" s="74">
        <v>5675</v>
      </c>
      <c r="F107" s="74" t="s">
        <v>72</v>
      </c>
      <c r="G107" s="57">
        <f>'Benchmarking Calculations'!G73</f>
        <v>4308.95</v>
      </c>
      <c r="H107" s="120">
        <v>4362</v>
      </c>
      <c r="I107" s="120">
        <v>5225</v>
      </c>
      <c r="J107" s="121">
        <v>5000</v>
      </c>
      <c r="K107" s="121">
        <f t="shared" si="29"/>
        <v>5100</v>
      </c>
      <c r="L107" s="227">
        <f t="shared" si="30"/>
        <v>5202</v>
      </c>
      <c r="M107" s="227">
        <f t="shared" si="31"/>
        <v>5306.04</v>
      </c>
      <c r="N107" s="131" t="s">
        <v>172</v>
      </c>
    </row>
    <row r="108" spans="3:14" x14ac:dyDescent="0.3">
      <c r="C108" s="135"/>
      <c r="D108" s="25"/>
      <c r="E108" s="105">
        <v>5680</v>
      </c>
      <c r="F108" s="105" t="s">
        <v>73</v>
      </c>
      <c r="G108" s="106">
        <f>'Benchmarking Calculations'!G74</f>
        <v>4915.3900000000003</v>
      </c>
      <c r="H108" s="120">
        <v>5053</v>
      </c>
      <c r="I108" s="120">
        <v>4849</v>
      </c>
      <c r="J108" s="121">
        <v>5000</v>
      </c>
      <c r="K108" s="121">
        <f t="shared" si="29"/>
        <v>5100</v>
      </c>
      <c r="L108" s="227">
        <f t="shared" si="30"/>
        <v>5202</v>
      </c>
      <c r="M108" s="227">
        <f t="shared" si="31"/>
        <v>5306.04</v>
      </c>
      <c r="N108" s="131" t="s">
        <v>172</v>
      </c>
    </row>
    <row r="109" spans="3:14" x14ac:dyDescent="0.3">
      <c r="C109" s="135"/>
      <c r="D109" s="25"/>
      <c r="E109" s="12"/>
      <c r="F109" s="76" t="s">
        <v>74</v>
      </c>
      <c r="G109" s="104">
        <f>'Benchmarking Calculations'!G75</f>
        <v>664701.68999999994</v>
      </c>
      <c r="H109" s="77">
        <f>SUM(H92:H108)</f>
        <v>739512.12999999989</v>
      </c>
      <c r="I109" s="77">
        <f t="shared" ref="I109:M109" si="32">SUM(I92:I108)</f>
        <v>742264</v>
      </c>
      <c r="J109" s="77">
        <f t="shared" si="32"/>
        <v>751000</v>
      </c>
      <c r="K109" s="77">
        <f t="shared" si="32"/>
        <v>766020</v>
      </c>
      <c r="L109" s="77">
        <f t="shared" si="32"/>
        <v>781340.4</v>
      </c>
      <c r="M109" s="77">
        <f t="shared" si="32"/>
        <v>796967.2080000001</v>
      </c>
      <c r="N109" s="136" t="s">
        <v>29</v>
      </c>
    </row>
    <row r="110" spans="3:14" x14ac:dyDescent="0.3">
      <c r="C110" s="135"/>
      <c r="D110" s="25"/>
      <c r="E110" s="74">
        <v>5635</v>
      </c>
      <c r="F110" s="74" t="s">
        <v>75</v>
      </c>
      <c r="G110" s="57">
        <f>'Benchmarking Calculations'!G76</f>
        <v>45310.2</v>
      </c>
      <c r="H110" s="120">
        <v>45344</v>
      </c>
      <c r="I110" s="120">
        <v>44927</v>
      </c>
      <c r="J110" s="120">
        <v>46000</v>
      </c>
      <c r="K110" s="121">
        <f t="shared" si="29"/>
        <v>46920</v>
      </c>
      <c r="L110" s="227">
        <f t="shared" si="30"/>
        <v>47858.400000000001</v>
      </c>
      <c r="M110" s="227">
        <f t="shared" si="31"/>
        <v>48815.567999999999</v>
      </c>
      <c r="N110" s="131" t="s">
        <v>172</v>
      </c>
    </row>
    <row r="111" spans="3:14" x14ac:dyDescent="0.3">
      <c r="C111" s="135"/>
      <c r="D111" s="25"/>
      <c r="E111" s="105">
        <v>6210</v>
      </c>
      <c r="F111" s="105" t="s">
        <v>76</v>
      </c>
      <c r="G111" s="106">
        <f>'Benchmarking Calculations'!G77</f>
        <v>0</v>
      </c>
      <c r="H111" s="120"/>
      <c r="I111" s="120"/>
      <c r="J111" s="120"/>
      <c r="K111" s="121"/>
      <c r="L111" s="121"/>
      <c r="M111" s="121"/>
      <c r="N111" s="131" t="s">
        <v>172</v>
      </c>
    </row>
    <row r="112" spans="3:14" x14ac:dyDescent="0.3">
      <c r="C112" s="135"/>
      <c r="D112" s="25"/>
      <c r="E112" s="25"/>
      <c r="F112" s="76" t="s">
        <v>77</v>
      </c>
      <c r="G112" s="104">
        <f>'Benchmarking Calculations'!G78</f>
        <v>45310.2</v>
      </c>
      <c r="H112" s="77">
        <f>H110+H111</f>
        <v>45344</v>
      </c>
      <c r="I112" s="77">
        <f t="shared" ref="I112:M112" si="33">I110+I111</f>
        <v>44927</v>
      </c>
      <c r="J112" s="77">
        <f t="shared" si="33"/>
        <v>46000</v>
      </c>
      <c r="K112" s="77">
        <f t="shared" si="33"/>
        <v>46920</v>
      </c>
      <c r="L112" s="77">
        <f t="shared" si="33"/>
        <v>47858.400000000001</v>
      </c>
      <c r="M112" s="77">
        <f t="shared" si="33"/>
        <v>48815.567999999999</v>
      </c>
      <c r="N112" s="136" t="s">
        <v>29</v>
      </c>
    </row>
    <row r="113" spans="3:14" x14ac:dyDescent="0.3">
      <c r="C113" s="135"/>
      <c r="D113" s="25"/>
      <c r="E113" s="107">
        <v>5515</v>
      </c>
      <c r="F113" s="105" t="s">
        <v>78</v>
      </c>
      <c r="G113" s="106">
        <f>'Benchmarking Calculations'!G79</f>
        <v>0</v>
      </c>
      <c r="H113" s="120"/>
      <c r="I113" s="120"/>
      <c r="J113" s="121"/>
      <c r="K113" s="121"/>
      <c r="L113" s="121"/>
      <c r="M113" s="121"/>
      <c r="N113" s="131" t="s">
        <v>172</v>
      </c>
    </row>
    <row r="114" spans="3:14" x14ac:dyDescent="0.3">
      <c r="C114" s="135"/>
      <c r="D114" s="73"/>
      <c r="E114" s="15"/>
      <c r="F114" s="76" t="s">
        <v>79</v>
      </c>
      <c r="G114" s="104">
        <f>'Benchmarking Calculations'!G80</f>
        <v>0</v>
      </c>
      <c r="H114" s="77">
        <f>H113</f>
        <v>0</v>
      </c>
      <c r="I114" s="77">
        <f t="shared" ref="I114:M114" si="34">I113</f>
        <v>0</v>
      </c>
      <c r="J114" s="77">
        <f t="shared" si="34"/>
        <v>0</v>
      </c>
      <c r="K114" s="77">
        <f t="shared" si="34"/>
        <v>0</v>
      </c>
      <c r="L114" s="77">
        <f t="shared" si="34"/>
        <v>0</v>
      </c>
      <c r="M114" s="77">
        <f t="shared" si="34"/>
        <v>0</v>
      </c>
      <c r="N114" s="136" t="s">
        <v>29</v>
      </c>
    </row>
    <row r="115" spans="3:14" x14ac:dyDescent="0.3">
      <c r="C115" s="135"/>
      <c r="D115" s="73"/>
      <c r="E115" s="146" t="s">
        <v>196</v>
      </c>
      <c r="F115" s="76" t="s">
        <v>80</v>
      </c>
      <c r="G115" s="57">
        <f>'Benchmarking Calculations'!G81</f>
        <v>1696666.6099999999</v>
      </c>
      <c r="H115" s="77">
        <f>H64+H78+H86+H91+H109+H112</f>
        <v>1801472.38</v>
      </c>
      <c r="I115" s="77">
        <f t="shared" ref="I115:M115" si="35">I64+I78+I86+I91+I109+I112</f>
        <v>1878427</v>
      </c>
      <c r="J115" s="77">
        <f t="shared" si="35"/>
        <v>1899000</v>
      </c>
      <c r="K115" s="77">
        <f t="shared" si="35"/>
        <v>1936980</v>
      </c>
      <c r="L115" s="77">
        <f t="shared" si="35"/>
        <v>1975719.6</v>
      </c>
      <c r="M115" s="77">
        <f t="shared" si="35"/>
        <v>2015233.9920000001</v>
      </c>
      <c r="N115" s="136" t="s">
        <v>29</v>
      </c>
    </row>
    <row r="116" spans="3:14" x14ac:dyDescent="0.3">
      <c r="C116" s="135"/>
      <c r="D116" s="73"/>
      <c r="E116" s="73"/>
      <c r="F116" s="76"/>
      <c r="G116" s="57"/>
      <c r="H116" s="86"/>
      <c r="I116" s="79"/>
      <c r="J116" s="25"/>
      <c r="K116" s="25"/>
      <c r="L116" s="25"/>
      <c r="M116" s="25"/>
      <c r="N116" s="131"/>
    </row>
    <row r="117" spans="3:14" x14ac:dyDescent="0.3">
      <c r="C117" s="135"/>
      <c r="D117" s="72" t="s">
        <v>81</v>
      </c>
      <c r="E117" s="73"/>
      <c r="F117" s="13"/>
      <c r="G117" s="57"/>
      <c r="H117" s="86"/>
      <c r="I117" s="25"/>
      <c r="J117" s="25"/>
      <c r="K117" s="25"/>
      <c r="L117" s="25"/>
      <c r="M117" s="25"/>
      <c r="N117" s="131"/>
    </row>
    <row r="118" spans="3:14" x14ac:dyDescent="0.3">
      <c r="C118" s="135"/>
      <c r="D118" s="80"/>
      <c r="E118" s="80"/>
      <c r="F118" s="58">
        <v>5014</v>
      </c>
      <c r="G118" s="57">
        <f>G47</f>
        <v>0</v>
      </c>
      <c r="H118" s="57">
        <f t="shared" ref="H118:L118" si="36">H47</f>
        <v>0</v>
      </c>
      <c r="I118" s="57">
        <f t="shared" si="36"/>
        <v>0</v>
      </c>
      <c r="J118" s="57">
        <f t="shared" si="36"/>
        <v>0</v>
      </c>
      <c r="K118" s="57">
        <f t="shared" si="36"/>
        <v>0</v>
      </c>
      <c r="L118" s="57">
        <f t="shared" si="36"/>
        <v>0</v>
      </c>
      <c r="M118" s="57">
        <f t="shared" ref="M118" si="37">M47</f>
        <v>0</v>
      </c>
      <c r="N118" s="136" t="s">
        <v>29</v>
      </c>
    </row>
    <row r="119" spans="3:14" x14ac:dyDescent="0.3">
      <c r="C119" s="135"/>
      <c r="D119" s="80"/>
      <c r="F119" s="58">
        <v>5015</v>
      </c>
      <c r="G119" s="57">
        <f>G48</f>
        <v>0</v>
      </c>
      <c r="H119" s="57">
        <f t="shared" ref="H119:L119" si="38">H48</f>
        <v>0</v>
      </c>
      <c r="I119" s="57">
        <f t="shared" si="38"/>
        <v>0</v>
      </c>
      <c r="J119" s="57">
        <f t="shared" si="38"/>
        <v>0</v>
      </c>
      <c r="K119" s="57">
        <f t="shared" si="38"/>
        <v>0</v>
      </c>
      <c r="L119" s="57">
        <f t="shared" si="38"/>
        <v>0</v>
      </c>
      <c r="M119" s="57">
        <f t="shared" ref="M119" si="39">M48</f>
        <v>0</v>
      </c>
      <c r="N119" s="136" t="s">
        <v>29</v>
      </c>
    </row>
    <row r="120" spans="3:14" x14ac:dyDescent="0.3">
      <c r="C120" s="135"/>
      <c r="D120" s="80"/>
      <c r="F120" s="58">
        <v>5112</v>
      </c>
      <c r="G120" s="57">
        <f>G67</f>
        <v>0</v>
      </c>
      <c r="H120" s="57">
        <f t="shared" ref="H120:L120" si="40">H67</f>
        <v>0</v>
      </c>
      <c r="I120" s="57">
        <f t="shared" si="40"/>
        <v>0</v>
      </c>
      <c r="J120" s="57">
        <f t="shared" si="40"/>
        <v>0</v>
      </c>
      <c r="K120" s="57">
        <f t="shared" si="40"/>
        <v>0</v>
      </c>
      <c r="L120" s="57">
        <f t="shared" si="40"/>
        <v>0</v>
      </c>
      <c r="M120" s="57">
        <f t="shared" ref="M120" si="41">M67</f>
        <v>0</v>
      </c>
      <c r="N120" s="136" t="s">
        <v>29</v>
      </c>
    </row>
    <row r="121" spans="3:14" x14ac:dyDescent="0.3">
      <c r="C121" s="135"/>
      <c r="D121" s="73"/>
      <c r="E121" s="146" t="s">
        <v>197</v>
      </c>
      <c r="F121" s="76" t="s">
        <v>82</v>
      </c>
      <c r="G121" s="104">
        <f>'Benchmarking Calculations'!G87</f>
        <v>0</v>
      </c>
      <c r="H121" s="104">
        <f>H47+H48+H67</f>
        <v>0</v>
      </c>
      <c r="I121" s="104">
        <f t="shared" ref="I121:L121" si="42">I47+I48+I67</f>
        <v>0</v>
      </c>
      <c r="J121" s="104">
        <f t="shared" si="42"/>
        <v>0</v>
      </c>
      <c r="K121" s="104">
        <f t="shared" si="42"/>
        <v>0</v>
      </c>
      <c r="L121" s="104">
        <f t="shared" si="42"/>
        <v>0</v>
      </c>
      <c r="M121" s="104">
        <f t="shared" ref="M121" si="43">M47+M48+M67</f>
        <v>0</v>
      </c>
      <c r="N121" s="147" t="s">
        <v>29</v>
      </c>
    </row>
    <row r="122" spans="3:14" x14ac:dyDescent="0.3">
      <c r="C122" s="135"/>
      <c r="D122" s="73"/>
      <c r="E122" s="148" t="s">
        <v>198</v>
      </c>
      <c r="F122" s="76" t="s">
        <v>83</v>
      </c>
      <c r="G122" s="104">
        <f>'Benchmarking Calculations'!G88</f>
        <v>6196.0300000000007</v>
      </c>
      <c r="H122" s="149">
        <v>5430</v>
      </c>
      <c r="I122" s="149">
        <v>5600</v>
      </c>
      <c r="J122" s="149">
        <v>5700</v>
      </c>
      <c r="K122" s="228">
        <f t="shared" ref="K122" si="44">J122*(1+$K$42)</f>
        <v>5814</v>
      </c>
      <c r="L122" s="229">
        <f t="shared" ref="L122" si="45">K122*(1+$L$42)</f>
        <v>5930.28</v>
      </c>
      <c r="M122" s="229">
        <f t="shared" ref="M122" si="46">L122*(1+$M$42)</f>
        <v>6048.8855999999996</v>
      </c>
      <c r="N122" s="150" t="s">
        <v>172</v>
      </c>
    </row>
    <row r="123" spans="3:14" ht="13.5" thickBot="1" x14ac:dyDescent="0.35">
      <c r="C123" s="137"/>
      <c r="D123" s="138"/>
      <c r="E123" s="138"/>
      <c r="F123" s="139"/>
      <c r="G123" s="133"/>
      <c r="H123" s="140"/>
      <c r="I123" s="141"/>
      <c r="J123" s="71"/>
      <c r="K123" s="71"/>
      <c r="L123" s="71"/>
      <c r="M123" s="71"/>
      <c r="N123" s="134"/>
    </row>
    <row r="124" spans="3:14" x14ac:dyDescent="0.3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4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zoomScaleNormal="100" workbookViewId="0">
      <pane ySplit="5" topLeftCell="A108" activePane="bottomLeft" state="frozen"/>
      <selection activeCell="G33" sqref="G33"/>
      <selection pane="bottomLeft" activeCell="H122" sqref="H122"/>
    </sheetView>
  </sheetViews>
  <sheetFormatPr defaultColWidth="9.08984375" defaultRowHeight="13" outlineLevelRow="1" x14ac:dyDescent="0.3"/>
  <cols>
    <col min="1" max="1" width="6.54296875" customWidth="1"/>
    <col min="2" max="2" width="11.90625" customWidth="1"/>
    <col min="3" max="3" width="17.36328125" customWidth="1"/>
    <col min="4" max="4" width="7" customWidth="1"/>
    <col min="5" max="5" width="55.453125" style="2" customWidth="1"/>
    <col min="6" max="6" width="16" style="3" hidden="1" customWidth="1"/>
    <col min="7" max="7" width="16" style="3" customWidth="1"/>
    <col min="8" max="11" width="16" customWidth="1"/>
    <col min="12" max="12" width="16.36328125" customWidth="1"/>
    <col min="13" max="13" width="16.6328125" customWidth="1"/>
    <col min="14" max="14" width="9.90625" style="197" hidden="1" customWidth="1"/>
    <col min="15" max="15" width="9.08984375" style="108" hidden="1" customWidth="1"/>
    <col min="16" max="16" width="16.08984375" style="108" hidden="1" customWidth="1"/>
    <col min="17" max="17" width="19" style="108" hidden="1" customWidth="1"/>
    <col min="18" max="18" width="18.08984375" style="108" hidden="1" customWidth="1"/>
    <col min="19" max="19" width="14.36328125" style="108" hidden="1" customWidth="1"/>
    <col min="20" max="20" width="17.08984375" style="108" hidden="1" customWidth="1"/>
    <col min="21" max="23" width="14.36328125" style="108" hidden="1" customWidth="1"/>
    <col min="24" max="24" width="17.08984375" style="108" hidden="1" customWidth="1"/>
    <col min="25" max="25" width="21.453125" style="108" hidden="1" customWidth="1"/>
    <col min="26" max="26" width="21" style="108" hidden="1" customWidth="1"/>
    <col min="27" max="27" width="19.453125" style="108" hidden="1" customWidth="1"/>
    <col min="28" max="29" width="14.36328125" style="108" hidden="1" customWidth="1"/>
    <col min="30" max="30" width="16.453125" style="108" hidden="1" customWidth="1"/>
    <col min="31" max="31" width="15.453125" style="108" hidden="1" customWidth="1"/>
    <col min="32" max="32" width="19.36328125" style="108" hidden="1" customWidth="1"/>
    <col min="33" max="33" width="18.90625" style="108" hidden="1" customWidth="1"/>
    <col min="34" max="34" width="18.08984375" style="108" hidden="1" customWidth="1"/>
    <col min="35" max="35" width="14.36328125" style="108" hidden="1" customWidth="1"/>
    <col min="36" max="36" width="18.36328125" style="108" hidden="1" customWidth="1"/>
    <col min="37" max="37" width="14.36328125" style="108" hidden="1" customWidth="1"/>
    <col min="38" max="38" width="17.453125" style="108" hidden="1" customWidth="1"/>
    <col min="39" max="39" width="16.54296875" style="108" hidden="1" customWidth="1"/>
    <col min="40" max="40" width="18.6328125" style="108" hidden="1" customWidth="1"/>
    <col min="41" max="41" width="16.6328125" style="108" hidden="1" customWidth="1"/>
    <col min="42" max="43" width="13.453125" style="108" hidden="1" customWidth="1"/>
    <col min="44" max="44" width="19.08984375" style="108" hidden="1" customWidth="1"/>
    <col min="45" max="45" width="15.90625" style="108" hidden="1" customWidth="1"/>
    <col min="46" max="46" width="17.36328125" style="108" hidden="1" customWidth="1"/>
    <col min="47" max="47" width="18" style="108" hidden="1" customWidth="1"/>
    <col min="48" max="48" width="13.453125" style="108" hidden="1" customWidth="1"/>
    <col min="49" max="49" width="17.36328125" style="108" hidden="1" customWidth="1"/>
    <col min="50" max="50" width="13.453125" style="108" hidden="1" customWidth="1"/>
    <col min="51" max="51" width="17.36328125" style="108" hidden="1" customWidth="1"/>
    <col min="52" max="52" width="18.08984375" style="108" hidden="1" customWidth="1"/>
    <col min="53" max="53" width="21.36328125" style="108" hidden="1" customWidth="1"/>
    <col min="54" max="54" width="18.453125" style="108" hidden="1" customWidth="1"/>
    <col min="55" max="55" width="18" style="108" hidden="1" customWidth="1"/>
    <col min="56" max="60" width="13.453125" style="108" hidden="1" customWidth="1"/>
    <col min="61" max="61" width="14.90625" style="108" hidden="1" customWidth="1"/>
    <col min="62" max="62" width="15.90625" style="108" hidden="1" customWidth="1"/>
    <col min="63" max="63" width="13.453125" style="108" hidden="1" customWidth="1"/>
    <col min="64" max="64" width="16.453125" style="108" hidden="1" customWidth="1"/>
    <col min="65" max="65" width="16.08984375" style="108" hidden="1" customWidth="1"/>
    <col min="66" max="69" width="13.453125" style="108" hidden="1" customWidth="1"/>
    <col min="70" max="70" width="15.36328125" style="108" hidden="1" customWidth="1"/>
    <col min="71" max="71" width="13.453125" style="108" hidden="1" customWidth="1"/>
    <col min="72" max="72" width="15.90625" style="108" hidden="1" customWidth="1"/>
    <col min="73" max="73" width="13.453125" style="108" hidden="1" customWidth="1"/>
    <col min="74" max="74" width="16.08984375" style="108" hidden="1" customWidth="1"/>
    <col min="75" max="78" width="13.453125" style="108" hidden="1" customWidth="1"/>
    <col min="79" max="79" width="17.08984375" style="108" hidden="1" customWidth="1"/>
    <col min="80" max="83" width="13.453125" style="108" hidden="1" customWidth="1"/>
    <col min="84" max="89" width="9.08984375" hidden="1" customWidth="1"/>
    <col min="90" max="150" width="0" hidden="1" customWidth="1"/>
  </cols>
  <sheetData>
    <row r="1" spans="1:149" ht="26" thickBot="1" x14ac:dyDescent="0.7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O1" s="117"/>
      <c r="P1" s="179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</row>
    <row r="2" spans="1:149" ht="17.5" thickTop="1" thickBot="1" x14ac:dyDescent="0.4">
      <c r="A2" s="1"/>
      <c r="B2" s="95"/>
      <c r="C2" s="3"/>
      <c r="D2" s="3"/>
      <c r="E2" s="9"/>
      <c r="Q2" s="154"/>
      <c r="R2" s="154"/>
    </row>
    <row r="3" spans="1:149" s="183" customFormat="1" ht="75.75" customHeight="1" thickBot="1" x14ac:dyDescent="0.4">
      <c r="B3" s="285" t="s">
        <v>1</v>
      </c>
      <c r="C3" s="285"/>
      <c r="D3" s="181"/>
      <c r="E3" s="96" t="str">
        <f>'Model Inputs'!F5</f>
        <v>Wellington North Power Inc.</v>
      </c>
      <c r="F3" s="184"/>
      <c r="G3" s="184"/>
      <c r="H3" s="185"/>
      <c r="I3" s="185"/>
      <c r="J3" s="185"/>
      <c r="K3" s="185"/>
      <c r="N3" s="198"/>
      <c r="O3" s="156">
        <v>1</v>
      </c>
      <c r="P3" s="156" t="s">
        <v>265</v>
      </c>
      <c r="Q3" s="182" t="s">
        <v>266</v>
      </c>
      <c r="R3" s="182" t="s">
        <v>201</v>
      </c>
      <c r="S3" s="182" t="s">
        <v>202</v>
      </c>
      <c r="T3" s="182" t="s">
        <v>203</v>
      </c>
      <c r="U3" s="182" t="s">
        <v>204</v>
      </c>
      <c r="V3" s="182" t="s">
        <v>205</v>
      </c>
      <c r="W3" s="182" t="s">
        <v>206</v>
      </c>
      <c r="X3" s="182" t="s">
        <v>207</v>
      </c>
      <c r="Y3" s="182" t="s">
        <v>208</v>
      </c>
      <c r="Z3" s="182" t="s">
        <v>269</v>
      </c>
      <c r="AA3" s="182" t="s">
        <v>210</v>
      </c>
      <c r="AB3" s="182" t="s">
        <v>211</v>
      </c>
      <c r="AC3" s="182" t="s">
        <v>267</v>
      </c>
      <c r="AD3" s="182" t="s">
        <v>212</v>
      </c>
      <c r="AE3" s="182" t="s">
        <v>213</v>
      </c>
      <c r="AF3" s="182" t="s">
        <v>270</v>
      </c>
      <c r="AG3" s="182" t="s">
        <v>215</v>
      </c>
      <c r="AH3" s="182" t="s">
        <v>216</v>
      </c>
      <c r="AI3" s="182" t="s">
        <v>217</v>
      </c>
      <c r="AJ3" s="182" t="s">
        <v>218</v>
      </c>
      <c r="AK3" s="182" t="s">
        <v>219</v>
      </c>
      <c r="AL3" s="182" t="s">
        <v>220</v>
      </c>
      <c r="AM3" s="182" t="s">
        <v>221</v>
      </c>
      <c r="AN3" s="182" t="s">
        <v>222</v>
      </c>
      <c r="AO3" s="182" t="s">
        <v>223</v>
      </c>
      <c r="AP3" s="182" t="s">
        <v>224</v>
      </c>
      <c r="AQ3" s="182" t="s">
        <v>225</v>
      </c>
      <c r="AR3" s="182" t="s">
        <v>226</v>
      </c>
      <c r="AS3" s="182" t="s">
        <v>227</v>
      </c>
      <c r="AT3" s="182" t="s">
        <v>268</v>
      </c>
      <c r="AU3" s="182" t="s">
        <v>228</v>
      </c>
      <c r="AV3" s="182" t="s">
        <v>229</v>
      </c>
      <c r="AW3" s="182" t="s">
        <v>230</v>
      </c>
      <c r="AX3" s="182" t="s">
        <v>231</v>
      </c>
      <c r="AY3" s="182" t="s">
        <v>232</v>
      </c>
      <c r="AZ3" s="182" t="s">
        <v>233</v>
      </c>
      <c r="BA3" s="182" t="s">
        <v>234</v>
      </c>
      <c r="BB3" s="182" t="s">
        <v>235</v>
      </c>
      <c r="BC3" s="182" t="s">
        <v>236</v>
      </c>
      <c r="BD3" s="182" t="s">
        <v>237</v>
      </c>
      <c r="BE3" s="182" t="s">
        <v>238</v>
      </c>
      <c r="BF3" s="182" t="s">
        <v>239</v>
      </c>
      <c r="BG3" s="182" t="s">
        <v>240</v>
      </c>
      <c r="BH3" s="182" t="s">
        <v>241</v>
      </c>
      <c r="BI3" s="182" t="s">
        <v>242</v>
      </c>
      <c r="BJ3" s="182" t="s">
        <v>243</v>
      </c>
      <c r="BK3" s="182" t="s">
        <v>244</v>
      </c>
      <c r="BL3" s="182" t="s">
        <v>245</v>
      </c>
      <c r="BM3" s="182" t="s">
        <v>246</v>
      </c>
      <c r="BN3" s="182" t="s">
        <v>247</v>
      </c>
      <c r="BO3" s="182" t="s">
        <v>248</v>
      </c>
      <c r="BP3" s="182" t="s">
        <v>249</v>
      </c>
      <c r="BQ3" s="182" t="s">
        <v>250</v>
      </c>
      <c r="BR3" s="182" t="s">
        <v>251</v>
      </c>
      <c r="BS3" s="182" t="s">
        <v>252</v>
      </c>
      <c r="BT3" s="182" t="s">
        <v>253</v>
      </c>
      <c r="BU3" s="182" t="s">
        <v>254</v>
      </c>
      <c r="BV3" s="182" t="s">
        <v>255</v>
      </c>
      <c r="BW3" s="182" t="s">
        <v>256</v>
      </c>
      <c r="BX3" s="182" t="s">
        <v>257</v>
      </c>
      <c r="BY3" s="182" t="s">
        <v>258</v>
      </c>
      <c r="BZ3" s="182" t="s">
        <v>259</v>
      </c>
      <c r="CA3" s="182" t="s">
        <v>260</v>
      </c>
      <c r="CB3" s="182" t="s">
        <v>261</v>
      </c>
      <c r="CC3" s="182" t="s">
        <v>262</v>
      </c>
      <c r="CD3" s="156"/>
      <c r="CE3" s="156"/>
      <c r="CF3" s="156"/>
      <c r="CG3" s="156"/>
      <c r="CH3" s="156"/>
      <c r="CI3" s="156"/>
      <c r="CJ3" s="156"/>
      <c r="CK3" s="156"/>
      <c r="CL3" s="156"/>
    </row>
    <row r="4" spans="1:149" s="218" customFormat="1" ht="101.25" customHeight="1" x14ac:dyDescent="0.35">
      <c r="E4" s="219"/>
      <c r="F4" s="286"/>
      <c r="G4" s="287"/>
      <c r="H4" s="288" t="s">
        <v>2</v>
      </c>
      <c r="I4" s="289"/>
      <c r="J4" s="289"/>
      <c r="K4" s="289"/>
      <c r="L4" s="289"/>
      <c r="M4" s="289"/>
      <c r="N4" s="220"/>
      <c r="O4" s="221">
        <v>2</v>
      </c>
      <c r="P4" s="221"/>
      <c r="Q4" s="222"/>
      <c r="R4" s="222"/>
      <c r="S4" s="222"/>
      <c r="T4" s="222"/>
      <c r="U4" s="222"/>
      <c r="V4" s="222"/>
      <c r="W4" s="222"/>
      <c r="X4" s="222"/>
      <c r="Y4" s="222"/>
      <c r="Z4" s="182" t="s">
        <v>209</v>
      </c>
      <c r="AA4" s="222"/>
      <c r="AB4" s="222"/>
      <c r="AC4" s="222"/>
      <c r="AD4" s="222"/>
      <c r="AE4" s="222"/>
      <c r="AF4" s="182" t="s">
        <v>214</v>
      </c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</row>
    <row r="5" spans="1:149" ht="39" x14ac:dyDescent="0.3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3">
        <f>G5+1</f>
        <v>2019</v>
      </c>
      <c r="I5" s="83">
        <f t="shared" ref="I5:M5" si="0">H5+1</f>
        <v>2020</v>
      </c>
      <c r="J5" s="83">
        <f t="shared" si="0"/>
        <v>2021</v>
      </c>
      <c r="K5" s="83">
        <f t="shared" si="0"/>
        <v>2022</v>
      </c>
      <c r="L5" s="83">
        <f t="shared" si="0"/>
        <v>2023</v>
      </c>
      <c r="M5" s="83">
        <f t="shared" si="0"/>
        <v>2024</v>
      </c>
      <c r="N5" s="200" t="s">
        <v>263</v>
      </c>
      <c r="O5" s="108">
        <v>3</v>
      </c>
      <c r="CG5" s="51"/>
    </row>
    <row r="6" spans="1:149" x14ac:dyDescent="0.3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1:149" s="3" customFormat="1" ht="13.5" thickBot="1" x14ac:dyDescent="0.35">
      <c r="A7" s="283" t="s">
        <v>6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125"/>
      <c r="N7" s="201"/>
      <c r="O7" s="108">
        <v>5</v>
      </c>
      <c r="P7" s="108">
        <v>0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3">
      <c r="A8" s="8"/>
      <c r="B8" s="3"/>
      <c r="O8" s="108">
        <v>6</v>
      </c>
      <c r="P8" s="108">
        <v>0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</row>
    <row r="9" spans="1:149" x14ac:dyDescent="0.3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</row>
    <row r="10" spans="1:149" s="3" customFormat="1" outlineLevel="1" x14ac:dyDescent="0.3">
      <c r="A10" s="8"/>
      <c r="B10" s="9">
        <v>2</v>
      </c>
      <c r="C10" s="19">
        <v>5005</v>
      </c>
      <c r="D10" s="180">
        <v>2</v>
      </c>
      <c r="E10" s="19" t="s">
        <v>8</v>
      </c>
      <c r="F10" s="98"/>
      <c r="G10" s="98">
        <f>HLOOKUP($E$3,$P$3:$CE$269,O10,TRUE)</f>
        <v>151447.92000000001</v>
      </c>
      <c r="H10" s="91"/>
      <c r="I10" s="91"/>
      <c r="J10" s="91"/>
      <c r="K10" s="91"/>
      <c r="L10" s="91"/>
      <c r="M10" s="91"/>
      <c r="N10" s="91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3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1">
        <v>170325.02</v>
      </c>
      <c r="AM10" s="91">
        <v>2108871.2000000002</v>
      </c>
      <c r="AN10" s="91">
        <v>389815.02</v>
      </c>
      <c r="AO10" s="91">
        <v>0</v>
      </c>
      <c r="AP10" s="91">
        <v>0</v>
      </c>
      <c r="AQ10" s="91">
        <v>0</v>
      </c>
      <c r="AR10" s="91">
        <v>3027425.53</v>
      </c>
      <c r="AS10" s="91">
        <v>0</v>
      </c>
      <c r="AT10" s="91">
        <v>278243.96000000002</v>
      </c>
      <c r="AU10" s="91">
        <v>0</v>
      </c>
      <c r="AV10" s="91">
        <v>216344</v>
      </c>
      <c r="AW10" s="91">
        <v>2238345.0499999998</v>
      </c>
      <c r="AX10" s="91">
        <v>102982.45</v>
      </c>
      <c r="AY10" s="91">
        <v>0</v>
      </c>
      <c r="AZ10" s="91">
        <v>2178397.8199999998</v>
      </c>
      <c r="BA10" s="91"/>
      <c r="BB10" s="91">
        <v>0</v>
      </c>
      <c r="BC10" s="91">
        <v>565720.54</v>
      </c>
      <c r="BD10" s="91">
        <v>883891.94</v>
      </c>
      <c r="BE10" s="91">
        <v>36084.050000000003</v>
      </c>
      <c r="BF10" s="91">
        <v>0</v>
      </c>
      <c r="BG10" s="91">
        <v>224272.94</v>
      </c>
      <c r="BH10" s="91">
        <v>2889328.23</v>
      </c>
      <c r="BI10" s="91">
        <v>0</v>
      </c>
      <c r="BJ10" s="91">
        <v>567485</v>
      </c>
      <c r="BK10" s="91">
        <v>781514</v>
      </c>
      <c r="BL10" s="91">
        <v>109143.24</v>
      </c>
      <c r="BM10" s="91">
        <v>1062515.76</v>
      </c>
      <c r="BN10" s="91">
        <v>513870.62</v>
      </c>
      <c r="BO10" s="91">
        <v>0</v>
      </c>
      <c r="BP10" s="91">
        <v>155577.06</v>
      </c>
      <c r="BQ10" s="91">
        <v>0</v>
      </c>
      <c r="BR10" s="91"/>
      <c r="BS10" s="91">
        <v>448973.65</v>
      </c>
      <c r="BT10" s="91">
        <v>126619.75</v>
      </c>
      <c r="BU10" s="91">
        <v>25122606.920000002</v>
      </c>
      <c r="BV10" s="91">
        <v>1073635</v>
      </c>
      <c r="BW10" s="91">
        <v>0</v>
      </c>
      <c r="BX10" s="91">
        <v>664584</v>
      </c>
      <c r="BY10" s="91">
        <v>298198.77</v>
      </c>
      <c r="BZ10" s="91">
        <v>151447.92000000001</v>
      </c>
      <c r="CA10" s="91">
        <v>34353</v>
      </c>
      <c r="CB10" s="91">
        <v>0</v>
      </c>
      <c r="CC10" s="91">
        <v>330221.48</v>
      </c>
      <c r="CD10" s="91"/>
      <c r="CE10" s="91"/>
      <c r="CF10" s="91"/>
      <c r="CG10" s="91">
        <v>14538841.82</v>
      </c>
      <c r="CH10" s="91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3">
      <c r="A11" s="8"/>
      <c r="B11" s="9">
        <v>3</v>
      </c>
      <c r="C11" s="11">
        <v>5010</v>
      </c>
      <c r="D11" s="180">
        <v>3</v>
      </c>
      <c r="E11" s="11" t="s">
        <v>9</v>
      </c>
      <c r="F11" s="98"/>
      <c r="G11" s="98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3"/>
      <c r="O11" s="108">
        <v>9</v>
      </c>
      <c r="P11" s="108">
        <v>0</v>
      </c>
      <c r="Q11" s="152">
        <v>9261459.9100000001</v>
      </c>
      <c r="R11" s="152">
        <v>135356.12</v>
      </c>
      <c r="S11" s="152">
        <v>0</v>
      </c>
      <c r="T11" s="152">
        <v>433496</v>
      </c>
      <c r="U11" s="152">
        <v>86657.78</v>
      </c>
      <c r="V11" s="152">
        <v>2284096.7799999998</v>
      </c>
      <c r="W11" s="152">
        <v>281163.44</v>
      </c>
      <c r="X11" s="187">
        <v>12710.21</v>
      </c>
      <c r="Y11" s="152">
        <v>0</v>
      </c>
      <c r="Z11" s="152">
        <v>131865.9</v>
      </c>
      <c r="AA11" s="152">
        <v>0</v>
      </c>
      <c r="AB11" s="152">
        <v>525.02</v>
      </c>
      <c r="AC11" s="152">
        <v>767357.06</v>
      </c>
      <c r="AD11" s="152">
        <v>75271.94</v>
      </c>
      <c r="AE11" s="152">
        <v>198631.33</v>
      </c>
      <c r="AF11" s="152">
        <v>0</v>
      </c>
      <c r="AG11" s="152">
        <v>0</v>
      </c>
      <c r="AH11" s="152">
        <v>25779.57</v>
      </c>
      <c r="AI11" s="152">
        <v>60698.21</v>
      </c>
      <c r="AJ11" s="152">
        <v>0</v>
      </c>
      <c r="AK11" s="152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3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3">
      <c r="A12" s="8"/>
      <c r="B12" s="9">
        <v>4</v>
      </c>
      <c r="C12" s="11">
        <v>5012</v>
      </c>
      <c r="D12" s="180">
        <v>4</v>
      </c>
      <c r="E12" s="11" t="s">
        <v>10</v>
      </c>
      <c r="F12" s="98"/>
      <c r="G12" s="98">
        <f t="shared" si="1"/>
        <v>17505.419999999998</v>
      </c>
      <c r="H12" s="14"/>
      <c r="I12" s="14"/>
      <c r="J12" s="14"/>
      <c r="K12" s="14"/>
      <c r="L12" s="14"/>
      <c r="M12" s="14"/>
      <c r="N12" s="193"/>
      <c r="O12" s="108">
        <v>10</v>
      </c>
      <c r="P12" s="108">
        <v>0</v>
      </c>
      <c r="Q12" s="152">
        <v>1489117.33</v>
      </c>
      <c r="R12" s="152">
        <v>83660.47</v>
      </c>
      <c r="S12" s="152">
        <v>0</v>
      </c>
      <c r="T12" s="152">
        <v>17298</v>
      </c>
      <c r="U12" s="152">
        <v>16024.46</v>
      </c>
      <c r="V12" s="152">
        <v>81708.5</v>
      </c>
      <c r="W12" s="152">
        <v>131040.78</v>
      </c>
      <c r="X12" s="187">
        <v>89529.96</v>
      </c>
      <c r="Y12" s="152">
        <v>0</v>
      </c>
      <c r="Z12" s="152">
        <v>31006.03</v>
      </c>
      <c r="AA12" s="152">
        <v>1187.07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2711.68</v>
      </c>
      <c r="AH12" s="152">
        <v>0</v>
      </c>
      <c r="AI12" s="152">
        <v>15467.85</v>
      </c>
      <c r="AJ12" s="152">
        <v>60672.62</v>
      </c>
      <c r="AK12" s="152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3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3">
      <c r="A13" s="8"/>
      <c r="B13" s="9">
        <v>5</v>
      </c>
      <c r="C13" s="11">
        <v>5014</v>
      </c>
      <c r="D13" s="180">
        <v>5</v>
      </c>
      <c r="E13" s="11" t="s">
        <v>11</v>
      </c>
      <c r="F13" s="98"/>
      <c r="G13" s="98">
        <f t="shared" si="1"/>
        <v>0</v>
      </c>
      <c r="H13" s="14"/>
      <c r="I13" s="91"/>
      <c r="J13" s="91"/>
      <c r="K13" s="91"/>
      <c r="L13" s="91"/>
      <c r="M13" s="91"/>
      <c r="N13" s="193"/>
      <c r="O13" s="108">
        <v>11</v>
      </c>
      <c r="P13" s="108">
        <v>0</v>
      </c>
      <c r="Q13" s="152">
        <v>363307.15</v>
      </c>
      <c r="R13" s="152">
        <v>0</v>
      </c>
      <c r="S13" s="152">
        <v>0</v>
      </c>
      <c r="T13" s="152">
        <v>0</v>
      </c>
      <c r="U13" s="152">
        <v>2489.17</v>
      </c>
      <c r="V13" s="152">
        <v>0</v>
      </c>
      <c r="W13" s="152">
        <v>0</v>
      </c>
      <c r="X13" s="187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270171.8</v>
      </c>
      <c r="AF13" s="152">
        <v>0</v>
      </c>
      <c r="AG13" s="152">
        <v>0</v>
      </c>
      <c r="AH13" s="152">
        <v>0</v>
      </c>
      <c r="AI13" s="152">
        <v>2610.94</v>
      </c>
      <c r="AJ13" s="152">
        <v>41273.25</v>
      </c>
      <c r="AK13" s="152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3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3">
      <c r="A14" s="8"/>
      <c r="B14" s="9">
        <v>6</v>
      </c>
      <c r="C14" s="11">
        <v>5015</v>
      </c>
      <c r="D14" s="180">
        <v>6</v>
      </c>
      <c r="E14" s="11" t="s">
        <v>12</v>
      </c>
      <c r="F14" s="98"/>
      <c r="G14" s="98">
        <f t="shared" si="1"/>
        <v>0</v>
      </c>
      <c r="H14" s="14"/>
      <c r="I14" s="91"/>
      <c r="J14" s="91"/>
      <c r="K14" s="91"/>
      <c r="L14" s="91"/>
      <c r="M14" s="91"/>
      <c r="N14" s="193"/>
      <c r="O14" s="108">
        <v>12</v>
      </c>
      <c r="P14" s="108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86632.84</v>
      </c>
      <c r="V14" s="152">
        <v>0</v>
      </c>
      <c r="W14" s="152">
        <v>0</v>
      </c>
      <c r="X14" s="187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206212.91</v>
      </c>
      <c r="AD14" s="152">
        <v>0</v>
      </c>
      <c r="AE14" s="152">
        <v>1889.06</v>
      </c>
      <c r="AF14" s="152">
        <v>0</v>
      </c>
      <c r="AG14" s="152">
        <v>0</v>
      </c>
      <c r="AH14" s="152">
        <v>0</v>
      </c>
      <c r="AI14" s="152">
        <v>126451.39</v>
      </c>
      <c r="AJ14" s="152">
        <v>12504.63</v>
      </c>
      <c r="AK14" s="152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3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6.5" outlineLevel="1" x14ac:dyDescent="0.35">
      <c r="A15" s="8"/>
      <c r="B15" s="9">
        <v>7</v>
      </c>
      <c r="C15" s="11">
        <v>5016</v>
      </c>
      <c r="D15" s="180">
        <v>7</v>
      </c>
      <c r="E15" s="11" t="s">
        <v>13</v>
      </c>
      <c r="F15" s="98"/>
      <c r="G15" s="98">
        <f t="shared" si="1"/>
        <v>4805.09</v>
      </c>
      <c r="H15" s="14"/>
      <c r="I15" s="92"/>
      <c r="J15" s="91"/>
      <c r="K15" s="91"/>
      <c r="L15" s="91"/>
      <c r="M15" s="91"/>
      <c r="N15" s="193"/>
      <c r="O15" s="108">
        <v>13</v>
      </c>
      <c r="P15" s="108">
        <v>0</v>
      </c>
      <c r="Q15" s="152">
        <v>3263795.02</v>
      </c>
      <c r="R15" s="152">
        <v>30772.639999999999</v>
      </c>
      <c r="S15" s="152">
        <v>17455.009999999998</v>
      </c>
      <c r="T15" s="152">
        <v>27097</v>
      </c>
      <c r="U15" s="152">
        <v>0</v>
      </c>
      <c r="V15" s="152">
        <v>140412.18</v>
      </c>
      <c r="W15" s="152">
        <v>119543.89</v>
      </c>
      <c r="X15" s="187">
        <v>0</v>
      </c>
      <c r="Y15" s="152">
        <v>2281.09</v>
      </c>
      <c r="Z15" s="152">
        <v>0</v>
      </c>
      <c r="AA15" s="152">
        <v>0</v>
      </c>
      <c r="AB15" s="152">
        <v>8567.44</v>
      </c>
      <c r="AC15" s="152">
        <v>0</v>
      </c>
      <c r="AD15" s="152">
        <v>84042.97</v>
      </c>
      <c r="AE15" s="152">
        <v>0</v>
      </c>
      <c r="AF15" s="152">
        <v>0</v>
      </c>
      <c r="AG15" s="152">
        <v>12683.02</v>
      </c>
      <c r="AH15" s="152">
        <v>0</v>
      </c>
      <c r="AI15" s="152">
        <v>0</v>
      </c>
      <c r="AJ15" s="152">
        <v>0</v>
      </c>
      <c r="AK15" s="152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3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3">
      <c r="A16" s="8"/>
      <c r="B16" s="9">
        <v>8</v>
      </c>
      <c r="C16" s="11">
        <v>5017</v>
      </c>
      <c r="D16" s="180">
        <v>8</v>
      </c>
      <c r="E16" s="11" t="s">
        <v>14</v>
      </c>
      <c r="F16" s="98"/>
      <c r="G16" s="98">
        <f t="shared" si="1"/>
        <v>17819.64</v>
      </c>
      <c r="H16" s="14"/>
      <c r="I16" s="91"/>
      <c r="J16" s="91"/>
      <c r="K16" s="91"/>
      <c r="L16" s="91"/>
      <c r="M16" s="91"/>
      <c r="N16" s="193"/>
      <c r="O16" s="108">
        <v>14</v>
      </c>
      <c r="P16" s="108">
        <v>0</v>
      </c>
      <c r="Q16" s="152">
        <v>426891.08</v>
      </c>
      <c r="R16" s="152">
        <v>28012.57</v>
      </c>
      <c r="S16" s="152">
        <v>0</v>
      </c>
      <c r="T16" s="152">
        <v>11220</v>
      </c>
      <c r="U16" s="152">
        <v>0</v>
      </c>
      <c r="V16" s="152">
        <v>237718.74</v>
      </c>
      <c r="W16" s="152">
        <v>11166.55</v>
      </c>
      <c r="X16" s="187">
        <v>14117.76</v>
      </c>
      <c r="Y16" s="152">
        <v>50</v>
      </c>
      <c r="Z16" s="152">
        <v>0</v>
      </c>
      <c r="AA16" s="152">
        <v>0</v>
      </c>
      <c r="AB16" s="152">
        <v>0</v>
      </c>
      <c r="AC16" s="152">
        <v>0</v>
      </c>
      <c r="AD16" s="152">
        <v>86237.64</v>
      </c>
      <c r="AE16" s="152">
        <v>0</v>
      </c>
      <c r="AF16" s="152">
        <v>0</v>
      </c>
      <c r="AG16" s="152">
        <v>21534.9</v>
      </c>
      <c r="AH16" s="152">
        <v>0</v>
      </c>
      <c r="AI16" s="152">
        <v>0</v>
      </c>
      <c r="AJ16" s="152">
        <v>0</v>
      </c>
      <c r="AK16" s="152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3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3">
      <c r="A17" s="8"/>
      <c r="B17" s="9">
        <v>9</v>
      </c>
      <c r="C17" s="11">
        <v>5020</v>
      </c>
      <c r="D17" s="180">
        <v>9</v>
      </c>
      <c r="E17" s="11" t="s">
        <v>15</v>
      </c>
      <c r="F17" s="98"/>
      <c r="G17" s="98">
        <f t="shared" si="1"/>
        <v>13226.57</v>
      </c>
      <c r="H17" s="14"/>
      <c r="I17" s="91"/>
      <c r="J17" s="91"/>
      <c r="K17" s="91"/>
      <c r="L17" s="91"/>
      <c r="M17" s="91"/>
      <c r="N17" s="193"/>
      <c r="O17" s="108">
        <v>15</v>
      </c>
      <c r="P17" s="108">
        <v>0</v>
      </c>
      <c r="Q17" s="152">
        <v>1734623.1</v>
      </c>
      <c r="R17" s="152">
        <v>131083.73000000001</v>
      </c>
      <c r="S17" s="152">
        <v>337679.9</v>
      </c>
      <c r="T17" s="152">
        <v>885157</v>
      </c>
      <c r="U17" s="152">
        <v>915.06</v>
      </c>
      <c r="V17" s="152">
        <v>285259.2</v>
      </c>
      <c r="W17" s="152">
        <v>95308.9</v>
      </c>
      <c r="X17" s="187">
        <v>4653.1899999999996</v>
      </c>
      <c r="Y17" s="152">
        <v>164676.78</v>
      </c>
      <c r="Z17" s="152">
        <v>34882.559999999998</v>
      </c>
      <c r="AA17" s="152">
        <v>0</v>
      </c>
      <c r="AB17" s="152">
        <v>21775.03</v>
      </c>
      <c r="AC17" s="152">
        <v>215913.38</v>
      </c>
      <c r="AD17" s="152">
        <v>149391.22</v>
      </c>
      <c r="AE17" s="152">
        <v>1870961.56</v>
      </c>
      <c r="AF17" s="152">
        <v>0</v>
      </c>
      <c r="AG17" s="152">
        <v>63063.89</v>
      </c>
      <c r="AH17" s="152">
        <v>78898.490000000005</v>
      </c>
      <c r="AI17" s="152">
        <v>12563.4</v>
      </c>
      <c r="AJ17" s="152">
        <v>-1967.29</v>
      </c>
      <c r="AK17" s="152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3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3">
      <c r="A18" s="8"/>
      <c r="B18" s="9">
        <v>10</v>
      </c>
      <c r="C18" s="11">
        <v>5025</v>
      </c>
      <c r="D18" s="180">
        <v>10</v>
      </c>
      <c r="E18" s="11" t="s">
        <v>16</v>
      </c>
      <c r="F18" s="98"/>
      <c r="G18" s="98">
        <f t="shared" si="1"/>
        <v>9514.16</v>
      </c>
      <c r="H18" s="14"/>
      <c r="I18" s="91"/>
      <c r="J18" s="91"/>
      <c r="K18" s="91"/>
      <c r="L18" s="91"/>
      <c r="M18" s="91"/>
      <c r="N18" s="193"/>
      <c r="O18" s="108">
        <v>16</v>
      </c>
      <c r="P18" s="108">
        <v>0</v>
      </c>
      <c r="Q18" s="152">
        <v>819334.25</v>
      </c>
      <c r="R18" s="152">
        <v>57191.86</v>
      </c>
      <c r="S18" s="152">
        <v>44188.19</v>
      </c>
      <c r="T18" s="152">
        <v>409796</v>
      </c>
      <c r="U18" s="152">
        <v>17687.21</v>
      </c>
      <c r="V18" s="152">
        <v>388705.52</v>
      </c>
      <c r="W18" s="152">
        <v>24423.34</v>
      </c>
      <c r="X18" s="187">
        <v>6672.47</v>
      </c>
      <c r="Y18" s="152">
        <v>-774.7</v>
      </c>
      <c r="Z18" s="152">
        <v>60435.85</v>
      </c>
      <c r="AA18" s="152">
        <v>0</v>
      </c>
      <c r="AB18" s="152">
        <v>-723.21</v>
      </c>
      <c r="AC18" s="152">
        <v>152590.59</v>
      </c>
      <c r="AD18" s="152">
        <v>4241.62</v>
      </c>
      <c r="AE18" s="152">
        <v>166321.4</v>
      </c>
      <c r="AF18" s="152">
        <v>0</v>
      </c>
      <c r="AG18" s="152">
        <v>42520.29</v>
      </c>
      <c r="AH18" s="152">
        <v>29966.93</v>
      </c>
      <c r="AI18" s="152">
        <v>36593.42</v>
      </c>
      <c r="AJ18" s="152">
        <v>2226.4299999999998</v>
      </c>
      <c r="AK18" s="152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3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3">
      <c r="A19" s="8"/>
      <c r="B19" s="9">
        <v>11</v>
      </c>
      <c r="C19" s="11">
        <v>5035</v>
      </c>
      <c r="D19" s="180">
        <v>11</v>
      </c>
      <c r="E19" s="11" t="s">
        <v>17</v>
      </c>
      <c r="F19" s="98"/>
      <c r="G19" s="98">
        <f t="shared" si="1"/>
        <v>4925.83</v>
      </c>
      <c r="H19" s="14"/>
      <c r="I19" s="91"/>
      <c r="J19" s="91"/>
      <c r="K19" s="91"/>
      <c r="L19" s="91"/>
      <c r="M19" s="91"/>
      <c r="N19" s="193"/>
      <c r="O19" s="108">
        <v>17</v>
      </c>
      <c r="P19" s="108">
        <v>0</v>
      </c>
      <c r="Q19" s="152">
        <v>124292.68</v>
      </c>
      <c r="R19" s="152">
        <v>3519.91</v>
      </c>
      <c r="S19" s="152">
        <v>0</v>
      </c>
      <c r="T19" s="152">
        <v>0</v>
      </c>
      <c r="U19" s="152">
        <v>0</v>
      </c>
      <c r="V19" s="152">
        <v>-48906.559999999998</v>
      </c>
      <c r="W19" s="152">
        <v>50123.12</v>
      </c>
      <c r="X19" s="187">
        <v>195.96</v>
      </c>
      <c r="Y19" s="152">
        <v>0</v>
      </c>
      <c r="Z19" s="152">
        <v>214.72</v>
      </c>
      <c r="AA19" s="152">
        <v>7666.61</v>
      </c>
      <c r="AB19" s="152">
        <v>8882.14</v>
      </c>
      <c r="AC19" s="152">
        <v>53095.94</v>
      </c>
      <c r="AD19" s="152">
        <v>351.07</v>
      </c>
      <c r="AE19" s="152">
        <v>62092.480000000003</v>
      </c>
      <c r="AF19" s="152">
        <v>0</v>
      </c>
      <c r="AG19" s="152">
        <v>18844.66</v>
      </c>
      <c r="AH19" s="152">
        <v>22082.37</v>
      </c>
      <c r="AI19" s="152">
        <v>13742.56</v>
      </c>
      <c r="AJ19" s="152">
        <v>0</v>
      </c>
      <c r="AK19" s="152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3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3">
      <c r="A20" s="8"/>
      <c r="B20" s="9">
        <v>12</v>
      </c>
      <c r="C20" s="11">
        <v>5040</v>
      </c>
      <c r="D20" s="180">
        <v>12</v>
      </c>
      <c r="E20" s="11" t="s">
        <v>18</v>
      </c>
      <c r="F20" s="98"/>
      <c r="G20" s="98">
        <f t="shared" si="1"/>
        <v>659.18</v>
      </c>
      <c r="H20" s="14"/>
      <c r="I20" s="91"/>
      <c r="J20" s="91"/>
      <c r="K20" s="91"/>
      <c r="L20" s="91"/>
      <c r="M20" s="91"/>
      <c r="N20" s="193"/>
      <c r="O20" s="108">
        <v>18</v>
      </c>
      <c r="P20" s="108">
        <v>0</v>
      </c>
      <c r="Q20" s="152">
        <v>902001.33</v>
      </c>
      <c r="R20" s="152">
        <v>10075.18</v>
      </c>
      <c r="S20" s="152">
        <v>0</v>
      </c>
      <c r="T20" s="152">
        <v>523524</v>
      </c>
      <c r="U20" s="152">
        <v>406.38</v>
      </c>
      <c r="V20" s="152">
        <v>13716.73</v>
      </c>
      <c r="W20" s="152">
        <v>140058.54</v>
      </c>
      <c r="X20" s="187">
        <v>0</v>
      </c>
      <c r="Y20" s="152">
        <v>0</v>
      </c>
      <c r="Z20" s="152">
        <v>8677.64</v>
      </c>
      <c r="AA20" s="152">
        <v>0</v>
      </c>
      <c r="AB20" s="152">
        <v>155928.51999999999</v>
      </c>
      <c r="AC20" s="152">
        <v>61999.14</v>
      </c>
      <c r="AD20" s="152">
        <v>218939.11</v>
      </c>
      <c r="AE20" s="152">
        <v>986133.41</v>
      </c>
      <c r="AF20" s="152">
        <v>0</v>
      </c>
      <c r="AG20" s="152">
        <v>41263.32</v>
      </c>
      <c r="AH20" s="152">
        <v>43237.14</v>
      </c>
      <c r="AI20" s="152">
        <v>6323.44</v>
      </c>
      <c r="AJ20" s="152">
        <v>10488.19</v>
      </c>
      <c r="AK20" s="152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3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5" outlineLevel="1" x14ac:dyDescent="0.35">
      <c r="A21" s="8"/>
      <c r="B21" s="9">
        <v>13</v>
      </c>
      <c r="C21" s="11">
        <v>5045</v>
      </c>
      <c r="D21" s="180">
        <v>13</v>
      </c>
      <c r="E21" s="11" t="s">
        <v>19</v>
      </c>
      <c r="F21" s="98"/>
      <c r="G21" s="98">
        <f t="shared" si="1"/>
        <v>3400.44</v>
      </c>
      <c r="H21" s="14"/>
      <c r="I21" s="93"/>
      <c r="J21" s="91"/>
      <c r="K21" s="91"/>
      <c r="L21" s="91"/>
      <c r="M21" s="91"/>
      <c r="N21" s="193"/>
      <c r="O21" s="108">
        <v>19</v>
      </c>
      <c r="P21" s="108">
        <v>0</v>
      </c>
      <c r="Q21" s="152">
        <v>1275467.3700000001</v>
      </c>
      <c r="R21" s="152">
        <v>0</v>
      </c>
      <c r="S21" s="152">
        <v>0</v>
      </c>
      <c r="T21" s="152">
        <v>142542</v>
      </c>
      <c r="U21" s="152">
        <v>110779.93</v>
      </c>
      <c r="V21" s="152">
        <v>281624.12</v>
      </c>
      <c r="W21" s="152">
        <v>108514.3</v>
      </c>
      <c r="X21" s="187">
        <v>337.5</v>
      </c>
      <c r="Y21" s="152">
        <v>0</v>
      </c>
      <c r="Z21" s="152">
        <v>1982.4</v>
      </c>
      <c r="AA21" s="152">
        <v>0</v>
      </c>
      <c r="AB21" s="152">
        <v>0</v>
      </c>
      <c r="AC21" s="152">
        <v>120057.14</v>
      </c>
      <c r="AD21" s="152">
        <v>343336.06</v>
      </c>
      <c r="AE21" s="152">
        <v>276621.18</v>
      </c>
      <c r="AF21" s="152">
        <v>0</v>
      </c>
      <c r="AG21" s="152">
        <v>23821.82</v>
      </c>
      <c r="AH21" s="152">
        <v>22276.31</v>
      </c>
      <c r="AI21" s="152">
        <v>324.13</v>
      </c>
      <c r="AJ21" s="152">
        <v>674.92</v>
      </c>
      <c r="AK21" s="152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3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3">
      <c r="A22" s="8"/>
      <c r="B22" s="9">
        <v>14</v>
      </c>
      <c r="C22" s="11">
        <v>5055</v>
      </c>
      <c r="D22" s="180">
        <v>14</v>
      </c>
      <c r="E22" s="11" t="s">
        <v>20</v>
      </c>
      <c r="F22" s="98"/>
      <c r="G22" s="98">
        <f t="shared" si="1"/>
        <v>1704.28</v>
      </c>
      <c r="H22" s="14"/>
      <c r="I22" s="91"/>
      <c r="J22" s="91"/>
      <c r="K22" s="91"/>
      <c r="L22" s="91"/>
      <c r="M22" s="91"/>
      <c r="N22" s="193"/>
      <c r="O22" s="108">
        <v>20</v>
      </c>
      <c r="P22" s="108">
        <v>0</v>
      </c>
      <c r="Q22" s="152">
        <v>131272.98000000001</v>
      </c>
      <c r="R22" s="152">
        <v>0</v>
      </c>
      <c r="S22" s="152">
        <v>0</v>
      </c>
      <c r="T22" s="152">
        <v>0</v>
      </c>
      <c r="U22" s="152">
        <v>0</v>
      </c>
      <c r="V22" s="152">
        <v>19254.490000000002</v>
      </c>
      <c r="W22" s="152">
        <v>6995.66</v>
      </c>
      <c r="X22" s="187">
        <v>12791.81</v>
      </c>
      <c r="Y22" s="152">
        <v>0</v>
      </c>
      <c r="Z22" s="152">
        <v>591.04999999999995</v>
      </c>
      <c r="AA22" s="152">
        <v>1309.18</v>
      </c>
      <c r="AB22" s="152">
        <v>16252.02</v>
      </c>
      <c r="AC22" s="152">
        <v>50872.41</v>
      </c>
      <c r="AD22" s="152">
        <v>4.5599999999999996</v>
      </c>
      <c r="AE22" s="152">
        <v>239238.08</v>
      </c>
      <c r="AF22" s="152">
        <v>0</v>
      </c>
      <c r="AG22" s="152">
        <v>11494.98</v>
      </c>
      <c r="AH22" s="152">
        <v>50157.67</v>
      </c>
      <c r="AI22" s="152">
        <v>16977.89</v>
      </c>
      <c r="AJ22" s="152">
        <v>0</v>
      </c>
      <c r="AK22" s="152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3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3">
      <c r="A23" s="8"/>
      <c r="B23" s="9">
        <v>15</v>
      </c>
      <c r="C23" s="11">
        <v>5065</v>
      </c>
      <c r="D23" s="180">
        <v>15</v>
      </c>
      <c r="E23" s="11" t="s">
        <v>21</v>
      </c>
      <c r="F23" s="98"/>
      <c r="G23" s="98">
        <f t="shared" si="1"/>
        <v>50779.17</v>
      </c>
      <c r="H23" s="14"/>
      <c r="I23" s="91"/>
      <c r="J23" s="91"/>
      <c r="K23" s="91"/>
      <c r="L23" s="91"/>
      <c r="M23" s="91"/>
      <c r="N23" s="193"/>
      <c r="O23" s="108">
        <v>21</v>
      </c>
      <c r="P23" s="108">
        <v>0</v>
      </c>
      <c r="Q23" s="152">
        <v>6193117.0599999996</v>
      </c>
      <c r="R23" s="152">
        <v>294963.31</v>
      </c>
      <c r="S23" s="152">
        <v>16654.46</v>
      </c>
      <c r="T23" s="152">
        <v>520355</v>
      </c>
      <c r="U23" s="152">
        <v>176568.19</v>
      </c>
      <c r="V23" s="152">
        <v>113301.06</v>
      </c>
      <c r="W23" s="152">
        <v>306813.24</v>
      </c>
      <c r="X23" s="187">
        <v>87195.82</v>
      </c>
      <c r="Y23" s="152">
        <v>392.43</v>
      </c>
      <c r="Z23" s="152">
        <v>257.77999999999997</v>
      </c>
      <c r="AA23" s="152">
        <v>0</v>
      </c>
      <c r="AB23" s="152">
        <v>16892.439999999999</v>
      </c>
      <c r="AC23" s="152">
        <v>1007550.91</v>
      </c>
      <c r="AD23" s="152">
        <v>89373.26</v>
      </c>
      <c r="AE23" s="152">
        <v>565196.07999999996</v>
      </c>
      <c r="AF23" s="152">
        <v>0</v>
      </c>
      <c r="AG23" s="152">
        <v>6104.5</v>
      </c>
      <c r="AH23" s="152">
        <v>271853.82</v>
      </c>
      <c r="AI23" s="152">
        <v>322898.88</v>
      </c>
      <c r="AJ23" s="152">
        <v>15814.63</v>
      </c>
      <c r="AK23" s="152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3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3">
      <c r="A24" s="8"/>
      <c r="B24" s="9">
        <v>16</v>
      </c>
      <c r="C24" s="11">
        <v>5070</v>
      </c>
      <c r="D24" s="180">
        <v>16</v>
      </c>
      <c r="E24" s="11" t="s">
        <v>22</v>
      </c>
      <c r="F24" s="98"/>
      <c r="G24" s="98">
        <f t="shared" si="1"/>
        <v>43353.19</v>
      </c>
      <c r="H24" s="14"/>
      <c r="I24" s="14"/>
      <c r="J24" s="14"/>
      <c r="K24" s="14"/>
      <c r="L24" s="14"/>
      <c r="M24" s="14"/>
      <c r="N24" s="193"/>
      <c r="O24" s="108">
        <v>22</v>
      </c>
      <c r="P24" s="108">
        <v>0</v>
      </c>
      <c r="Q24" s="152">
        <v>6042127.7000000002</v>
      </c>
      <c r="R24" s="152">
        <v>115732.58</v>
      </c>
      <c r="S24" s="152">
        <v>0</v>
      </c>
      <c r="T24" s="152">
        <v>352265</v>
      </c>
      <c r="U24" s="152">
        <v>0</v>
      </c>
      <c r="V24" s="152">
        <v>210907.21</v>
      </c>
      <c r="W24" s="152">
        <v>5475.81</v>
      </c>
      <c r="X24" s="187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7925.48</v>
      </c>
      <c r="AE24" s="152">
        <v>106726.15</v>
      </c>
      <c r="AF24" s="152">
        <v>0</v>
      </c>
      <c r="AG24" s="152">
        <v>34674.39</v>
      </c>
      <c r="AH24" s="152">
        <v>301252.71999999997</v>
      </c>
      <c r="AI24" s="152">
        <v>217496.06</v>
      </c>
      <c r="AJ24" s="152">
        <v>51547.77</v>
      </c>
      <c r="AK24" s="152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3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3">
      <c r="A25" s="8"/>
      <c r="B25" s="9">
        <v>17</v>
      </c>
      <c r="C25" s="11">
        <v>5075</v>
      </c>
      <c r="D25" s="180">
        <v>17</v>
      </c>
      <c r="E25" s="11" t="s">
        <v>23</v>
      </c>
      <c r="F25" s="98"/>
      <c r="G25" s="98">
        <f t="shared" si="1"/>
        <v>14066.74</v>
      </c>
      <c r="H25" s="14"/>
      <c r="I25" s="14"/>
      <c r="J25" s="14"/>
      <c r="K25" s="14"/>
      <c r="L25" s="14"/>
      <c r="M25" s="14"/>
      <c r="N25" s="193"/>
      <c r="O25" s="108">
        <v>23</v>
      </c>
      <c r="P25" s="108">
        <v>0</v>
      </c>
      <c r="Q25" s="152">
        <v>645799.72</v>
      </c>
      <c r="R25" s="152">
        <v>18096.509999999998</v>
      </c>
      <c r="S25" s="152">
        <v>0</v>
      </c>
      <c r="T25" s="152">
        <v>0</v>
      </c>
      <c r="U25" s="152">
        <v>0</v>
      </c>
      <c r="V25" s="152">
        <v>73984.91</v>
      </c>
      <c r="W25" s="152">
        <v>2433.73</v>
      </c>
      <c r="X25" s="187">
        <v>0</v>
      </c>
      <c r="Y25" s="152">
        <v>0</v>
      </c>
      <c r="Z25" s="152">
        <v>0</v>
      </c>
      <c r="AA25" s="152">
        <v>19664.439999999999</v>
      </c>
      <c r="AB25" s="152">
        <v>0</v>
      </c>
      <c r="AC25" s="152">
        <v>2585.13</v>
      </c>
      <c r="AD25" s="152">
        <v>2612.21</v>
      </c>
      <c r="AE25" s="152">
        <v>10528.45</v>
      </c>
      <c r="AF25" s="152">
        <v>0</v>
      </c>
      <c r="AG25" s="152">
        <v>1323.25</v>
      </c>
      <c r="AH25" s="152">
        <v>0</v>
      </c>
      <c r="AI25" s="152">
        <v>5688.98</v>
      </c>
      <c r="AJ25" s="152">
        <v>5088.82</v>
      </c>
      <c r="AK25" s="152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3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3">
      <c r="A26" s="8"/>
      <c r="B26" s="9">
        <v>18</v>
      </c>
      <c r="C26" s="11">
        <v>5085</v>
      </c>
      <c r="D26" s="180">
        <v>18</v>
      </c>
      <c r="E26" s="11" t="s">
        <v>24</v>
      </c>
      <c r="F26" s="98"/>
      <c r="G26" s="98">
        <f t="shared" si="1"/>
        <v>60203.12</v>
      </c>
      <c r="H26" s="14"/>
      <c r="I26" s="14"/>
      <c r="J26" s="14"/>
      <c r="K26" s="14"/>
      <c r="L26" s="14"/>
      <c r="M26" s="14"/>
      <c r="N26" s="193"/>
      <c r="O26" s="108">
        <v>24</v>
      </c>
      <c r="P26" s="108">
        <v>0</v>
      </c>
      <c r="Q26" s="152">
        <v>8419474.1500000004</v>
      </c>
      <c r="R26" s="152">
        <v>314897.65000000002</v>
      </c>
      <c r="S26" s="152">
        <v>3709.66</v>
      </c>
      <c r="T26" s="152">
        <v>458443</v>
      </c>
      <c r="U26" s="152">
        <v>254491.81</v>
      </c>
      <c r="V26" s="152">
        <v>0</v>
      </c>
      <c r="W26" s="152">
        <v>368513.63</v>
      </c>
      <c r="X26" s="187">
        <v>55299.51</v>
      </c>
      <c r="Y26" s="152">
        <v>373.98</v>
      </c>
      <c r="Z26" s="152">
        <v>124099.88</v>
      </c>
      <c r="AA26" s="152">
        <v>8275.4699999999993</v>
      </c>
      <c r="AB26" s="152">
        <v>0</v>
      </c>
      <c r="AC26" s="152">
        <v>0</v>
      </c>
      <c r="AD26" s="152">
        <v>84201.07</v>
      </c>
      <c r="AE26" s="152">
        <v>20453.09</v>
      </c>
      <c r="AF26" s="152">
        <v>152950.39999999999</v>
      </c>
      <c r="AG26" s="152">
        <v>7308.58</v>
      </c>
      <c r="AH26" s="152">
        <v>167282.56</v>
      </c>
      <c r="AI26" s="152">
        <v>6325.86</v>
      </c>
      <c r="AJ26" s="152">
        <v>120769</v>
      </c>
      <c r="AK26" s="152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3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3">
      <c r="A27" s="8"/>
      <c r="B27" s="9">
        <v>19</v>
      </c>
      <c r="C27" s="11">
        <v>5090</v>
      </c>
      <c r="D27" s="180">
        <v>19</v>
      </c>
      <c r="E27" s="11" t="s">
        <v>25</v>
      </c>
      <c r="F27" s="98"/>
      <c r="G27" s="98">
        <f t="shared" si="1"/>
        <v>0</v>
      </c>
      <c r="H27" s="14"/>
      <c r="I27" s="14"/>
      <c r="J27" s="14"/>
      <c r="K27" s="14"/>
      <c r="L27" s="14"/>
      <c r="M27" s="14"/>
      <c r="N27" s="193"/>
      <c r="O27" s="108">
        <v>25</v>
      </c>
      <c r="P27" s="108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87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3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3">
      <c r="A28" s="8"/>
      <c r="B28" s="9">
        <v>20</v>
      </c>
      <c r="C28" s="11">
        <v>5095</v>
      </c>
      <c r="D28" s="180">
        <v>20</v>
      </c>
      <c r="E28" s="11" t="s">
        <v>26</v>
      </c>
      <c r="F28" s="98"/>
      <c r="G28" s="98">
        <f t="shared" si="1"/>
        <v>0</v>
      </c>
      <c r="H28" s="14"/>
      <c r="I28" s="14"/>
      <c r="J28" s="14"/>
      <c r="K28" s="14"/>
      <c r="L28" s="14"/>
      <c r="M28" s="14"/>
      <c r="N28" s="193"/>
      <c r="O28" s="108">
        <v>26</v>
      </c>
      <c r="P28" s="108">
        <v>0</v>
      </c>
      <c r="Q28" s="152">
        <v>36175.32</v>
      </c>
      <c r="R28" s="152">
        <v>49094.7</v>
      </c>
      <c r="S28" s="152">
        <v>0</v>
      </c>
      <c r="T28" s="152">
        <v>19111</v>
      </c>
      <c r="U28" s="152">
        <v>0</v>
      </c>
      <c r="V28" s="152">
        <v>0</v>
      </c>
      <c r="W28" s="152">
        <v>35897.440000000002</v>
      </c>
      <c r="X28" s="187">
        <v>0</v>
      </c>
      <c r="Y28" s="152">
        <v>2495.85</v>
      </c>
      <c r="Z28" s="152">
        <v>0</v>
      </c>
      <c r="AA28" s="152">
        <v>0</v>
      </c>
      <c r="AB28" s="152">
        <v>29676.22</v>
      </c>
      <c r="AC28" s="152">
        <v>50496.47</v>
      </c>
      <c r="AD28" s="152">
        <v>9659.64</v>
      </c>
      <c r="AE28" s="152">
        <v>0</v>
      </c>
      <c r="AF28" s="152">
        <v>0</v>
      </c>
      <c r="AG28" s="152">
        <v>14657.83</v>
      </c>
      <c r="AH28" s="152">
        <v>0</v>
      </c>
      <c r="AI28" s="152">
        <v>4564.0600000000004</v>
      </c>
      <c r="AJ28" s="152">
        <v>0</v>
      </c>
      <c r="AK28" s="152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3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3">
      <c r="A29" s="8"/>
      <c r="B29" s="9">
        <v>21</v>
      </c>
      <c r="C29" s="11">
        <v>5096</v>
      </c>
      <c r="D29" s="180">
        <v>21</v>
      </c>
      <c r="E29" s="11" t="s">
        <v>27</v>
      </c>
      <c r="F29" s="98"/>
      <c r="G29" s="98">
        <f t="shared" si="1"/>
        <v>0</v>
      </c>
      <c r="H29" s="14"/>
      <c r="I29" s="14"/>
      <c r="J29" s="14"/>
      <c r="K29" s="14"/>
      <c r="L29" s="14"/>
      <c r="M29" s="14"/>
      <c r="N29" s="193"/>
      <c r="O29" s="108">
        <v>27</v>
      </c>
      <c r="P29" s="108">
        <v>0</v>
      </c>
      <c r="Q29" s="152">
        <v>313140.5</v>
      </c>
      <c r="R29" s="152">
        <v>5694.81</v>
      </c>
      <c r="S29" s="152">
        <v>50</v>
      </c>
      <c r="T29" s="152">
        <v>0</v>
      </c>
      <c r="U29" s="152">
        <v>560</v>
      </c>
      <c r="V29" s="152">
        <v>0</v>
      </c>
      <c r="W29" s="152">
        <v>0</v>
      </c>
      <c r="X29" s="187">
        <v>0</v>
      </c>
      <c r="Y29" s="152">
        <v>0</v>
      </c>
      <c r="Z29" s="152">
        <v>173254.48</v>
      </c>
      <c r="AA29" s="152">
        <v>0</v>
      </c>
      <c r="AB29" s="152">
        <v>0</v>
      </c>
      <c r="AC29" s="152">
        <v>0</v>
      </c>
      <c r="AD29" s="152">
        <v>0</v>
      </c>
      <c r="AE29" s="152">
        <v>0</v>
      </c>
      <c r="AF29" s="152">
        <v>891</v>
      </c>
      <c r="AG29" s="152">
        <v>0</v>
      </c>
      <c r="AH29" s="152">
        <v>78932.19</v>
      </c>
      <c r="AI29" s="152">
        <v>0</v>
      </c>
      <c r="AJ29" s="152">
        <v>0</v>
      </c>
      <c r="AK29" s="152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3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3">
      <c r="A30" s="8"/>
      <c r="B30" s="9">
        <v>22</v>
      </c>
      <c r="C30" s="15"/>
      <c r="D30" s="180"/>
      <c r="E30" s="16" t="s">
        <v>28</v>
      </c>
      <c r="F30" s="99"/>
      <c r="G30" s="98">
        <f t="shared" si="1"/>
        <v>393410.75</v>
      </c>
      <c r="H30" s="14"/>
      <c r="I30" s="17"/>
      <c r="J30" s="17"/>
      <c r="K30" s="17"/>
      <c r="L30" s="17"/>
      <c r="M30" s="17"/>
      <c r="N30" s="193"/>
      <c r="O30" s="108">
        <v>28</v>
      </c>
      <c r="P30" s="108">
        <v>0</v>
      </c>
      <c r="Q30" s="152">
        <v>56024019.509999998</v>
      </c>
      <c r="R30" s="152">
        <v>1448655.6600000004</v>
      </c>
      <c r="S30" s="152">
        <v>419737.22000000003</v>
      </c>
      <c r="T30" s="152">
        <v>4418765</v>
      </c>
      <c r="U30" s="152">
        <v>1425143.6</v>
      </c>
      <c r="V30" s="152">
        <v>4081782.8800000008</v>
      </c>
      <c r="W30" s="152">
        <v>1811215.0699999998</v>
      </c>
      <c r="X30" s="187">
        <v>352236.39</v>
      </c>
      <c r="Y30" s="152">
        <v>169495.43</v>
      </c>
      <c r="Z30" s="152">
        <v>880940.82000000018</v>
      </c>
      <c r="AA30" s="152">
        <v>38102.769999999997</v>
      </c>
      <c r="AB30" s="152">
        <v>273237.55</v>
      </c>
      <c r="AC30" s="152">
        <v>3321084.9700000007</v>
      </c>
      <c r="AD30" s="152">
        <v>1661516.53</v>
      </c>
      <c r="AE30" s="152">
        <v>7099903.1700000009</v>
      </c>
      <c r="AF30" s="152">
        <v>424645.66000000003</v>
      </c>
      <c r="AG30" s="152">
        <v>374022.21000000008</v>
      </c>
      <c r="AH30" s="152">
        <v>1157298.6099999999</v>
      </c>
      <c r="AI30" s="152">
        <v>1124677.1400000001</v>
      </c>
      <c r="AJ30" s="152">
        <v>408735.95</v>
      </c>
      <c r="AK30" s="152">
        <v>6026292.2999999998</v>
      </c>
      <c r="AL30" s="109">
        <v>876796.86999999988</v>
      </c>
      <c r="AM30" s="109">
        <v>4884148.1999999993</v>
      </c>
      <c r="AN30" s="109">
        <v>1318244.5200000003</v>
      </c>
      <c r="AO30" s="109">
        <v>165224.97</v>
      </c>
      <c r="AP30" s="109">
        <v>29159.79</v>
      </c>
      <c r="AQ30" s="109">
        <v>70877.16</v>
      </c>
      <c r="AR30" s="109">
        <v>92675631.75999999</v>
      </c>
      <c r="AS30" s="109">
        <v>20877216.240000002</v>
      </c>
      <c r="AT30" s="109">
        <v>1416283.11</v>
      </c>
      <c r="AU30" s="109">
        <v>135533</v>
      </c>
      <c r="AV30" s="109">
        <v>2366890</v>
      </c>
      <c r="AW30" s="109">
        <v>5813946.9500000011</v>
      </c>
      <c r="AX30" s="109">
        <v>646650.19999999995</v>
      </c>
      <c r="AY30" s="109">
        <v>353649.14</v>
      </c>
      <c r="AZ30" s="109">
        <v>10212541.49</v>
      </c>
      <c r="BA30" s="109"/>
      <c r="BB30" s="109">
        <v>2371190</v>
      </c>
      <c r="BC30" s="109">
        <v>2129540.17</v>
      </c>
      <c r="BD30" s="109">
        <v>4458287.43</v>
      </c>
      <c r="BE30" s="109">
        <v>634344.38000000012</v>
      </c>
      <c r="BF30" s="109">
        <v>644524.73</v>
      </c>
      <c r="BG30" s="109">
        <v>883391.84000000008</v>
      </c>
      <c r="BH30" s="109">
        <v>7628728.0500000017</v>
      </c>
      <c r="BI30" s="109">
        <v>388461.35</v>
      </c>
      <c r="BJ30" s="109">
        <v>1105352</v>
      </c>
      <c r="BK30" s="109">
        <v>2070198</v>
      </c>
      <c r="BL30" s="109">
        <v>483667.15</v>
      </c>
      <c r="BM30" s="109">
        <v>2717103.2800000003</v>
      </c>
      <c r="BN30" s="109">
        <v>3629733.3</v>
      </c>
      <c r="BO30" s="109">
        <v>320778.16000000003</v>
      </c>
      <c r="BP30" s="109">
        <v>354881.08</v>
      </c>
      <c r="BQ30" s="109">
        <v>566080.78</v>
      </c>
      <c r="BR30" s="109"/>
      <c r="BS30" s="109">
        <v>3173462.7800000003</v>
      </c>
      <c r="BT30" s="109">
        <v>723170.32000000007</v>
      </c>
      <c r="BU30" s="109">
        <v>57721502.270000003</v>
      </c>
      <c r="BV30" s="109">
        <v>7108318</v>
      </c>
      <c r="BW30" s="109">
        <v>50486.99</v>
      </c>
      <c r="BX30" s="193">
        <v>5804176</v>
      </c>
      <c r="BY30" s="109">
        <v>1311161.3999999999</v>
      </c>
      <c r="BZ30" s="109">
        <v>393410.75</v>
      </c>
      <c r="CA30" s="109">
        <v>120472</v>
      </c>
      <c r="CB30" s="109">
        <v>522032.94999999995</v>
      </c>
      <c r="CC30" s="109">
        <v>3003969.66</v>
      </c>
      <c r="CD30" s="110"/>
      <c r="CE30" s="110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3">
      <c r="A31" s="8"/>
      <c r="B31" s="9">
        <v>23</v>
      </c>
      <c r="C31" s="11">
        <v>5105</v>
      </c>
      <c r="D31" s="180">
        <v>22</v>
      </c>
      <c r="E31" s="11" t="s">
        <v>30</v>
      </c>
      <c r="F31" s="98"/>
      <c r="G31" s="98">
        <f t="shared" si="1"/>
        <v>93561.31</v>
      </c>
      <c r="H31" s="14"/>
      <c r="I31" s="14"/>
      <c r="J31" s="14"/>
      <c r="K31" s="14"/>
      <c r="L31" s="14"/>
      <c r="M31" s="14"/>
      <c r="N31" s="193"/>
      <c r="O31" s="108">
        <v>29</v>
      </c>
      <c r="P31" s="108">
        <v>0</v>
      </c>
      <c r="Q31" s="152">
        <v>94207.679999999993</v>
      </c>
      <c r="R31" s="152">
        <v>111435.81</v>
      </c>
      <c r="S31" s="152">
        <v>0</v>
      </c>
      <c r="T31" s="152">
        <v>0</v>
      </c>
      <c r="U31" s="152">
        <v>245948.31</v>
      </c>
      <c r="V31" s="152">
        <v>0</v>
      </c>
      <c r="W31" s="152">
        <v>19832.57</v>
      </c>
      <c r="X31" s="187">
        <v>20899.29</v>
      </c>
      <c r="Y31" s="152">
        <v>0</v>
      </c>
      <c r="Z31" s="152">
        <v>171266.04</v>
      </c>
      <c r="AA31" s="152">
        <v>0</v>
      </c>
      <c r="AB31" s="152">
        <v>0</v>
      </c>
      <c r="AC31" s="152">
        <v>0</v>
      </c>
      <c r="AD31" s="152">
        <v>940056.21</v>
      </c>
      <c r="AE31" s="152">
        <v>0</v>
      </c>
      <c r="AF31" s="152">
        <v>0</v>
      </c>
      <c r="AG31" s="152">
        <v>71465.34</v>
      </c>
      <c r="AH31" s="152">
        <v>19308.189999999999</v>
      </c>
      <c r="AI31" s="152">
        <v>0</v>
      </c>
      <c r="AJ31" s="152">
        <v>75373.259999999995</v>
      </c>
      <c r="AK31" s="152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3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3">
      <c r="A32" s="8"/>
      <c r="B32" s="9">
        <v>24</v>
      </c>
      <c r="C32" s="11">
        <v>5110</v>
      </c>
      <c r="D32" s="180">
        <v>23</v>
      </c>
      <c r="E32" s="11" t="s">
        <v>31</v>
      </c>
      <c r="F32" s="98"/>
      <c r="G32" s="98">
        <f t="shared" si="1"/>
        <v>0</v>
      </c>
      <c r="H32" s="14"/>
      <c r="I32" s="14"/>
      <c r="J32" s="14"/>
      <c r="K32" s="14"/>
      <c r="L32" s="14"/>
      <c r="M32" s="14"/>
      <c r="N32" s="193"/>
      <c r="O32" s="108">
        <v>30</v>
      </c>
      <c r="P32" s="108">
        <v>0</v>
      </c>
      <c r="Q32" s="152">
        <v>141259.48000000001</v>
      </c>
      <c r="R32" s="152">
        <v>335.24</v>
      </c>
      <c r="S32" s="152">
        <v>0</v>
      </c>
      <c r="T32" s="152">
        <v>0</v>
      </c>
      <c r="U32" s="152">
        <v>28366.54</v>
      </c>
      <c r="V32" s="152">
        <v>520630.08</v>
      </c>
      <c r="W32" s="152">
        <v>66720.240000000005</v>
      </c>
      <c r="X32" s="187">
        <v>0</v>
      </c>
      <c r="Y32" s="152">
        <v>0</v>
      </c>
      <c r="Z32" s="152">
        <v>35735.660000000003</v>
      </c>
      <c r="AA32" s="152">
        <v>8100.97</v>
      </c>
      <c r="AB32" s="152">
        <v>0</v>
      </c>
      <c r="AC32" s="152">
        <v>0</v>
      </c>
      <c r="AD32" s="152">
        <v>52.58</v>
      </c>
      <c r="AE32" s="152">
        <v>0</v>
      </c>
      <c r="AF32" s="152">
        <v>141096.53</v>
      </c>
      <c r="AG32" s="152">
        <v>7368.14</v>
      </c>
      <c r="AH32" s="152">
        <v>0</v>
      </c>
      <c r="AI32" s="152">
        <v>8169.85</v>
      </c>
      <c r="AJ32" s="152">
        <v>1805</v>
      </c>
      <c r="AK32" s="152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3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3">
      <c r="A33" s="3"/>
      <c r="B33" s="9">
        <v>25</v>
      </c>
      <c r="C33" s="11">
        <v>5112</v>
      </c>
      <c r="D33" s="180">
        <v>24</v>
      </c>
      <c r="E33" s="11" t="s">
        <v>32</v>
      </c>
      <c r="F33" s="98"/>
      <c r="G33" s="98">
        <f t="shared" si="1"/>
        <v>0</v>
      </c>
      <c r="H33" s="14"/>
      <c r="I33" s="14"/>
      <c r="J33" s="14"/>
      <c r="K33" s="14"/>
      <c r="L33" s="14"/>
      <c r="M33" s="14"/>
      <c r="N33" s="193"/>
      <c r="O33" s="108">
        <v>31</v>
      </c>
      <c r="P33" s="108">
        <v>0</v>
      </c>
      <c r="Q33" s="152">
        <v>357775.77</v>
      </c>
      <c r="R33" s="152">
        <v>0</v>
      </c>
      <c r="S33" s="152">
        <v>0</v>
      </c>
      <c r="T33" s="152">
        <v>0</v>
      </c>
      <c r="U33" s="152">
        <v>9619.68</v>
      </c>
      <c r="V33" s="152">
        <v>0</v>
      </c>
      <c r="W33" s="152">
        <v>0</v>
      </c>
      <c r="X33" s="187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5317.6</v>
      </c>
      <c r="AD33" s="152">
        <v>0</v>
      </c>
      <c r="AE33" s="152">
        <v>349316.43</v>
      </c>
      <c r="AF33" s="152">
        <v>0</v>
      </c>
      <c r="AG33" s="152">
        <v>0</v>
      </c>
      <c r="AH33" s="152">
        <v>0</v>
      </c>
      <c r="AI33" s="152">
        <v>0</v>
      </c>
      <c r="AJ33" s="152">
        <v>22824.42</v>
      </c>
      <c r="AK33" s="152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3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3">
      <c r="A34" s="3"/>
      <c r="B34" s="9">
        <v>26</v>
      </c>
      <c r="C34" s="11">
        <v>5114</v>
      </c>
      <c r="D34" s="180">
        <v>25</v>
      </c>
      <c r="E34" s="11" t="s">
        <v>33</v>
      </c>
      <c r="F34" s="98"/>
      <c r="G34" s="98">
        <f t="shared" si="1"/>
        <v>587.20000000000005</v>
      </c>
      <c r="H34" s="14"/>
      <c r="I34" s="14"/>
      <c r="J34" s="14"/>
      <c r="K34" s="14"/>
      <c r="L34" s="14"/>
      <c r="M34" s="14"/>
      <c r="N34" s="193"/>
      <c r="O34" s="108">
        <v>32</v>
      </c>
      <c r="P34" s="108">
        <v>0</v>
      </c>
      <c r="Q34" s="152">
        <v>831519.33</v>
      </c>
      <c r="R34" s="152">
        <v>56040.26</v>
      </c>
      <c r="S34" s="152">
        <v>5599.01</v>
      </c>
      <c r="T34" s="152">
        <v>64104</v>
      </c>
      <c r="U34" s="152">
        <v>1802.08</v>
      </c>
      <c r="V34" s="152">
        <v>443252.3</v>
      </c>
      <c r="W34" s="152">
        <v>34609.82</v>
      </c>
      <c r="X34" s="187">
        <v>33263.25</v>
      </c>
      <c r="Y34" s="152">
        <v>0</v>
      </c>
      <c r="Z34" s="152">
        <v>77454.09</v>
      </c>
      <c r="AA34" s="152">
        <v>6846.95</v>
      </c>
      <c r="AB34" s="152">
        <v>0</v>
      </c>
      <c r="AC34" s="152">
        <v>52339.92</v>
      </c>
      <c r="AD34" s="152">
        <v>149804.74</v>
      </c>
      <c r="AE34" s="152">
        <v>27430.73</v>
      </c>
      <c r="AF34" s="152">
        <v>35913.81</v>
      </c>
      <c r="AG34" s="152">
        <v>3262.59</v>
      </c>
      <c r="AH34" s="152">
        <v>0</v>
      </c>
      <c r="AI34" s="152">
        <v>15133.14</v>
      </c>
      <c r="AJ34" s="152">
        <v>0</v>
      </c>
      <c r="AK34" s="152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3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3">
      <c r="A35" s="3"/>
      <c r="B35" s="9">
        <v>27</v>
      </c>
      <c r="C35" s="11">
        <v>5120</v>
      </c>
      <c r="D35" s="180">
        <v>26</v>
      </c>
      <c r="E35" s="11" t="s">
        <v>34</v>
      </c>
      <c r="F35" s="98"/>
      <c r="G35" s="98">
        <f t="shared" si="1"/>
        <v>9971.85</v>
      </c>
      <c r="H35" s="14"/>
      <c r="I35" s="14"/>
      <c r="J35" s="14"/>
      <c r="K35" s="14"/>
      <c r="L35" s="14"/>
      <c r="M35" s="14"/>
      <c r="N35" s="193"/>
      <c r="O35" s="108">
        <v>33</v>
      </c>
      <c r="P35" s="108">
        <v>0</v>
      </c>
      <c r="Q35" s="152">
        <v>349748.76</v>
      </c>
      <c r="R35" s="152">
        <v>101800.65</v>
      </c>
      <c r="S35" s="152">
        <v>0</v>
      </c>
      <c r="T35" s="152">
        <v>5539</v>
      </c>
      <c r="U35" s="152">
        <v>34555.760000000002</v>
      </c>
      <c r="V35" s="152">
        <v>86137.74</v>
      </c>
      <c r="W35" s="152">
        <v>93519.39</v>
      </c>
      <c r="X35" s="187">
        <v>50260.95</v>
      </c>
      <c r="Y35" s="152">
        <v>306.57</v>
      </c>
      <c r="Z35" s="152">
        <v>101513.21</v>
      </c>
      <c r="AA35" s="152">
        <v>5675.5</v>
      </c>
      <c r="AB35" s="152">
        <v>23900.37</v>
      </c>
      <c r="AC35" s="152">
        <v>127278.6</v>
      </c>
      <c r="AD35" s="152">
        <v>60120.58</v>
      </c>
      <c r="AE35" s="152">
        <v>554347.02</v>
      </c>
      <c r="AF35" s="152">
        <v>44459.78</v>
      </c>
      <c r="AG35" s="152">
        <v>14126.84</v>
      </c>
      <c r="AH35" s="152">
        <v>32115.39</v>
      </c>
      <c r="AI35" s="152">
        <v>34228.35</v>
      </c>
      <c r="AJ35" s="152">
        <v>27522.77</v>
      </c>
      <c r="AK35" s="152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3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3">
      <c r="A36" s="3"/>
      <c r="B36" s="9">
        <v>28</v>
      </c>
      <c r="C36" s="11">
        <v>5125</v>
      </c>
      <c r="D36" s="180">
        <v>27</v>
      </c>
      <c r="E36" s="11" t="s">
        <v>35</v>
      </c>
      <c r="F36" s="98"/>
      <c r="G36" s="98">
        <f t="shared" si="1"/>
        <v>13930.42</v>
      </c>
      <c r="H36" s="14"/>
      <c r="I36" s="14"/>
      <c r="J36" s="14"/>
      <c r="K36" s="14"/>
      <c r="L36" s="14"/>
      <c r="M36" s="14"/>
      <c r="N36" s="193"/>
      <c r="O36" s="108">
        <v>34</v>
      </c>
      <c r="P36" s="108">
        <v>0</v>
      </c>
      <c r="Q36" s="152">
        <v>8535307.5700000003</v>
      </c>
      <c r="R36" s="152">
        <v>604776.51</v>
      </c>
      <c r="S36" s="152">
        <v>0</v>
      </c>
      <c r="T36" s="152">
        <v>107552</v>
      </c>
      <c r="U36" s="152">
        <v>101414.14</v>
      </c>
      <c r="V36" s="152">
        <v>1822841.33</v>
      </c>
      <c r="W36" s="152">
        <v>550293.66</v>
      </c>
      <c r="X36" s="187">
        <v>23623.33</v>
      </c>
      <c r="Y36" s="152">
        <v>0</v>
      </c>
      <c r="Z36" s="152">
        <v>180381.84</v>
      </c>
      <c r="AA36" s="152">
        <v>5553</v>
      </c>
      <c r="AB36" s="152">
        <v>151797.64000000001</v>
      </c>
      <c r="AC36" s="152">
        <v>695878.81</v>
      </c>
      <c r="AD36" s="152">
        <v>125926.17</v>
      </c>
      <c r="AE36" s="152">
        <v>0</v>
      </c>
      <c r="AF36" s="152">
        <v>0</v>
      </c>
      <c r="AG36" s="152">
        <v>47908.19</v>
      </c>
      <c r="AH36" s="152">
        <v>273743.68</v>
      </c>
      <c r="AI36" s="152">
        <v>113474.94</v>
      </c>
      <c r="AJ36" s="152">
        <v>9810.17</v>
      </c>
      <c r="AK36" s="152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3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3">
      <c r="A37" s="3"/>
      <c r="B37" s="9">
        <v>29</v>
      </c>
      <c r="C37" s="11">
        <v>5130</v>
      </c>
      <c r="D37" s="180">
        <v>28</v>
      </c>
      <c r="E37" s="11" t="s">
        <v>36</v>
      </c>
      <c r="F37" s="98"/>
      <c r="G37" s="98">
        <f t="shared" si="1"/>
        <v>10208.11</v>
      </c>
      <c r="H37" s="14"/>
      <c r="I37" s="14"/>
      <c r="J37" s="14"/>
      <c r="K37" s="14"/>
      <c r="L37" s="14"/>
      <c r="M37" s="14"/>
      <c r="N37" s="193"/>
      <c r="O37" s="108">
        <v>35</v>
      </c>
      <c r="P37" s="108">
        <v>0</v>
      </c>
      <c r="Q37" s="152">
        <v>1104281.32</v>
      </c>
      <c r="R37" s="152">
        <v>197283.93</v>
      </c>
      <c r="S37" s="152">
        <v>1275.3499999999999</v>
      </c>
      <c r="T37" s="152">
        <v>0</v>
      </c>
      <c r="U37" s="152">
        <v>493655.59</v>
      </c>
      <c r="V37" s="152">
        <v>427308.73</v>
      </c>
      <c r="W37" s="152">
        <v>321027.71000000002</v>
      </c>
      <c r="X37" s="187">
        <v>46627.7</v>
      </c>
      <c r="Y37" s="152">
        <v>0</v>
      </c>
      <c r="Z37" s="152">
        <v>81855.56</v>
      </c>
      <c r="AA37" s="152">
        <v>0</v>
      </c>
      <c r="AB37" s="152">
        <v>70283.87</v>
      </c>
      <c r="AC37" s="152">
        <v>501244.11</v>
      </c>
      <c r="AD37" s="152">
        <v>256305.49</v>
      </c>
      <c r="AE37" s="152">
        <v>146762.07999999999</v>
      </c>
      <c r="AF37" s="152">
        <v>189530.17</v>
      </c>
      <c r="AG37" s="152">
        <v>58973.19</v>
      </c>
      <c r="AH37" s="152">
        <v>146967.34</v>
      </c>
      <c r="AI37" s="152">
        <v>778019.05</v>
      </c>
      <c r="AJ37" s="152">
        <v>8059.34</v>
      </c>
      <c r="AK37" s="152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3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3">
      <c r="A38" s="3"/>
      <c r="B38" s="9">
        <v>30</v>
      </c>
      <c r="C38" s="11">
        <v>5135</v>
      </c>
      <c r="D38" s="180">
        <v>29</v>
      </c>
      <c r="E38" s="11" t="s">
        <v>37</v>
      </c>
      <c r="F38" s="98"/>
      <c r="G38" s="98">
        <f t="shared" si="1"/>
        <v>77569.53</v>
      </c>
      <c r="H38" s="14"/>
      <c r="I38" s="14"/>
      <c r="J38" s="14"/>
      <c r="K38" s="14"/>
      <c r="L38" s="14"/>
      <c r="M38" s="14"/>
      <c r="N38" s="193"/>
      <c r="O38" s="108">
        <v>36</v>
      </c>
      <c r="P38" s="108">
        <v>0</v>
      </c>
      <c r="Q38" s="152">
        <v>5117319.67</v>
      </c>
      <c r="R38" s="152">
        <v>3616124.33</v>
      </c>
      <c r="S38" s="152">
        <v>41588.230000000003</v>
      </c>
      <c r="T38" s="152">
        <v>0</v>
      </c>
      <c r="U38" s="152">
        <v>380239.96</v>
      </c>
      <c r="V38" s="152">
        <v>486693.21</v>
      </c>
      <c r="W38" s="152">
        <v>478200.74</v>
      </c>
      <c r="X38" s="187">
        <v>47220.36</v>
      </c>
      <c r="Y38" s="152">
        <v>0</v>
      </c>
      <c r="Z38" s="152">
        <v>169641.25</v>
      </c>
      <c r="AA38" s="152">
        <v>17127.5</v>
      </c>
      <c r="AB38" s="152">
        <v>59604.82</v>
      </c>
      <c r="AC38" s="152">
        <v>516354.11</v>
      </c>
      <c r="AD38" s="152">
        <v>280247.74</v>
      </c>
      <c r="AE38" s="152">
        <v>940596.14</v>
      </c>
      <c r="AF38" s="152">
        <v>120544.32000000001</v>
      </c>
      <c r="AG38" s="152">
        <v>51921.83</v>
      </c>
      <c r="AH38" s="152">
        <v>477071.94</v>
      </c>
      <c r="AI38" s="152">
        <v>114011.41</v>
      </c>
      <c r="AJ38" s="152">
        <v>97954.05</v>
      </c>
      <c r="AK38" s="152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3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3">
      <c r="A39" s="3"/>
      <c r="B39" s="9">
        <v>31</v>
      </c>
      <c r="C39" s="11">
        <v>5145</v>
      </c>
      <c r="D39" s="180">
        <v>30</v>
      </c>
      <c r="E39" s="11" t="s">
        <v>38</v>
      </c>
      <c r="F39" s="98"/>
      <c r="G39" s="98">
        <f t="shared" si="1"/>
        <v>158.4</v>
      </c>
      <c r="H39" s="14"/>
      <c r="I39" s="14"/>
      <c r="J39" s="14"/>
      <c r="K39" s="14"/>
      <c r="L39" s="14"/>
      <c r="M39" s="14"/>
      <c r="N39" s="193"/>
      <c r="O39" s="108">
        <v>37</v>
      </c>
      <c r="P39" s="108">
        <v>0</v>
      </c>
      <c r="Q39" s="152">
        <v>178510.04</v>
      </c>
      <c r="R39" s="152">
        <v>0</v>
      </c>
      <c r="S39" s="152">
        <v>0</v>
      </c>
      <c r="T39" s="152">
        <v>597</v>
      </c>
      <c r="U39" s="152">
        <v>63856.95</v>
      </c>
      <c r="V39" s="152">
        <v>83160.61</v>
      </c>
      <c r="W39" s="152">
        <v>4394.8500000000004</v>
      </c>
      <c r="X39" s="187">
        <v>2966.27</v>
      </c>
      <c r="Y39" s="152">
        <v>0</v>
      </c>
      <c r="Z39" s="152">
        <v>186.16</v>
      </c>
      <c r="AA39" s="152">
        <v>0</v>
      </c>
      <c r="AB39" s="152">
        <v>0</v>
      </c>
      <c r="AC39" s="152">
        <v>45364.23</v>
      </c>
      <c r="AD39" s="152">
        <v>124.82</v>
      </c>
      <c r="AE39" s="152">
        <v>0</v>
      </c>
      <c r="AF39" s="152">
        <v>0</v>
      </c>
      <c r="AG39" s="152">
        <v>0</v>
      </c>
      <c r="AH39" s="152">
        <v>1033.26</v>
      </c>
      <c r="AI39" s="152">
        <v>32378.59</v>
      </c>
      <c r="AJ39" s="152">
        <v>0</v>
      </c>
      <c r="AK39" s="152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3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3">
      <c r="A40" s="3"/>
      <c r="B40" s="9">
        <v>32</v>
      </c>
      <c r="C40" s="11">
        <v>5150</v>
      </c>
      <c r="D40" s="180">
        <v>31</v>
      </c>
      <c r="E40" s="11" t="s">
        <v>39</v>
      </c>
      <c r="F40" s="98"/>
      <c r="G40" s="98">
        <f t="shared" si="1"/>
        <v>0</v>
      </c>
      <c r="H40" s="14"/>
      <c r="I40" s="14"/>
      <c r="J40" s="14"/>
      <c r="K40" s="14"/>
      <c r="L40" s="14"/>
      <c r="M40" s="14"/>
      <c r="N40" s="193"/>
      <c r="O40" s="108">
        <v>38</v>
      </c>
      <c r="P40" s="108">
        <v>0</v>
      </c>
      <c r="Q40" s="152">
        <v>12454525.560000001</v>
      </c>
      <c r="R40" s="152">
        <v>0</v>
      </c>
      <c r="S40" s="152">
        <v>0</v>
      </c>
      <c r="T40" s="152">
        <v>13694</v>
      </c>
      <c r="U40" s="152">
        <v>56176.02</v>
      </c>
      <c r="V40" s="152">
        <v>562091.61</v>
      </c>
      <c r="W40" s="152">
        <v>35610.97</v>
      </c>
      <c r="X40" s="187">
        <v>11394.22</v>
      </c>
      <c r="Y40" s="152">
        <v>0</v>
      </c>
      <c r="Z40" s="152">
        <v>90764.34</v>
      </c>
      <c r="AA40" s="152">
        <v>7720.5</v>
      </c>
      <c r="AB40" s="152">
        <v>76419.95</v>
      </c>
      <c r="AC40" s="152">
        <v>637129.99</v>
      </c>
      <c r="AD40" s="152">
        <v>30243.03</v>
      </c>
      <c r="AE40" s="152">
        <v>0</v>
      </c>
      <c r="AF40" s="152">
        <v>37949.15</v>
      </c>
      <c r="AG40" s="152">
        <v>8994.73</v>
      </c>
      <c r="AH40" s="152">
        <v>73388.03</v>
      </c>
      <c r="AI40" s="152">
        <v>125343.39</v>
      </c>
      <c r="AJ40" s="152">
        <v>9092.5</v>
      </c>
      <c r="AK40" s="152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3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3">
      <c r="A41" s="3"/>
      <c r="B41" s="9">
        <v>33</v>
      </c>
      <c r="C41" s="11">
        <v>5155</v>
      </c>
      <c r="D41" s="180">
        <v>32</v>
      </c>
      <c r="E41" s="11" t="s">
        <v>40</v>
      </c>
      <c r="F41" s="98"/>
      <c r="G41" s="98">
        <f t="shared" si="1"/>
        <v>8849.69</v>
      </c>
      <c r="H41" s="14"/>
      <c r="I41" s="14"/>
      <c r="J41" s="14"/>
      <c r="K41" s="14"/>
      <c r="L41" s="14"/>
      <c r="M41" s="14"/>
      <c r="N41" s="193"/>
      <c r="O41" s="108">
        <v>39</v>
      </c>
      <c r="P41" s="108">
        <v>0</v>
      </c>
      <c r="Q41" s="152">
        <v>1704220.82</v>
      </c>
      <c r="R41" s="152">
        <v>218</v>
      </c>
      <c r="S41" s="152">
        <v>0</v>
      </c>
      <c r="T41" s="152">
        <v>488</v>
      </c>
      <c r="U41" s="152">
        <v>350670.73</v>
      </c>
      <c r="V41" s="152">
        <v>560032.54</v>
      </c>
      <c r="W41" s="152">
        <v>51304.95</v>
      </c>
      <c r="X41" s="187">
        <v>135875.82</v>
      </c>
      <c r="Y41" s="152">
        <v>0</v>
      </c>
      <c r="Z41" s="152">
        <v>163425.22</v>
      </c>
      <c r="AA41" s="152">
        <v>325</v>
      </c>
      <c r="AB41" s="152">
        <v>112910.59</v>
      </c>
      <c r="AC41" s="152">
        <v>196021.17</v>
      </c>
      <c r="AD41" s="152">
        <v>234659.77</v>
      </c>
      <c r="AE41" s="152">
        <v>510588.17</v>
      </c>
      <c r="AF41" s="152">
        <v>239168.08</v>
      </c>
      <c r="AG41" s="152">
        <v>598.4</v>
      </c>
      <c r="AH41" s="152">
        <v>264881.69</v>
      </c>
      <c r="AI41" s="152">
        <v>95599.06</v>
      </c>
      <c r="AJ41" s="152">
        <v>133.63</v>
      </c>
      <c r="AK41" s="152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3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3">
      <c r="A42" s="3"/>
      <c r="B42" s="9">
        <v>34</v>
      </c>
      <c r="C42" s="11">
        <v>5160</v>
      </c>
      <c r="D42" s="180">
        <v>33</v>
      </c>
      <c r="E42" s="11" t="s">
        <v>41</v>
      </c>
      <c r="F42" s="98"/>
      <c r="G42" s="98">
        <f t="shared" ref="G42:G73" si="2">HLOOKUP($E$3,$P$3:$CE$269,O42,TRUE)</f>
        <v>64.73</v>
      </c>
      <c r="H42" s="14"/>
      <c r="I42" s="14"/>
      <c r="J42" s="14"/>
      <c r="K42" s="14"/>
      <c r="L42" s="14"/>
      <c r="M42" s="14"/>
      <c r="N42" s="193"/>
      <c r="O42" s="108">
        <v>40</v>
      </c>
      <c r="P42" s="108">
        <v>0</v>
      </c>
      <c r="Q42" s="152">
        <v>363570.75</v>
      </c>
      <c r="R42" s="152">
        <v>0</v>
      </c>
      <c r="S42" s="152">
        <v>0</v>
      </c>
      <c r="T42" s="152">
        <v>5579</v>
      </c>
      <c r="U42" s="152">
        <v>47459.19</v>
      </c>
      <c r="V42" s="152">
        <v>119225.74</v>
      </c>
      <c r="W42" s="152">
        <v>86503.51</v>
      </c>
      <c r="X42" s="187">
        <v>46534.080000000002</v>
      </c>
      <c r="Y42" s="152">
        <v>0</v>
      </c>
      <c r="Z42" s="152">
        <v>71901.039999999994</v>
      </c>
      <c r="AA42" s="152">
        <v>330</v>
      </c>
      <c r="AB42" s="152">
        <v>35057.120000000003</v>
      </c>
      <c r="AC42" s="152">
        <v>69967.22</v>
      </c>
      <c r="AD42" s="152">
        <v>52034.879999999997</v>
      </c>
      <c r="AE42" s="152">
        <v>57156.66</v>
      </c>
      <c r="AF42" s="152">
        <v>33390.839999999997</v>
      </c>
      <c r="AG42" s="152">
        <v>2306.46</v>
      </c>
      <c r="AH42" s="152">
        <v>50099.24</v>
      </c>
      <c r="AI42" s="152">
        <v>77667.59</v>
      </c>
      <c r="AJ42" s="152">
        <v>1801.73</v>
      </c>
      <c r="AK42" s="152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3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3">
      <c r="A43" s="3"/>
      <c r="B43" s="9">
        <v>35</v>
      </c>
      <c r="C43" s="11">
        <v>5175</v>
      </c>
      <c r="D43" s="180">
        <v>34</v>
      </c>
      <c r="E43" s="11" t="s">
        <v>42</v>
      </c>
      <c r="F43" s="98"/>
      <c r="G43" s="98">
        <f t="shared" si="2"/>
        <v>28813.29</v>
      </c>
      <c r="H43" s="14"/>
      <c r="I43" s="14"/>
      <c r="J43" s="14"/>
      <c r="K43" s="14"/>
      <c r="L43" s="14"/>
      <c r="M43" s="14"/>
      <c r="N43" s="193"/>
      <c r="O43" s="108">
        <v>41</v>
      </c>
      <c r="P43" s="108">
        <v>0</v>
      </c>
      <c r="Q43" s="152">
        <v>2000058.88</v>
      </c>
      <c r="R43" s="152">
        <v>457393.39</v>
      </c>
      <c r="S43" s="152">
        <v>38284.81</v>
      </c>
      <c r="T43" s="152">
        <v>512</v>
      </c>
      <c r="U43" s="152">
        <v>0</v>
      </c>
      <c r="V43" s="152">
        <v>283995.58</v>
      </c>
      <c r="W43" s="152">
        <v>413301.19</v>
      </c>
      <c r="X43" s="187">
        <v>0</v>
      </c>
      <c r="Y43" s="152">
        <v>0</v>
      </c>
      <c r="Z43" s="152">
        <v>280124.82</v>
      </c>
      <c r="AA43" s="152">
        <v>0</v>
      </c>
      <c r="AB43" s="152">
        <v>165199.09</v>
      </c>
      <c r="AC43" s="152">
        <v>0</v>
      </c>
      <c r="AD43" s="152">
        <v>248572.14</v>
      </c>
      <c r="AE43" s="152">
        <v>0</v>
      </c>
      <c r="AF43" s="152">
        <v>221316.03</v>
      </c>
      <c r="AG43" s="152">
        <v>164.79</v>
      </c>
      <c r="AH43" s="152">
        <v>4203.05</v>
      </c>
      <c r="AI43" s="152">
        <v>83302.45</v>
      </c>
      <c r="AJ43" s="152">
        <v>41226.5</v>
      </c>
      <c r="AK43" s="152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3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3">
      <c r="A44" s="3"/>
      <c r="B44" s="9">
        <v>36</v>
      </c>
      <c r="C44" s="15"/>
      <c r="D44" s="180"/>
      <c r="E44" s="16" t="s">
        <v>43</v>
      </c>
      <c r="F44" s="99"/>
      <c r="G44" s="98">
        <f t="shared" si="2"/>
        <v>243714.53</v>
      </c>
      <c r="H44" s="14"/>
      <c r="I44" s="17"/>
      <c r="J44" s="17"/>
      <c r="K44" s="17"/>
      <c r="L44" s="17"/>
      <c r="M44" s="17"/>
      <c r="N44" s="193"/>
      <c r="O44" s="108">
        <v>42</v>
      </c>
      <c r="P44" s="108">
        <v>0</v>
      </c>
      <c r="Q44" s="152">
        <v>33232305.629999999</v>
      </c>
      <c r="R44" s="152">
        <v>5145408.12</v>
      </c>
      <c r="S44" s="152">
        <v>86747.4</v>
      </c>
      <c r="T44" s="152">
        <v>198065</v>
      </c>
      <c r="U44" s="152">
        <v>1813764.95</v>
      </c>
      <c r="V44" s="152">
        <v>5395369.4700000007</v>
      </c>
      <c r="W44" s="152">
        <v>2155319.6</v>
      </c>
      <c r="X44" s="187">
        <v>418665.27</v>
      </c>
      <c r="Y44" s="152">
        <v>306.57</v>
      </c>
      <c r="Z44" s="152">
        <v>1424249.2300000002</v>
      </c>
      <c r="AA44" s="152">
        <v>51679.42</v>
      </c>
      <c r="AB44" s="152">
        <v>695173.45</v>
      </c>
      <c r="AC44" s="152">
        <v>2846895.7600000002</v>
      </c>
      <c r="AD44" s="152">
        <v>2378148.15</v>
      </c>
      <c r="AE44" s="152">
        <v>2586197.23</v>
      </c>
      <c r="AF44" s="152">
        <v>1063368.71</v>
      </c>
      <c r="AG44" s="152">
        <v>267090.5</v>
      </c>
      <c r="AH44" s="152">
        <v>1342811.81</v>
      </c>
      <c r="AI44" s="152">
        <v>1477327.82</v>
      </c>
      <c r="AJ44" s="152">
        <v>295603.37</v>
      </c>
      <c r="AK44" s="152">
        <v>1833617.1300000001</v>
      </c>
      <c r="AL44" s="109">
        <v>624703.25</v>
      </c>
      <c r="AM44" s="109">
        <v>1331266.7400000002</v>
      </c>
      <c r="AN44" s="109">
        <v>317433.36999999994</v>
      </c>
      <c r="AO44" s="109">
        <v>317482.40000000002</v>
      </c>
      <c r="AP44" s="109">
        <v>15778.57</v>
      </c>
      <c r="AQ44" s="109">
        <v>189516.40999999997</v>
      </c>
      <c r="AR44" s="109">
        <v>233975148.48000005</v>
      </c>
      <c r="AS44" s="109">
        <v>9125315.9399999995</v>
      </c>
      <c r="AT44" s="109">
        <v>631422.75000000012</v>
      </c>
      <c r="AU44" s="109">
        <v>568050</v>
      </c>
      <c r="AV44" s="109">
        <v>1545398</v>
      </c>
      <c r="AW44" s="109">
        <v>5996631.79</v>
      </c>
      <c r="AX44" s="109">
        <v>343942.15</v>
      </c>
      <c r="AY44" s="109">
        <v>1525272.2200000004</v>
      </c>
      <c r="AZ44" s="109">
        <v>9017046.2100000009</v>
      </c>
      <c r="BA44" s="109"/>
      <c r="BB44" s="109">
        <v>1401782</v>
      </c>
      <c r="BC44" s="109">
        <v>1572830.4400000002</v>
      </c>
      <c r="BD44" s="109">
        <v>2589111.9500000002</v>
      </c>
      <c r="BE44" s="109">
        <v>461201.29000000004</v>
      </c>
      <c r="BF44" s="109">
        <v>1652474.9300000002</v>
      </c>
      <c r="BG44" s="109">
        <v>490704.5</v>
      </c>
      <c r="BH44" s="109">
        <v>1876157.72</v>
      </c>
      <c r="BI44" s="109">
        <v>366416.41</v>
      </c>
      <c r="BJ44" s="109">
        <v>1188542</v>
      </c>
      <c r="BK44" s="109">
        <v>1084144</v>
      </c>
      <c r="BL44" s="109">
        <v>500383.53</v>
      </c>
      <c r="BM44" s="109">
        <v>749991.39</v>
      </c>
      <c r="BN44" s="109">
        <v>2329917.9300000006</v>
      </c>
      <c r="BO44" s="109">
        <v>146086.57999999999</v>
      </c>
      <c r="BP44" s="109">
        <v>398021.04000000004</v>
      </c>
      <c r="BQ44" s="109">
        <v>126542.29000000001</v>
      </c>
      <c r="BR44" s="109"/>
      <c r="BS44" s="109">
        <v>5264388.9299999988</v>
      </c>
      <c r="BT44" s="109">
        <v>234868.49</v>
      </c>
      <c r="BU44" s="109">
        <v>71660846.450000003</v>
      </c>
      <c r="BV44" s="109">
        <v>3729139</v>
      </c>
      <c r="BW44" s="109">
        <v>838683.52</v>
      </c>
      <c r="BX44" s="193">
        <v>1902064</v>
      </c>
      <c r="BY44" s="109">
        <v>2086551.34</v>
      </c>
      <c r="BZ44" s="109">
        <v>243714.53</v>
      </c>
      <c r="CA44" s="109">
        <v>331933</v>
      </c>
      <c r="CB44" s="109">
        <v>1426637.2</v>
      </c>
      <c r="CC44" s="109">
        <v>2101735.7199999997</v>
      </c>
      <c r="CD44" s="110"/>
      <c r="CE44" s="110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3">
      <c r="A45" s="3"/>
      <c r="B45" s="9">
        <v>37</v>
      </c>
      <c r="C45" s="11">
        <v>5305</v>
      </c>
      <c r="D45" s="180">
        <v>35</v>
      </c>
      <c r="E45" s="11" t="s">
        <v>44</v>
      </c>
      <c r="F45" s="98"/>
      <c r="G45" s="98">
        <f t="shared" si="2"/>
        <v>5723.14</v>
      </c>
      <c r="H45" s="14"/>
      <c r="I45" s="14"/>
      <c r="J45" s="14"/>
      <c r="K45" s="14"/>
      <c r="L45" s="14"/>
      <c r="M45" s="14"/>
      <c r="N45" s="193"/>
      <c r="O45" s="108">
        <v>43</v>
      </c>
      <c r="P45" s="108">
        <v>0</v>
      </c>
      <c r="Q45" s="152">
        <v>8084750.4900000002</v>
      </c>
      <c r="R45" s="152">
        <v>91051.199999999997</v>
      </c>
      <c r="S45" s="152">
        <v>2954.88</v>
      </c>
      <c r="T45" s="152">
        <v>204127</v>
      </c>
      <c r="U45" s="152">
        <v>354110.2</v>
      </c>
      <c r="V45" s="152">
        <v>0</v>
      </c>
      <c r="W45" s="152">
        <v>195764.51</v>
      </c>
      <c r="X45" s="187">
        <v>64260.7</v>
      </c>
      <c r="Y45" s="152">
        <v>0</v>
      </c>
      <c r="Z45" s="152">
        <v>111719.67999999999</v>
      </c>
      <c r="AA45" s="152">
        <v>0</v>
      </c>
      <c r="AB45" s="152">
        <v>99694.15</v>
      </c>
      <c r="AC45" s="152">
        <v>917782.47</v>
      </c>
      <c r="AD45" s="152">
        <v>343996.43</v>
      </c>
      <c r="AE45" s="152">
        <v>0</v>
      </c>
      <c r="AF45" s="152">
        <v>0</v>
      </c>
      <c r="AG45" s="152">
        <v>0</v>
      </c>
      <c r="AH45" s="152">
        <v>201088.93</v>
      </c>
      <c r="AI45" s="152">
        <v>29729.599999999999</v>
      </c>
      <c r="AJ45" s="152">
        <v>27435.4</v>
      </c>
      <c r="AK45" s="152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3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3">
      <c r="A46" s="3"/>
      <c r="B46" s="9">
        <v>38</v>
      </c>
      <c r="C46" s="11">
        <v>5310</v>
      </c>
      <c r="D46" s="180">
        <v>36</v>
      </c>
      <c r="E46" s="11" t="s">
        <v>45</v>
      </c>
      <c r="F46" s="98"/>
      <c r="G46" s="98">
        <f t="shared" si="2"/>
        <v>67599.02</v>
      </c>
      <c r="H46" s="14"/>
      <c r="I46" s="14"/>
      <c r="J46" s="14"/>
      <c r="K46" s="14"/>
      <c r="L46" s="14"/>
      <c r="M46" s="14"/>
      <c r="N46" s="193"/>
      <c r="O46" s="108">
        <v>44</v>
      </c>
      <c r="P46" s="108">
        <v>0</v>
      </c>
      <c r="Q46" s="152">
        <v>7043890.4500000002</v>
      </c>
      <c r="R46" s="152">
        <v>124975.94</v>
      </c>
      <c r="S46" s="152">
        <v>31214.68</v>
      </c>
      <c r="T46" s="152">
        <v>292346</v>
      </c>
      <c r="U46" s="152">
        <v>710370.99</v>
      </c>
      <c r="V46" s="152">
        <v>347816.83</v>
      </c>
      <c r="W46" s="152">
        <v>78136.33</v>
      </c>
      <c r="X46" s="187">
        <v>115138.1</v>
      </c>
      <c r="Y46" s="152">
        <v>41226.620000000003</v>
      </c>
      <c r="Z46" s="152">
        <v>221601.6</v>
      </c>
      <c r="AA46" s="152">
        <v>0</v>
      </c>
      <c r="AB46" s="152">
        <v>62496.51</v>
      </c>
      <c r="AC46" s="152">
        <v>366348.83</v>
      </c>
      <c r="AD46" s="152">
        <v>213612.46</v>
      </c>
      <c r="AE46" s="152">
        <v>735999.52</v>
      </c>
      <c r="AF46" s="152">
        <v>0</v>
      </c>
      <c r="AG46" s="152">
        <v>70654.44</v>
      </c>
      <c r="AH46" s="152">
        <v>112779.27</v>
      </c>
      <c r="AI46" s="152">
        <v>220672.38</v>
      </c>
      <c r="AJ46" s="152">
        <v>5894.27</v>
      </c>
      <c r="AK46" s="152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3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3">
      <c r="A47" s="3"/>
      <c r="B47" s="9">
        <v>39</v>
      </c>
      <c r="C47" s="11">
        <v>5315</v>
      </c>
      <c r="D47" s="180">
        <v>37</v>
      </c>
      <c r="E47" s="11" t="s">
        <v>46</v>
      </c>
      <c r="F47" s="98"/>
      <c r="G47" s="98">
        <f t="shared" si="2"/>
        <v>108405.4</v>
      </c>
      <c r="H47" s="14"/>
      <c r="I47" s="14"/>
      <c r="J47" s="14"/>
      <c r="K47" s="14"/>
      <c r="L47" s="14"/>
      <c r="M47" s="14"/>
      <c r="N47" s="193"/>
      <c r="O47" s="108">
        <v>45</v>
      </c>
      <c r="P47" s="108">
        <v>0</v>
      </c>
      <c r="Q47" s="152">
        <v>12707187.91</v>
      </c>
      <c r="R47" s="152">
        <v>159630.62</v>
      </c>
      <c r="S47" s="152">
        <v>137307.71</v>
      </c>
      <c r="T47" s="152">
        <v>1024016</v>
      </c>
      <c r="U47" s="152">
        <v>959903.16</v>
      </c>
      <c r="V47" s="152">
        <v>798725.79</v>
      </c>
      <c r="W47" s="152">
        <v>473925.97</v>
      </c>
      <c r="X47" s="187">
        <v>234581.7</v>
      </c>
      <c r="Y47" s="152">
        <v>71976.98</v>
      </c>
      <c r="Z47" s="152">
        <v>441714.73</v>
      </c>
      <c r="AA47" s="152">
        <v>190010.41</v>
      </c>
      <c r="AB47" s="152">
        <v>395631.51</v>
      </c>
      <c r="AC47" s="152">
        <v>1324483.7</v>
      </c>
      <c r="AD47" s="152">
        <v>2348621.2400000002</v>
      </c>
      <c r="AE47" s="152">
        <v>1457174.45</v>
      </c>
      <c r="AF47" s="152">
        <v>870212.61</v>
      </c>
      <c r="AG47" s="152">
        <v>187750.48</v>
      </c>
      <c r="AH47" s="152">
        <v>707142.1</v>
      </c>
      <c r="AI47" s="152">
        <v>568055.68999999994</v>
      </c>
      <c r="AJ47" s="152">
        <v>183228.07</v>
      </c>
      <c r="AK47" s="152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3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3">
      <c r="A48" s="3"/>
      <c r="B48" s="9">
        <v>40</v>
      </c>
      <c r="C48" s="11">
        <v>5320</v>
      </c>
      <c r="D48" s="180">
        <v>38</v>
      </c>
      <c r="E48" s="11" t="s">
        <v>47</v>
      </c>
      <c r="F48" s="98"/>
      <c r="G48" s="98">
        <f t="shared" si="2"/>
        <v>105513.39</v>
      </c>
      <c r="H48" s="14"/>
      <c r="I48" s="14"/>
      <c r="J48" s="14"/>
      <c r="K48" s="14"/>
      <c r="L48" s="14"/>
      <c r="M48" s="14"/>
      <c r="N48" s="193"/>
      <c r="O48" s="108">
        <v>46</v>
      </c>
      <c r="P48" s="108">
        <v>0</v>
      </c>
      <c r="Q48" s="152">
        <v>5798303.6100000003</v>
      </c>
      <c r="R48" s="152">
        <v>205136.8</v>
      </c>
      <c r="S48" s="152">
        <v>0</v>
      </c>
      <c r="T48" s="152">
        <v>255644</v>
      </c>
      <c r="U48" s="152">
        <v>162717.48000000001</v>
      </c>
      <c r="V48" s="152">
        <v>276681.89</v>
      </c>
      <c r="W48" s="152">
        <v>273671.99</v>
      </c>
      <c r="X48" s="187">
        <v>84857.09</v>
      </c>
      <c r="Y48" s="152">
        <v>0</v>
      </c>
      <c r="Z48" s="152">
        <v>103984.94</v>
      </c>
      <c r="AA48" s="152">
        <v>0</v>
      </c>
      <c r="AB48" s="152">
        <v>91053.31</v>
      </c>
      <c r="AC48" s="152">
        <v>301663.78999999998</v>
      </c>
      <c r="AD48" s="152">
        <v>486911.15</v>
      </c>
      <c r="AE48" s="152">
        <v>99469.45</v>
      </c>
      <c r="AF48" s="152">
        <v>133326.85</v>
      </c>
      <c r="AG48" s="152">
        <v>140802.07999999999</v>
      </c>
      <c r="AH48" s="152">
        <v>305257.53000000003</v>
      </c>
      <c r="AI48" s="152">
        <v>145153.62</v>
      </c>
      <c r="AJ48" s="152">
        <v>69916.39</v>
      </c>
      <c r="AK48" s="152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3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3">
      <c r="A49" s="3"/>
      <c r="B49" s="9">
        <v>41</v>
      </c>
      <c r="C49" s="11">
        <v>5325</v>
      </c>
      <c r="D49" s="180">
        <v>39</v>
      </c>
      <c r="E49" s="11" t="s">
        <v>48</v>
      </c>
      <c r="F49" s="98"/>
      <c r="G49" s="98">
        <f t="shared" si="2"/>
        <v>0</v>
      </c>
      <c r="H49" s="14"/>
      <c r="I49" s="14"/>
      <c r="J49" s="14"/>
      <c r="K49" s="14"/>
      <c r="L49" s="14"/>
      <c r="M49" s="14"/>
      <c r="N49" s="193"/>
      <c r="O49" s="108">
        <v>47</v>
      </c>
      <c r="P49" s="108">
        <v>0</v>
      </c>
      <c r="Q49" s="152">
        <v>-5788.51</v>
      </c>
      <c r="R49" s="152">
        <v>0</v>
      </c>
      <c r="S49" s="152">
        <v>-31.94</v>
      </c>
      <c r="T49" s="152">
        <v>0</v>
      </c>
      <c r="U49" s="152">
        <v>191.43</v>
      </c>
      <c r="V49" s="152">
        <v>0</v>
      </c>
      <c r="W49" s="152">
        <v>0</v>
      </c>
      <c r="X49" s="187">
        <v>-2.56</v>
      </c>
      <c r="Y49" s="152">
        <v>0</v>
      </c>
      <c r="Z49" s="152">
        <v>8.84</v>
      </c>
      <c r="AA49" s="152">
        <v>0</v>
      </c>
      <c r="AB49" s="152">
        <v>0</v>
      </c>
      <c r="AC49" s="152">
        <v>-44.12</v>
      </c>
      <c r="AD49" s="152">
        <v>0</v>
      </c>
      <c r="AE49" s="152">
        <v>0</v>
      </c>
      <c r="AF49" s="152">
        <v>0</v>
      </c>
      <c r="AG49" s="152">
        <v>0</v>
      </c>
      <c r="AH49" s="152">
        <v>0</v>
      </c>
      <c r="AI49" s="152">
        <v>0</v>
      </c>
      <c r="AJ49" s="152">
        <v>0</v>
      </c>
      <c r="AK49" s="152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3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3">
      <c r="A50" s="3"/>
      <c r="B50" s="9">
        <v>42</v>
      </c>
      <c r="C50" s="11">
        <v>5330</v>
      </c>
      <c r="D50" s="180">
        <v>40</v>
      </c>
      <c r="E50" s="11" t="s">
        <v>49</v>
      </c>
      <c r="F50" s="98"/>
      <c r="G50" s="98">
        <f t="shared" si="2"/>
        <v>0</v>
      </c>
      <c r="H50" s="14"/>
      <c r="I50" s="14"/>
      <c r="J50" s="14"/>
      <c r="K50" s="14"/>
      <c r="L50" s="14"/>
      <c r="M50" s="14"/>
      <c r="N50" s="193"/>
      <c r="O50" s="108">
        <v>48</v>
      </c>
      <c r="P50" s="108">
        <v>0</v>
      </c>
      <c r="Q50" s="152">
        <v>-164898.25</v>
      </c>
      <c r="R50" s="152">
        <v>0</v>
      </c>
      <c r="S50" s="152">
        <v>0</v>
      </c>
      <c r="T50" s="152">
        <v>0</v>
      </c>
      <c r="U50" s="152">
        <v>0</v>
      </c>
      <c r="V50" s="152">
        <v>132786.38</v>
      </c>
      <c r="W50" s="152">
        <v>0</v>
      </c>
      <c r="X50" s="187">
        <v>0</v>
      </c>
      <c r="Y50" s="152">
        <v>0</v>
      </c>
      <c r="Z50" s="152">
        <v>0</v>
      </c>
      <c r="AA50" s="152">
        <v>1780</v>
      </c>
      <c r="AB50" s="152">
        <v>7010.11</v>
      </c>
      <c r="AC50" s="152">
        <v>23232.880000000001</v>
      </c>
      <c r="AD50" s="152">
        <v>360</v>
      </c>
      <c r="AE50" s="152">
        <v>0</v>
      </c>
      <c r="AF50" s="152">
        <v>0</v>
      </c>
      <c r="AG50" s="152">
        <v>0</v>
      </c>
      <c r="AH50" s="152">
        <v>0</v>
      </c>
      <c r="AI50" s="152">
        <v>0</v>
      </c>
      <c r="AJ50" s="152">
        <v>-1450.08</v>
      </c>
      <c r="AK50" s="152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3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3">
      <c r="A51" s="3"/>
      <c r="B51" s="9">
        <v>43</v>
      </c>
      <c r="C51" s="11">
        <v>5340</v>
      </c>
      <c r="D51" s="180">
        <v>41</v>
      </c>
      <c r="E51" s="11" t="s">
        <v>50</v>
      </c>
      <c r="F51" s="98"/>
      <c r="G51" s="98">
        <f t="shared" si="2"/>
        <v>52455.76</v>
      </c>
      <c r="H51" s="14"/>
      <c r="I51" s="14"/>
      <c r="J51" s="14"/>
      <c r="K51" s="14"/>
      <c r="L51" s="14"/>
      <c r="M51" s="14"/>
      <c r="N51" s="193"/>
      <c r="O51" s="108">
        <v>49</v>
      </c>
      <c r="P51" s="108">
        <v>0</v>
      </c>
      <c r="Q51" s="152">
        <v>293388.52</v>
      </c>
      <c r="R51" s="152">
        <v>295583.74</v>
      </c>
      <c r="S51" s="152">
        <v>2000</v>
      </c>
      <c r="T51" s="152">
        <v>0</v>
      </c>
      <c r="U51" s="152">
        <v>666210.65</v>
      </c>
      <c r="V51" s="152">
        <v>697441.18</v>
      </c>
      <c r="W51" s="152">
        <v>536426.34</v>
      </c>
      <c r="X51" s="187">
        <v>0</v>
      </c>
      <c r="Y51" s="152">
        <v>0</v>
      </c>
      <c r="Z51" s="152">
        <v>482.92</v>
      </c>
      <c r="AA51" s="152">
        <v>0</v>
      </c>
      <c r="AB51" s="152">
        <v>0</v>
      </c>
      <c r="AC51" s="152">
        <v>0</v>
      </c>
      <c r="AD51" s="152">
        <v>0</v>
      </c>
      <c r="AE51" s="152">
        <v>0</v>
      </c>
      <c r="AF51" s="152">
        <v>0</v>
      </c>
      <c r="AG51" s="152">
        <v>0</v>
      </c>
      <c r="AH51" s="152">
        <v>64132.71</v>
      </c>
      <c r="AI51" s="152">
        <v>175589.38</v>
      </c>
      <c r="AJ51" s="152">
        <v>0</v>
      </c>
      <c r="AK51" s="152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3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3">
      <c r="A52" s="3"/>
      <c r="B52" s="9">
        <v>44</v>
      </c>
      <c r="C52" s="15"/>
      <c r="D52" s="180"/>
      <c r="E52" s="16" t="s">
        <v>51</v>
      </c>
      <c r="F52" s="99"/>
      <c r="G52" s="98">
        <f t="shared" si="2"/>
        <v>339696.71</v>
      </c>
      <c r="H52" s="14"/>
      <c r="I52" s="17"/>
      <c r="J52" s="17"/>
      <c r="K52" s="17"/>
      <c r="L52" s="17"/>
      <c r="M52" s="17"/>
      <c r="N52" s="193"/>
      <c r="O52" s="108">
        <v>50</v>
      </c>
      <c r="P52" s="108">
        <v>0</v>
      </c>
      <c r="Q52" s="152">
        <v>33756834.220000006</v>
      </c>
      <c r="R52" s="152">
        <v>876378.3</v>
      </c>
      <c r="S52" s="152">
        <v>173445.33</v>
      </c>
      <c r="T52" s="152">
        <v>1776133</v>
      </c>
      <c r="U52" s="152">
        <v>2853503.91</v>
      </c>
      <c r="V52" s="152">
        <v>2253452.0700000003</v>
      </c>
      <c r="W52" s="152">
        <v>1557925.1400000001</v>
      </c>
      <c r="X52" s="187">
        <v>498835.02999999997</v>
      </c>
      <c r="Y52" s="152">
        <v>113203.6</v>
      </c>
      <c r="Z52" s="152">
        <v>879512.71</v>
      </c>
      <c r="AA52" s="152">
        <v>191790.41</v>
      </c>
      <c r="AB52" s="152">
        <v>655885.59</v>
      </c>
      <c r="AC52" s="152">
        <v>2933467.55</v>
      </c>
      <c r="AD52" s="152">
        <v>3393501.2800000003</v>
      </c>
      <c r="AE52" s="152">
        <v>2292643.42</v>
      </c>
      <c r="AF52" s="152">
        <v>1003539.46</v>
      </c>
      <c r="AG52" s="152">
        <v>399207</v>
      </c>
      <c r="AH52" s="152">
        <v>1390400.54</v>
      </c>
      <c r="AI52" s="152">
        <v>1139200.67</v>
      </c>
      <c r="AJ52" s="152">
        <v>285024.05</v>
      </c>
      <c r="AK52" s="152">
        <v>2284683.33</v>
      </c>
      <c r="AL52" s="109">
        <v>611072.96</v>
      </c>
      <c r="AM52" s="109">
        <v>2383906.9</v>
      </c>
      <c r="AN52" s="109">
        <v>1078641.5499999998</v>
      </c>
      <c r="AO52" s="109">
        <v>285910.73999999993</v>
      </c>
      <c r="AP52" s="109">
        <v>155371.55000000002</v>
      </c>
      <c r="AQ52" s="109">
        <v>401290.6</v>
      </c>
      <c r="AR52" s="109">
        <v>69620412</v>
      </c>
      <c r="AS52" s="109">
        <v>10403477.65</v>
      </c>
      <c r="AT52" s="109">
        <v>983191.66</v>
      </c>
      <c r="AU52" s="109">
        <v>533429</v>
      </c>
      <c r="AV52" s="109">
        <v>598249</v>
      </c>
      <c r="AW52" s="109">
        <v>4432564.5200000005</v>
      </c>
      <c r="AX52" s="109">
        <v>493727.86</v>
      </c>
      <c r="AY52" s="109">
        <v>873887.04</v>
      </c>
      <c r="AZ52" s="109">
        <v>4266917.82</v>
      </c>
      <c r="BA52" s="109"/>
      <c r="BB52" s="109">
        <v>2036029</v>
      </c>
      <c r="BC52" s="109">
        <v>1858815.5099999998</v>
      </c>
      <c r="BD52" s="109">
        <v>5408752.6699999999</v>
      </c>
      <c r="BE52" s="109">
        <v>553044.14999999991</v>
      </c>
      <c r="BF52" s="109">
        <v>1090654.43</v>
      </c>
      <c r="BG52" s="109">
        <v>677714.21</v>
      </c>
      <c r="BH52" s="109">
        <v>2589017.9500000002</v>
      </c>
      <c r="BI52" s="109">
        <v>737414.02</v>
      </c>
      <c r="BJ52" s="109">
        <v>1104015</v>
      </c>
      <c r="BK52" s="109">
        <v>2036425</v>
      </c>
      <c r="BL52" s="109">
        <v>633656.16999999993</v>
      </c>
      <c r="BM52" s="109">
        <v>2033970.44</v>
      </c>
      <c r="BN52" s="109">
        <v>1132047.93</v>
      </c>
      <c r="BO52" s="109">
        <v>414530.34</v>
      </c>
      <c r="BP52" s="109">
        <v>500070.32999999996</v>
      </c>
      <c r="BQ52" s="109">
        <v>323679.73</v>
      </c>
      <c r="BR52" s="109"/>
      <c r="BS52" s="109">
        <v>1909567.54</v>
      </c>
      <c r="BT52" s="109">
        <v>605482.59000000008</v>
      </c>
      <c r="BU52" s="109">
        <v>28230152.009999998</v>
      </c>
      <c r="BV52" s="109">
        <v>6142918</v>
      </c>
      <c r="BW52" s="109">
        <v>1015214.17</v>
      </c>
      <c r="BX52" s="193">
        <v>2699535</v>
      </c>
      <c r="BY52" s="109">
        <v>1320144.29</v>
      </c>
      <c r="BZ52" s="109">
        <v>339696.71</v>
      </c>
      <c r="CA52" s="109">
        <v>425322</v>
      </c>
      <c r="CB52" s="109">
        <v>756061.37999999989</v>
      </c>
      <c r="CC52" s="109">
        <v>2465024.9400000004</v>
      </c>
      <c r="CD52" s="110"/>
      <c r="CE52" s="110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3">
      <c r="A53" s="3"/>
      <c r="B53" s="9">
        <v>45</v>
      </c>
      <c r="C53" s="11">
        <v>5405</v>
      </c>
      <c r="D53" s="180">
        <v>42</v>
      </c>
      <c r="E53" s="11" t="s">
        <v>52</v>
      </c>
      <c r="F53" s="98"/>
      <c r="G53" s="98">
        <f t="shared" si="2"/>
        <v>0</v>
      </c>
      <c r="H53" s="14"/>
      <c r="I53" s="14"/>
      <c r="J53" s="14"/>
      <c r="K53" s="14"/>
      <c r="L53" s="14"/>
      <c r="M53" s="14"/>
      <c r="N53" s="193"/>
      <c r="O53" s="108">
        <v>51</v>
      </c>
      <c r="P53" s="108">
        <v>0</v>
      </c>
      <c r="Q53" s="152">
        <v>1496117.7</v>
      </c>
      <c r="R53" s="152">
        <v>628.96</v>
      </c>
      <c r="S53" s="152">
        <v>0</v>
      </c>
      <c r="T53" s="152">
        <v>0</v>
      </c>
      <c r="U53" s="152">
        <v>0</v>
      </c>
      <c r="V53" s="152">
        <v>0</v>
      </c>
      <c r="W53" s="152">
        <v>0</v>
      </c>
      <c r="X53" s="187">
        <v>0</v>
      </c>
      <c r="Y53" s="152">
        <v>0</v>
      </c>
      <c r="Z53" s="152">
        <v>0</v>
      </c>
      <c r="AA53" s="152">
        <v>0</v>
      </c>
      <c r="AB53" s="152">
        <v>0</v>
      </c>
      <c r="AC53" s="152">
        <v>6017.15</v>
      </c>
      <c r="AD53" s="152">
        <v>0</v>
      </c>
      <c r="AE53" s="152">
        <v>0</v>
      </c>
      <c r="AF53" s="152">
        <v>0</v>
      </c>
      <c r="AG53" s="152">
        <v>0</v>
      </c>
      <c r="AH53" s="152">
        <v>0</v>
      </c>
      <c r="AI53" s="152">
        <v>975</v>
      </c>
      <c r="AJ53" s="152">
        <v>27619.88</v>
      </c>
      <c r="AK53" s="152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3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3">
      <c r="A54" s="3"/>
      <c r="B54" s="9">
        <v>46</v>
      </c>
      <c r="C54" s="11">
        <v>5410</v>
      </c>
      <c r="D54" s="180">
        <v>43</v>
      </c>
      <c r="E54" s="11" t="s">
        <v>53</v>
      </c>
      <c r="F54" s="98"/>
      <c r="G54" s="98">
        <f t="shared" si="2"/>
        <v>7992.73</v>
      </c>
      <c r="H54" s="14"/>
      <c r="I54" s="14"/>
      <c r="J54" s="14"/>
      <c r="K54" s="14"/>
      <c r="L54" s="14"/>
      <c r="M54" s="14"/>
      <c r="N54" s="193"/>
      <c r="O54" s="108">
        <v>52</v>
      </c>
      <c r="P54" s="108">
        <v>0</v>
      </c>
      <c r="Q54" s="152">
        <v>1526545.53</v>
      </c>
      <c r="R54" s="152">
        <v>8457.25</v>
      </c>
      <c r="S54" s="152">
        <v>0</v>
      </c>
      <c r="T54" s="152">
        <v>170278</v>
      </c>
      <c r="U54" s="152">
        <v>62434.92</v>
      </c>
      <c r="V54" s="152">
        <v>0</v>
      </c>
      <c r="W54" s="152">
        <v>0</v>
      </c>
      <c r="X54" s="187">
        <v>25882.76</v>
      </c>
      <c r="Y54" s="152">
        <v>0</v>
      </c>
      <c r="Z54" s="152">
        <v>0</v>
      </c>
      <c r="AA54" s="152">
        <v>2749.67</v>
      </c>
      <c r="AB54" s="152">
        <v>20966.53</v>
      </c>
      <c r="AC54" s="152">
        <v>21249.56</v>
      </c>
      <c r="AD54" s="152">
        <v>40388.78</v>
      </c>
      <c r="AE54" s="152">
        <v>147722.56</v>
      </c>
      <c r="AF54" s="152">
        <v>64824.51</v>
      </c>
      <c r="AG54" s="152">
        <v>0</v>
      </c>
      <c r="AH54" s="152">
        <v>38490.339999999997</v>
      </c>
      <c r="AI54" s="152">
        <v>0</v>
      </c>
      <c r="AJ54" s="152">
        <v>6314.98</v>
      </c>
      <c r="AK54" s="152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3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3">
      <c r="A55" s="3"/>
      <c r="B55" s="9">
        <v>47</v>
      </c>
      <c r="C55" s="11">
        <v>5420</v>
      </c>
      <c r="D55" s="180">
        <v>44</v>
      </c>
      <c r="E55" s="11" t="s">
        <v>54</v>
      </c>
      <c r="F55" s="98"/>
      <c r="G55" s="98">
        <f t="shared" si="2"/>
        <v>1840</v>
      </c>
      <c r="H55" s="14"/>
      <c r="I55" s="14"/>
      <c r="J55" s="14"/>
      <c r="K55" s="14"/>
      <c r="L55" s="14"/>
      <c r="M55" s="14"/>
      <c r="N55" s="193"/>
      <c r="O55" s="108">
        <v>53</v>
      </c>
      <c r="P55" s="108">
        <v>0</v>
      </c>
      <c r="Q55" s="152">
        <v>3183.14</v>
      </c>
      <c r="R55" s="152">
        <v>0</v>
      </c>
      <c r="S55" s="152">
        <v>0</v>
      </c>
      <c r="T55" s="152">
        <v>193349</v>
      </c>
      <c r="U55" s="152">
        <v>20092.39</v>
      </c>
      <c r="V55" s="152">
        <v>25391.96</v>
      </c>
      <c r="W55" s="152">
        <v>4350</v>
      </c>
      <c r="X55" s="187">
        <v>0</v>
      </c>
      <c r="Y55" s="152">
        <v>0</v>
      </c>
      <c r="Z55" s="152">
        <v>9900</v>
      </c>
      <c r="AA55" s="152">
        <v>0</v>
      </c>
      <c r="AB55" s="152">
        <v>0</v>
      </c>
      <c r="AC55" s="152">
        <v>78340.22</v>
      </c>
      <c r="AD55" s="152">
        <v>0</v>
      </c>
      <c r="AE55" s="152">
        <v>0</v>
      </c>
      <c r="AF55" s="152">
        <v>3680</v>
      </c>
      <c r="AG55" s="152">
        <v>0</v>
      </c>
      <c r="AH55" s="152">
        <v>0</v>
      </c>
      <c r="AI55" s="152">
        <v>8770.07</v>
      </c>
      <c r="AJ55" s="152">
        <v>225.19</v>
      </c>
      <c r="AK55" s="152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3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3">
      <c r="A56" s="3"/>
      <c r="B56" s="9">
        <v>48</v>
      </c>
      <c r="C56" s="11">
        <v>5425</v>
      </c>
      <c r="D56" s="180">
        <v>45</v>
      </c>
      <c r="E56" s="11" t="s">
        <v>55</v>
      </c>
      <c r="F56" s="98"/>
      <c r="G56" s="98">
        <f t="shared" si="2"/>
        <v>0</v>
      </c>
      <c r="H56" s="14"/>
      <c r="I56" s="14"/>
      <c r="J56" s="14"/>
      <c r="K56" s="14"/>
      <c r="L56" s="14"/>
      <c r="M56" s="14"/>
      <c r="N56" s="193"/>
      <c r="O56" s="108">
        <v>54</v>
      </c>
      <c r="P56" s="108">
        <v>0</v>
      </c>
      <c r="Q56" s="152">
        <v>1563.96</v>
      </c>
      <c r="R56" s="152">
        <v>132803.91</v>
      </c>
      <c r="S56" s="152">
        <v>0</v>
      </c>
      <c r="T56" s="152">
        <v>1323</v>
      </c>
      <c r="U56" s="152">
        <v>0</v>
      </c>
      <c r="V56" s="152">
        <v>0</v>
      </c>
      <c r="W56" s="152">
        <v>30601.07</v>
      </c>
      <c r="X56" s="187">
        <v>9278.52</v>
      </c>
      <c r="Y56" s="152">
        <v>0</v>
      </c>
      <c r="Z56" s="152">
        <v>217891.18</v>
      </c>
      <c r="AA56" s="152">
        <v>0</v>
      </c>
      <c r="AB56" s="152">
        <v>0</v>
      </c>
      <c r="AC56" s="152">
        <v>0</v>
      </c>
      <c r="AD56" s="152">
        <v>761.63</v>
      </c>
      <c r="AE56" s="152">
        <v>0</v>
      </c>
      <c r="AF56" s="152">
        <v>41559.01</v>
      </c>
      <c r="AG56" s="152">
        <v>0</v>
      </c>
      <c r="AH56" s="152">
        <v>0</v>
      </c>
      <c r="AI56" s="152">
        <v>0</v>
      </c>
      <c r="AJ56" s="152">
        <v>10278.51</v>
      </c>
      <c r="AK56" s="152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3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3">
      <c r="A57" s="3"/>
      <c r="B57" s="9">
        <v>49</v>
      </c>
      <c r="C57" s="15"/>
      <c r="D57" s="180"/>
      <c r="E57" s="16" t="s">
        <v>56</v>
      </c>
      <c r="F57" s="99"/>
      <c r="G57" s="98">
        <f t="shared" si="2"/>
        <v>9832.73</v>
      </c>
      <c r="H57" s="14"/>
      <c r="I57" s="17"/>
      <c r="J57" s="17"/>
      <c r="K57" s="17"/>
      <c r="L57" s="17"/>
      <c r="M57" s="17"/>
      <c r="N57" s="193"/>
      <c r="O57" s="108">
        <v>55</v>
      </c>
      <c r="P57" s="108">
        <v>0</v>
      </c>
      <c r="Q57" s="152">
        <v>3027410.33</v>
      </c>
      <c r="R57" s="152">
        <v>141890.12</v>
      </c>
      <c r="S57" s="152">
        <v>0</v>
      </c>
      <c r="T57" s="152">
        <v>364950</v>
      </c>
      <c r="U57" s="152">
        <v>82527.31</v>
      </c>
      <c r="V57" s="152">
        <v>25391.96</v>
      </c>
      <c r="W57" s="152">
        <v>34951.07</v>
      </c>
      <c r="X57" s="187">
        <v>35161.279999999999</v>
      </c>
      <c r="Y57" s="152">
        <v>0</v>
      </c>
      <c r="Z57" s="152">
        <v>227791.18</v>
      </c>
      <c r="AA57" s="152">
        <v>2749.67</v>
      </c>
      <c r="AB57" s="152">
        <v>20966.53</v>
      </c>
      <c r="AC57" s="152">
        <v>105606.93</v>
      </c>
      <c r="AD57" s="152">
        <v>41150.409999999996</v>
      </c>
      <c r="AE57" s="152">
        <v>147722.56</v>
      </c>
      <c r="AF57" s="152">
        <v>110063.52000000002</v>
      </c>
      <c r="AG57" s="152">
        <v>0</v>
      </c>
      <c r="AH57" s="152">
        <v>38490.339999999997</v>
      </c>
      <c r="AI57" s="152">
        <v>9745.07</v>
      </c>
      <c r="AJ57" s="152">
        <v>44438.560000000005</v>
      </c>
      <c r="AK57" s="152">
        <v>0</v>
      </c>
      <c r="AL57" s="109">
        <v>0</v>
      </c>
      <c r="AM57" s="109">
        <v>15864.98</v>
      </c>
      <c r="AN57" s="109">
        <v>386</v>
      </c>
      <c r="AO57" s="109">
        <v>5486.3099999999995</v>
      </c>
      <c r="AP57" s="109">
        <v>0</v>
      </c>
      <c r="AQ57" s="109">
        <v>0</v>
      </c>
      <c r="AR57" s="109">
        <v>1906259.62</v>
      </c>
      <c r="AS57" s="109">
        <v>4426722.99</v>
      </c>
      <c r="AT57" s="109">
        <v>72722.080000000002</v>
      </c>
      <c r="AU57" s="109">
        <v>0</v>
      </c>
      <c r="AV57" s="109">
        <v>190095</v>
      </c>
      <c r="AW57" s="109">
        <v>241006.15</v>
      </c>
      <c r="AX57" s="109">
        <v>21563.64</v>
      </c>
      <c r="AY57" s="109">
        <v>51737.120000000003</v>
      </c>
      <c r="AZ57" s="109">
        <v>180706.19</v>
      </c>
      <c r="BA57" s="109"/>
      <c r="BB57" s="109">
        <v>10120</v>
      </c>
      <c r="BC57" s="109">
        <v>107795.44</v>
      </c>
      <c r="BD57" s="109">
        <v>132561.32999999999</v>
      </c>
      <c r="BE57" s="109">
        <v>9474.9699999999993</v>
      </c>
      <c r="BF57" s="109">
        <v>0</v>
      </c>
      <c r="BG57" s="109">
        <v>0</v>
      </c>
      <c r="BH57" s="109">
        <v>117965.90000000001</v>
      </c>
      <c r="BI57" s="109">
        <v>32725.4</v>
      </c>
      <c r="BJ57" s="109">
        <v>29868</v>
      </c>
      <c r="BK57" s="109">
        <v>1227042</v>
      </c>
      <c r="BL57" s="109">
        <v>71626.66</v>
      </c>
      <c r="BM57" s="109">
        <v>0</v>
      </c>
      <c r="BN57" s="109">
        <v>595226.16999999993</v>
      </c>
      <c r="BO57" s="109">
        <v>14172.93</v>
      </c>
      <c r="BP57" s="109">
        <v>24377.22</v>
      </c>
      <c r="BQ57" s="109">
        <v>408</v>
      </c>
      <c r="BR57" s="109"/>
      <c r="BS57" s="109">
        <v>13108.38</v>
      </c>
      <c r="BT57" s="109">
        <v>0</v>
      </c>
      <c r="BU57" s="109">
        <v>2423032.13</v>
      </c>
      <c r="BV57" s="109">
        <v>141184</v>
      </c>
      <c r="BW57" s="109">
        <v>10552.91</v>
      </c>
      <c r="BX57" s="193">
        <v>195871</v>
      </c>
      <c r="BY57" s="109">
        <v>69517.760000000009</v>
      </c>
      <c r="BZ57" s="109">
        <v>9832.73</v>
      </c>
      <c r="CA57" s="109">
        <v>2069</v>
      </c>
      <c r="CB57" s="109">
        <v>29323.170000000002</v>
      </c>
      <c r="CC57" s="109">
        <v>134383.12</v>
      </c>
      <c r="CD57" s="110"/>
      <c r="CE57" s="110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3">
      <c r="A58" s="3"/>
      <c r="B58" s="9">
        <v>50</v>
      </c>
      <c r="C58" s="11">
        <v>5605</v>
      </c>
      <c r="D58" s="180">
        <v>47</v>
      </c>
      <c r="E58" s="11" t="s">
        <v>57</v>
      </c>
      <c r="F58" s="98"/>
      <c r="G58" s="98">
        <f t="shared" si="2"/>
        <v>112839.96</v>
      </c>
      <c r="H58" s="14"/>
      <c r="I58" s="14"/>
      <c r="J58" s="14"/>
      <c r="K58" s="14"/>
      <c r="L58" s="14"/>
      <c r="M58" s="14"/>
      <c r="N58" s="193"/>
      <c r="O58" s="108">
        <v>56</v>
      </c>
      <c r="P58" s="108">
        <v>0</v>
      </c>
      <c r="Q58" s="152">
        <v>4736558.8499999996</v>
      </c>
      <c r="R58" s="152">
        <v>485640.08</v>
      </c>
      <c r="S58" s="152">
        <v>8574.2000000000007</v>
      </c>
      <c r="T58" s="152">
        <v>1450630</v>
      </c>
      <c r="U58" s="152">
        <v>890728.76</v>
      </c>
      <c r="V58" s="152">
        <v>1736058.39</v>
      </c>
      <c r="W58" s="152">
        <v>540720.43999999994</v>
      </c>
      <c r="X58" s="187">
        <v>0</v>
      </c>
      <c r="Y58" s="152">
        <v>13200</v>
      </c>
      <c r="Z58" s="152">
        <v>209559.03</v>
      </c>
      <c r="AA58" s="152">
        <v>33635.279999999999</v>
      </c>
      <c r="AB58" s="152">
        <v>23859.48</v>
      </c>
      <c r="AC58" s="152">
        <v>1945554.94</v>
      </c>
      <c r="AD58" s="152">
        <v>612519.46</v>
      </c>
      <c r="AE58" s="152">
        <v>0</v>
      </c>
      <c r="AF58" s="152">
        <v>138193.48000000001</v>
      </c>
      <c r="AG58" s="152">
        <v>18540</v>
      </c>
      <c r="AH58" s="152">
        <v>464487.63</v>
      </c>
      <c r="AI58" s="152">
        <v>870444.31</v>
      </c>
      <c r="AJ58" s="152">
        <v>184552.7</v>
      </c>
      <c r="AK58" s="152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3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3">
      <c r="A59" s="3"/>
      <c r="B59" s="9">
        <v>51</v>
      </c>
      <c r="C59" s="11">
        <v>5610</v>
      </c>
      <c r="D59" s="180">
        <v>48</v>
      </c>
      <c r="E59" s="11" t="s">
        <v>58</v>
      </c>
      <c r="F59" s="98"/>
      <c r="G59" s="98">
        <f t="shared" si="2"/>
        <v>71567.25</v>
      </c>
      <c r="H59" s="14"/>
      <c r="I59" s="14"/>
      <c r="J59" s="14"/>
      <c r="K59" s="14"/>
      <c r="L59" s="14"/>
      <c r="M59" s="14"/>
      <c r="N59" s="193"/>
      <c r="O59" s="108">
        <v>57</v>
      </c>
      <c r="P59" s="108">
        <v>0</v>
      </c>
      <c r="Q59" s="152">
        <v>14532860.48</v>
      </c>
      <c r="R59" s="152">
        <v>395601.89</v>
      </c>
      <c r="S59" s="152">
        <v>121678.09</v>
      </c>
      <c r="T59" s="152">
        <v>100327</v>
      </c>
      <c r="U59" s="152">
        <v>575354</v>
      </c>
      <c r="V59" s="152">
        <v>59564.84</v>
      </c>
      <c r="W59" s="152">
        <v>538346.36</v>
      </c>
      <c r="X59" s="187">
        <v>378155.33</v>
      </c>
      <c r="Y59" s="152">
        <v>143711.64000000001</v>
      </c>
      <c r="Z59" s="152">
        <v>218391.4</v>
      </c>
      <c r="AA59" s="152">
        <v>96330</v>
      </c>
      <c r="AB59" s="152">
        <v>335588.99</v>
      </c>
      <c r="AC59" s="152">
        <v>2120364.36</v>
      </c>
      <c r="AD59" s="152">
        <v>2391073.46</v>
      </c>
      <c r="AE59" s="152">
        <v>1596362.59</v>
      </c>
      <c r="AF59" s="152">
        <v>942926.7</v>
      </c>
      <c r="AG59" s="152">
        <v>75133.460000000006</v>
      </c>
      <c r="AH59" s="152">
        <v>1269412.42</v>
      </c>
      <c r="AI59" s="152">
        <v>0</v>
      </c>
      <c r="AJ59" s="152">
        <v>0</v>
      </c>
      <c r="AK59" s="152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3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3">
      <c r="A60" s="3"/>
      <c r="B60" s="9">
        <v>52</v>
      </c>
      <c r="C60" s="11">
        <v>5615</v>
      </c>
      <c r="D60" s="180">
        <v>49</v>
      </c>
      <c r="E60" s="11" t="s">
        <v>59</v>
      </c>
      <c r="F60" s="98"/>
      <c r="G60" s="98">
        <f t="shared" si="2"/>
        <v>82092.149999999994</v>
      </c>
      <c r="H60" s="14"/>
      <c r="I60" s="14"/>
      <c r="J60" s="14"/>
      <c r="K60" s="14"/>
      <c r="L60" s="14"/>
      <c r="M60" s="14"/>
      <c r="N60" s="193"/>
      <c r="O60" s="108">
        <v>58</v>
      </c>
      <c r="P60" s="108">
        <v>0</v>
      </c>
      <c r="Q60" s="152">
        <v>24331592.18</v>
      </c>
      <c r="R60" s="152">
        <v>1871172.44</v>
      </c>
      <c r="S60" s="152">
        <v>82564.13</v>
      </c>
      <c r="T60" s="152">
        <v>1907150</v>
      </c>
      <c r="U60" s="152">
        <v>1306403.6200000001</v>
      </c>
      <c r="V60" s="152">
        <v>2063148.88</v>
      </c>
      <c r="W60" s="152">
        <v>3277918.52</v>
      </c>
      <c r="X60" s="187">
        <v>272341.90000000002</v>
      </c>
      <c r="Y60" s="152">
        <v>18693.03</v>
      </c>
      <c r="Z60" s="152">
        <v>482486.19</v>
      </c>
      <c r="AA60" s="152">
        <v>60168.11</v>
      </c>
      <c r="AB60" s="152">
        <v>47153.15</v>
      </c>
      <c r="AC60" s="152">
        <v>1218164.6399999999</v>
      </c>
      <c r="AD60" s="152">
        <v>273381.93</v>
      </c>
      <c r="AE60" s="152">
        <v>3707299.95</v>
      </c>
      <c r="AF60" s="152">
        <v>235843.89</v>
      </c>
      <c r="AG60" s="152">
        <v>45091.59</v>
      </c>
      <c r="AH60" s="152">
        <v>203036.12</v>
      </c>
      <c r="AI60" s="152">
        <v>498216.41</v>
      </c>
      <c r="AJ60" s="152">
        <v>142672.54999999999</v>
      </c>
      <c r="AK60" s="152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3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3">
      <c r="A61" s="3"/>
      <c r="B61" s="9">
        <v>53</v>
      </c>
      <c r="C61" s="11">
        <v>5620</v>
      </c>
      <c r="D61" s="180">
        <v>50</v>
      </c>
      <c r="E61" s="11" t="s">
        <v>60</v>
      </c>
      <c r="F61" s="98"/>
      <c r="G61" s="98">
        <f t="shared" si="2"/>
        <v>38947.269999999997</v>
      </c>
      <c r="H61" s="14"/>
      <c r="I61" s="14"/>
      <c r="J61" s="14"/>
      <c r="K61" s="14"/>
      <c r="L61" s="14"/>
      <c r="M61" s="14"/>
      <c r="N61" s="193"/>
      <c r="O61" s="108">
        <v>59</v>
      </c>
      <c r="P61" s="108">
        <v>0</v>
      </c>
      <c r="Q61" s="152">
        <v>1839197.3</v>
      </c>
      <c r="R61" s="152">
        <v>188468.82</v>
      </c>
      <c r="S61" s="152">
        <v>2439.84</v>
      </c>
      <c r="T61" s="152">
        <v>6612</v>
      </c>
      <c r="U61" s="152">
        <v>95263.84</v>
      </c>
      <c r="V61" s="152">
        <v>503328.94</v>
      </c>
      <c r="W61" s="152">
        <v>532167.34</v>
      </c>
      <c r="X61" s="187">
        <v>90861.17</v>
      </c>
      <c r="Y61" s="152">
        <v>27564.240000000002</v>
      </c>
      <c r="Z61" s="152">
        <v>0</v>
      </c>
      <c r="AA61" s="152">
        <v>40115.53</v>
      </c>
      <c r="AB61" s="152">
        <v>101875.79</v>
      </c>
      <c r="AC61" s="152">
        <v>535599.68999999994</v>
      </c>
      <c r="AD61" s="152">
        <v>495819.73</v>
      </c>
      <c r="AE61" s="152">
        <v>591234.18000000005</v>
      </c>
      <c r="AF61" s="152">
        <v>82877.83</v>
      </c>
      <c r="AG61" s="152">
        <v>79530.47</v>
      </c>
      <c r="AH61" s="152">
        <v>240803.08</v>
      </c>
      <c r="AI61" s="152">
        <v>182176.06</v>
      </c>
      <c r="AJ61" s="152">
        <v>21550.38</v>
      </c>
      <c r="AK61" s="152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3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3">
      <c r="A62" s="3"/>
      <c r="B62" s="9">
        <v>54</v>
      </c>
      <c r="C62" s="11">
        <v>5625</v>
      </c>
      <c r="D62" s="180">
        <v>51</v>
      </c>
      <c r="E62" s="11" t="s">
        <v>61</v>
      </c>
      <c r="F62" s="98"/>
      <c r="G62" s="98">
        <f t="shared" si="2"/>
        <v>0</v>
      </c>
      <c r="H62" s="14"/>
      <c r="I62" s="14"/>
      <c r="J62" s="14"/>
      <c r="K62" s="14"/>
      <c r="L62" s="14"/>
      <c r="M62" s="14"/>
      <c r="N62" s="193"/>
      <c r="O62" s="108">
        <v>60</v>
      </c>
      <c r="P62" s="108">
        <v>0</v>
      </c>
      <c r="Q62" s="152">
        <v>-4206800.46</v>
      </c>
      <c r="R62" s="152">
        <v>-463976</v>
      </c>
      <c r="S62" s="152">
        <v>0</v>
      </c>
      <c r="T62" s="152">
        <v>0</v>
      </c>
      <c r="U62" s="152">
        <v>0</v>
      </c>
      <c r="V62" s="152">
        <v>-323707.07</v>
      </c>
      <c r="W62" s="152">
        <v>-3529374.58</v>
      </c>
      <c r="X62" s="187">
        <v>0</v>
      </c>
      <c r="Y62" s="152">
        <v>0</v>
      </c>
      <c r="Z62" s="152">
        <v>0</v>
      </c>
      <c r="AA62" s="152">
        <v>0</v>
      </c>
      <c r="AB62" s="152">
        <v>0</v>
      </c>
      <c r="AC62" s="152">
        <v>-1200</v>
      </c>
      <c r="AD62" s="152">
        <v>0</v>
      </c>
      <c r="AE62" s="152">
        <v>0</v>
      </c>
      <c r="AF62" s="152">
        <v>0</v>
      </c>
      <c r="AG62" s="152">
        <v>0</v>
      </c>
      <c r="AH62" s="152">
        <v>0</v>
      </c>
      <c r="AI62" s="152">
        <v>0</v>
      </c>
      <c r="AJ62" s="152">
        <v>-4889.87</v>
      </c>
      <c r="AK62" s="152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3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3">
      <c r="A63" s="3"/>
      <c r="B63" s="9">
        <v>55</v>
      </c>
      <c r="C63" s="11">
        <v>5630</v>
      </c>
      <c r="D63" s="180">
        <v>52</v>
      </c>
      <c r="E63" s="11" t="s">
        <v>62</v>
      </c>
      <c r="F63" s="98"/>
      <c r="G63" s="98">
        <f t="shared" si="2"/>
        <v>111880.04</v>
      </c>
      <c r="H63" s="14"/>
      <c r="I63" s="14"/>
      <c r="J63" s="14"/>
      <c r="K63" s="14"/>
      <c r="L63" s="14"/>
      <c r="M63" s="14"/>
      <c r="N63" s="193"/>
      <c r="O63" s="108">
        <v>61</v>
      </c>
      <c r="P63" s="108">
        <v>0</v>
      </c>
      <c r="Q63" s="152">
        <v>7336422.2800000003</v>
      </c>
      <c r="R63" s="152">
        <v>512310.02</v>
      </c>
      <c r="S63" s="152">
        <v>48760.1</v>
      </c>
      <c r="T63" s="152">
        <v>12665</v>
      </c>
      <c r="U63" s="152">
        <v>430825.42</v>
      </c>
      <c r="V63" s="152">
        <v>491734.87</v>
      </c>
      <c r="W63" s="152">
        <v>644213.6</v>
      </c>
      <c r="X63" s="187">
        <v>53889.279999999999</v>
      </c>
      <c r="Y63" s="152">
        <v>46929.47</v>
      </c>
      <c r="Z63" s="152">
        <v>178245.16</v>
      </c>
      <c r="AA63" s="152">
        <v>63795.4</v>
      </c>
      <c r="AB63" s="152">
        <v>167361.79999999999</v>
      </c>
      <c r="AC63" s="152">
        <v>299326</v>
      </c>
      <c r="AD63" s="152">
        <v>489612.57</v>
      </c>
      <c r="AE63" s="152">
        <v>1731742.8</v>
      </c>
      <c r="AF63" s="152">
        <v>258481.63</v>
      </c>
      <c r="AG63" s="152">
        <v>62993.43</v>
      </c>
      <c r="AH63" s="152">
        <v>207013.46</v>
      </c>
      <c r="AI63" s="152">
        <v>363437.86</v>
      </c>
      <c r="AJ63" s="152">
        <v>62800.24</v>
      </c>
      <c r="AK63" s="152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3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3">
      <c r="A64" s="3"/>
      <c r="B64" s="9">
        <v>56</v>
      </c>
      <c r="C64" s="11">
        <v>5640</v>
      </c>
      <c r="D64" s="180">
        <v>53</v>
      </c>
      <c r="E64" s="11" t="s">
        <v>63</v>
      </c>
      <c r="F64" s="98"/>
      <c r="G64" s="98">
        <f t="shared" si="2"/>
        <v>0</v>
      </c>
      <c r="H64" s="14"/>
      <c r="I64" s="14"/>
      <c r="J64" s="14"/>
      <c r="K64" s="14"/>
      <c r="L64" s="14"/>
      <c r="M64" s="14"/>
      <c r="N64" s="193"/>
      <c r="O64" s="108">
        <v>62</v>
      </c>
      <c r="P64" s="108">
        <v>0</v>
      </c>
      <c r="Q64" s="152">
        <v>169630.86</v>
      </c>
      <c r="R64" s="152">
        <v>0</v>
      </c>
      <c r="S64" s="152">
        <v>0</v>
      </c>
      <c r="T64" s="152">
        <v>0</v>
      </c>
      <c r="U64" s="152">
        <v>0</v>
      </c>
      <c r="V64" s="152">
        <v>151937.60000000001</v>
      </c>
      <c r="W64" s="152">
        <v>0</v>
      </c>
      <c r="X64" s="187">
        <v>39528.43</v>
      </c>
      <c r="Y64" s="152">
        <v>11103.5</v>
      </c>
      <c r="Z64" s="152">
        <v>60532.06</v>
      </c>
      <c r="AA64" s="152">
        <v>3575.66</v>
      </c>
      <c r="AB64" s="152">
        <v>34805.22</v>
      </c>
      <c r="AC64" s="152">
        <v>212464.41</v>
      </c>
      <c r="AD64" s="152">
        <v>0</v>
      </c>
      <c r="AE64" s="152">
        <v>290559.25</v>
      </c>
      <c r="AF64" s="152">
        <v>0</v>
      </c>
      <c r="AG64" s="152">
        <v>10728</v>
      </c>
      <c r="AH64" s="152">
        <v>37243.379999999997</v>
      </c>
      <c r="AI64" s="152">
        <v>85858.23</v>
      </c>
      <c r="AJ64" s="152">
        <v>0</v>
      </c>
      <c r="AK64" s="152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3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3">
      <c r="A65" s="3"/>
      <c r="B65" s="9">
        <v>57</v>
      </c>
      <c r="C65" s="11">
        <v>5645</v>
      </c>
      <c r="D65" s="180">
        <v>54</v>
      </c>
      <c r="E65" s="11" t="s">
        <v>64</v>
      </c>
      <c r="F65" s="98"/>
      <c r="G65" s="98">
        <f t="shared" si="2"/>
        <v>19299.759999999998</v>
      </c>
      <c r="H65" s="14"/>
      <c r="I65" s="14"/>
      <c r="J65" s="14"/>
      <c r="K65" s="14"/>
      <c r="L65" s="14"/>
      <c r="M65" s="14"/>
      <c r="N65" s="193"/>
      <c r="O65" s="108">
        <v>63</v>
      </c>
      <c r="P65" s="108">
        <v>0</v>
      </c>
      <c r="Q65" s="152">
        <v>1018468.35</v>
      </c>
      <c r="R65" s="152">
        <v>222368.47</v>
      </c>
      <c r="S65" s="152">
        <v>62839.23</v>
      </c>
      <c r="T65" s="152">
        <v>1816366</v>
      </c>
      <c r="U65" s="152">
        <v>112484.93</v>
      </c>
      <c r="V65" s="152">
        <v>356507.79</v>
      </c>
      <c r="W65" s="152">
        <v>892224.5</v>
      </c>
      <c r="X65" s="187">
        <v>0</v>
      </c>
      <c r="Y65" s="152">
        <v>94734.91</v>
      </c>
      <c r="Z65" s="152">
        <v>0</v>
      </c>
      <c r="AA65" s="152">
        <v>0</v>
      </c>
      <c r="AB65" s="152">
        <v>42331</v>
      </c>
      <c r="AC65" s="152">
        <v>335684.77</v>
      </c>
      <c r="AD65" s="152">
        <v>136444.5</v>
      </c>
      <c r="AE65" s="152">
        <v>0</v>
      </c>
      <c r="AF65" s="152">
        <v>752516.89</v>
      </c>
      <c r="AG65" s="152">
        <v>4705.24</v>
      </c>
      <c r="AH65" s="152">
        <v>150699.96</v>
      </c>
      <c r="AI65" s="152">
        <v>122293</v>
      </c>
      <c r="AJ65" s="152">
        <v>68850.25</v>
      </c>
      <c r="AK65" s="152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3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3">
      <c r="A66" s="3"/>
      <c r="B66" s="9">
        <v>58</v>
      </c>
      <c r="C66" s="11">
        <v>5646</v>
      </c>
      <c r="D66" s="180">
        <v>55</v>
      </c>
      <c r="E66" s="11" t="s">
        <v>65</v>
      </c>
      <c r="F66" s="98"/>
      <c r="G66" s="98">
        <f t="shared" si="2"/>
        <v>0</v>
      </c>
      <c r="H66" s="14"/>
      <c r="I66" s="14"/>
      <c r="J66" s="14"/>
      <c r="K66" s="14"/>
      <c r="L66" s="14"/>
      <c r="M66" s="14"/>
      <c r="N66" s="193"/>
      <c r="O66" s="108">
        <v>64</v>
      </c>
      <c r="P66" s="108">
        <v>0</v>
      </c>
      <c r="Q66" s="152">
        <v>0</v>
      </c>
      <c r="R66" s="152">
        <v>0</v>
      </c>
      <c r="S66" s="152">
        <v>0</v>
      </c>
      <c r="T66" s="152">
        <v>0</v>
      </c>
      <c r="U66" s="152">
        <v>0</v>
      </c>
      <c r="V66" s="152">
        <v>0</v>
      </c>
      <c r="W66" s="152">
        <v>0</v>
      </c>
      <c r="X66" s="187">
        <v>17785.060000000001</v>
      </c>
      <c r="Y66" s="152">
        <v>0</v>
      </c>
      <c r="Z66" s="152">
        <v>1133</v>
      </c>
      <c r="AA66" s="152">
        <v>0</v>
      </c>
      <c r="AB66" s="152">
        <v>0</v>
      </c>
      <c r="AC66" s="152">
        <v>0</v>
      </c>
      <c r="AD66" s="152">
        <v>116841.12</v>
      </c>
      <c r="AE66" s="152">
        <v>2998163.14</v>
      </c>
      <c r="AF66" s="152">
        <v>0</v>
      </c>
      <c r="AG66" s="152">
        <v>0</v>
      </c>
      <c r="AH66" s="152">
        <v>0</v>
      </c>
      <c r="AI66" s="152">
        <v>0</v>
      </c>
      <c r="AJ66" s="152">
        <v>0</v>
      </c>
      <c r="AK66" s="152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3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3">
      <c r="A67" s="3"/>
      <c r="B67" s="9">
        <v>59</v>
      </c>
      <c r="C67" s="11">
        <v>5647</v>
      </c>
      <c r="D67" s="180">
        <v>56</v>
      </c>
      <c r="E67" s="11" t="s">
        <v>66</v>
      </c>
      <c r="F67" s="98"/>
      <c r="G67" s="98">
        <f t="shared" si="2"/>
        <v>0</v>
      </c>
      <c r="H67" s="14"/>
      <c r="I67" s="14"/>
      <c r="J67" s="14"/>
      <c r="K67" s="14"/>
      <c r="L67" s="14"/>
      <c r="M67" s="14"/>
      <c r="N67" s="193"/>
      <c r="O67" s="108">
        <v>65</v>
      </c>
      <c r="P67" s="108">
        <v>0</v>
      </c>
      <c r="Q67" s="152">
        <v>0</v>
      </c>
      <c r="R67" s="152">
        <v>0</v>
      </c>
      <c r="S67" s="152">
        <v>0</v>
      </c>
      <c r="T67" s="152">
        <v>0</v>
      </c>
      <c r="U67" s="152">
        <v>0</v>
      </c>
      <c r="V67" s="152">
        <v>0</v>
      </c>
      <c r="W67" s="152">
        <v>0</v>
      </c>
      <c r="X67" s="187">
        <v>0</v>
      </c>
      <c r="Y67" s="152">
        <v>0</v>
      </c>
      <c r="Z67" s="152">
        <v>0</v>
      </c>
      <c r="AA67" s="152">
        <v>0</v>
      </c>
      <c r="AB67" s="152">
        <v>0</v>
      </c>
      <c r="AC67" s="152">
        <v>0</v>
      </c>
      <c r="AD67" s="152">
        <v>0</v>
      </c>
      <c r="AE67" s="152">
        <v>0</v>
      </c>
      <c r="AF67" s="152">
        <v>0</v>
      </c>
      <c r="AG67" s="152">
        <v>0</v>
      </c>
      <c r="AH67" s="152">
        <v>0</v>
      </c>
      <c r="AI67" s="152">
        <v>0</v>
      </c>
      <c r="AJ67" s="152">
        <v>0</v>
      </c>
      <c r="AK67" s="152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3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3">
      <c r="A68" s="3"/>
      <c r="B68" s="9">
        <v>60</v>
      </c>
      <c r="C68" s="11">
        <v>5650</v>
      </c>
      <c r="D68" s="180">
        <v>57</v>
      </c>
      <c r="E68" s="11" t="s">
        <v>67</v>
      </c>
      <c r="F68" s="98"/>
      <c r="G68" s="98">
        <f t="shared" si="2"/>
        <v>0</v>
      </c>
      <c r="H68" s="14"/>
      <c r="I68" s="14"/>
      <c r="J68" s="14"/>
      <c r="K68" s="14"/>
      <c r="L68" s="14"/>
      <c r="M68" s="14"/>
      <c r="N68" s="193"/>
      <c r="O68" s="108">
        <v>66</v>
      </c>
      <c r="P68" s="108">
        <v>0</v>
      </c>
      <c r="Q68" s="152">
        <v>0</v>
      </c>
      <c r="R68" s="152">
        <v>0</v>
      </c>
      <c r="S68" s="152">
        <v>0</v>
      </c>
      <c r="T68" s="152">
        <v>0</v>
      </c>
      <c r="U68" s="152">
        <v>64700</v>
      </c>
      <c r="V68" s="152">
        <v>0</v>
      </c>
      <c r="W68" s="152">
        <v>0</v>
      </c>
      <c r="X68" s="187">
        <v>0</v>
      </c>
      <c r="Y68" s="152">
        <v>0</v>
      </c>
      <c r="Z68" s="152">
        <v>0</v>
      </c>
      <c r="AA68" s="152">
        <v>0</v>
      </c>
      <c r="AB68" s="152">
        <v>0</v>
      </c>
      <c r="AC68" s="152">
        <v>0</v>
      </c>
      <c r="AD68" s="152">
        <v>0</v>
      </c>
      <c r="AE68" s="152">
        <v>0</v>
      </c>
      <c r="AF68" s="152">
        <v>0</v>
      </c>
      <c r="AG68" s="152">
        <v>0</v>
      </c>
      <c r="AH68" s="152">
        <v>0</v>
      </c>
      <c r="AI68" s="152">
        <v>0</v>
      </c>
      <c r="AJ68" s="152">
        <v>0</v>
      </c>
      <c r="AK68" s="152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3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3">
      <c r="A69" s="3"/>
      <c r="B69" s="9">
        <v>61</v>
      </c>
      <c r="C69" s="11">
        <v>5655</v>
      </c>
      <c r="D69" s="180">
        <v>58</v>
      </c>
      <c r="E69" s="11" t="s">
        <v>68</v>
      </c>
      <c r="F69" s="98"/>
      <c r="G69" s="98">
        <f t="shared" si="2"/>
        <v>157479.72</v>
      </c>
      <c r="H69" s="14"/>
      <c r="I69" s="14"/>
      <c r="J69" s="14"/>
      <c r="K69" s="14"/>
      <c r="L69" s="14"/>
      <c r="M69" s="14"/>
      <c r="N69" s="193"/>
      <c r="O69" s="108">
        <v>67</v>
      </c>
      <c r="P69" s="108">
        <v>0</v>
      </c>
      <c r="Q69" s="152">
        <v>3752616.78</v>
      </c>
      <c r="R69" s="152">
        <v>131126.82</v>
      </c>
      <c r="S69" s="152">
        <v>19117.759999999998</v>
      </c>
      <c r="T69" s="152">
        <v>297890</v>
      </c>
      <c r="U69" s="152">
        <v>223700.83</v>
      </c>
      <c r="V69" s="152">
        <v>221692.34</v>
      </c>
      <c r="W69" s="152">
        <v>232353.5</v>
      </c>
      <c r="X69" s="187">
        <v>121824.01</v>
      </c>
      <c r="Y69" s="152">
        <v>72345.42</v>
      </c>
      <c r="Z69" s="152">
        <v>49217.29</v>
      </c>
      <c r="AA69" s="152">
        <v>74947.16</v>
      </c>
      <c r="AB69" s="152">
        <v>92110.76</v>
      </c>
      <c r="AC69" s="152">
        <v>686318.05</v>
      </c>
      <c r="AD69" s="152">
        <v>495625.18</v>
      </c>
      <c r="AE69" s="152">
        <v>378796.51</v>
      </c>
      <c r="AF69" s="152">
        <v>147062.53</v>
      </c>
      <c r="AG69" s="152">
        <v>15994.99</v>
      </c>
      <c r="AH69" s="152">
        <v>519963.53</v>
      </c>
      <c r="AI69" s="152">
        <v>135863.94</v>
      </c>
      <c r="AJ69" s="152">
        <v>50017.33</v>
      </c>
      <c r="AK69" s="152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3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3">
      <c r="A70" s="3"/>
      <c r="B70" s="9">
        <v>62</v>
      </c>
      <c r="C70" s="11">
        <v>5665</v>
      </c>
      <c r="D70" s="180">
        <v>59</v>
      </c>
      <c r="E70" s="11" t="s">
        <v>69</v>
      </c>
      <c r="F70" s="98"/>
      <c r="G70" s="98">
        <f t="shared" si="2"/>
        <v>61371.199999999997</v>
      </c>
      <c r="H70" s="14"/>
      <c r="I70" s="14"/>
      <c r="J70" s="14"/>
      <c r="K70" s="14"/>
      <c r="L70" s="14"/>
      <c r="M70" s="14"/>
      <c r="N70" s="193"/>
      <c r="O70" s="108">
        <v>68</v>
      </c>
      <c r="P70" s="108">
        <v>0</v>
      </c>
      <c r="Q70" s="152">
        <v>8813249.1699999999</v>
      </c>
      <c r="R70" s="152">
        <v>38424.81</v>
      </c>
      <c r="S70" s="152">
        <v>22241.48</v>
      </c>
      <c r="T70" s="152">
        <v>876025</v>
      </c>
      <c r="U70" s="152">
        <v>33908.15</v>
      </c>
      <c r="V70" s="152">
        <v>648230.03</v>
      </c>
      <c r="W70" s="152">
        <v>513632.37</v>
      </c>
      <c r="X70" s="187">
        <v>90731.43</v>
      </c>
      <c r="Y70" s="152">
        <v>24210.82</v>
      </c>
      <c r="Z70" s="152">
        <v>89768.31</v>
      </c>
      <c r="AA70" s="152">
        <v>0</v>
      </c>
      <c r="AB70" s="152">
        <v>2082.0500000000002</v>
      </c>
      <c r="AC70" s="152">
        <v>17294.03</v>
      </c>
      <c r="AD70" s="152">
        <v>62473.89</v>
      </c>
      <c r="AE70" s="152">
        <v>130664.88</v>
      </c>
      <c r="AF70" s="152">
        <v>427083.26</v>
      </c>
      <c r="AG70" s="152">
        <v>1135.94</v>
      </c>
      <c r="AH70" s="152">
        <v>114176.85</v>
      </c>
      <c r="AI70" s="152">
        <v>102074.1</v>
      </c>
      <c r="AJ70" s="152">
        <v>100879.37</v>
      </c>
      <c r="AK70" s="152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3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3">
      <c r="A71" s="3"/>
      <c r="B71" s="9">
        <v>63</v>
      </c>
      <c r="C71" s="11">
        <v>5670</v>
      </c>
      <c r="D71" s="180">
        <v>60</v>
      </c>
      <c r="E71" s="11" t="s">
        <v>70</v>
      </c>
      <c r="F71" s="98"/>
      <c r="G71" s="98">
        <f t="shared" si="2"/>
        <v>0</v>
      </c>
      <c r="H71" s="14"/>
      <c r="I71" s="14"/>
      <c r="J71" s="14"/>
      <c r="K71" s="14"/>
      <c r="L71" s="14"/>
      <c r="M71" s="14"/>
      <c r="N71" s="193"/>
      <c r="O71" s="108">
        <v>69</v>
      </c>
      <c r="P71" s="108">
        <v>0</v>
      </c>
      <c r="Q71" s="152">
        <v>1615558.34</v>
      </c>
      <c r="R71" s="152">
        <v>248231.4</v>
      </c>
      <c r="S71" s="152">
        <v>0</v>
      </c>
      <c r="T71" s="152">
        <v>0</v>
      </c>
      <c r="U71" s="152">
        <v>0</v>
      </c>
      <c r="V71" s="152">
        <v>32621.759999999998</v>
      </c>
      <c r="W71" s="152">
        <v>349352.88</v>
      </c>
      <c r="X71" s="187">
        <v>0</v>
      </c>
      <c r="Y71" s="152">
        <v>0</v>
      </c>
      <c r="Z71" s="152">
        <v>43200</v>
      </c>
      <c r="AA71" s="152">
        <v>15900</v>
      </c>
      <c r="AB71" s="152">
        <v>0</v>
      </c>
      <c r="AC71" s="152">
        <v>79316.350000000006</v>
      </c>
      <c r="AD71" s="152">
        <v>0</v>
      </c>
      <c r="AE71" s="152">
        <v>0</v>
      </c>
      <c r="AF71" s="152">
        <v>241084.96</v>
      </c>
      <c r="AG71" s="152">
        <v>0</v>
      </c>
      <c r="AH71" s="152">
        <v>0</v>
      </c>
      <c r="AI71" s="152">
        <v>0</v>
      </c>
      <c r="AJ71" s="152">
        <v>16679.990000000002</v>
      </c>
      <c r="AK71" s="152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3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3">
      <c r="A72" s="3"/>
      <c r="B72" s="9">
        <v>64</v>
      </c>
      <c r="C72" s="11">
        <v>5672</v>
      </c>
      <c r="D72" s="180">
        <v>61</v>
      </c>
      <c r="E72" s="11" t="s">
        <v>71</v>
      </c>
      <c r="F72" s="98"/>
      <c r="G72" s="98">
        <f t="shared" si="2"/>
        <v>0</v>
      </c>
      <c r="H72" s="14"/>
      <c r="I72" s="14"/>
      <c r="J72" s="14"/>
      <c r="K72" s="14"/>
      <c r="L72" s="14"/>
      <c r="M72" s="14"/>
      <c r="N72" s="193"/>
      <c r="O72" s="108">
        <v>70</v>
      </c>
      <c r="P72" s="108">
        <v>0</v>
      </c>
      <c r="Q72" s="152">
        <v>0</v>
      </c>
      <c r="R72" s="152">
        <v>0</v>
      </c>
      <c r="S72" s="152">
        <v>0</v>
      </c>
      <c r="T72" s="152">
        <v>0</v>
      </c>
      <c r="U72" s="152">
        <v>0</v>
      </c>
      <c r="V72" s="152">
        <v>0</v>
      </c>
      <c r="W72" s="152">
        <v>0</v>
      </c>
      <c r="X72" s="187">
        <v>0</v>
      </c>
      <c r="Y72" s="152">
        <v>0</v>
      </c>
      <c r="Z72" s="152">
        <v>0</v>
      </c>
      <c r="AA72" s="152">
        <v>0</v>
      </c>
      <c r="AB72" s="152">
        <v>0</v>
      </c>
      <c r="AC72" s="152">
        <v>0</v>
      </c>
      <c r="AD72" s="152">
        <v>0</v>
      </c>
      <c r="AE72" s="152">
        <v>0</v>
      </c>
      <c r="AF72" s="152">
        <v>0</v>
      </c>
      <c r="AG72" s="152">
        <v>0</v>
      </c>
      <c r="AH72" s="152">
        <v>0</v>
      </c>
      <c r="AI72" s="152">
        <v>0</v>
      </c>
      <c r="AJ72" s="152">
        <v>0</v>
      </c>
      <c r="AK72" s="152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3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3">
      <c r="A73" s="3"/>
      <c r="B73" s="9">
        <v>65</v>
      </c>
      <c r="C73" s="11">
        <v>5675</v>
      </c>
      <c r="D73" s="180">
        <v>62</v>
      </c>
      <c r="E73" s="11" t="s">
        <v>72</v>
      </c>
      <c r="F73" s="98"/>
      <c r="G73" s="98">
        <f t="shared" si="2"/>
        <v>4308.95</v>
      </c>
      <c r="H73" s="14"/>
      <c r="I73" s="14"/>
      <c r="J73" s="14"/>
      <c r="K73" s="14"/>
      <c r="L73" s="14"/>
      <c r="M73" s="14"/>
      <c r="N73" s="193"/>
      <c r="O73" s="108">
        <v>71</v>
      </c>
      <c r="P73" s="108">
        <v>0</v>
      </c>
      <c r="Q73" s="152">
        <v>37346862.25</v>
      </c>
      <c r="R73" s="152">
        <v>634750.73</v>
      </c>
      <c r="S73" s="152">
        <v>32292.34</v>
      </c>
      <c r="T73" s="152">
        <v>255088</v>
      </c>
      <c r="U73" s="152">
        <v>0</v>
      </c>
      <c r="V73" s="152">
        <v>302726.75</v>
      </c>
      <c r="W73" s="152">
        <v>615454.28</v>
      </c>
      <c r="X73" s="187">
        <v>23102.53</v>
      </c>
      <c r="Y73" s="152">
        <v>0</v>
      </c>
      <c r="Z73" s="152">
        <v>0</v>
      </c>
      <c r="AA73" s="152">
        <v>0</v>
      </c>
      <c r="AB73" s="152">
        <v>54306.73</v>
      </c>
      <c r="AC73" s="152">
        <v>1212125.53</v>
      </c>
      <c r="AD73" s="152">
        <v>676628.53</v>
      </c>
      <c r="AE73" s="152">
        <v>2129635.39</v>
      </c>
      <c r="AF73" s="152">
        <v>261570.13</v>
      </c>
      <c r="AG73" s="152">
        <v>0</v>
      </c>
      <c r="AH73" s="152">
        <v>315711.8</v>
      </c>
      <c r="AI73" s="152">
        <v>142537.49</v>
      </c>
      <c r="AJ73" s="152">
        <v>1520.88</v>
      </c>
      <c r="AK73" s="152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3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3">
      <c r="A74" s="3"/>
      <c r="B74" s="9">
        <v>66</v>
      </c>
      <c r="C74" s="11">
        <v>5680</v>
      </c>
      <c r="D74" s="180">
        <v>63</v>
      </c>
      <c r="E74" s="11" t="s">
        <v>73</v>
      </c>
      <c r="F74" s="98"/>
      <c r="G74" s="98">
        <f t="shared" ref="G74:G81" si="3">HLOOKUP($E$3,$P$3:$CE$269,O74,TRUE)</f>
        <v>4915.3900000000003</v>
      </c>
      <c r="H74" s="14"/>
      <c r="I74" s="14"/>
      <c r="J74" s="14"/>
      <c r="K74" s="14"/>
      <c r="L74" s="14"/>
      <c r="M74" s="14"/>
      <c r="N74" s="193"/>
      <c r="O74" s="108">
        <v>72</v>
      </c>
      <c r="P74" s="108">
        <v>0</v>
      </c>
      <c r="Q74" s="152">
        <v>0</v>
      </c>
      <c r="R74" s="152">
        <v>13610</v>
      </c>
      <c r="S74" s="152">
        <v>0</v>
      </c>
      <c r="T74" s="152">
        <v>0</v>
      </c>
      <c r="U74" s="152">
        <v>17334</v>
      </c>
      <c r="V74" s="152">
        <v>0</v>
      </c>
      <c r="W74" s="152">
        <v>14130.41</v>
      </c>
      <c r="X74" s="187">
        <v>10303.68</v>
      </c>
      <c r="Y74" s="152">
        <v>0</v>
      </c>
      <c r="Z74" s="152">
        <v>7687</v>
      </c>
      <c r="AA74" s="152">
        <v>1922</v>
      </c>
      <c r="AB74" s="152">
        <v>5076</v>
      </c>
      <c r="AC74" s="152">
        <v>0</v>
      </c>
      <c r="AD74" s="152">
        <v>2014.5</v>
      </c>
      <c r="AE74" s="152">
        <v>42923</v>
      </c>
      <c r="AF74" s="152">
        <v>9521</v>
      </c>
      <c r="AG74" s="152">
        <v>5090.13</v>
      </c>
      <c r="AH74" s="152">
        <v>12731</v>
      </c>
      <c r="AI74" s="152">
        <v>10328.959999999999</v>
      </c>
      <c r="AJ74" s="152">
        <v>4637</v>
      </c>
      <c r="AK74" s="152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3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3">
      <c r="A75" s="3"/>
      <c r="B75" s="9">
        <v>67</v>
      </c>
      <c r="C75" s="12"/>
      <c r="D75" s="180"/>
      <c r="E75" s="16" t="s">
        <v>74</v>
      </c>
      <c r="F75" s="99"/>
      <c r="G75" s="98">
        <f t="shared" si="3"/>
        <v>664701.68999999994</v>
      </c>
      <c r="H75" s="17"/>
      <c r="I75" s="17"/>
      <c r="J75" s="17"/>
      <c r="K75" s="17"/>
      <c r="L75" s="17"/>
      <c r="M75" s="17"/>
      <c r="N75" s="193"/>
      <c r="O75" s="108">
        <v>73</v>
      </c>
      <c r="P75" s="108">
        <v>0</v>
      </c>
      <c r="Q75" s="152">
        <v>101286216.38</v>
      </c>
      <c r="R75" s="152">
        <v>4277729.4800000004</v>
      </c>
      <c r="S75" s="152">
        <v>400507.17</v>
      </c>
      <c r="T75" s="152">
        <v>6722753</v>
      </c>
      <c r="U75" s="152">
        <v>3750703.55</v>
      </c>
      <c r="V75" s="152">
        <v>6243845.1199999992</v>
      </c>
      <c r="W75" s="152">
        <v>4621139.62</v>
      </c>
      <c r="X75" s="187">
        <v>1098522.82</v>
      </c>
      <c r="Y75" s="152">
        <v>452493.03</v>
      </c>
      <c r="Z75" s="152">
        <v>1340219.4400000002</v>
      </c>
      <c r="AA75" s="152">
        <v>390389.14</v>
      </c>
      <c r="AB75" s="152">
        <v>906550.97</v>
      </c>
      <c r="AC75" s="152">
        <v>8661012.7699999977</v>
      </c>
      <c r="AD75" s="152">
        <v>5752434.8700000001</v>
      </c>
      <c r="AE75" s="152">
        <v>13597381.690000001</v>
      </c>
      <c r="AF75" s="152">
        <v>3497162.3</v>
      </c>
      <c r="AG75" s="152">
        <v>318943.25</v>
      </c>
      <c r="AH75" s="152">
        <v>3535279.23</v>
      </c>
      <c r="AI75" s="152">
        <v>2513230.3600000003</v>
      </c>
      <c r="AJ75" s="152">
        <v>649270.81999999995</v>
      </c>
      <c r="AK75" s="152">
        <v>4355127.62</v>
      </c>
      <c r="AL75" s="109">
        <v>1115748.8400000001</v>
      </c>
      <c r="AM75" s="109">
        <v>7494694.9299999997</v>
      </c>
      <c r="AN75" s="109">
        <v>3322232.21</v>
      </c>
      <c r="AO75" s="109">
        <v>329200.56</v>
      </c>
      <c r="AP75" s="109">
        <v>237222.47999999998</v>
      </c>
      <c r="AQ75" s="109">
        <v>471733.3</v>
      </c>
      <c r="AR75" s="109">
        <v>134548845.55000001</v>
      </c>
      <c r="AS75" s="109">
        <v>37084279.749999993</v>
      </c>
      <c r="AT75" s="109">
        <v>2521020.29</v>
      </c>
      <c r="AU75" s="109">
        <v>1033329</v>
      </c>
      <c r="AV75" s="109">
        <v>2483697</v>
      </c>
      <c r="AW75" s="109">
        <v>2547206.1599999997</v>
      </c>
      <c r="AX75" s="109">
        <v>1065951.6099999999</v>
      </c>
      <c r="AY75" s="109">
        <v>2080985.79</v>
      </c>
      <c r="AZ75" s="109">
        <v>13185226.410000002</v>
      </c>
      <c r="BA75" s="109"/>
      <c r="BB75" s="109">
        <v>3447054</v>
      </c>
      <c r="BC75" s="109">
        <v>5361410.419999999</v>
      </c>
      <c r="BD75" s="109">
        <v>4486970.3899999997</v>
      </c>
      <c r="BE75" s="109">
        <v>1186884.29</v>
      </c>
      <c r="BF75" s="109">
        <v>2564809.0299999998</v>
      </c>
      <c r="BG75" s="109">
        <v>500403.98000000004</v>
      </c>
      <c r="BH75" s="109">
        <v>5896101.3099999996</v>
      </c>
      <c r="BI75" s="109">
        <v>1602155.1300000001</v>
      </c>
      <c r="BJ75" s="109">
        <v>1447765</v>
      </c>
      <c r="BK75" s="109">
        <v>6585202</v>
      </c>
      <c r="BL75" s="109">
        <v>1059276.3299999998</v>
      </c>
      <c r="BM75" s="109">
        <v>3044441.65</v>
      </c>
      <c r="BN75" s="109">
        <v>3104334.65</v>
      </c>
      <c r="BO75" s="109">
        <v>510832.83</v>
      </c>
      <c r="BP75" s="109">
        <v>861831.12</v>
      </c>
      <c r="BQ75" s="109">
        <v>403785.74000000005</v>
      </c>
      <c r="BR75" s="109"/>
      <c r="BS75" s="109">
        <v>4985824.1000000006</v>
      </c>
      <c r="BT75" s="109">
        <v>1291161.9200000002</v>
      </c>
      <c r="BU75" s="109">
        <v>88614630.640000001</v>
      </c>
      <c r="BV75" s="109">
        <v>9955126</v>
      </c>
      <c r="BW75" s="109">
        <v>1224764.73</v>
      </c>
      <c r="BX75" s="193">
        <v>3574971</v>
      </c>
      <c r="BY75" s="109">
        <v>1816145.48</v>
      </c>
      <c r="BZ75" s="109">
        <v>664701.68999999994</v>
      </c>
      <c r="CA75" s="109">
        <v>761178</v>
      </c>
      <c r="CB75" s="109">
        <v>2521107.2199999993</v>
      </c>
      <c r="CC75" s="109">
        <v>3331274.41</v>
      </c>
      <c r="CD75" s="110"/>
      <c r="CE75" s="110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3">
      <c r="A76" s="3"/>
      <c r="B76" s="9">
        <v>68</v>
      </c>
      <c r="C76" s="11">
        <v>5635</v>
      </c>
      <c r="D76" s="180">
        <v>64</v>
      </c>
      <c r="E76" s="11" t="s">
        <v>75</v>
      </c>
      <c r="F76" s="98"/>
      <c r="G76" s="98">
        <f t="shared" si="3"/>
        <v>45310.2</v>
      </c>
      <c r="H76" s="14"/>
      <c r="I76" s="14"/>
      <c r="J76" s="14"/>
      <c r="K76" s="14"/>
      <c r="L76" s="14"/>
      <c r="M76" s="14"/>
      <c r="N76" s="193"/>
      <c r="O76" s="108">
        <v>74</v>
      </c>
      <c r="P76" s="108">
        <v>0</v>
      </c>
      <c r="Q76" s="152">
        <v>0</v>
      </c>
      <c r="R76" s="152">
        <v>40558.75</v>
      </c>
      <c r="S76" s="152">
        <v>6660.2</v>
      </c>
      <c r="T76" s="152">
        <v>188037</v>
      </c>
      <c r="U76" s="152">
        <v>137663.25</v>
      </c>
      <c r="V76" s="152">
        <v>26093.58</v>
      </c>
      <c r="W76" s="152">
        <v>48257.41</v>
      </c>
      <c r="X76" s="187">
        <v>5725.08</v>
      </c>
      <c r="Y76" s="152">
        <v>9373.07</v>
      </c>
      <c r="Z76" s="152">
        <v>14109.17</v>
      </c>
      <c r="AA76" s="152">
        <v>2846.81</v>
      </c>
      <c r="AB76" s="152">
        <v>30784.560000000001</v>
      </c>
      <c r="AC76" s="152">
        <v>21433.919999999998</v>
      </c>
      <c r="AD76" s="152">
        <v>181039.16</v>
      </c>
      <c r="AE76" s="152">
        <v>453115.29</v>
      </c>
      <c r="AF76" s="152">
        <v>65120.15</v>
      </c>
      <c r="AG76" s="152">
        <v>5928.12</v>
      </c>
      <c r="AH76" s="152">
        <v>9095.0400000000009</v>
      </c>
      <c r="AI76" s="152">
        <v>0</v>
      </c>
      <c r="AJ76" s="152">
        <v>12708.58</v>
      </c>
      <c r="AK76" s="152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3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3">
      <c r="A77" s="3"/>
      <c r="B77" s="9">
        <v>69</v>
      </c>
      <c r="C77" s="11">
        <v>6210</v>
      </c>
      <c r="D77" s="180">
        <v>65</v>
      </c>
      <c r="E77" s="11" t="s">
        <v>76</v>
      </c>
      <c r="F77" s="98"/>
      <c r="G77" s="98">
        <f t="shared" si="3"/>
        <v>0</v>
      </c>
      <c r="H77" s="14"/>
      <c r="I77" s="14"/>
      <c r="J77" s="14"/>
      <c r="K77" s="14"/>
      <c r="L77" s="14"/>
      <c r="M77" s="14"/>
      <c r="N77" s="193"/>
      <c r="O77" s="108">
        <v>75</v>
      </c>
      <c r="P77" s="108">
        <v>0</v>
      </c>
      <c r="Q77" s="152">
        <v>0</v>
      </c>
      <c r="R77" s="152">
        <v>0</v>
      </c>
      <c r="S77" s="152">
        <v>0</v>
      </c>
      <c r="T77" s="152">
        <v>0</v>
      </c>
      <c r="U77" s="152">
        <v>0</v>
      </c>
      <c r="V77" s="152">
        <v>0</v>
      </c>
      <c r="W77" s="152">
        <v>0</v>
      </c>
      <c r="X77" s="187">
        <v>0</v>
      </c>
      <c r="Y77" s="152">
        <v>0</v>
      </c>
      <c r="Z77" s="152">
        <v>0</v>
      </c>
      <c r="AA77" s="152">
        <v>0</v>
      </c>
      <c r="AB77" s="152">
        <v>0</v>
      </c>
      <c r="AC77" s="152">
        <v>0</v>
      </c>
      <c r="AD77" s="152">
        <v>0</v>
      </c>
      <c r="AE77" s="152">
        <v>0</v>
      </c>
      <c r="AF77" s="152">
        <v>0</v>
      </c>
      <c r="AG77" s="152">
        <v>0</v>
      </c>
      <c r="AH77" s="152">
        <v>0</v>
      </c>
      <c r="AI77" s="152">
        <v>0</v>
      </c>
      <c r="AJ77" s="152">
        <v>0</v>
      </c>
      <c r="AK77" s="152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3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3">
      <c r="A78" s="3"/>
      <c r="B78" s="9">
        <v>70</v>
      </c>
      <c r="D78" s="2"/>
      <c r="E78" s="16" t="s">
        <v>77</v>
      </c>
      <c r="F78" s="99"/>
      <c r="G78" s="98">
        <f t="shared" si="3"/>
        <v>45310.2</v>
      </c>
      <c r="H78" s="17"/>
      <c r="I78" s="17"/>
      <c r="J78" s="17"/>
      <c r="K78" s="17"/>
      <c r="L78" s="17"/>
      <c r="M78" s="17"/>
      <c r="N78" s="193"/>
      <c r="O78" s="108">
        <v>76</v>
      </c>
      <c r="P78" s="108">
        <v>0</v>
      </c>
      <c r="Q78" s="152">
        <v>0</v>
      </c>
      <c r="R78" s="152">
        <v>40558.75</v>
      </c>
      <c r="S78" s="152">
        <v>6660.2</v>
      </c>
      <c r="T78" s="152">
        <v>188037</v>
      </c>
      <c r="U78" s="152">
        <v>137663.25</v>
      </c>
      <c r="V78" s="152">
        <v>26093.58</v>
      </c>
      <c r="W78" s="152">
        <v>48257.41</v>
      </c>
      <c r="X78" s="187">
        <v>5725.08</v>
      </c>
      <c r="Y78" s="152">
        <v>9373.07</v>
      </c>
      <c r="Z78" s="152">
        <v>14109.17</v>
      </c>
      <c r="AA78" s="152">
        <v>2846.81</v>
      </c>
      <c r="AB78" s="152">
        <v>30784.560000000001</v>
      </c>
      <c r="AC78" s="152">
        <v>21433.919999999998</v>
      </c>
      <c r="AD78" s="152">
        <v>181039.16</v>
      </c>
      <c r="AE78" s="152">
        <v>453115.29</v>
      </c>
      <c r="AF78" s="152">
        <v>65120.15</v>
      </c>
      <c r="AG78" s="152">
        <v>5928.12</v>
      </c>
      <c r="AH78" s="152">
        <v>9095.0400000000009</v>
      </c>
      <c r="AI78" s="152">
        <v>0</v>
      </c>
      <c r="AJ78" s="152">
        <v>12708.58</v>
      </c>
      <c r="AK78" s="152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3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3">
      <c r="A79" s="3"/>
      <c r="B79" s="9">
        <v>71</v>
      </c>
      <c r="C79" s="19">
        <v>5515</v>
      </c>
      <c r="D79" s="180">
        <v>46</v>
      </c>
      <c r="E79" s="11" t="s">
        <v>78</v>
      </c>
      <c r="F79" s="98"/>
      <c r="G79" s="98">
        <f t="shared" si="3"/>
        <v>0</v>
      </c>
      <c r="H79" s="14"/>
      <c r="I79" s="14"/>
      <c r="J79" s="14"/>
      <c r="K79" s="14"/>
      <c r="L79" s="14"/>
      <c r="M79" s="14"/>
      <c r="N79" s="193"/>
      <c r="O79" s="108">
        <v>77</v>
      </c>
      <c r="P79" s="108">
        <v>0</v>
      </c>
      <c r="Q79" s="152">
        <v>0</v>
      </c>
      <c r="R79" s="152">
        <v>0</v>
      </c>
      <c r="S79" s="152">
        <v>0</v>
      </c>
      <c r="T79" s="152">
        <v>0</v>
      </c>
      <c r="U79" s="152">
        <v>0</v>
      </c>
      <c r="V79" s="152">
        <v>0</v>
      </c>
      <c r="W79" s="152">
        <v>0</v>
      </c>
      <c r="X79" s="187">
        <v>0</v>
      </c>
      <c r="Y79" s="152">
        <v>0</v>
      </c>
      <c r="Z79" s="152">
        <v>0</v>
      </c>
      <c r="AA79" s="152">
        <v>2400</v>
      </c>
      <c r="AB79" s="152">
        <v>0</v>
      </c>
      <c r="AC79" s="152">
        <v>0</v>
      </c>
      <c r="AD79" s="152">
        <v>0</v>
      </c>
      <c r="AE79" s="152">
        <v>0</v>
      </c>
      <c r="AF79" s="152">
        <v>14288.17</v>
      </c>
      <c r="AG79" s="152">
        <v>0</v>
      </c>
      <c r="AH79" s="152">
        <v>2463.77</v>
      </c>
      <c r="AI79" s="152">
        <v>0</v>
      </c>
      <c r="AJ79" s="152">
        <v>0</v>
      </c>
      <c r="AK79" s="152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3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3">
      <c r="A80" s="3"/>
      <c r="B80" s="9">
        <v>72</v>
      </c>
      <c r="C80" s="18"/>
      <c r="D80" s="15"/>
      <c r="E80" s="16" t="s">
        <v>79</v>
      </c>
      <c r="F80" s="99"/>
      <c r="G80" s="98">
        <f t="shared" si="3"/>
        <v>0</v>
      </c>
      <c r="H80" s="17"/>
      <c r="I80" s="17"/>
      <c r="J80" s="17"/>
      <c r="K80" s="17"/>
      <c r="L80" s="17"/>
      <c r="M80" s="17"/>
      <c r="N80" s="193"/>
      <c r="O80" s="108">
        <v>78</v>
      </c>
      <c r="P80" s="108">
        <v>0</v>
      </c>
      <c r="Q80" s="152">
        <v>0</v>
      </c>
      <c r="R80" s="152">
        <v>0</v>
      </c>
      <c r="S80" s="152">
        <v>0</v>
      </c>
      <c r="T80" s="152">
        <v>0</v>
      </c>
      <c r="U80" s="152">
        <v>0</v>
      </c>
      <c r="V80" s="152">
        <v>0</v>
      </c>
      <c r="W80" s="152">
        <v>0</v>
      </c>
      <c r="X80" s="187">
        <v>0</v>
      </c>
      <c r="Y80" s="152">
        <v>0</v>
      </c>
      <c r="Z80" s="152">
        <v>0</v>
      </c>
      <c r="AA80" s="152">
        <v>2400</v>
      </c>
      <c r="AB80" s="152">
        <v>0</v>
      </c>
      <c r="AC80" s="152">
        <v>0</v>
      </c>
      <c r="AD80" s="152">
        <v>0</v>
      </c>
      <c r="AE80" s="152">
        <v>0</v>
      </c>
      <c r="AF80" s="152">
        <v>14288.17</v>
      </c>
      <c r="AG80" s="152">
        <v>0</v>
      </c>
      <c r="AH80" s="152">
        <v>2463.77</v>
      </c>
      <c r="AI80" s="152">
        <v>0</v>
      </c>
      <c r="AJ80" s="152">
        <v>0</v>
      </c>
      <c r="AK80" s="152">
        <v>0</v>
      </c>
      <c r="AL80" s="109">
        <v>0</v>
      </c>
      <c r="AM80" s="109">
        <v>26092.400000000001</v>
      </c>
      <c r="AN80" s="109">
        <v>0</v>
      </c>
      <c r="AO80" s="109">
        <v>3561.37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/>
      <c r="BB80" s="109">
        <v>0</v>
      </c>
      <c r="BC80" s="109">
        <v>750</v>
      </c>
      <c r="BD80" s="109">
        <v>0</v>
      </c>
      <c r="BE80" s="109">
        <v>0</v>
      </c>
      <c r="BF80" s="109">
        <v>0</v>
      </c>
      <c r="BG80" s="109">
        <v>0</v>
      </c>
      <c r="BH80" s="109">
        <v>260.75</v>
      </c>
      <c r="BI80" s="109">
        <v>0</v>
      </c>
      <c r="BJ80" s="109">
        <v>0</v>
      </c>
      <c r="BK80" s="109">
        <v>0</v>
      </c>
      <c r="BL80" s="109">
        <v>259.5</v>
      </c>
      <c r="BM80" s="109">
        <v>0</v>
      </c>
      <c r="BN80" s="109">
        <v>0</v>
      </c>
      <c r="BO80" s="109">
        <v>0</v>
      </c>
      <c r="BP80" s="109">
        <v>0</v>
      </c>
      <c r="BQ80" s="109">
        <v>0</v>
      </c>
      <c r="BR80" s="109"/>
      <c r="BS80" s="109">
        <v>91750.77</v>
      </c>
      <c r="BT80" s="109">
        <v>0</v>
      </c>
      <c r="BU80" s="109">
        <v>0</v>
      </c>
      <c r="BV80" s="109">
        <v>0</v>
      </c>
      <c r="BW80" s="109">
        <v>0</v>
      </c>
      <c r="BX80" s="193">
        <v>0</v>
      </c>
      <c r="BY80" s="109">
        <v>4523.72</v>
      </c>
      <c r="BZ80" s="109">
        <v>0</v>
      </c>
      <c r="CA80" s="109">
        <v>612</v>
      </c>
      <c r="CB80" s="109">
        <v>0</v>
      </c>
      <c r="CC80" s="109">
        <v>0</v>
      </c>
      <c r="CD80" s="110"/>
      <c r="CE80" s="110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3">
      <c r="A81" s="3"/>
      <c r="B81" s="9">
        <v>73</v>
      </c>
      <c r="C81" s="18"/>
      <c r="D81" s="18"/>
      <c r="E81" s="16" t="s">
        <v>80</v>
      </c>
      <c r="F81" s="99"/>
      <c r="G81" s="98">
        <f t="shared" si="3"/>
        <v>1696666.6099999999</v>
      </c>
      <c r="H81" s="3"/>
      <c r="I81" s="3"/>
      <c r="J81" s="3"/>
      <c r="K81" s="3"/>
      <c r="L81" s="3"/>
      <c r="O81" s="108">
        <v>79</v>
      </c>
      <c r="P81" s="108">
        <v>0</v>
      </c>
      <c r="Q81" s="152">
        <v>227326786.06999999</v>
      </c>
      <c r="R81" s="152">
        <v>11930620.43</v>
      </c>
      <c r="S81" s="152">
        <v>1087097.3199999998</v>
      </c>
      <c r="T81" s="152">
        <v>13668703</v>
      </c>
      <c r="U81" s="152">
        <v>10063306.57</v>
      </c>
      <c r="V81" s="152">
        <v>18025935.079999998</v>
      </c>
      <c r="W81" s="152">
        <v>10228807.91</v>
      </c>
      <c r="X81" s="187">
        <v>2409145.87</v>
      </c>
      <c r="Y81" s="152">
        <v>744871.7</v>
      </c>
      <c r="Z81" s="152">
        <v>4766822.5500000007</v>
      </c>
      <c r="AA81" s="152">
        <v>679958.22</v>
      </c>
      <c r="AB81" s="152">
        <v>2582598.65</v>
      </c>
      <c r="AC81" s="152">
        <v>17889501.899999999</v>
      </c>
      <c r="AD81" s="152">
        <v>13407790.4</v>
      </c>
      <c r="AE81" s="152">
        <v>26176963.359999999</v>
      </c>
      <c r="AF81" s="152">
        <v>6178187.9700000007</v>
      </c>
      <c r="AG81" s="152">
        <v>1365191.08</v>
      </c>
      <c r="AH81" s="152">
        <v>7475839.3399999989</v>
      </c>
      <c r="AI81" s="152">
        <v>6264181.0600000005</v>
      </c>
      <c r="AJ81" s="152">
        <v>1695781.33</v>
      </c>
      <c r="AK81" s="152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3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3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2"/>
      <c r="O82" s="108">
        <v>80</v>
      </c>
      <c r="P82" s="108">
        <v>0</v>
      </c>
      <c r="Q82" s="152"/>
      <c r="R82" s="152"/>
      <c r="S82" s="152"/>
      <c r="T82" s="152"/>
      <c r="U82" s="152"/>
      <c r="V82" s="152"/>
      <c r="W82" s="152"/>
      <c r="X82" s="187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3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3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2"/>
      <c r="R83" s="152"/>
      <c r="S83" s="152"/>
      <c r="T83" s="152"/>
      <c r="U83" s="152"/>
      <c r="V83" s="152"/>
      <c r="W83" s="152"/>
      <c r="X83" s="187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3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3">
      <c r="B84" s="9">
        <v>76</v>
      </c>
      <c r="C84" s="22"/>
      <c r="D84" s="22"/>
      <c r="E84" s="19">
        <v>5014</v>
      </c>
      <c r="F84" s="98"/>
      <c r="G84" s="98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3"/>
      <c r="O84" s="108">
        <v>82</v>
      </c>
      <c r="P84" s="108">
        <v>0</v>
      </c>
      <c r="Q84" s="152">
        <v>363307.15</v>
      </c>
      <c r="R84" s="152">
        <v>0</v>
      </c>
      <c r="S84" s="152">
        <v>0</v>
      </c>
      <c r="T84" s="152">
        <v>0</v>
      </c>
      <c r="U84" s="152">
        <v>2489.17</v>
      </c>
      <c r="V84" s="152">
        <v>0</v>
      </c>
      <c r="W84" s="152">
        <v>0</v>
      </c>
      <c r="X84" s="187">
        <v>0</v>
      </c>
      <c r="Y84" s="152">
        <v>0</v>
      </c>
      <c r="Z84" s="152">
        <v>0</v>
      </c>
      <c r="AA84" s="152">
        <v>0</v>
      </c>
      <c r="AB84" s="152">
        <v>0</v>
      </c>
      <c r="AC84" s="152">
        <v>0</v>
      </c>
      <c r="AD84" s="152">
        <v>0</v>
      </c>
      <c r="AE84" s="152">
        <v>270171.8</v>
      </c>
      <c r="AF84" s="152">
        <v>0</v>
      </c>
      <c r="AG84" s="152">
        <v>0</v>
      </c>
      <c r="AH84" s="152">
        <v>0</v>
      </c>
      <c r="AI84" s="152">
        <v>2610.94</v>
      </c>
      <c r="AJ84" s="152">
        <v>41273.25</v>
      </c>
      <c r="AK84" s="152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3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3">
      <c r="B85" s="9">
        <v>77</v>
      </c>
      <c r="C85" s="22"/>
      <c r="D85" s="22"/>
      <c r="E85" s="19">
        <v>5015</v>
      </c>
      <c r="F85" s="98"/>
      <c r="G85" s="98">
        <f t="shared" si="4"/>
        <v>0</v>
      </c>
      <c r="H85" s="7"/>
      <c r="I85" s="7"/>
      <c r="J85" s="7"/>
      <c r="K85" s="7"/>
      <c r="L85" s="7"/>
      <c r="M85" s="7"/>
      <c r="N85" s="203"/>
      <c r="O85" s="108">
        <v>83</v>
      </c>
      <c r="P85" s="108">
        <v>0</v>
      </c>
      <c r="Q85" s="152">
        <v>0</v>
      </c>
      <c r="R85" s="152">
        <v>0</v>
      </c>
      <c r="S85" s="152">
        <v>0</v>
      </c>
      <c r="T85" s="152">
        <v>0</v>
      </c>
      <c r="U85" s="152">
        <v>86632.84</v>
      </c>
      <c r="V85" s="152">
        <v>0</v>
      </c>
      <c r="W85" s="152">
        <v>0</v>
      </c>
      <c r="X85" s="187">
        <v>0</v>
      </c>
      <c r="Y85" s="152">
        <v>0</v>
      </c>
      <c r="Z85" s="152">
        <v>0</v>
      </c>
      <c r="AA85" s="152">
        <v>0</v>
      </c>
      <c r="AB85" s="152">
        <v>0</v>
      </c>
      <c r="AC85" s="152">
        <v>206212.91</v>
      </c>
      <c r="AD85" s="152">
        <v>0</v>
      </c>
      <c r="AE85" s="152">
        <v>1889.06</v>
      </c>
      <c r="AF85" s="152">
        <v>0</v>
      </c>
      <c r="AG85" s="152">
        <v>0</v>
      </c>
      <c r="AH85" s="152">
        <v>0</v>
      </c>
      <c r="AI85" s="152">
        <v>126451.39</v>
      </c>
      <c r="AJ85" s="152">
        <v>12504.63</v>
      </c>
      <c r="AK85" s="152">
        <v>0</v>
      </c>
      <c r="AL85" s="109">
        <v>51367.17</v>
      </c>
      <c r="AM85" s="109">
        <v>0</v>
      </c>
      <c r="AN85" s="109">
        <v>0</v>
      </c>
      <c r="AO85" s="109">
        <v>0</v>
      </c>
      <c r="AP85" s="109">
        <v>0</v>
      </c>
      <c r="AQ85" s="109">
        <v>9427.84</v>
      </c>
      <c r="AR85" s="109">
        <v>102951.5</v>
      </c>
      <c r="AS85" s="109">
        <v>39080.35</v>
      </c>
      <c r="AT85" s="109">
        <v>0</v>
      </c>
      <c r="AU85" s="109">
        <v>560</v>
      </c>
      <c r="AV85" s="109">
        <v>0</v>
      </c>
      <c r="AW85" s="109">
        <v>657137.92000000004</v>
      </c>
      <c r="AX85" s="109">
        <v>0</v>
      </c>
      <c r="AY85" s="109">
        <v>0</v>
      </c>
      <c r="AZ85" s="109">
        <v>0</v>
      </c>
      <c r="BA85" s="109"/>
      <c r="BB85" s="109">
        <v>0</v>
      </c>
      <c r="BC85" s="109">
        <v>0</v>
      </c>
      <c r="BD85" s="109">
        <v>156255.01999999999</v>
      </c>
      <c r="BE85" s="109">
        <v>0</v>
      </c>
      <c r="BF85" s="109">
        <v>0</v>
      </c>
      <c r="BG85" s="109">
        <v>0</v>
      </c>
      <c r="BH85" s="109">
        <v>31402.59</v>
      </c>
      <c r="BI85" s="109">
        <v>0</v>
      </c>
      <c r="BJ85" s="109">
        <v>0</v>
      </c>
      <c r="BK85" s="109">
        <v>0</v>
      </c>
      <c r="BL85" s="109">
        <v>0</v>
      </c>
      <c r="BM85" s="109">
        <v>0</v>
      </c>
      <c r="BN85" s="109">
        <v>8417.2800000000007</v>
      </c>
      <c r="BO85" s="109">
        <v>0</v>
      </c>
      <c r="BP85" s="109">
        <v>0</v>
      </c>
      <c r="BQ85" s="109">
        <v>0</v>
      </c>
      <c r="BR85" s="109"/>
      <c r="BS85" s="109">
        <v>0</v>
      </c>
      <c r="BT85" s="109">
        <v>0</v>
      </c>
      <c r="BU85" s="109">
        <v>39487.089999999997</v>
      </c>
      <c r="BV85" s="109">
        <v>0</v>
      </c>
      <c r="BW85" s="109">
        <v>0</v>
      </c>
      <c r="BX85" s="193">
        <v>104523</v>
      </c>
      <c r="BY85" s="109">
        <v>0</v>
      </c>
      <c r="BZ85" s="109">
        <v>0</v>
      </c>
      <c r="CA85" s="109">
        <v>0</v>
      </c>
      <c r="CB85" s="109">
        <v>0</v>
      </c>
      <c r="CC85" s="109">
        <v>0</v>
      </c>
      <c r="CD85" s="94"/>
      <c r="CE85" s="94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3">
      <c r="B86" s="9">
        <v>78</v>
      </c>
      <c r="C86" s="22"/>
      <c r="D86" s="22"/>
      <c r="E86" s="19">
        <v>5112</v>
      </c>
      <c r="F86" s="98"/>
      <c r="G86" s="98">
        <f t="shared" si="4"/>
        <v>0</v>
      </c>
      <c r="H86" s="7"/>
      <c r="I86" s="7"/>
      <c r="J86" s="7"/>
      <c r="K86" s="7"/>
      <c r="L86" s="7"/>
      <c r="M86" s="7"/>
      <c r="N86" s="203"/>
      <c r="O86" s="108">
        <v>84</v>
      </c>
      <c r="P86" s="108">
        <v>0</v>
      </c>
      <c r="Q86" s="152">
        <v>357775.77</v>
      </c>
      <c r="R86" s="152">
        <v>0</v>
      </c>
      <c r="S86" s="152">
        <v>0</v>
      </c>
      <c r="T86" s="152">
        <v>0</v>
      </c>
      <c r="U86" s="152">
        <v>9619.68</v>
      </c>
      <c r="V86" s="152">
        <v>0</v>
      </c>
      <c r="W86" s="152">
        <v>0</v>
      </c>
      <c r="X86" s="187">
        <v>0</v>
      </c>
      <c r="Y86" s="152">
        <v>0</v>
      </c>
      <c r="Z86" s="152">
        <v>0</v>
      </c>
      <c r="AA86" s="152">
        <v>0</v>
      </c>
      <c r="AB86" s="152">
        <v>0</v>
      </c>
      <c r="AC86" s="152">
        <v>5317.6</v>
      </c>
      <c r="AD86" s="152">
        <v>0</v>
      </c>
      <c r="AE86" s="152">
        <v>349316.43</v>
      </c>
      <c r="AF86" s="152">
        <v>0</v>
      </c>
      <c r="AG86" s="152">
        <v>0</v>
      </c>
      <c r="AH86" s="152">
        <v>0</v>
      </c>
      <c r="AI86" s="152">
        <v>0</v>
      </c>
      <c r="AJ86" s="152">
        <v>22824.42</v>
      </c>
      <c r="AK86" s="152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3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3">
      <c r="A87" s="3"/>
      <c r="B87" s="9">
        <v>79</v>
      </c>
      <c r="C87" s="18"/>
      <c r="D87" s="18"/>
      <c r="E87" s="11" t="s">
        <v>82</v>
      </c>
      <c r="F87" s="98"/>
      <c r="G87" s="98">
        <f t="shared" si="4"/>
        <v>0</v>
      </c>
      <c r="H87" s="23"/>
      <c r="I87" s="23"/>
      <c r="J87" s="23"/>
      <c r="K87" s="23"/>
      <c r="L87" s="23"/>
      <c r="M87" s="23"/>
      <c r="N87" s="203"/>
      <c r="O87" s="108">
        <v>85</v>
      </c>
      <c r="P87" s="108">
        <v>0</v>
      </c>
      <c r="Q87" s="152">
        <v>721082.92</v>
      </c>
      <c r="R87" s="152">
        <v>0</v>
      </c>
      <c r="S87" s="152">
        <v>0</v>
      </c>
      <c r="T87" s="152">
        <v>0</v>
      </c>
      <c r="U87" s="152">
        <v>98741.69</v>
      </c>
      <c r="V87" s="152">
        <v>0</v>
      </c>
      <c r="W87" s="152">
        <v>0</v>
      </c>
      <c r="X87" s="187">
        <v>0</v>
      </c>
      <c r="Y87" s="152">
        <v>0</v>
      </c>
      <c r="Z87" s="152">
        <v>0</v>
      </c>
      <c r="AA87" s="152">
        <v>0</v>
      </c>
      <c r="AB87" s="152">
        <v>0</v>
      </c>
      <c r="AC87" s="152">
        <v>211530.51</v>
      </c>
      <c r="AD87" s="152">
        <v>0</v>
      </c>
      <c r="AE87" s="152">
        <v>621377.29</v>
      </c>
      <c r="AF87" s="152">
        <v>0</v>
      </c>
      <c r="AG87" s="152">
        <v>0</v>
      </c>
      <c r="AH87" s="152">
        <v>0</v>
      </c>
      <c r="AI87" s="152">
        <v>129062.33</v>
      </c>
      <c r="AJ87" s="152">
        <v>76602.299999999988</v>
      </c>
      <c r="AK87" s="152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3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5" thickBot="1" x14ac:dyDescent="0.35">
      <c r="A88" s="3"/>
      <c r="B88" s="9">
        <v>80</v>
      </c>
      <c r="C88" s="18"/>
      <c r="D88" s="18"/>
      <c r="E88" s="11" t="s">
        <v>83</v>
      </c>
      <c r="F88" s="98"/>
      <c r="G88" s="98">
        <f t="shared" si="4"/>
        <v>6196.0300000000007</v>
      </c>
      <c r="H88" s="23"/>
      <c r="I88" s="23"/>
      <c r="J88" s="23"/>
      <c r="K88" s="23"/>
      <c r="L88" s="23"/>
      <c r="M88" s="23"/>
      <c r="N88" s="203"/>
      <c r="O88" s="108">
        <v>86</v>
      </c>
      <c r="P88" s="108">
        <v>0</v>
      </c>
      <c r="Q88" s="152">
        <v>224594.43999999977</v>
      </c>
      <c r="R88" s="152">
        <v>0</v>
      </c>
      <c r="S88" s="152">
        <v>0</v>
      </c>
      <c r="T88" s="152">
        <v>85370.61000000003</v>
      </c>
      <c r="U88" s="152">
        <v>0</v>
      </c>
      <c r="V88" s="152">
        <v>0</v>
      </c>
      <c r="W88" s="152">
        <v>0</v>
      </c>
      <c r="X88" s="187">
        <v>55374.540000000015</v>
      </c>
      <c r="Y88" s="152">
        <v>0</v>
      </c>
      <c r="Z88" s="152">
        <v>49279.63</v>
      </c>
      <c r="AA88" s="152">
        <v>9168.1200000000008</v>
      </c>
      <c r="AB88" s="152">
        <v>22864.6</v>
      </c>
      <c r="AC88" s="152">
        <v>0</v>
      </c>
      <c r="AD88" s="152">
        <v>168234.30999999997</v>
      </c>
      <c r="AE88" s="152">
        <v>0</v>
      </c>
      <c r="AF88" s="152">
        <v>30020.929999999993</v>
      </c>
      <c r="AG88" s="152">
        <v>117438.06650000002</v>
      </c>
      <c r="AH88" s="152">
        <v>69550.080000000016</v>
      </c>
      <c r="AI88" s="152">
        <v>33150.01</v>
      </c>
      <c r="AJ88" s="152">
        <v>0</v>
      </c>
      <c r="AK88" s="152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3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5" thickBot="1" x14ac:dyDescent="0.35">
      <c r="A89" s="3"/>
      <c r="B89" s="9">
        <v>81</v>
      </c>
      <c r="C89" s="18"/>
      <c r="D89" s="18"/>
      <c r="E89" s="11" t="s">
        <v>84</v>
      </c>
      <c r="F89" s="98"/>
      <c r="G89" s="98">
        <f t="shared" si="4"/>
        <v>1702862.64</v>
      </c>
      <c r="H89" s="158">
        <f>'Model Inputs'!H31</f>
        <v>1806902.38</v>
      </c>
      <c r="I89" s="159">
        <f>'Model Inputs'!I31</f>
        <v>1884027</v>
      </c>
      <c r="J89" s="159">
        <f>'Model Inputs'!J31</f>
        <v>1904700</v>
      </c>
      <c r="K89" s="159">
        <f>'Model Inputs'!K31</f>
        <v>1942794</v>
      </c>
      <c r="L89" s="159">
        <f>'Model Inputs'!L31</f>
        <v>1981649.8800000001</v>
      </c>
      <c r="M89" s="160">
        <f>'Model Inputs'!M31</f>
        <v>2021282.8776</v>
      </c>
      <c r="N89" s="201">
        <v>11</v>
      </c>
      <c r="O89" s="108">
        <v>87</v>
      </c>
      <c r="P89" s="108">
        <v>0</v>
      </c>
      <c r="Q89" s="152">
        <v>226830297.59</v>
      </c>
      <c r="R89" s="152">
        <v>11930620.43</v>
      </c>
      <c r="S89" s="152">
        <v>1087097.3199999998</v>
      </c>
      <c r="T89" s="152">
        <v>13754073.609999999</v>
      </c>
      <c r="U89" s="152">
        <v>9964564.8800000008</v>
      </c>
      <c r="V89" s="152">
        <v>18025935.079999998</v>
      </c>
      <c r="W89" s="152">
        <v>10228807.91</v>
      </c>
      <c r="X89" s="187">
        <v>2464520.41</v>
      </c>
      <c r="Y89" s="152">
        <v>744871.7</v>
      </c>
      <c r="Z89" s="152">
        <v>4816102.1800000006</v>
      </c>
      <c r="AA89" s="152">
        <v>689126.34</v>
      </c>
      <c r="AB89" s="152">
        <v>2605463.25</v>
      </c>
      <c r="AC89" s="152">
        <v>17677971.389999997</v>
      </c>
      <c r="AD89" s="152">
        <v>13576024.710000001</v>
      </c>
      <c r="AE89" s="152">
        <v>25555586.07</v>
      </c>
      <c r="AF89" s="152">
        <v>6208208.9000000004</v>
      </c>
      <c r="AG89" s="152">
        <v>1482629.1465</v>
      </c>
      <c r="AH89" s="152">
        <v>7545389.419999999</v>
      </c>
      <c r="AI89" s="152">
        <v>6168268.7400000002</v>
      </c>
      <c r="AJ89" s="152">
        <v>1619179.03</v>
      </c>
      <c r="AK89" s="152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3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3">
      <c r="A90" s="3"/>
      <c r="B90" s="9">
        <v>82</v>
      </c>
      <c r="C90" s="18"/>
      <c r="D90" s="18"/>
      <c r="M90" s="87"/>
      <c r="O90" s="108">
        <v>88</v>
      </c>
      <c r="P90" s="108">
        <v>0</v>
      </c>
      <c r="Q90" s="152"/>
      <c r="R90" s="152"/>
      <c r="S90" s="152"/>
      <c r="T90" s="152"/>
      <c r="U90" s="152"/>
      <c r="V90" s="152"/>
      <c r="W90" s="152"/>
      <c r="X90" s="187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3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5" thickBot="1" x14ac:dyDescent="0.35">
      <c r="A91" s="3"/>
      <c r="B91" s="9">
        <v>83</v>
      </c>
      <c r="C91" s="21" t="s">
        <v>85</v>
      </c>
      <c r="D91" s="21"/>
      <c r="M91" s="87"/>
      <c r="O91" s="108">
        <v>89</v>
      </c>
      <c r="P91" s="108">
        <v>0</v>
      </c>
      <c r="Q91" s="152"/>
      <c r="R91" s="152"/>
      <c r="S91" s="152"/>
      <c r="T91" s="152"/>
      <c r="U91" s="152"/>
      <c r="V91" s="152"/>
      <c r="W91" s="152"/>
      <c r="X91" s="187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3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5" thickBot="1" x14ac:dyDescent="0.3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501091.49</v>
      </c>
      <c r="H92" s="158">
        <f>'Model Inputs'!H9</f>
        <v>664109</v>
      </c>
      <c r="I92" s="159">
        <f>'Model Inputs'!I9</f>
        <v>963000</v>
      </c>
      <c r="J92" s="159">
        <f>'Model Inputs'!J9</f>
        <v>627000</v>
      </c>
      <c r="K92" s="159">
        <f>'Model Inputs'!K9</f>
        <v>951550</v>
      </c>
      <c r="L92" s="159">
        <f>'Model Inputs'!L9</f>
        <v>507450</v>
      </c>
      <c r="M92" s="160">
        <f>'Model Inputs'!M9</f>
        <v>593500</v>
      </c>
      <c r="N92" s="201">
        <v>1</v>
      </c>
      <c r="O92" s="108">
        <v>90</v>
      </c>
      <c r="P92" s="108">
        <v>0</v>
      </c>
      <c r="Q92" s="152">
        <v>328219959</v>
      </c>
      <c r="R92" s="152">
        <v>7307000</v>
      </c>
      <c r="S92" s="152">
        <v>716351</v>
      </c>
      <c r="T92" s="152">
        <v>9241677</v>
      </c>
      <c r="U92" s="152">
        <v>4322647</v>
      </c>
      <c r="V92" s="152">
        <v>13483192.810000001</v>
      </c>
      <c r="W92" s="152">
        <v>15385000</v>
      </c>
      <c r="X92" s="187">
        <v>1453404.22</v>
      </c>
      <c r="Y92" s="152">
        <v>512764.83</v>
      </c>
      <c r="Z92" s="152">
        <v>2673795.0699999998</v>
      </c>
      <c r="AA92" s="152">
        <v>227281</v>
      </c>
      <c r="AB92" s="152">
        <v>1105037.9099999999</v>
      </c>
      <c r="AC92" s="152">
        <v>14222941</v>
      </c>
      <c r="AD92" s="152">
        <v>12166321.029999999</v>
      </c>
      <c r="AE92" s="152">
        <v>20377654.359999999</v>
      </c>
      <c r="AF92" s="152">
        <v>4455227.57</v>
      </c>
      <c r="AG92" s="152">
        <v>479402.5</v>
      </c>
      <c r="AH92" s="152">
        <v>6383352.46</v>
      </c>
      <c r="AI92" s="152">
        <v>3761249.09</v>
      </c>
      <c r="AJ92" s="152">
        <v>511690.91</v>
      </c>
      <c r="AK92" s="152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3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5" thickBot="1" x14ac:dyDescent="0.3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0</v>
      </c>
      <c r="H93" s="158">
        <f>'Model Inputs'!H10</f>
        <v>0</v>
      </c>
      <c r="I93" s="159">
        <f>'Model Inputs'!I10</f>
        <v>0</v>
      </c>
      <c r="J93" s="159">
        <f>'Model Inputs'!J10</f>
        <v>0</v>
      </c>
      <c r="K93" s="159">
        <f>'Model Inputs'!K10</f>
        <v>0</v>
      </c>
      <c r="L93" s="159">
        <f>'Model Inputs'!L10</f>
        <v>0</v>
      </c>
      <c r="M93" s="160">
        <f>'Model Inputs'!M10</f>
        <v>0</v>
      </c>
      <c r="N93" s="201">
        <v>2</v>
      </c>
      <c r="O93" s="108">
        <v>91</v>
      </c>
      <c r="P93" s="108">
        <v>0</v>
      </c>
      <c r="Q93" s="152">
        <v>2348426</v>
      </c>
      <c r="R93" s="152">
        <v>0</v>
      </c>
      <c r="S93" s="152">
        <v>0</v>
      </c>
      <c r="T93" s="152">
        <v>0</v>
      </c>
      <c r="U93" s="152">
        <v>0</v>
      </c>
      <c r="V93" s="152">
        <v>0</v>
      </c>
      <c r="W93" s="152">
        <v>0</v>
      </c>
      <c r="X93" s="187">
        <v>0</v>
      </c>
      <c r="Y93" s="152">
        <v>0</v>
      </c>
      <c r="Z93" s="152">
        <v>0</v>
      </c>
      <c r="AA93" s="152">
        <v>935</v>
      </c>
      <c r="AB93" s="152">
        <v>0</v>
      </c>
      <c r="AC93" s="152">
        <v>0</v>
      </c>
      <c r="AD93" s="152">
        <v>0</v>
      </c>
      <c r="AE93" s="152">
        <v>583621</v>
      </c>
      <c r="AF93" s="152">
        <v>0</v>
      </c>
      <c r="AG93" s="152">
        <v>0</v>
      </c>
      <c r="AH93" s="152">
        <v>0</v>
      </c>
      <c r="AI93" s="152">
        <v>0</v>
      </c>
      <c r="AJ93" s="152">
        <v>133652</v>
      </c>
      <c r="AK93" s="152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3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3">
      <c r="A94" s="3"/>
      <c r="B94" s="9">
        <v>86</v>
      </c>
      <c r="C94" s="18"/>
      <c r="D94" s="18"/>
      <c r="M94" s="87"/>
      <c r="O94" s="108">
        <v>92</v>
      </c>
      <c r="P94" s="108">
        <v>0</v>
      </c>
      <c r="Q94" s="152"/>
      <c r="R94" s="152"/>
      <c r="S94" s="152"/>
      <c r="T94" s="152"/>
      <c r="U94" s="152"/>
      <c r="V94" s="152"/>
      <c r="W94" s="152"/>
      <c r="X94" s="187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3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5" thickBot="1" x14ac:dyDescent="0.35">
      <c r="A95" s="3"/>
      <c r="B95" s="9">
        <v>87</v>
      </c>
      <c r="C95" s="21" t="s">
        <v>88</v>
      </c>
      <c r="D95" s="21"/>
      <c r="M95" s="87"/>
      <c r="O95" s="108">
        <v>93</v>
      </c>
      <c r="P95" s="108">
        <v>0</v>
      </c>
      <c r="Q95" s="152"/>
      <c r="R95" s="152"/>
      <c r="S95" s="152"/>
      <c r="T95" s="152"/>
      <c r="U95" s="152"/>
      <c r="V95" s="152"/>
      <c r="W95" s="152"/>
      <c r="X95" s="187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3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5" thickBot="1" x14ac:dyDescent="0.3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3805</v>
      </c>
      <c r="H96" s="158">
        <f>'Model Inputs'!H13</f>
        <v>3830</v>
      </c>
      <c r="I96" s="159">
        <f>'Model Inputs'!I13</f>
        <v>3837</v>
      </c>
      <c r="J96" s="159">
        <f>'Model Inputs'!J13</f>
        <v>3862</v>
      </c>
      <c r="K96" s="159">
        <f>'Model Inputs'!K13</f>
        <v>3889.0340000000006</v>
      </c>
      <c r="L96" s="159">
        <f>'Model Inputs'!L13</f>
        <v>3916.2572380000011</v>
      </c>
      <c r="M96" s="160">
        <f>'Model Inputs'!M13</f>
        <v>3943.6710386660016</v>
      </c>
      <c r="N96" s="203">
        <v>3</v>
      </c>
      <c r="O96" s="108">
        <v>94</v>
      </c>
      <c r="P96" s="108">
        <v>0</v>
      </c>
      <c r="Q96" s="152">
        <v>991103</v>
      </c>
      <c r="R96" s="152">
        <v>11721</v>
      </c>
      <c r="S96" s="152">
        <v>1636</v>
      </c>
      <c r="T96" s="152">
        <v>36691</v>
      </c>
      <c r="U96" s="152">
        <v>39905</v>
      </c>
      <c r="V96" s="152">
        <v>67940</v>
      </c>
      <c r="W96" s="152">
        <v>29246</v>
      </c>
      <c r="X96" s="187">
        <v>7022</v>
      </c>
      <c r="Y96" s="152">
        <v>1208</v>
      </c>
      <c r="Z96" s="152">
        <v>17408</v>
      </c>
      <c r="AA96" s="152">
        <v>2305</v>
      </c>
      <c r="AB96" s="152">
        <v>12412</v>
      </c>
      <c r="AC96" s="152">
        <v>65404</v>
      </c>
      <c r="AD96" s="152">
        <v>59187</v>
      </c>
      <c r="AE96" s="152">
        <v>88978</v>
      </c>
      <c r="AF96" s="152">
        <v>19242</v>
      </c>
      <c r="AG96" s="152">
        <v>3303</v>
      </c>
      <c r="AH96" s="152">
        <v>30016</v>
      </c>
      <c r="AI96" s="152">
        <v>21369</v>
      </c>
      <c r="AJ96" s="152">
        <v>3745</v>
      </c>
      <c r="AK96" s="152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3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35">
      <c r="A97" s="3"/>
      <c r="B97" s="9">
        <v>89</v>
      </c>
      <c r="C97" s="18"/>
      <c r="D97" s="18"/>
      <c r="E97" s="3" t="s">
        <v>90</v>
      </c>
      <c r="F97" s="98"/>
      <c r="G97" s="98">
        <f>HLOOKUP($E$3,$P$3:$CE$269,O97,FALSE)</f>
        <v>99147429.620000005</v>
      </c>
      <c r="H97" s="158">
        <f>'Model Inputs'!H14</f>
        <v>98783155</v>
      </c>
      <c r="I97" s="159">
        <f>'Model Inputs'!I14</f>
        <v>98938804.020262182</v>
      </c>
      <c r="J97" s="159">
        <f>'Model Inputs'!J14</f>
        <v>99677917.401985317</v>
      </c>
      <c r="K97" s="159">
        <f>'Model Inputs'!K14</f>
        <v>99700000</v>
      </c>
      <c r="L97" s="159">
        <f>'Model Inputs'!L14</f>
        <v>99750000</v>
      </c>
      <c r="M97" s="160">
        <f>'Model Inputs'!M14</f>
        <v>99800000</v>
      </c>
      <c r="N97" s="203">
        <v>4</v>
      </c>
      <c r="O97" s="108">
        <v>95</v>
      </c>
      <c r="P97" s="108">
        <v>0</v>
      </c>
      <c r="Q97" s="152">
        <v>25280291057</v>
      </c>
      <c r="R97" s="152">
        <v>223988678.07520866</v>
      </c>
      <c r="S97" s="152">
        <v>29726073.119999997</v>
      </c>
      <c r="T97" s="152">
        <v>985257711</v>
      </c>
      <c r="U97" s="152">
        <v>973189790.19000006</v>
      </c>
      <c r="V97" s="152">
        <v>1587097140</v>
      </c>
      <c r="W97" s="152">
        <v>473473781.3066833</v>
      </c>
      <c r="X97" s="187">
        <v>142194816.25999999</v>
      </c>
      <c r="Y97" s="152">
        <v>24228193</v>
      </c>
      <c r="Z97" s="152">
        <v>307635771.03999996</v>
      </c>
      <c r="AA97" s="152">
        <v>29043489</v>
      </c>
      <c r="AB97" s="152">
        <v>244678551</v>
      </c>
      <c r="AC97" s="152">
        <v>1693068324</v>
      </c>
      <c r="AD97" s="152">
        <v>1211909343</v>
      </c>
      <c r="AE97" s="152">
        <v>2429022729</v>
      </c>
      <c r="AF97" s="152">
        <v>506809214.88</v>
      </c>
      <c r="AG97" s="152">
        <v>56436105.189999998</v>
      </c>
      <c r="AH97" s="152">
        <v>514149798.70999998</v>
      </c>
      <c r="AI97" s="152">
        <v>609956991</v>
      </c>
      <c r="AJ97" s="152">
        <v>73312156.159999996</v>
      </c>
      <c r="AK97" s="152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3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35">
      <c r="A98" s="3"/>
      <c r="B98" s="9">
        <v>90</v>
      </c>
      <c r="E98" s="3" t="s">
        <v>91</v>
      </c>
      <c r="F98" s="98"/>
      <c r="G98" s="98">
        <f>HLOOKUP($E$3,$P$3:$CE$269,O98,FALSE)</f>
        <v>16660</v>
      </c>
      <c r="H98" s="158">
        <f>'Model Inputs'!H15</f>
        <v>17014</v>
      </c>
      <c r="I98" s="159">
        <f>'Model Inputs'!I15</f>
        <v>17020</v>
      </c>
      <c r="J98" s="159">
        <f>'Model Inputs'!J15</f>
        <v>17030</v>
      </c>
      <c r="K98" s="159">
        <f>'Model Inputs'!K15</f>
        <v>17030</v>
      </c>
      <c r="L98" s="159">
        <f>'Model Inputs'!L15</f>
        <v>17030</v>
      </c>
      <c r="M98" s="160">
        <f>'Model Inputs'!M15</f>
        <v>17030</v>
      </c>
      <c r="N98" s="203">
        <v>5</v>
      </c>
      <c r="O98" s="108">
        <v>96</v>
      </c>
      <c r="P98" s="108">
        <v>0</v>
      </c>
      <c r="Q98" s="152">
        <v>5106316</v>
      </c>
      <c r="R98" s="152">
        <v>44182</v>
      </c>
      <c r="S98" s="152">
        <v>6256</v>
      </c>
      <c r="T98" s="152">
        <v>161525</v>
      </c>
      <c r="U98" s="152">
        <v>186912</v>
      </c>
      <c r="V98" s="152">
        <v>351438</v>
      </c>
      <c r="W98" s="152">
        <v>98015</v>
      </c>
      <c r="X98" s="187">
        <v>26524</v>
      </c>
      <c r="Y98" s="152">
        <v>6354</v>
      </c>
      <c r="Z98" s="152">
        <v>55379</v>
      </c>
      <c r="AA98" s="152">
        <v>6858</v>
      </c>
      <c r="AB98" s="152">
        <v>65612</v>
      </c>
      <c r="AC98" s="152">
        <v>331153</v>
      </c>
      <c r="AD98" s="152">
        <v>231782</v>
      </c>
      <c r="AE98" s="152">
        <v>488900</v>
      </c>
      <c r="AF98" s="152">
        <v>82701</v>
      </c>
      <c r="AG98" s="152">
        <v>15504</v>
      </c>
      <c r="AH98" s="152">
        <v>126059</v>
      </c>
      <c r="AI98" s="152">
        <v>108689</v>
      </c>
      <c r="AJ98" s="152">
        <v>15430</v>
      </c>
      <c r="AK98" s="152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3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35">
      <c r="A99" s="3"/>
      <c r="B99" s="9">
        <v>91</v>
      </c>
      <c r="E99" s="11" t="s">
        <v>92</v>
      </c>
      <c r="F99" s="98"/>
      <c r="G99" s="98">
        <f>HLOOKUP($E$3,$P$3:$CE$269,O99,FALSE)</f>
        <v>79</v>
      </c>
      <c r="H99" s="158">
        <f>'Model Inputs'!H16</f>
        <v>208</v>
      </c>
      <c r="I99" s="159">
        <f>'Model Inputs'!I16</f>
        <v>208</v>
      </c>
      <c r="J99" s="159">
        <f>'Model Inputs'!J16</f>
        <v>208</v>
      </c>
      <c r="K99" s="159">
        <f>'Model Inputs'!K16</f>
        <v>208</v>
      </c>
      <c r="L99" s="159">
        <f>'Model Inputs'!L16</f>
        <v>208</v>
      </c>
      <c r="M99" s="160">
        <f>'Model Inputs'!M16</f>
        <v>208</v>
      </c>
      <c r="N99" s="203">
        <v>6</v>
      </c>
      <c r="O99" s="108">
        <v>97</v>
      </c>
      <c r="P99" s="108">
        <v>0</v>
      </c>
      <c r="Q99" s="152">
        <v>19897</v>
      </c>
      <c r="R99" s="152">
        <v>1849</v>
      </c>
      <c r="S99" s="152">
        <v>92</v>
      </c>
      <c r="T99" s="152">
        <v>783</v>
      </c>
      <c r="U99" s="152">
        <v>510</v>
      </c>
      <c r="V99" s="152">
        <v>1535</v>
      </c>
      <c r="W99" s="152">
        <v>1038</v>
      </c>
      <c r="X99" s="187">
        <v>156</v>
      </c>
      <c r="Y99" s="152">
        <v>30</v>
      </c>
      <c r="Z99" s="152">
        <v>362</v>
      </c>
      <c r="AA99" s="152">
        <v>36</v>
      </c>
      <c r="AB99" s="152">
        <v>162</v>
      </c>
      <c r="AC99" s="152">
        <v>1510</v>
      </c>
      <c r="AD99" s="152">
        <v>1243</v>
      </c>
      <c r="AE99" s="152">
        <v>4668</v>
      </c>
      <c r="AF99" s="152">
        <v>352</v>
      </c>
      <c r="AG99" s="152">
        <v>141</v>
      </c>
      <c r="AH99" s="152">
        <v>457</v>
      </c>
      <c r="AI99" s="152">
        <v>261</v>
      </c>
      <c r="AJ99" s="152">
        <v>81</v>
      </c>
      <c r="AK99" s="152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3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3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3"/>
      <c r="O100" s="108">
        <v>98</v>
      </c>
      <c r="P100" s="108">
        <v>0</v>
      </c>
      <c r="Q100" s="152"/>
      <c r="R100" s="152"/>
      <c r="S100" s="152"/>
      <c r="T100" s="152"/>
      <c r="U100" s="152"/>
      <c r="V100" s="152"/>
      <c r="W100" s="152"/>
      <c r="X100" s="187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3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3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3"/>
      <c r="O101" s="108">
        <v>99</v>
      </c>
      <c r="P101" s="108">
        <v>0</v>
      </c>
      <c r="Q101" s="152"/>
      <c r="R101" s="152"/>
      <c r="S101" s="152"/>
      <c r="T101" s="152"/>
      <c r="U101" s="152"/>
      <c r="V101" s="152"/>
      <c r="W101" s="152"/>
      <c r="X101" s="187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3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35">
      <c r="A102" s="283" t="s">
        <v>93</v>
      </c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7"/>
      <c r="N102" s="203"/>
      <c r="O102" s="108">
        <v>100</v>
      </c>
      <c r="P102" s="108">
        <v>0</v>
      </c>
      <c r="Q102" s="152"/>
      <c r="R102" s="152"/>
      <c r="S102" s="152"/>
      <c r="T102" s="152"/>
      <c r="U102" s="152"/>
      <c r="V102" s="152"/>
      <c r="W102" s="152"/>
      <c r="X102" s="187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3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3">
      <c r="E103" s="19"/>
      <c r="F103" s="7"/>
      <c r="G103" s="7"/>
      <c r="H103" s="7"/>
      <c r="I103" s="7"/>
      <c r="J103" s="7"/>
      <c r="K103" s="7"/>
      <c r="L103" s="7"/>
      <c r="M103" s="7"/>
      <c r="N103" s="203"/>
      <c r="O103" s="108">
        <v>101</v>
      </c>
      <c r="P103" s="108">
        <v>0</v>
      </c>
      <c r="Q103" s="152"/>
      <c r="R103" s="152"/>
      <c r="S103" s="152"/>
      <c r="T103" s="152"/>
      <c r="U103" s="152"/>
      <c r="V103" s="152"/>
      <c r="W103" s="152"/>
      <c r="X103" s="187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3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3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3"/>
      <c r="O104" s="108">
        <v>102</v>
      </c>
      <c r="P104" s="108">
        <v>0</v>
      </c>
      <c r="Q104" s="152"/>
      <c r="R104" s="152"/>
      <c r="S104" s="152"/>
      <c r="T104" s="152"/>
      <c r="U104" s="152"/>
      <c r="V104" s="152"/>
      <c r="W104" s="152"/>
      <c r="X104" s="187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3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3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2"/>
      <c r="R105" s="152"/>
      <c r="S105" s="152"/>
      <c r="T105" s="152"/>
      <c r="U105" s="152"/>
      <c r="V105" s="152"/>
      <c r="W105" s="152"/>
      <c r="X105" s="187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3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3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2"/>
      <c r="R106" s="152"/>
      <c r="S106" s="152"/>
      <c r="T106" s="152"/>
      <c r="U106" s="152"/>
      <c r="V106" s="152"/>
      <c r="W106" s="152"/>
      <c r="X106" s="187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3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3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1702862.64</v>
      </c>
      <c r="H107" s="28">
        <f t="shared" ref="H107:K107" si="5">H89</f>
        <v>1806902.38</v>
      </c>
      <c r="I107" s="28">
        <f t="shared" si="5"/>
        <v>1884027</v>
      </c>
      <c r="J107" s="28">
        <f t="shared" si="5"/>
        <v>1904700</v>
      </c>
      <c r="K107" s="28">
        <f t="shared" si="5"/>
        <v>1942794</v>
      </c>
      <c r="L107" s="28">
        <f t="shared" ref="L107" si="6">L89</f>
        <v>1981649.8800000001</v>
      </c>
      <c r="O107" s="108">
        <v>105</v>
      </c>
      <c r="P107" s="108">
        <v>0</v>
      </c>
      <c r="Q107" s="152">
        <v>226830297.59</v>
      </c>
      <c r="R107" s="152">
        <v>11930620.43</v>
      </c>
      <c r="S107" s="152">
        <v>1087097.3199999998</v>
      </c>
      <c r="T107" s="152">
        <v>13754073.609999999</v>
      </c>
      <c r="U107" s="152">
        <v>9964564.8800000008</v>
      </c>
      <c r="V107" s="152">
        <v>18025935.079999998</v>
      </c>
      <c r="W107" s="152">
        <v>10228807.91</v>
      </c>
      <c r="X107" s="187">
        <v>2464520.41</v>
      </c>
      <c r="Y107" s="152">
        <v>744871.7</v>
      </c>
      <c r="Z107" s="152">
        <v>4816102.1800000006</v>
      </c>
      <c r="AA107" s="152">
        <v>689126.34</v>
      </c>
      <c r="AB107" s="152">
        <v>2605463.25</v>
      </c>
      <c r="AC107" s="152">
        <v>17677971.389999997</v>
      </c>
      <c r="AD107" s="152">
        <v>13576024.710000001</v>
      </c>
      <c r="AE107" s="152">
        <v>25555586.07</v>
      </c>
      <c r="AF107" s="152">
        <v>6208208.9000000004</v>
      </c>
      <c r="AG107" s="152">
        <v>1482629.1465</v>
      </c>
      <c r="AH107" s="152">
        <v>7545389.419999999</v>
      </c>
      <c r="AI107" s="152">
        <v>6168268.7400000002</v>
      </c>
      <c r="AJ107" s="152">
        <v>1619179.03</v>
      </c>
      <c r="AK107" s="152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3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3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2"/>
      <c r="R108" s="152"/>
      <c r="S108" s="152"/>
      <c r="T108" s="152"/>
      <c r="U108" s="152"/>
      <c r="V108" s="152"/>
      <c r="W108" s="152"/>
      <c r="X108" s="187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3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3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2"/>
      <c r="R109" s="152"/>
      <c r="S109" s="152"/>
      <c r="T109" s="152"/>
      <c r="U109" s="152"/>
      <c r="V109" s="152"/>
      <c r="W109" s="152"/>
      <c r="X109" s="187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3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3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7">HLOOKUP($E$3,$P$3:$CE$269,O110,FALSE)</f>
        <v>6.0212000000000002E-2</v>
      </c>
      <c r="H110" s="161">
        <f>'Model Inputs'!H22</f>
        <v>6.0212000000000002E-2</v>
      </c>
      <c r="I110" s="162">
        <f>'Model Inputs'!I22</f>
        <v>6.0212000000000002E-2</v>
      </c>
      <c r="J110" s="162">
        <f>'Model Inputs'!J22</f>
        <v>6.0212000000000002E-2</v>
      </c>
      <c r="K110" s="162">
        <f>'Model Inputs'!K22</f>
        <v>6.0212000000000002E-2</v>
      </c>
      <c r="L110" s="162">
        <f>'Model Inputs'!L22</f>
        <v>6.0212000000000002E-2</v>
      </c>
      <c r="M110" s="163">
        <f>'Model Inputs'!M22</f>
        <v>6.0212000000000002E-2</v>
      </c>
      <c r="N110" s="203">
        <v>10</v>
      </c>
      <c r="O110" s="108">
        <v>108</v>
      </c>
      <c r="P110" s="108">
        <v>0</v>
      </c>
      <c r="Q110" s="152">
        <v>6.0212000000000002E-2</v>
      </c>
      <c r="R110" s="152">
        <v>6.0212000000000002E-2</v>
      </c>
      <c r="S110" s="152">
        <v>6.0212000000000002E-2</v>
      </c>
      <c r="T110" s="152">
        <v>6.0212000000000002E-2</v>
      </c>
      <c r="U110" s="152">
        <v>6.0212000000000002E-2</v>
      </c>
      <c r="V110" s="152">
        <v>6.0212000000000002E-2</v>
      </c>
      <c r="W110" s="152">
        <v>6.0212000000000002E-2</v>
      </c>
      <c r="X110" s="187">
        <v>6.0212000000000002E-2</v>
      </c>
      <c r="Y110" s="152">
        <v>6.0212000000000002E-2</v>
      </c>
      <c r="Z110" s="152">
        <v>6.0212000000000002E-2</v>
      </c>
      <c r="AA110" s="152">
        <v>6.0212000000000002E-2</v>
      </c>
      <c r="AB110" s="152">
        <v>6.0212000000000002E-2</v>
      </c>
      <c r="AC110" s="152">
        <v>6.0212000000000002E-2</v>
      </c>
      <c r="AD110" s="152">
        <v>6.0212000000000002E-2</v>
      </c>
      <c r="AE110" s="152">
        <v>6.0212000000000002E-2</v>
      </c>
      <c r="AF110" s="152">
        <v>6.0212000000000002E-2</v>
      </c>
      <c r="AG110" s="152">
        <v>6.0212000000000002E-2</v>
      </c>
      <c r="AH110" s="152">
        <v>6.0212000000000002E-2</v>
      </c>
      <c r="AI110" s="152">
        <v>6.0212000000000002E-2</v>
      </c>
      <c r="AJ110" s="152">
        <v>6.0212000000000002E-2</v>
      </c>
      <c r="AK110" s="152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3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3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4"/>
      <c r="O111" s="108">
        <v>109</v>
      </c>
      <c r="P111" s="108">
        <v>0</v>
      </c>
      <c r="Q111" s="152">
        <v>4.5900000000000003E-2</v>
      </c>
      <c r="R111" s="152">
        <v>4.5900000000000003E-2</v>
      </c>
      <c r="S111" s="152">
        <v>4.5900000000000003E-2</v>
      </c>
      <c r="T111" s="152">
        <v>4.5900000000000003E-2</v>
      </c>
      <c r="U111" s="152">
        <v>4.5900000000000003E-2</v>
      </c>
      <c r="V111" s="152">
        <v>4.5900000000000003E-2</v>
      </c>
      <c r="W111" s="152">
        <v>4.5900000000000003E-2</v>
      </c>
      <c r="X111" s="187">
        <v>4.5900000000000003E-2</v>
      </c>
      <c r="Y111" s="152">
        <v>4.5900000000000003E-2</v>
      </c>
      <c r="Z111" s="152">
        <v>4.5900000000000003E-2</v>
      </c>
      <c r="AA111" s="152">
        <v>4.5900000000000003E-2</v>
      </c>
      <c r="AB111" s="152">
        <v>4.5900000000000003E-2</v>
      </c>
      <c r="AC111" s="152">
        <v>4.5900000000000003E-2</v>
      </c>
      <c r="AD111" s="152">
        <v>4.5900000000000003E-2</v>
      </c>
      <c r="AE111" s="152">
        <v>4.5900000000000003E-2</v>
      </c>
      <c r="AF111" s="152">
        <v>4.5900000000000003E-2</v>
      </c>
      <c r="AG111" s="152">
        <v>4.5900000000000003E-2</v>
      </c>
      <c r="AH111" s="152">
        <v>4.5900000000000003E-2</v>
      </c>
      <c r="AI111" s="152">
        <v>4.5900000000000003E-2</v>
      </c>
      <c r="AJ111" s="152">
        <v>4.5900000000000003E-2</v>
      </c>
      <c r="AK111" s="152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3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3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64">
        <f>G112*EXP('Model Inputs'!H21)</f>
        <v>172.80391633216158</v>
      </c>
      <c r="I112" s="165">
        <f>H112*EXP('Model Inputs'!I21)</f>
        <v>175.59236127067041</v>
      </c>
      <c r="J112" s="165">
        <f>I112*EXP('Model Inputs'!J21)</f>
        <v>178.42580186286656</v>
      </c>
      <c r="K112" s="165">
        <f>J112*EXP('Model Inputs'!K21)</f>
        <v>181.30496417969474</v>
      </c>
      <c r="L112" s="165">
        <f>K112*EXP('Model Inputs'!L21)</f>
        <v>184.2305860083205</v>
      </c>
      <c r="M112" s="166">
        <f>L112*EXP('Model Inputs'!M21)</f>
        <v>187.20341704118874</v>
      </c>
      <c r="N112" s="203">
        <v>9</v>
      </c>
      <c r="O112" s="108">
        <v>110</v>
      </c>
      <c r="P112" s="108">
        <v>0</v>
      </c>
      <c r="Q112" s="152">
        <v>170.0597525065601</v>
      </c>
      <c r="R112" s="152">
        <v>170.0597525065601</v>
      </c>
      <c r="S112" s="152">
        <v>170.0597525065601</v>
      </c>
      <c r="T112" s="152">
        <v>170.0597525065601</v>
      </c>
      <c r="U112" s="152">
        <v>170.0597525065601</v>
      </c>
      <c r="V112" s="152">
        <v>170.0597525065601</v>
      </c>
      <c r="W112" s="152">
        <v>170.0597525065601</v>
      </c>
      <c r="X112" s="187">
        <v>170.0597525065601</v>
      </c>
      <c r="Y112" s="152">
        <v>170.0597525065601</v>
      </c>
      <c r="Z112" s="152">
        <v>170.0597525065601</v>
      </c>
      <c r="AA112" s="152">
        <v>170.0597525065601</v>
      </c>
      <c r="AB112" s="152">
        <v>170.0597525065601</v>
      </c>
      <c r="AC112" s="152">
        <v>170.0597525065601</v>
      </c>
      <c r="AD112" s="152">
        <v>170.0597525065601</v>
      </c>
      <c r="AE112" s="152">
        <v>170.0597525065601</v>
      </c>
      <c r="AF112" s="152">
        <v>170.0597525065601</v>
      </c>
      <c r="AG112" s="152">
        <v>170.0597525065601</v>
      </c>
      <c r="AH112" s="152">
        <v>170.0597525065601</v>
      </c>
      <c r="AI112" s="152">
        <v>170.0597525065601</v>
      </c>
      <c r="AJ112" s="152">
        <v>170.0597525065601</v>
      </c>
      <c r="AK112" s="152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3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3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18.762511562335185</v>
      </c>
      <c r="K113" s="28">
        <f t="shared" si="8"/>
        <v>19.065272237614913</v>
      </c>
      <c r="L113" s="28">
        <f t="shared" si="8"/>
        <v>19.372918400969692</v>
      </c>
      <c r="M113" s="28">
        <f t="shared" si="8"/>
        <v>19.685528886923557</v>
      </c>
      <c r="N113" s="202"/>
      <c r="O113" s="108">
        <v>111</v>
      </c>
      <c r="P113" s="108">
        <v>0</v>
      </c>
      <c r="Q113" s="152">
        <v>17.882772779379295</v>
      </c>
      <c r="R113" s="152">
        <v>17.882772779379295</v>
      </c>
      <c r="S113" s="152">
        <v>17.882772779379295</v>
      </c>
      <c r="T113" s="152">
        <v>17.882772779379295</v>
      </c>
      <c r="U113" s="152">
        <v>17.882772779379295</v>
      </c>
      <c r="V113" s="152">
        <v>17.882772779379295</v>
      </c>
      <c r="W113" s="152">
        <v>17.882772779379295</v>
      </c>
      <c r="X113" s="187">
        <v>17.882772779379295</v>
      </c>
      <c r="Y113" s="152">
        <v>17.882772779379295</v>
      </c>
      <c r="Z113" s="152">
        <v>17.882772779379295</v>
      </c>
      <c r="AA113" s="152">
        <v>17.882772779379295</v>
      </c>
      <c r="AB113" s="152">
        <v>17.882772779379295</v>
      </c>
      <c r="AC113" s="152">
        <v>17.882772779379295</v>
      </c>
      <c r="AD113" s="152">
        <v>17.882772779379295</v>
      </c>
      <c r="AE113" s="152">
        <v>17.882772779379295</v>
      </c>
      <c r="AF113" s="152">
        <v>17.882772779379295</v>
      </c>
      <c r="AG113" s="152">
        <v>17.882772779379295</v>
      </c>
      <c r="AH113" s="152">
        <v>17.882772779379295</v>
      </c>
      <c r="AI113" s="152">
        <v>17.882772779379295</v>
      </c>
      <c r="AJ113" s="152">
        <v>17.882772779379295</v>
      </c>
      <c r="AK113" s="152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3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3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501091.49</v>
      </c>
      <c r="H114" s="167">
        <f>H92</f>
        <v>664109</v>
      </c>
      <c r="I114" s="168">
        <f t="shared" ref="I114:L114" si="9">I92</f>
        <v>963000</v>
      </c>
      <c r="J114" s="168">
        <f t="shared" si="9"/>
        <v>627000</v>
      </c>
      <c r="K114" s="168">
        <f t="shared" si="9"/>
        <v>951550</v>
      </c>
      <c r="L114" s="168">
        <f t="shared" si="9"/>
        <v>507450</v>
      </c>
      <c r="M114" s="169">
        <f t="shared" ref="M114" si="10">M92</f>
        <v>593500</v>
      </c>
      <c r="N114" s="203">
        <v>1</v>
      </c>
      <c r="O114" s="108">
        <v>112</v>
      </c>
      <c r="P114" s="108">
        <v>0</v>
      </c>
      <c r="Q114" s="152">
        <v>328219959</v>
      </c>
      <c r="R114" s="152">
        <v>7307000</v>
      </c>
      <c r="S114" s="152">
        <v>716351</v>
      </c>
      <c r="T114" s="152">
        <v>9241677</v>
      </c>
      <c r="U114" s="152">
        <v>4322647</v>
      </c>
      <c r="V114" s="152">
        <v>13483192.810000001</v>
      </c>
      <c r="W114" s="152">
        <v>15385000</v>
      </c>
      <c r="X114" s="187">
        <v>1453404.22</v>
      </c>
      <c r="Y114" s="152">
        <v>512764.83</v>
      </c>
      <c r="Z114" s="152">
        <v>2673795.0699999998</v>
      </c>
      <c r="AA114" s="152">
        <v>227281</v>
      </c>
      <c r="AB114" s="152">
        <v>1105037.9099999999</v>
      </c>
      <c r="AC114" s="152">
        <v>14222941</v>
      </c>
      <c r="AD114" s="152">
        <v>12166321.029999999</v>
      </c>
      <c r="AE114" s="152">
        <v>20377654.359999999</v>
      </c>
      <c r="AF114" s="152">
        <v>4455227.57</v>
      </c>
      <c r="AG114" s="152">
        <v>479402.5</v>
      </c>
      <c r="AH114" s="152">
        <v>6383352.46</v>
      </c>
      <c r="AI114" s="152">
        <v>3761249.09</v>
      </c>
      <c r="AJ114" s="152">
        <v>511690.91</v>
      </c>
      <c r="AK114" s="152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3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3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0">
        <f>H93</f>
        <v>0</v>
      </c>
      <c r="I115" s="171">
        <f t="shared" ref="I115:L115" si="11">I93</f>
        <v>0</v>
      </c>
      <c r="J115" s="171">
        <f t="shared" si="11"/>
        <v>0</v>
      </c>
      <c r="K115" s="171">
        <f t="shared" si="11"/>
        <v>0</v>
      </c>
      <c r="L115" s="171">
        <f t="shared" si="11"/>
        <v>0</v>
      </c>
      <c r="M115" s="172">
        <f t="shared" ref="M115" si="12">M93</f>
        <v>0</v>
      </c>
      <c r="N115" s="203">
        <v>2</v>
      </c>
      <c r="O115" s="108">
        <v>113</v>
      </c>
      <c r="P115" s="108">
        <v>0</v>
      </c>
      <c r="Q115" s="152">
        <v>2348426</v>
      </c>
      <c r="R115" s="152">
        <v>0</v>
      </c>
      <c r="S115" s="152">
        <v>0</v>
      </c>
      <c r="T115" s="152">
        <v>0</v>
      </c>
      <c r="U115" s="152">
        <v>0</v>
      </c>
      <c r="V115" s="152">
        <v>0</v>
      </c>
      <c r="W115" s="152">
        <v>0</v>
      </c>
      <c r="X115" s="187">
        <v>0</v>
      </c>
      <c r="Y115" s="152">
        <v>0</v>
      </c>
      <c r="Z115" s="152">
        <v>0</v>
      </c>
      <c r="AA115" s="152">
        <v>935</v>
      </c>
      <c r="AB115" s="152">
        <v>0</v>
      </c>
      <c r="AC115" s="152">
        <v>0</v>
      </c>
      <c r="AD115" s="152">
        <v>0</v>
      </c>
      <c r="AE115" s="152">
        <v>583621</v>
      </c>
      <c r="AF115" s="152">
        <v>0</v>
      </c>
      <c r="AG115" s="152">
        <v>0</v>
      </c>
      <c r="AH115" s="152">
        <v>0</v>
      </c>
      <c r="AI115" s="152">
        <v>0</v>
      </c>
      <c r="AJ115" s="152">
        <v>133652</v>
      </c>
      <c r="AK115" s="152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3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3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2946.5613269116702</v>
      </c>
      <c r="H116" s="7">
        <f t="shared" ref="H116:K116" si="13">(H114-H115)/H112</f>
        <v>3843.1362789455407</v>
      </c>
      <c r="I116" s="7">
        <f t="shared" si="13"/>
        <v>5484.2932404990224</v>
      </c>
      <c r="J116" s="7">
        <f t="shared" si="13"/>
        <v>3514.0657542449826</v>
      </c>
      <c r="K116" s="7">
        <f t="shared" si="13"/>
        <v>5248.3394721442983</v>
      </c>
      <c r="L116" s="7">
        <f t="shared" ref="L116:M116" si="14">(L114-L115)/L112</f>
        <v>2754.4286266183931</v>
      </c>
      <c r="M116" s="7">
        <f t="shared" si="14"/>
        <v>3170.348113193988</v>
      </c>
      <c r="N116" s="203"/>
      <c r="O116" s="108">
        <v>114</v>
      </c>
      <c r="P116" s="108">
        <v>0</v>
      </c>
      <c r="Q116" s="152">
        <v>1916217.8481203506</v>
      </c>
      <c r="R116" s="152">
        <v>42967.250582809887</v>
      </c>
      <c r="S116" s="152">
        <v>4212.348832933686</v>
      </c>
      <c r="T116" s="152">
        <v>54343.704867167202</v>
      </c>
      <c r="U116" s="152">
        <v>25418.401098950515</v>
      </c>
      <c r="V116" s="152">
        <v>79285.031356727879</v>
      </c>
      <c r="W116" s="152">
        <v>90468.201754007139</v>
      </c>
      <c r="X116" s="187">
        <v>8546.4326425144864</v>
      </c>
      <c r="Y116" s="152">
        <v>3015.2039059342978</v>
      </c>
      <c r="Z116" s="152">
        <v>15722.680002705858</v>
      </c>
      <c r="AA116" s="152">
        <v>1330.9792391428339</v>
      </c>
      <c r="AB116" s="152">
        <v>6497.9390697241706</v>
      </c>
      <c r="AC116" s="152">
        <v>83634.962360958074</v>
      </c>
      <c r="AD116" s="152">
        <v>71541.448524280786</v>
      </c>
      <c r="AE116" s="152">
        <v>116394.57936548766</v>
      </c>
      <c r="AF116" s="152">
        <v>26198.012782760805</v>
      </c>
      <c r="AG116" s="152">
        <v>2819.0238603428929</v>
      </c>
      <c r="AH116" s="152">
        <v>37535.938785714512</v>
      </c>
      <c r="AI116" s="152">
        <v>22117.220768358515</v>
      </c>
      <c r="AJ116" s="152">
        <v>2222.976950324663</v>
      </c>
      <c r="AK116" s="152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3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3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3647.0155216581402</v>
      </c>
      <c r="H117" s="24">
        <f t="shared" ref="H117:M117" si="15">H111*G118</f>
        <v>3614.8646741192779</v>
      </c>
      <c r="I117" s="24">
        <f t="shared" si="15"/>
        <v>3625.3423407808032</v>
      </c>
      <c r="J117" s="24">
        <f t="shared" si="15"/>
        <v>3710.6681870778698</v>
      </c>
      <c r="K117" s="24">
        <f t="shared" si="15"/>
        <v>3701.6441354108401</v>
      </c>
      <c r="L117" s="24">
        <f t="shared" si="15"/>
        <v>3772.6374513669061</v>
      </c>
      <c r="M117" s="24">
        <f t="shared" si="15"/>
        <v>3725.9016663109496</v>
      </c>
      <c r="N117" s="204"/>
      <c r="O117" s="108">
        <v>115</v>
      </c>
      <c r="P117" s="108">
        <v>0</v>
      </c>
      <c r="Q117" s="152">
        <v>1114795.1185467313</v>
      </c>
      <c r="R117" s="152">
        <v>34636.590755191704</v>
      </c>
      <c r="S117" s="152">
        <v>1380.1630985555378</v>
      </c>
      <c r="T117" s="152">
        <v>32394.908016213707</v>
      </c>
      <c r="U117" s="152">
        <v>28525.923772341899</v>
      </c>
      <c r="V117" s="152">
        <v>62349.459296919915</v>
      </c>
      <c r="W117" s="152">
        <v>36335.906226633582</v>
      </c>
      <c r="X117" s="187">
        <v>6372.5925927736307</v>
      </c>
      <c r="Y117" s="152">
        <v>475.21317346719798</v>
      </c>
      <c r="Z117" s="152">
        <v>11369.336538191392</v>
      </c>
      <c r="AA117" s="152">
        <v>1309.8813150399417</v>
      </c>
      <c r="AB117" s="152">
        <v>6099.1609925436032</v>
      </c>
      <c r="AC117" s="152">
        <v>64959.907231173078</v>
      </c>
      <c r="AD117" s="152">
        <v>49608.845309343305</v>
      </c>
      <c r="AE117" s="152">
        <v>97187.935226577451</v>
      </c>
      <c r="AF117" s="152">
        <v>17155.923704433244</v>
      </c>
      <c r="AG117" s="152">
        <v>1945.9201523944453</v>
      </c>
      <c r="AH117" s="152">
        <v>24563.87071090873</v>
      </c>
      <c r="AI117" s="152">
        <v>20190.378803133732</v>
      </c>
      <c r="AJ117" s="152">
        <v>2343.6757266704844</v>
      </c>
      <c r="AK117" s="152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3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3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78755.221658372058</v>
      </c>
      <c r="H118" s="24">
        <f t="shared" ref="H118:M118" si="16">G118+H116-H117</f>
        <v>78983.493263198325</v>
      </c>
      <c r="I118" s="24">
        <f t="shared" si="16"/>
        <v>80842.444162916552</v>
      </c>
      <c r="J118" s="24">
        <f t="shared" si="16"/>
        <v>80645.841730083659</v>
      </c>
      <c r="K118" s="24">
        <f t="shared" si="16"/>
        <v>82192.537066817124</v>
      </c>
      <c r="L118" s="24">
        <f t="shared" si="16"/>
        <v>81174.328242068616</v>
      </c>
      <c r="M118" s="24">
        <f t="shared" si="16"/>
        <v>80618.774688951657</v>
      </c>
      <c r="N118" s="204"/>
      <c r="O118" s="108">
        <v>116</v>
      </c>
      <c r="P118" s="108">
        <v>0</v>
      </c>
      <c r="Q118" s="152">
        <v>25088898.079175606</v>
      </c>
      <c r="R118" s="152">
        <v>762940.48020216497</v>
      </c>
      <c r="S118" s="152">
        <v>32901.098556938879</v>
      </c>
      <c r="T118" s="152">
        <v>727720.21332619758</v>
      </c>
      <c r="U118" s="152">
        <v>618372.29807479808</v>
      </c>
      <c r="V118" s="152">
        <v>1375311.5916005468</v>
      </c>
      <c r="W118" s="152">
        <v>845764.23946274561</v>
      </c>
      <c r="X118" s="187">
        <v>141010.27997944958</v>
      </c>
      <c r="Y118" s="152">
        <v>12893.218912580343</v>
      </c>
      <c r="Z118" s="152">
        <v>252051.30725953387</v>
      </c>
      <c r="AA118" s="152">
        <v>28558.817206018834</v>
      </c>
      <c r="AB118" s="152">
        <v>133278.10253346822</v>
      </c>
      <c r="AC118" s="152">
        <v>1433923.578684754</v>
      </c>
      <c r="AD118" s="152">
        <v>1102735.3332659896</v>
      </c>
      <c r="AE118" s="152">
        <v>2136590.8538682666</v>
      </c>
      <c r="AF118" s="152">
        <v>382809.490046372</v>
      </c>
      <c r="AG118" s="152">
        <v>43267.878269918932</v>
      </c>
      <c r="AH118" s="152">
        <v>548132.65001181513</v>
      </c>
      <c r="AI118" s="152">
        <v>441804.37580256094</v>
      </c>
      <c r="AJ118" s="152">
        <v>50939.774571595015</v>
      </c>
      <c r="AK118" s="152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3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3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1408361.7341063186</v>
      </c>
      <c r="H119" s="24">
        <f t="shared" ref="H119:K119" si="17">H113*H118</f>
        <v>1435235.7191413986</v>
      </c>
      <c r="I119" s="24">
        <f t="shared" si="17"/>
        <v>1492720.0631768554</v>
      </c>
      <c r="J119" s="24">
        <f t="shared" si="17"/>
        <v>1513118.5379149481</v>
      </c>
      <c r="K119" s="24">
        <f t="shared" si="17"/>
        <v>1567023.0950791233</v>
      </c>
      <c r="L119" s="24">
        <f t="shared" ref="L119:M119" si="18">L113*L118</f>
        <v>1572583.6372871248</v>
      </c>
      <c r="M119" s="24">
        <f t="shared" si="18"/>
        <v>1587023.2179677396</v>
      </c>
      <c r="N119" s="204"/>
      <c r="O119" s="108">
        <v>117</v>
      </c>
      <c r="P119" s="108">
        <v>0</v>
      </c>
      <c r="Q119" s="152">
        <v>448659063.63490301</v>
      </c>
      <c r="R119" s="152">
        <v>13643491.251645843</v>
      </c>
      <c r="S119" s="152">
        <v>588362.86968570203</v>
      </c>
      <c r="T119" s="152">
        <v>13013655.22187382</v>
      </c>
      <c r="U119" s="152">
        <v>11058211.299534218</v>
      </c>
      <c r="V119" s="152">
        <v>24594384.693439074</v>
      </c>
      <c r="W119" s="152">
        <v>15124609.719236819</v>
      </c>
      <c r="X119" s="187">
        <v>2521654.796429154</v>
      </c>
      <c r="Y119" s="152">
        <v>230566.50420847008</v>
      </c>
      <c r="Z119" s="152">
        <v>4507376.2564677596</v>
      </c>
      <c r="AA119" s="152">
        <v>510710.83894306264</v>
      </c>
      <c r="AB119" s="152">
        <v>2383382.0240728282</v>
      </c>
      <c r="AC119" s="152">
        <v>25642529.540613864</v>
      </c>
      <c r="AD119" s="152">
        <v>19719965.400588792</v>
      </c>
      <c r="AE119" s="152">
        <v>38208168.762226202</v>
      </c>
      <c r="AF119" s="152">
        <v>6845695.1282893298</v>
      </c>
      <c r="AG119" s="152">
        <v>773749.63574680313</v>
      </c>
      <c r="AH119" s="152">
        <v>9802131.6331203245</v>
      </c>
      <c r="AI119" s="152">
        <v>7900687.2654126966</v>
      </c>
      <c r="AJ119" s="152">
        <v>910944.41409663693</v>
      </c>
      <c r="AK119" s="152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3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3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2"/>
      <c r="R120" s="152"/>
      <c r="S120" s="152"/>
      <c r="T120" s="152"/>
      <c r="U120" s="152"/>
      <c r="V120" s="152"/>
      <c r="W120" s="152"/>
      <c r="X120" s="187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3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3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3111224.3741063187</v>
      </c>
      <c r="H121" s="24">
        <f>H107+H119</f>
        <v>3242138.0991413984</v>
      </c>
      <c r="I121" s="24">
        <f t="shared" ref="I121:K121" si="19">I107+I119</f>
        <v>3376747.0631768554</v>
      </c>
      <c r="J121" s="24">
        <f t="shared" si="19"/>
        <v>3417818.5379149481</v>
      </c>
      <c r="K121" s="24">
        <f t="shared" si="19"/>
        <v>3509817.095079123</v>
      </c>
      <c r="L121" s="24">
        <f t="shared" ref="L121:M121" si="20">L107+L119</f>
        <v>3554233.5172871249</v>
      </c>
      <c r="M121" s="24">
        <f t="shared" si="20"/>
        <v>1587023.2179677396</v>
      </c>
      <c r="N121" s="204"/>
      <c r="O121" s="108">
        <v>119</v>
      </c>
      <c r="P121" s="108">
        <v>0</v>
      </c>
      <c r="Q121" s="152">
        <v>675489361.22490299</v>
      </c>
      <c r="R121" s="152">
        <v>25574111.68164584</v>
      </c>
      <c r="S121" s="152">
        <v>1675460.1896857019</v>
      </c>
      <c r="T121" s="152">
        <v>26767728.831873819</v>
      </c>
      <c r="U121" s="152">
        <v>21022776.179534219</v>
      </c>
      <c r="V121" s="152">
        <v>42620319.773439072</v>
      </c>
      <c r="W121" s="152">
        <v>25353417.629236817</v>
      </c>
      <c r="X121" s="187">
        <v>4986175.2064291537</v>
      </c>
      <c r="Y121" s="152">
        <v>975438.20420847007</v>
      </c>
      <c r="Z121" s="152">
        <v>9323478.4364677593</v>
      </c>
      <c r="AA121" s="152">
        <v>1199837.1789430627</v>
      </c>
      <c r="AB121" s="152">
        <v>4988845.2740728278</v>
      </c>
      <c r="AC121" s="152">
        <v>43320500.93061386</v>
      </c>
      <c r="AD121" s="152">
        <v>33295990.110588793</v>
      </c>
      <c r="AE121" s="152">
        <v>63763754.832226202</v>
      </c>
      <c r="AF121" s="152">
        <v>13053904.028289329</v>
      </c>
      <c r="AG121" s="152">
        <v>2256378.7822468029</v>
      </c>
      <c r="AH121" s="152">
        <v>17347521.053120323</v>
      </c>
      <c r="AI121" s="152">
        <v>14068956.005412698</v>
      </c>
      <c r="AJ121" s="152">
        <v>2530123.444096637</v>
      </c>
      <c r="AK121" s="152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3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3">
      <c r="A122" s="3"/>
      <c r="B122" s="3"/>
      <c r="C122" s="3"/>
      <c r="D122" s="3"/>
      <c r="E122" s="3"/>
      <c r="O122" s="108">
        <v>120</v>
      </c>
      <c r="P122" s="108">
        <v>0</v>
      </c>
      <c r="Q122" s="152"/>
      <c r="R122" s="152"/>
      <c r="S122" s="152"/>
      <c r="T122" s="152"/>
      <c r="U122" s="152"/>
      <c r="V122" s="152"/>
      <c r="W122" s="152"/>
      <c r="X122" s="187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3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35">
      <c r="A123" s="283" t="s">
        <v>108</v>
      </c>
      <c r="B123" s="283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7"/>
      <c r="N123" s="203"/>
      <c r="O123" s="108">
        <v>121</v>
      </c>
      <c r="P123" s="108">
        <v>0</v>
      </c>
      <c r="Q123" s="152"/>
      <c r="R123" s="152"/>
      <c r="S123" s="152"/>
      <c r="T123" s="152"/>
      <c r="U123" s="152"/>
      <c r="V123" s="152"/>
      <c r="W123" s="152"/>
      <c r="X123" s="187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3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3">
      <c r="A124" s="3"/>
      <c r="B124" s="3"/>
      <c r="C124" s="3"/>
      <c r="D124" s="3"/>
      <c r="E124" s="3"/>
      <c r="O124" s="108">
        <v>122</v>
      </c>
      <c r="P124" s="108">
        <v>0</v>
      </c>
      <c r="Q124" s="152"/>
      <c r="R124" s="152"/>
      <c r="S124" s="152"/>
      <c r="T124" s="152"/>
      <c r="U124" s="152"/>
      <c r="V124" s="152"/>
      <c r="W124" s="152"/>
      <c r="X124" s="187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3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3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2"/>
      <c r="R125" s="152"/>
      <c r="S125" s="152"/>
      <c r="T125" s="152"/>
      <c r="U125" s="152"/>
      <c r="V125" s="152"/>
      <c r="W125" s="152"/>
      <c r="X125" s="187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3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3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2"/>
      <c r="R126" s="152"/>
      <c r="S126" s="152"/>
      <c r="T126" s="152"/>
      <c r="U126" s="152"/>
      <c r="V126" s="152"/>
      <c r="W126" s="152"/>
      <c r="X126" s="187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3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3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2"/>
      <c r="R127" s="152"/>
      <c r="S127" s="152"/>
      <c r="T127" s="152"/>
      <c r="U127" s="152"/>
      <c r="V127" s="152"/>
      <c r="W127" s="152"/>
      <c r="X127" s="187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3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3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3805</v>
      </c>
      <c r="H128" s="7">
        <f t="shared" ref="H128:K130" si="21">H96</f>
        <v>3830</v>
      </c>
      <c r="I128" s="7">
        <f t="shared" si="21"/>
        <v>3837</v>
      </c>
      <c r="J128" s="7">
        <f t="shared" si="21"/>
        <v>3862</v>
      </c>
      <c r="K128" s="7">
        <f t="shared" si="21"/>
        <v>3889.0340000000006</v>
      </c>
      <c r="L128" s="7">
        <f t="shared" ref="L128:M128" si="22">L96</f>
        <v>3916.2572380000011</v>
      </c>
      <c r="M128" s="7">
        <f t="shared" si="22"/>
        <v>3943.6710386660016</v>
      </c>
      <c r="N128" s="203"/>
      <c r="O128" s="108">
        <v>126</v>
      </c>
      <c r="P128" s="108">
        <v>0</v>
      </c>
      <c r="Q128" s="152">
        <v>991103</v>
      </c>
      <c r="R128" s="152">
        <v>11721</v>
      </c>
      <c r="S128" s="152">
        <v>1636</v>
      </c>
      <c r="T128" s="152">
        <v>36691</v>
      </c>
      <c r="U128" s="152">
        <v>39905</v>
      </c>
      <c r="V128" s="152">
        <v>67940</v>
      </c>
      <c r="W128" s="152">
        <v>29246</v>
      </c>
      <c r="X128" s="187">
        <v>7022</v>
      </c>
      <c r="Y128" s="152">
        <v>1208</v>
      </c>
      <c r="Z128" s="152">
        <v>17408</v>
      </c>
      <c r="AA128" s="152">
        <v>2305</v>
      </c>
      <c r="AB128" s="152">
        <v>12412</v>
      </c>
      <c r="AC128" s="152">
        <v>65404</v>
      </c>
      <c r="AD128" s="152">
        <v>59187</v>
      </c>
      <c r="AE128" s="152">
        <v>88978</v>
      </c>
      <c r="AF128" s="152">
        <v>19242</v>
      </c>
      <c r="AG128" s="152">
        <v>3303</v>
      </c>
      <c r="AH128" s="152">
        <v>30016</v>
      </c>
      <c r="AI128" s="152">
        <v>21369</v>
      </c>
      <c r="AJ128" s="152">
        <v>3745</v>
      </c>
      <c r="AK128" s="152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3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3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99147429.620000005</v>
      </c>
      <c r="H129" s="38">
        <f t="shared" si="21"/>
        <v>98783155</v>
      </c>
      <c r="I129" s="38">
        <f t="shared" si="21"/>
        <v>98938804.020262182</v>
      </c>
      <c r="J129" s="38">
        <f t="shared" si="21"/>
        <v>99677917.401985317</v>
      </c>
      <c r="K129" s="38">
        <f t="shared" si="21"/>
        <v>99700000</v>
      </c>
      <c r="L129" s="38">
        <f t="shared" ref="L129:M129" si="23">L97</f>
        <v>99750000</v>
      </c>
      <c r="M129" s="38">
        <f t="shared" si="23"/>
        <v>99800000</v>
      </c>
      <c r="N129" s="205"/>
      <c r="O129" s="108">
        <v>127</v>
      </c>
      <c r="P129" s="108">
        <v>0</v>
      </c>
      <c r="Q129" s="152">
        <v>25280291057</v>
      </c>
      <c r="R129" s="152">
        <v>223988678.07520866</v>
      </c>
      <c r="S129" s="152">
        <v>29726073.119999997</v>
      </c>
      <c r="T129" s="152">
        <v>985257711</v>
      </c>
      <c r="U129" s="152">
        <v>973189790.19000006</v>
      </c>
      <c r="V129" s="152">
        <v>1587097140</v>
      </c>
      <c r="W129" s="152">
        <v>473473781.3066833</v>
      </c>
      <c r="X129" s="187">
        <v>142194816.25999999</v>
      </c>
      <c r="Y129" s="152">
        <v>24228193</v>
      </c>
      <c r="Z129" s="152">
        <v>307635771.03999996</v>
      </c>
      <c r="AA129" s="152">
        <v>29043489</v>
      </c>
      <c r="AB129" s="152">
        <v>244678551</v>
      </c>
      <c r="AC129" s="152">
        <v>1693068324</v>
      </c>
      <c r="AD129" s="152">
        <v>1211909343</v>
      </c>
      <c r="AE129" s="152">
        <v>2429022729</v>
      </c>
      <c r="AF129" s="152">
        <v>506809214.88</v>
      </c>
      <c r="AG129" s="152">
        <v>56436105.189999998</v>
      </c>
      <c r="AH129" s="152">
        <v>514149798.70999998</v>
      </c>
      <c r="AI129" s="152">
        <v>609956991</v>
      </c>
      <c r="AJ129" s="152">
        <v>73312156.159999996</v>
      </c>
      <c r="AK129" s="152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3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3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16660</v>
      </c>
      <c r="H130" s="7">
        <f t="shared" si="21"/>
        <v>17014</v>
      </c>
      <c r="I130" s="7">
        <f t="shared" si="21"/>
        <v>17020</v>
      </c>
      <c r="J130" s="7">
        <f t="shared" si="21"/>
        <v>17030</v>
      </c>
      <c r="K130" s="7">
        <f t="shared" si="21"/>
        <v>17030</v>
      </c>
      <c r="L130" s="7">
        <f t="shared" ref="L130:M130" si="24">L98</f>
        <v>17030</v>
      </c>
      <c r="M130" s="7">
        <f t="shared" si="24"/>
        <v>17030</v>
      </c>
      <c r="N130" s="203"/>
      <c r="O130" s="108">
        <v>128</v>
      </c>
      <c r="P130" s="108">
        <v>0</v>
      </c>
      <c r="Q130" s="152">
        <v>5106316</v>
      </c>
      <c r="R130" s="152">
        <v>44182</v>
      </c>
      <c r="S130" s="152">
        <v>6256</v>
      </c>
      <c r="T130" s="152">
        <v>161525</v>
      </c>
      <c r="U130" s="152">
        <v>186912</v>
      </c>
      <c r="V130" s="152">
        <v>351438</v>
      </c>
      <c r="W130" s="152">
        <v>98015</v>
      </c>
      <c r="X130" s="187">
        <v>26524</v>
      </c>
      <c r="Y130" s="152">
        <v>6354</v>
      </c>
      <c r="Z130" s="152">
        <v>55379</v>
      </c>
      <c r="AA130" s="152">
        <v>6858</v>
      </c>
      <c r="AB130" s="152">
        <v>65612</v>
      </c>
      <c r="AC130" s="152">
        <v>331153</v>
      </c>
      <c r="AD130" s="152">
        <v>231782</v>
      </c>
      <c r="AE130" s="152">
        <v>488900</v>
      </c>
      <c r="AF130" s="152">
        <v>82701</v>
      </c>
      <c r="AG130" s="152">
        <v>15504</v>
      </c>
      <c r="AH130" s="152">
        <v>126059</v>
      </c>
      <c r="AI130" s="152">
        <v>108689</v>
      </c>
      <c r="AJ130" s="152">
        <v>15430</v>
      </c>
      <c r="AK130" s="152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3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3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17897</v>
      </c>
      <c r="H131" s="7">
        <f t="shared" ref="H131:M131" si="25">MAX(G131,H130)</f>
        <v>17897</v>
      </c>
      <c r="I131" s="7">
        <f t="shared" si="25"/>
        <v>17897</v>
      </c>
      <c r="J131" s="7">
        <f t="shared" si="25"/>
        <v>17897</v>
      </c>
      <c r="K131" s="7">
        <f t="shared" si="25"/>
        <v>17897</v>
      </c>
      <c r="L131" s="7">
        <f t="shared" si="25"/>
        <v>17897</v>
      </c>
      <c r="M131" s="7">
        <f t="shared" si="25"/>
        <v>17897</v>
      </c>
      <c r="N131" s="203"/>
      <c r="O131" s="108">
        <v>129</v>
      </c>
      <c r="P131" s="108">
        <v>0</v>
      </c>
      <c r="Q131" s="152">
        <v>5811998.2599999998</v>
      </c>
      <c r="R131" s="152">
        <v>47365</v>
      </c>
      <c r="S131" s="152">
        <v>8722</v>
      </c>
      <c r="T131" s="152">
        <v>219364</v>
      </c>
      <c r="U131" s="152">
        <v>197591</v>
      </c>
      <c r="V131" s="152">
        <v>379690</v>
      </c>
      <c r="W131" s="152">
        <v>116948</v>
      </c>
      <c r="X131" s="187">
        <v>39945</v>
      </c>
      <c r="Y131" s="152">
        <v>8879</v>
      </c>
      <c r="Z131" s="152">
        <v>70523</v>
      </c>
      <c r="AA131" s="152">
        <v>7251</v>
      </c>
      <c r="AB131" s="152">
        <v>65612</v>
      </c>
      <c r="AC131" s="152">
        <v>382435</v>
      </c>
      <c r="AD131" s="152">
        <v>314474</v>
      </c>
      <c r="AE131" s="152">
        <v>656700</v>
      </c>
      <c r="AF131" s="152">
        <v>108683</v>
      </c>
      <c r="AG131" s="152">
        <v>15590</v>
      </c>
      <c r="AH131" s="152">
        <v>143420</v>
      </c>
      <c r="AI131" s="152">
        <v>111673</v>
      </c>
      <c r="AJ131" s="152">
        <v>18859</v>
      </c>
      <c r="AK131" s="152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3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3">
      <c r="A132" s="3"/>
      <c r="B132" s="9">
        <v>118</v>
      </c>
      <c r="C132" s="3"/>
      <c r="D132" s="3"/>
      <c r="E132" s="36"/>
      <c r="M132" s="87"/>
      <c r="O132" s="108">
        <v>130</v>
      </c>
      <c r="P132" s="108">
        <v>0</v>
      </c>
      <c r="Q132" s="152"/>
      <c r="R132" s="152"/>
      <c r="S132" s="152"/>
      <c r="T132" s="152"/>
      <c r="U132" s="152"/>
      <c r="V132" s="152"/>
      <c r="W132" s="152"/>
      <c r="X132" s="187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3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3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199"/>
      <c r="O133" s="108">
        <v>131</v>
      </c>
      <c r="P133" s="108">
        <v>0</v>
      </c>
      <c r="Q133" s="152"/>
      <c r="R133" s="152"/>
      <c r="S133" s="152"/>
      <c r="T133" s="152"/>
      <c r="U133" s="152"/>
      <c r="V133" s="152"/>
      <c r="W133" s="152"/>
      <c r="X133" s="187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3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3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3">
        <f>G134*EXP('Model Inputs'!H21)</f>
        <v>122.2777587111741</v>
      </c>
      <c r="I134" s="174">
        <f>H134*EXP('Model Inputs'!I21)</f>
        <v>124.25088990291734</v>
      </c>
      <c r="J134" s="174">
        <f>I134*EXP('Model Inputs'!J21)</f>
        <v>126.25586046382195</v>
      </c>
      <c r="K134" s="174">
        <f>J134*EXP('Model Inputs'!K21)</f>
        <v>128.29318416886287</v>
      </c>
      <c r="L134" s="174">
        <f>K134*EXP('Model Inputs'!L21)</f>
        <v>130.3633830835287</v>
      </c>
      <c r="M134" s="175">
        <f>L134*EXP('Model Inputs'!M21)</f>
        <v>132.46698769760133</v>
      </c>
      <c r="N134" s="206">
        <v>9</v>
      </c>
      <c r="O134" s="108">
        <v>132</v>
      </c>
      <c r="P134" s="108">
        <v>0</v>
      </c>
      <c r="Q134" s="152">
        <v>120.33596127247579</v>
      </c>
      <c r="R134" s="152">
        <v>120.33596127247579</v>
      </c>
      <c r="S134" s="152">
        <v>120.33596127247579</v>
      </c>
      <c r="T134" s="152">
        <v>120.33596127247579</v>
      </c>
      <c r="U134" s="152">
        <v>120.33596127247579</v>
      </c>
      <c r="V134" s="152">
        <v>120.33596127247579</v>
      </c>
      <c r="W134" s="152">
        <v>120.33596127247579</v>
      </c>
      <c r="X134" s="187">
        <v>120.33596127247579</v>
      </c>
      <c r="Y134" s="152">
        <v>120.33596127247579</v>
      </c>
      <c r="Z134" s="152">
        <v>120.33596127247579</v>
      </c>
      <c r="AA134" s="152">
        <v>120.33596127247579</v>
      </c>
      <c r="AB134" s="152">
        <v>120.33596127247579</v>
      </c>
      <c r="AC134" s="152">
        <v>120.33596127247579</v>
      </c>
      <c r="AD134" s="152">
        <v>120.33596127247579</v>
      </c>
      <c r="AE134" s="152">
        <v>120.33596127247579</v>
      </c>
      <c r="AF134" s="152">
        <v>120.33596127247579</v>
      </c>
      <c r="AG134" s="152">
        <v>120.33596127247579</v>
      </c>
      <c r="AH134" s="152">
        <v>120.33596127247579</v>
      </c>
      <c r="AI134" s="152">
        <v>120.33596127247579</v>
      </c>
      <c r="AJ134" s="152">
        <v>120.33596127247579</v>
      </c>
      <c r="AK134" s="152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3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35">
      <c r="A135" s="3"/>
      <c r="B135" s="9">
        <v>121</v>
      </c>
      <c r="C135" s="3"/>
      <c r="D135" s="3"/>
      <c r="E135" s="36" t="s">
        <v>264</v>
      </c>
      <c r="F135" s="101">
        <f>CG135</f>
        <v>992.55</v>
      </c>
      <c r="G135" s="40">
        <f>HLOOKUP($E$3,$P$3:$CE$269,O135,FALSE)</f>
        <v>1021.5337961750064</v>
      </c>
      <c r="H135" s="176">
        <f>G135*EXP('Model Inputs'!H20)</f>
        <v>1051.3639582164319</v>
      </c>
      <c r="I135" s="177">
        <f>H135*EXP('Model Inputs'!I20)</f>
        <v>1082.0652011469574</v>
      </c>
      <c r="J135" s="177">
        <f>I135*EXP('Model Inputs'!J20)</f>
        <v>1113.6629617011972</v>
      </c>
      <c r="K135" s="177">
        <f>J135*EXP('Model Inputs'!K20)</f>
        <v>1146.1834194006597</v>
      </c>
      <c r="L135" s="177">
        <f>K135*EXP('Model Inputs'!L20)</f>
        <v>1179.6535182441241</v>
      </c>
      <c r="M135" s="178">
        <f>L135*EXP('Model Inputs'!M20)</f>
        <v>1214.1009890314065</v>
      </c>
      <c r="N135" s="206">
        <v>8</v>
      </c>
      <c r="O135" s="108">
        <v>133</v>
      </c>
      <c r="P135" s="108">
        <v>0</v>
      </c>
      <c r="Q135" s="152">
        <v>1021.5337961750064</v>
      </c>
      <c r="R135" s="152">
        <v>1021.5337961750064</v>
      </c>
      <c r="S135" s="152">
        <v>1021.5337961750064</v>
      </c>
      <c r="T135" s="152">
        <v>1021.5337961750064</v>
      </c>
      <c r="U135" s="152">
        <v>1021.5337961750064</v>
      </c>
      <c r="V135" s="152">
        <v>1021.5337961750064</v>
      </c>
      <c r="W135" s="152">
        <v>1021.5337961750064</v>
      </c>
      <c r="X135" s="187">
        <v>1021.5337961750064</v>
      </c>
      <c r="Y135" s="152">
        <v>1021.5337961750064</v>
      </c>
      <c r="Z135" s="152">
        <v>1021.5337961750064</v>
      </c>
      <c r="AA135" s="152">
        <v>1021.5337961750064</v>
      </c>
      <c r="AB135" s="152">
        <v>1021.5337961750064</v>
      </c>
      <c r="AC135" s="152">
        <v>1021.5337961750064</v>
      </c>
      <c r="AD135" s="152">
        <v>1021.5337961750064</v>
      </c>
      <c r="AE135" s="152">
        <v>1021.5337961750064</v>
      </c>
      <c r="AF135" s="152">
        <v>1021.5337961750064</v>
      </c>
      <c r="AG135" s="152">
        <v>1021.5337961750064</v>
      </c>
      <c r="AH135" s="152">
        <v>1021.5337961750064</v>
      </c>
      <c r="AI135" s="152">
        <v>1021.5337961750064</v>
      </c>
      <c r="AJ135" s="152">
        <v>1021.5337961750064</v>
      </c>
      <c r="AK135" s="152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3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3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07"/>
      <c r="O136" s="108">
        <v>134</v>
      </c>
      <c r="P136" s="108">
        <v>0</v>
      </c>
      <c r="Q136" s="152">
        <v>2.4950474438225345E-2</v>
      </c>
      <c r="R136" s="152">
        <v>2.4950474438225345E-2</v>
      </c>
      <c r="S136" s="152">
        <v>2.4950474438225345E-2</v>
      </c>
      <c r="T136" s="152">
        <v>2.4950474438225345E-2</v>
      </c>
      <c r="U136" s="152">
        <v>2.4950474438225345E-2</v>
      </c>
      <c r="V136" s="152">
        <v>2.4950474438225345E-2</v>
      </c>
      <c r="W136" s="152">
        <v>2.4950474438225345E-2</v>
      </c>
      <c r="X136" s="187">
        <v>2.4950474438225345E-2</v>
      </c>
      <c r="Y136" s="152">
        <v>2.4950474438225345E-2</v>
      </c>
      <c r="Z136" s="152">
        <v>2.4950474438225345E-2</v>
      </c>
      <c r="AA136" s="152">
        <v>2.4950474438225345E-2</v>
      </c>
      <c r="AB136" s="152">
        <v>2.4950474438225345E-2</v>
      </c>
      <c r="AC136" s="152">
        <v>2.4950474438225345E-2</v>
      </c>
      <c r="AD136" s="152">
        <v>2.4950474438225345E-2</v>
      </c>
      <c r="AE136" s="152">
        <v>2.4950474438225345E-2</v>
      </c>
      <c r="AF136" s="152">
        <v>2.4950474438225345E-2</v>
      </c>
      <c r="AG136" s="152">
        <v>2.4950474438225345E-2</v>
      </c>
      <c r="AH136" s="152">
        <v>2.4950474438225345E-2</v>
      </c>
      <c r="AI136" s="152">
        <v>2.4950474438225345E-2</v>
      </c>
      <c r="AJ136" s="152">
        <v>2.4950474438225345E-2</v>
      </c>
      <c r="AK136" s="152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3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3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126.57244217470141</v>
      </c>
      <c r="H137" s="28">
        <f t="shared" ref="H137:M137" si="28">G137*EXP(H136)</f>
        <v>129.77021170163755</v>
      </c>
      <c r="I137" s="28">
        <f t="shared" si="28"/>
        <v>133.04877077305673</v>
      </c>
      <c r="J137" s="28">
        <f t="shared" si="28"/>
        <v>136.41016048367914</v>
      </c>
      <c r="K137" s="28">
        <f t="shared" si="28"/>
        <v>139.85647349514099</v>
      </c>
      <c r="L137" s="28">
        <f t="shared" si="28"/>
        <v>143.38985533879875</v>
      </c>
      <c r="M137" s="28">
        <f t="shared" si="28"/>
        <v>147.01250575144789</v>
      </c>
      <c r="N137" s="202"/>
      <c r="O137" s="108">
        <v>135</v>
      </c>
      <c r="P137" s="108">
        <v>0</v>
      </c>
      <c r="Q137" s="152">
        <v>148.5804757052604</v>
      </c>
      <c r="R137" s="152">
        <v>117.84029975935469</v>
      </c>
      <c r="S137" s="152">
        <v>125.10444237512081</v>
      </c>
      <c r="T137" s="152">
        <v>135.44966503841732</v>
      </c>
      <c r="U137" s="152">
        <v>127.04410268398206</v>
      </c>
      <c r="V137" s="152">
        <v>142.73452696871527</v>
      </c>
      <c r="W137" s="152">
        <v>125.29129337669033</v>
      </c>
      <c r="X137" s="187">
        <v>133.43126398830893</v>
      </c>
      <c r="Y137" s="152">
        <v>126.74605058078812</v>
      </c>
      <c r="Z137" s="152">
        <v>120.87063966651004</v>
      </c>
      <c r="AA137" s="152">
        <v>147.4388084309023</v>
      </c>
      <c r="AB137" s="152">
        <v>152.07823232390956</v>
      </c>
      <c r="AC137" s="152">
        <v>138.65637338359778</v>
      </c>
      <c r="AD137" s="152">
        <v>129.41053048716657</v>
      </c>
      <c r="AE137" s="152">
        <v>152.07823232390956</v>
      </c>
      <c r="AF137" s="152">
        <v>130.19187476431208</v>
      </c>
      <c r="AG137" s="152">
        <v>126.74605058078812</v>
      </c>
      <c r="AH137" s="152">
        <v>152.07823232390956</v>
      </c>
      <c r="AI137" s="152">
        <v>127.18550362672097</v>
      </c>
      <c r="AJ137" s="152">
        <v>125.10444237512081</v>
      </c>
      <c r="AK137" s="152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3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3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2"/>
      <c r="O138" s="108">
        <v>136</v>
      </c>
      <c r="P138" s="108">
        <v>0</v>
      </c>
      <c r="Q138" s="152"/>
      <c r="R138" s="152"/>
      <c r="S138" s="152"/>
      <c r="T138" s="152"/>
      <c r="U138" s="152"/>
      <c r="V138" s="152"/>
      <c r="W138" s="152"/>
      <c r="X138" s="187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3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3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18.762511562335185</v>
      </c>
      <c r="K139" s="28">
        <f t="shared" si="29"/>
        <v>19.065272237614913</v>
      </c>
      <c r="L139" s="28">
        <f t="shared" ref="L139:M139" si="30">L113</f>
        <v>19.372918400969692</v>
      </c>
      <c r="M139" s="28">
        <f t="shared" si="30"/>
        <v>19.685528886923557</v>
      </c>
      <c r="N139" s="202"/>
      <c r="O139" s="108">
        <v>137</v>
      </c>
      <c r="P139" s="108">
        <v>0</v>
      </c>
      <c r="Q139" s="152">
        <v>17.882772779379295</v>
      </c>
      <c r="R139" s="152">
        <v>17.882772779379295</v>
      </c>
      <c r="S139" s="152">
        <v>17.882772779379295</v>
      </c>
      <c r="T139" s="152">
        <v>17.882772779379295</v>
      </c>
      <c r="U139" s="152">
        <v>17.882772779379295</v>
      </c>
      <c r="V139" s="152">
        <v>17.882772779379295</v>
      </c>
      <c r="W139" s="152">
        <v>17.882772779379295</v>
      </c>
      <c r="X139" s="187">
        <v>17.882772779379295</v>
      </c>
      <c r="Y139" s="152">
        <v>17.882772779379295</v>
      </c>
      <c r="Z139" s="152">
        <v>17.882772779379295</v>
      </c>
      <c r="AA139" s="152">
        <v>17.882772779379295</v>
      </c>
      <c r="AB139" s="152">
        <v>17.882772779379295</v>
      </c>
      <c r="AC139" s="152">
        <v>17.882772779379295</v>
      </c>
      <c r="AD139" s="152">
        <v>17.882772779379295</v>
      </c>
      <c r="AE139" s="152">
        <v>17.882772779379295</v>
      </c>
      <c r="AF139" s="152">
        <v>17.882772779379295</v>
      </c>
      <c r="AG139" s="152">
        <v>17.882772779379295</v>
      </c>
      <c r="AH139" s="152">
        <v>17.882772779379295</v>
      </c>
      <c r="AI139" s="152">
        <v>17.882772779379295</v>
      </c>
      <c r="AJ139" s="152">
        <v>17.882772779379295</v>
      </c>
      <c r="AK139" s="152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3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3">
      <c r="A140" s="3"/>
      <c r="B140" s="9">
        <v>126</v>
      </c>
      <c r="C140" s="3"/>
      <c r="D140" s="3"/>
      <c r="O140" s="108">
        <v>138</v>
      </c>
      <c r="P140" s="108">
        <v>0</v>
      </c>
      <c r="Q140" s="152"/>
      <c r="R140" s="152"/>
      <c r="S140" s="152"/>
      <c r="T140" s="152"/>
      <c r="U140" s="152"/>
      <c r="V140" s="152"/>
      <c r="W140" s="152"/>
      <c r="X140" s="187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3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3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2"/>
      <c r="R141" s="152"/>
      <c r="S141" s="152"/>
      <c r="T141" s="152"/>
      <c r="U141" s="152"/>
      <c r="V141" s="152"/>
      <c r="W141" s="152"/>
      <c r="X141" s="187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3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3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79</v>
      </c>
      <c r="H142" s="41">
        <f>'Model Inputs'!H16</f>
        <v>208</v>
      </c>
      <c r="I142" s="41">
        <f>'Model Inputs'!I16</f>
        <v>208</v>
      </c>
      <c r="J142" s="41">
        <f>'Model Inputs'!J16</f>
        <v>208</v>
      </c>
      <c r="K142" s="41">
        <f>'Model Inputs'!K16</f>
        <v>208</v>
      </c>
      <c r="L142" s="41">
        <f>'Model Inputs'!L16</f>
        <v>208</v>
      </c>
      <c r="M142" s="41">
        <f>'Model Inputs'!M16</f>
        <v>208</v>
      </c>
      <c r="N142" s="202"/>
      <c r="O142" s="108">
        <v>140</v>
      </c>
      <c r="P142" s="108">
        <v>0</v>
      </c>
      <c r="Q142" s="152">
        <v>19897</v>
      </c>
      <c r="R142" s="152">
        <v>1849</v>
      </c>
      <c r="S142" s="152">
        <v>92</v>
      </c>
      <c r="T142" s="152">
        <v>783</v>
      </c>
      <c r="U142" s="152">
        <v>510</v>
      </c>
      <c r="V142" s="152">
        <v>1535</v>
      </c>
      <c r="W142" s="152">
        <v>1038</v>
      </c>
      <c r="X142" s="187">
        <v>156</v>
      </c>
      <c r="Y142" s="152">
        <v>30</v>
      </c>
      <c r="Z142" s="152">
        <v>362</v>
      </c>
      <c r="AA142" s="152">
        <v>36</v>
      </c>
      <c r="AB142" s="152">
        <v>162</v>
      </c>
      <c r="AC142" s="152">
        <v>1510</v>
      </c>
      <c r="AD142" s="152">
        <v>1243</v>
      </c>
      <c r="AE142" s="152">
        <v>4668</v>
      </c>
      <c r="AF142" s="152">
        <v>352</v>
      </c>
      <c r="AG142" s="152">
        <v>141</v>
      </c>
      <c r="AH142" s="152">
        <v>457</v>
      </c>
      <c r="AI142" s="152">
        <v>261</v>
      </c>
      <c r="AJ142" s="152">
        <v>81</v>
      </c>
      <c r="AK142" s="152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3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3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93.352941176470594</v>
      </c>
      <c r="H143" s="40">
        <f>(G143*14+H142)/15</f>
        <v>100.99607843137255</v>
      </c>
      <c r="I143" s="40">
        <f>(H143*15+I142)/16</f>
        <v>107.68382352941177</v>
      </c>
      <c r="J143" s="40">
        <f>(I143*16+J142)/17</f>
        <v>113.58477508650519</v>
      </c>
      <c r="K143" s="40">
        <f>(J143*17+K142)/18</f>
        <v>118.83006535947713</v>
      </c>
      <c r="L143" s="40">
        <f>(K143*17+L142)/18</f>
        <v>123.78395061728396</v>
      </c>
      <c r="M143" s="40">
        <f>(L143*17+M142)/18</f>
        <v>128.46262002743484</v>
      </c>
      <c r="N143" s="193"/>
      <c r="O143" s="108">
        <v>141</v>
      </c>
      <c r="P143" s="108">
        <v>0</v>
      </c>
      <c r="Q143" s="152">
        <v>18885.28823529412</v>
      </c>
      <c r="R143" s="152">
        <v>1841.4588235294118</v>
      </c>
      <c r="S143" s="152">
        <v>92.088235294117652</v>
      </c>
      <c r="T143" s="152">
        <v>772.4</v>
      </c>
      <c r="U143" s="152">
        <v>501.76470588235293</v>
      </c>
      <c r="V143" s="152">
        <v>1531.8764705882354</v>
      </c>
      <c r="W143" s="152">
        <v>986.45882352941169</v>
      </c>
      <c r="X143" s="187">
        <v>147.58823529411765</v>
      </c>
      <c r="Y143" s="152">
        <v>27.441176470588236</v>
      </c>
      <c r="Z143" s="152">
        <v>334.35294117647061</v>
      </c>
      <c r="AA143" s="152">
        <v>29.652941176470591</v>
      </c>
      <c r="AB143" s="152">
        <v>148.44117647058826</v>
      </c>
      <c r="AC143" s="152">
        <v>1528.3941176470589</v>
      </c>
      <c r="AD143" s="152">
        <v>1176.6235294117646</v>
      </c>
      <c r="AE143" s="152">
        <v>1578.1764705882354</v>
      </c>
      <c r="AF143" s="152">
        <v>326.08235294117645</v>
      </c>
      <c r="AG143" s="152">
        <v>137.32941176470584</v>
      </c>
      <c r="AH143" s="152">
        <v>456.25294117647059</v>
      </c>
      <c r="AI143" s="152">
        <v>269.74705882352936</v>
      </c>
      <c r="AJ143" s="152">
        <v>80.45882352941176</v>
      </c>
      <c r="AK143" s="152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3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3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3535</v>
      </c>
      <c r="H144" s="7"/>
      <c r="I144" s="7"/>
      <c r="J144" s="7"/>
      <c r="K144" s="7"/>
      <c r="L144" s="7"/>
      <c r="M144" s="7"/>
      <c r="N144" s="203"/>
      <c r="O144" s="108">
        <v>142</v>
      </c>
      <c r="P144" s="108">
        <v>0</v>
      </c>
      <c r="Q144" s="152">
        <v>864662</v>
      </c>
      <c r="R144" s="152">
        <v>11587</v>
      </c>
      <c r="S144" s="152">
        <v>1676</v>
      </c>
      <c r="T144" s="152">
        <v>36218</v>
      </c>
      <c r="U144" s="152">
        <v>37473</v>
      </c>
      <c r="V144" s="152">
        <v>62737</v>
      </c>
      <c r="W144" s="152">
        <v>28388</v>
      </c>
      <c r="X144" s="187">
        <v>6309</v>
      </c>
      <c r="Y144" s="152">
        <v>1335</v>
      </c>
      <c r="Z144" s="152">
        <v>14387</v>
      </c>
      <c r="AA144" s="152">
        <v>1936</v>
      </c>
      <c r="AB144" s="152">
        <v>10853</v>
      </c>
      <c r="AC144" s="152">
        <v>49297</v>
      </c>
      <c r="AD144" s="152">
        <v>55253</v>
      </c>
      <c r="AE144" s="152">
        <v>84644</v>
      </c>
      <c r="AF144" s="152">
        <v>16319</v>
      </c>
      <c r="AG144" s="152">
        <v>3349</v>
      </c>
      <c r="AH144" s="152">
        <v>27929</v>
      </c>
      <c r="AI144" s="152">
        <v>19394</v>
      </c>
      <c r="AJ144" s="152">
        <v>4001</v>
      </c>
      <c r="AK144" s="152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3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3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7.6379066478076379E-2</v>
      </c>
      <c r="H145" s="29">
        <f>'Model Inputs'!H17</f>
        <v>6.83E-2</v>
      </c>
      <c r="I145" s="29">
        <f>'Model Inputs'!I17</f>
        <v>6.83E-2</v>
      </c>
      <c r="J145" s="29">
        <f>'Model Inputs'!J17</f>
        <v>6.83E-2</v>
      </c>
      <c r="K145" s="29">
        <f>'Model Inputs'!K17</f>
        <v>6.83E-2</v>
      </c>
      <c r="L145" s="29">
        <f>'Model Inputs'!L17</f>
        <v>6.83E-2</v>
      </c>
      <c r="M145" s="29">
        <f>'Model Inputs'!M17</f>
        <v>6.83E-2</v>
      </c>
      <c r="N145" s="194"/>
      <c r="O145" s="108">
        <v>143</v>
      </c>
      <c r="P145" s="108">
        <v>0</v>
      </c>
      <c r="Q145" s="152">
        <v>0.14623170672470862</v>
      </c>
      <c r="R145" s="152">
        <v>1.1564684560283076E-2</v>
      </c>
      <c r="S145" s="152">
        <v>-2.386634844868735E-2</v>
      </c>
      <c r="T145" s="152">
        <v>1.3059804517090949E-2</v>
      </c>
      <c r="U145" s="152">
        <v>6.4900061377525145E-2</v>
      </c>
      <c r="V145" s="152">
        <v>8.2933516106922553E-2</v>
      </c>
      <c r="W145" s="152">
        <v>3.0224038326053262E-2</v>
      </c>
      <c r="X145" s="187">
        <v>0.11301315580916152</v>
      </c>
      <c r="Y145" s="152">
        <v>-9.5131086142322102E-2</v>
      </c>
      <c r="Z145" s="152">
        <v>0.20998123305762145</v>
      </c>
      <c r="AA145" s="152">
        <v>0.190599173553719</v>
      </c>
      <c r="AB145" s="152">
        <v>0.143646917902884</v>
      </c>
      <c r="AC145" s="152">
        <v>0.32673387832931011</v>
      </c>
      <c r="AD145" s="152">
        <v>7.1199753859518947E-2</v>
      </c>
      <c r="AE145" s="152">
        <v>5.1202684183167146E-2</v>
      </c>
      <c r="AF145" s="152">
        <v>0.17911636742447454</v>
      </c>
      <c r="AG145" s="152">
        <v>-1.3735443415945058E-2</v>
      </c>
      <c r="AH145" s="152">
        <v>7.4725196032797453E-2</v>
      </c>
      <c r="AI145" s="152">
        <v>0.10183561926368979</v>
      </c>
      <c r="AJ145" s="152">
        <v>-6.3984003999000255E-2</v>
      </c>
      <c r="AK145" s="152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3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3">
      <c r="A146" s="3"/>
      <c r="B146" s="9">
        <v>132</v>
      </c>
      <c r="C146" s="3"/>
      <c r="D146" s="3"/>
      <c r="M146" s="87"/>
      <c r="O146" s="108">
        <v>144</v>
      </c>
      <c r="P146" s="108">
        <v>0</v>
      </c>
      <c r="Q146" s="152"/>
      <c r="R146" s="152"/>
      <c r="S146" s="152"/>
      <c r="T146" s="152"/>
      <c r="U146" s="152"/>
      <c r="V146" s="152"/>
      <c r="W146" s="152"/>
      <c r="X146" s="187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3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3">
      <c r="A147" s="3"/>
      <c r="B147" s="9">
        <v>133</v>
      </c>
      <c r="C147" s="42" t="s">
        <v>122</v>
      </c>
      <c r="D147" s="3"/>
      <c r="E147" s="36"/>
      <c r="M147" s="87"/>
      <c r="O147" s="108">
        <v>145</v>
      </c>
      <c r="P147" s="108">
        <v>0</v>
      </c>
      <c r="Q147" s="152"/>
      <c r="R147" s="152"/>
      <c r="S147" s="152"/>
      <c r="T147" s="152"/>
      <c r="U147" s="152"/>
      <c r="V147" s="152"/>
      <c r="W147" s="152"/>
      <c r="X147" s="187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3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3">
      <c r="A148" s="3"/>
      <c r="B148" s="9">
        <v>134</v>
      </c>
      <c r="C148" s="3"/>
      <c r="D148" s="3"/>
      <c r="E148" s="36"/>
      <c r="M148" s="87"/>
      <c r="O148" s="108">
        <v>146</v>
      </c>
      <c r="P148" s="108">
        <v>0</v>
      </c>
      <c r="Q148" s="152"/>
      <c r="R148" s="152"/>
      <c r="S148" s="152"/>
      <c r="T148" s="152"/>
      <c r="U148" s="152"/>
      <c r="V148" s="152"/>
      <c r="W148" s="152"/>
      <c r="X148" s="187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3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3">
      <c r="A149" s="3"/>
      <c r="B149" s="9">
        <v>135</v>
      </c>
      <c r="C149" s="27" t="s">
        <v>123</v>
      </c>
      <c r="D149" s="27"/>
      <c r="E149" s="36"/>
      <c r="M149" s="87"/>
      <c r="O149" s="108">
        <v>147</v>
      </c>
      <c r="P149" s="108">
        <v>0</v>
      </c>
      <c r="Q149" s="152"/>
      <c r="R149" s="152"/>
      <c r="S149" s="152"/>
      <c r="T149" s="152"/>
      <c r="U149" s="152"/>
      <c r="V149" s="152"/>
      <c r="W149" s="152"/>
      <c r="X149" s="187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3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3">
      <c r="A150" s="3"/>
      <c r="B150" s="9">
        <v>136</v>
      </c>
      <c r="C150" s="27"/>
      <c r="D150" s="27"/>
      <c r="E150" s="36"/>
      <c r="M150" s="87"/>
      <c r="O150" s="108">
        <v>148</v>
      </c>
      <c r="P150" s="108">
        <v>0</v>
      </c>
      <c r="Q150" s="152"/>
      <c r="R150" s="152"/>
      <c r="S150" s="152"/>
      <c r="T150" s="152"/>
      <c r="U150" s="152"/>
      <c r="V150" s="152"/>
      <c r="W150" s="152"/>
      <c r="X150" s="187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3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3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8"/>
      <c r="O151" s="108">
        <v>149</v>
      </c>
      <c r="P151" s="108">
        <v>0</v>
      </c>
      <c r="Q151" s="152">
        <v>1</v>
      </c>
      <c r="R151" s="152">
        <v>1</v>
      </c>
      <c r="S151" s="152">
        <v>1</v>
      </c>
      <c r="T151" s="152">
        <v>1</v>
      </c>
      <c r="U151" s="152">
        <v>1</v>
      </c>
      <c r="V151" s="152">
        <v>1</v>
      </c>
      <c r="W151" s="152">
        <v>1</v>
      </c>
      <c r="X151" s="187">
        <v>1</v>
      </c>
      <c r="Y151" s="152">
        <v>1</v>
      </c>
      <c r="Z151" s="152">
        <v>1</v>
      </c>
      <c r="AA151" s="152">
        <v>1</v>
      </c>
      <c r="AB151" s="152">
        <v>1</v>
      </c>
      <c r="AC151" s="152">
        <v>1</v>
      </c>
      <c r="AD151" s="152">
        <v>1</v>
      </c>
      <c r="AE151" s="152">
        <v>1</v>
      </c>
      <c r="AF151" s="152">
        <v>1</v>
      </c>
      <c r="AG151" s="152">
        <v>1</v>
      </c>
      <c r="AH151" s="152">
        <v>1</v>
      </c>
      <c r="AI151" s="152">
        <v>1</v>
      </c>
      <c r="AJ151" s="152">
        <v>1</v>
      </c>
      <c r="AK151" s="152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3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3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0.14128488375610723</v>
      </c>
      <c r="H152" s="43">
        <f t="shared" ref="H152:K152" si="33">H113/H137</f>
        <v>0.14002703193048666</v>
      </c>
      <c r="I152" s="43">
        <f t="shared" si="33"/>
        <v>0.13878037869294682</v>
      </c>
      <c r="J152" s="43">
        <f t="shared" si="33"/>
        <v>0.13754482434305204</v>
      </c>
      <c r="K152" s="43">
        <f t="shared" si="33"/>
        <v>0.13632027006799435</v>
      </c>
      <c r="L152" s="43">
        <f t="shared" ref="L152:M152" si="34">L113/L137</f>
        <v>0.13510661793469098</v>
      </c>
      <c r="M152" s="43">
        <f t="shared" si="34"/>
        <v>0.13390377088195218</v>
      </c>
      <c r="N152" s="209"/>
      <c r="O152" s="108">
        <v>150</v>
      </c>
      <c r="P152" s="108">
        <v>0</v>
      </c>
      <c r="Q152" s="152">
        <v>0.12035748771496339</v>
      </c>
      <c r="R152" s="152">
        <v>0.15175430490161901</v>
      </c>
      <c r="S152" s="152">
        <v>0.14294274799417989</v>
      </c>
      <c r="T152" s="152">
        <v>0.13202522704140493</v>
      </c>
      <c r="U152" s="152">
        <v>0.14076035330708811</v>
      </c>
      <c r="V152" s="152">
        <v>0.12528694464583795</v>
      </c>
      <c r="W152" s="152">
        <v>0.14272957280131546</v>
      </c>
      <c r="X152" s="187">
        <v>0.13402235911477359</v>
      </c>
      <c r="Y152" s="152">
        <v>0.14109136101231642</v>
      </c>
      <c r="Z152" s="152">
        <v>0.14794968264186428</v>
      </c>
      <c r="AA152" s="152">
        <v>0.12128945539979806</v>
      </c>
      <c r="AB152" s="152">
        <v>0.11758929931070607</v>
      </c>
      <c r="AC152" s="152">
        <v>0.12897187733236012</v>
      </c>
      <c r="AD152" s="152">
        <v>0.13818638028960634</v>
      </c>
      <c r="AE152" s="152">
        <v>0.11758929931070607</v>
      </c>
      <c r="AF152" s="152">
        <v>0.13735705712628146</v>
      </c>
      <c r="AG152" s="152">
        <v>0.14109136101231642</v>
      </c>
      <c r="AH152" s="152">
        <v>0.11758929931070607</v>
      </c>
      <c r="AI152" s="152">
        <v>0.14060386026275265</v>
      </c>
      <c r="AJ152" s="152">
        <v>0.14294274799417989</v>
      </c>
      <c r="AK152" s="152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3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3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3805</v>
      </c>
      <c r="H153" s="24">
        <f t="shared" ref="H153:K153" si="35">H96</f>
        <v>3830</v>
      </c>
      <c r="I153" s="24">
        <f t="shared" si="35"/>
        <v>3837</v>
      </c>
      <c r="J153" s="24">
        <f t="shared" si="35"/>
        <v>3862</v>
      </c>
      <c r="K153" s="24">
        <f t="shared" si="35"/>
        <v>3889.0340000000006</v>
      </c>
      <c r="L153" s="24">
        <f t="shared" ref="L153:M153" si="36">L96</f>
        <v>3916.2572380000011</v>
      </c>
      <c r="M153" s="24">
        <f t="shared" si="36"/>
        <v>3943.6710386660016</v>
      </c>
      <c r="N153" s="204"/>
      <c r="O153" s="108">
        <v>151</v>
      </c>
      <c r="P153" s="108">
        <v>0</v>
      </c>
      <c r="Q153" s="152">
        <v>991103</v>
      </c>
      <c r="R153" s="152">
        <v>11721</v>
      </c>
      <c r="S153" s="152">
        <v>1636</v>
      </c>
      <c r="T153" s="152">
        <v>36691</v>
      </c>
      <c r="U153" s="152">
        <v>39905</v>
      </c>
      <c r="V153" s="152">
        <v>67940</v>
      </c>
      <c r="W153" s="152">
        <v>29246</v>
      </c>
      <c r="X153" s="187">
        <v>7022</v>
      </c>
      <c r="Y153" s="152">
        <v>1208</v>
      </c>
      <c r="Z153" s="152">
        <v>17408</v>
      </c>
      <c r="AA153" s="152">
        <v>2305</v>
      </c>
      <c r="AB153" s="152">
        <v>12412</v>
      </c>
      <c r="AC153" s="152">
        <v>65404</v>
      </c>
      <c r="AD153" s="152">
        <v>59187</v>
      </c>
      <c r="AE153" s="152">
        <v>88978</v>
      </c>
      <c r="AF153" s="152">
        <v>19242</v>
      </c>
      <c r="AG153" s="152">
        <v>3303</v>
      </c>
      <c r="AH153" s="152">
        <v>30016</v>
      </c>
      <c r="AI153" s="152">
        <v>21369</v>
      </c>
      <c r="AJ153" s="152">
        <v>3745</v>
      </c>
      <c r="AK153" s="152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3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3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17897</v>
      </c>
      <c r="H154" s="24">
        <f t="shared" ref="H154:K154" si="37">H131</f>
        <v>17897</v>
      </c>
      <c r="I154" s="24">
        <f t="shared" si="37"/>
        <v>17897</v>
      </c>
      <c r="J154" s="24">
        <f t="shared" si="37"/>
        <v>17897</v>
      </c>
      <c r="K154" s="24">
        <f t="shared" si="37"/>
        <v>17897</v>
      </c>
      <c r="L154" s="24">
        <f t="shared" ref="L154:M154" si="38">L131</f>
        <v>17897</v>
      </c>
      <c r="M154" s="24">
        <f t="shared" si="38"/>
        <v>17897</v>
      </c>
      <c r="N154" s="204"/>
      <c r="O154" s="108">
        <v>152</v>
      </c>
      <c r="P154" s="108">
        <v>0</v>
      </c>
      <c r="Q154" s="152">
        <v>5811998.2599999998</v>
      </c>
      <c r="R154" s="152">
        <v>47365</v>
      </c>
      <c r="S154" s="152">
        <v>8722</v>
      </c>
      <c r="T154" s="152">
        <v>219364</v>
      </c>
      <c r="U154" s="152">
        <v>197591</v>
      </c>
      <c r="V154" s="152">
        <v>379690</v>
      </c>
      <c r="W154" s="152">
        <v>116948</v>
      </c>
      <c r="X154" s="187">
        <v>39945</v>
      </c>
      <c r="Y154" s="152">
        <v>8879</v>
      </c>
      <c r="Z154" s="152">
        <v>70523</v>
      </c>
      <c r="AA154" s="152">
        <v>7251</v>
      </c>
      <c r="AB154" s="152">
        <v>65612</v>
      </c>
      <c r="AC154" s="152">
        <v>382435</v>
      </c>
      <c r="AD154" s="152">
        <v>314474</v>
      </c>
      <c r="AE154" s="152">
        <v>656700</v>
      </c>
      <c r="AF154" s="152">
        <v>108683</v>
      </c>
      <c r="AG154" s="152">
        <v>15590</v>
      </c>
      <c r="AH154" s="152">
        <v>143420</v>
      </c>
      <c r="AI154" s="152">
        <v>111673</v>
      </c>
      <c r="AJ154" s="152">
        <v>18859</v>
      </c>
      <c r="AK154" s="152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3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3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99147429.620000005</v>
      </c>
      <c r="H155" s="38">
        <f t="shared" ref="H155:K155" si="39">H97</f>
        <v>98783155</v>
      </c>
      <c r="I155" s="38">
        <f t="shared" si="39"/>
        <v>98938804.020262182</v>
      </c>
      <c r="J155" s="38">
        <f t="shared" si="39"/>
        <v>99677917.401985317</v>
      </c>
      <c r="K155" s="38">
        <f t="shared" si="39"/>
        <v>99700000</v>
      </c>
      <c r="L155" s="38">
        <f t="shared" ref="L155:M155" si="40">L97</f>
        <v>99750000</v>
      </c>
      <c r="M155" s="38">
        <f t="shared" si="40"/>
        <v>99800000</v>
      </c>
      <c r="N155" s="205"/>
      <c r="O155" s="108">
        <v>153</v>
      </c>
      <c r="P155" s="108">
        <v>0</v>
      </c>
      <c r="Q155" s="152">
        <v>25280291057</v>
      </c>
      <c r="R155" s="152">
        <v>223988678.07520866</v>
      </c>
      <c r="S155" s="152">
        <v>29726073.119999997</v>
      </c>
      <c r="T155" s="152">
        <v>985257711</v>
      </c>
      <c r="U155" s="152">
        <v>973189790.19000006</v>
      </c>
      <c r="V155" s="152">
        <v>1587097140</v>
      </c>
      <c r="W155" s="152">
        <v>473473781.3066833</v>
      </c>
      <c r="X155" s="187">
        <v>142194816.25999999</v>
      </c>
      <c r="Y155" s="152">
        <v>24228193</v>
      </c>
      <c r="Z155" s="152">
        <v>307635771.03999996</v>
      </c>
      <c r="AA155" s="152">
        <v>29043489</v>
      </c>
      <c r="AB155" s="152">
        <v>244678551</v>
      </c>
      <c r="AC155" s="152">
        <v>1693068324</v>
      </c>
      <c r="AD155" s="152">
        <v>1211909343</v>
      </c>
      <c r="AE155" s="152">
        <v>2429022729</v>
      </c>
      <c r="AF155" s="152">
        <v>506809214.88</v>
      </c>
      <c r="AG155" s="152">
        <v>56436105.189999998</v>
      </c>
      <c r="AH155" s="152">
        <v>514149798.70999998</v>
      </c>
      <c r="AI155" s="152">
        <v>609956991</v>
      </c>
      <c r="AJ155" s="152">
        <v>73312156.159999996</v>
      </c>
      <c r="AK155" s="152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3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3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93.352941176470594</v>
      </c>
      <c r="H156" s="44">
        <f t="shared" ref="H156:K156" si="41">H143</f>
        <v>100.99607843137255</v>
      </c>
      <c r="I156" s="44">
        <f t="shared" si="41"/>
        <v>107.68382352941177</v>
      </c>
      <c r="J156" s="44">
        <f t="shared" si="41"/>
        <v>113.58477508650519</v>
      </c>
      <c r="K156" s="44">
        <f t="shared" si="41"/>
        <v>118.83006535947713</v>
      </c>
      <c r="L156" s="44">
        <f t="shared" ref="L156:M156" si="42">L143</f>
        <v>123.78395061728396</v>
      </c>
      <c r="M156" s="44">
        <f t="shared" si="42"/>
        <v>128.46262002743484</v>
      </c>
      <c r="N156" s="210"/>
      <c r="O156" s="108">
        <v>154</v>
      </c>
      <c r="P156" s="108">
        <v>0</v>
      </c>
      <c r="Q156" s="152">
        <v>18885.28823529412</v>
      </c>
      <c r="R156" s="152">
        <v>1841.4588235294118</v>
      </c>
      <c r="S156" s="152">
        <v>92.088235294117652</v>
      </c>
      <c r="T156" s="152">
        <v>772.4</v>
      </c>
      <c r="U156" s="152">
        <v>501.76470588235293</v>
      </c>
      <c r="V156" s="152">
        <v>1531.8764705882354</v>
      </c>
      <c r="W156" s="152">
        <v>986.45882352941169</v>
      </c>
      <c r="X156" s="187">
        <v>147.58823529411765</v>
      </c>
      <c r="Y156" s="152">
        <v>27.441176470588236</v>
      </c>
      <c r="Z156" s="152">
        <v>334.35294117647061</v>
      </c>
      <c r="AA156" s="152">
        <v>29.652941176470591</v>
      </c>
      <c r="AB156" s="152">
        <v>148.44117647058826</v>
      </c>
      <c r="AC156" s="152">
        <v>1528.3941176470589</v>
      </c>
      <c r="AD156" s="152">
        <v>1176.6235294117646</v>
      </c>
      <c r="AE156" s="152">
        <v>1578.1764705882354</v>
      </c>
      <c r="AF156" s="152">
        <v>326.08235294117645</v>
      </c>
      <c r="AG156" s="152">
        <v>137.32941176470584</v>
      </c>
      <c r="AH156" s="152">
        <v>456.25294117647059</v>
      </c>
      <c r="AI156" s="152">
        <v>269.74705882352936</v>
      </c>
      <c r="AJ156" s="152">
        <v>80.45882352941176</v>
      </c>
      <c r="AK156" s="152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3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3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7.6379066478076379E-2</v>
      </c>
      <c r="H157" s="30">
        <f t="shared" ref="H157:L157" si="43">H145</f>
        <v>6.83E-2</v>
      </c>
      <c r="I157" s="30">
        <f t="shared" si="43"/>
        <v>6.83E-2</v>
      </c>
      <c r="J157" s="30">
        <f t="shared" si="43"/>
        <v>6.83E-2</v>
      </c>
      <c r="K157" s="30">
        <f t="shared" si="43"/>
        <v>6.83E-2</v>
      </c>
      <c r="L157" s="30">
        <f t="shared" si="43"/>
        <v>6.83E-2</v>
      </c>
      <c r="M157" s="30">
        <f t="shared" ref="M157" si="44">M145</f>
        <v>6.83E-2</v>
      </c>
      <c r="N157" s="211"/>
      <c r="O157" s="108">
        <v>155</v>
      </c>
      <c r="P157" s="108">
        <v>0</v>
      </c>
      <c r="Q157" s="152">
        <v>0.14623170672470862</v>
      </c>
      <c r="R157" s="152">
        <v>1.1564684560283076E-2</v>
      </c>
      <c r="S157" s="152">
        <v>-2.386634844868735E-2</v>
      </c>
      <c r="T157" s="152">
        <v>1.3059804517090949E-2</v>
      </c>
      <c r="U157" s="152">
        <v>6.4900061377525145E-2</v>
      </c>
      <c r="V157" s="152">
        <v>8.2933516106922553E-2</v>
      </c>
      <c r="W157" s="152">
        <v>3.0224038326053262E-2</v>
      </c>
      <c r="X157" s="187">
        <v>0.11301315580916152</v>
      </c>
      <c r="Y157" s="152">
        <v>-9.5131086142322102E-2</v>
      </c>
      <c r="Z157" s="152">
        <v>0.20998123305762145</v>
      </c>
      <c r="AA157" s="152">
        <v>0.190599173553719</v>
      </c>
      <c r="AB157" s="152">
        <v>0.143646917902884</v>
      </c>
      <c r="AC157" s="152">
        <v>0.32673387832931011</v>
      </c>
      <c r="AD157" s="152">
        <v>7.1199753859518947E-2</v>
      </c>
      <c r="AE157" s="152">
        <v>5.1202684183167146E-2</v>
      </c>
      <c r="AF157" s="152">
        <v>0.17911636742447454</v>
      </c>
      <c r="AG157" s="152">
        <v>-1.3735443415945058E-2</v>
      </c>
      <c r="AH157" s="152">
        <v>7.4725196032797453E-2</v>
      </c>
      <c r="AI157" s="152">
        <v>0.10183561926368979</v>
      </c>
      <c r="AJ157" s="152">
        <v>-6.3984003999000255E-2</v>
      </c>
      <c r="AK157" s="152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3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3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08">
        <v>156</v>
      </c>
      <c r="P158" s="108">
        <v>0</v>
      </c>
      <c r="Q158" s="152">
        <v>12</v>
      </c>
      <c r="R158" s="152">
        <v>12</v>
      </c>
      <c r="S158" s="152">
        <v>12</v>
      </c>
      <c r="T158" s="152">
        <v>12</v>
      </c>
      <c r="U158" s="152">
        <v>12</v>
      </c>
      <c r="V158" s="152">
        <v>12</v>
      </c>
      <c r="W158" s="152">
        <v>12</v>
      </c>
      <c r="X158" s="187">
        <v>12</v>
      </c>
      <c r="Y158" s="152">
        <v>12</v>
      </c>
      <c r="Z158" s="152">
        <v>12</v>
      </c>
      <c r="AA158" s="152">
        <v>12</v>
      </c>
      <c r="AB158" s="152">
        <v>12</v>
      </c>
      <c r="AC158" s="152">
        <v>12</v>
      </c>
      <c r="AD158" s="152">
        <v>12</v>
      </c>
      <c r="AE158" s="152">
        <v>12</v>
      </c>
      <c r="AF158" s="152">
        <v>12</v>
      </c>
      <c r="AG158" s="152">
        <v>12</v>
      </c>
      <c r="AH158" s="152">
        <v>12</v>
      </c>
      <c r="AI158" s="152">
        <v>12</v>
      </c>
      <c r="AJ158" s="152">
        <v>12</v>
      </c>
      <c r="AK158" s="152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3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3">
      <c r="A159" s="3"/>
      <c r="B159" s="9">
        <v>145</v>
      </c>
      <c r="D159" s="3"/>
      <c r="E159" s="36"/>
      <c r="M159" s="87"/>
      <c r="O159" s="108">
        <v>157</v>
      </c>
      <c r="P159" s="108">
        <v>0</v>
      </c>
      <c r="Q159" s="152"/>
      <c r="R159" s="152"/>
      <c r="S159" s="152"/>
      <c r="T159" s="152"/>
      <c r="U159" s="152"/>
      <c r="V159" s="152"/>
      <c r="W159" s="152"/>
      <c r="X159" s="187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3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3">
      <c r="A160" s="3"/>
      <c r="B160" s="9">
        <v>146</v>
      </c>
      <c r="D160" s="27"/>
      <c r="E160" s="36"/>
      <c r="M160" s="87"/>
      <c r="O160" s="108">
        <v>158</v>
      </c>
      <c r="P160" s="108">
        <v>0</v>
      </c>
      <c r="Q160" s="152"/>
      <c r="R160" s="152"/>
      <c r="S160" s="152"/>
      <c r="T160" s="152"/>
      <c r="U160" s="152"/>
      <c r="V160" s="152"/>
      <c r="W160" s="152"/>
      <c r="X160" s="187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3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3">
      <c r="A161" s="3"/>
      <c r="B161" s="9">
        <v>147</v>
      </c>
      <c r="C161" s="27" t="s">
        <v>124</v>
      </c>
      <c r="D161" s="27"/>
      <c r="E161" s="36"/>
      <c r="M161" s="87"/>
      <c r="O161" s="108">
        <v>159</v>
      </c>
      <c r="P161" s="108">
        <v>0</v>
      </c>
      <c r="Q161" s="152"/>
      <c r="R161" s="152"/>
      <c r="S161" s="152"/>
      <c r="T161" s="152"/>
      <c r="U161" s="152"/>
      <c r="V161" s="152"/>
      <c r="W161" s="152"/>
      <c r="X161" s="187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3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3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46">HLOOKUP($E$3,$P$3:$CE$269,O162,FALSE)</f>
        <v>12.815289735331385</v>
      </c>
      <c r="H162" s="48">
        <f t="shared" ref="H162:M179" si="47">G162</f>
        <v>12.815289735331385</v>
      </c>
      <c r="I162" s="48">
        <f t="shared" si="47"/>
        <v>12.815289735331385</v>
      </c>
      <c r="J162" s="48">
        <f t="shared" si="47"/>
        <v>12.815289735331385</v>
      </c>
      <c r="K162" s="48">
        <f t="shared" si="47"/>
        <v>12.815289735331385</v>
      </c>
      <c r="L162" s="48">
        <f t="shared" si="47"/>
        <v>12.815289735331385</v>
      </c>
      <c r="M162" s="48">
        <f t="shared" si="47"/>
        <v>12.815289735331385</v>
      </c>
      <c r="N162" s="212"/>
      <c r="O162" s="108">
        <v>160</v>
      </c>
      <c r="P162" s="108">
        <v>0</v>
      </c>
      <c r="Q162" s="152">
        <v>12.817219145404639</v>
      </c>
      <c r="R162" s="152">
        <v>12.809732041092667</v>
      </c>
      <c r="S162" s="152">
        <v>12.815667288766317</v>
      </c>
      <c r="T162" s="152">
        <v>12.814549938113361</v>
      </c>
      <c r="U162" s="152">
        <v>12.81527413480965</v>
      </c>
      <c r="V162" s="152">
        <v>12.816805233884939</v>
      </c>
      <c r="W162" s="152">
        <v>12.81288440307239</v>
      </c>
      <c r="X162" s="187">
        <v>12.81331330994302</v>
      </c>
      <c r="Y162" s="152">
        <v>12.814736982825067</v>
      </c>
      <c r="Z162" s="152">
        <v>12.812338831390388</v>
      </c>
      <c r="AA162" s="152">
        <v>12.810934558134596</v>
      </c>
      <c r="AB162" s="152">
        <v>12.811148202512005</v>
      </c>
      <c r="AC162" s="152">
        <v>12.816571389915095</v>
      </c>
      <c r="AD162" s="152">
        <v>12.821412544937436</v>
      </c>
      <c r="AE162" s="152">
        <v>12.819095782593745</v>
      </c>
      <c r="AF162" s="152">
        <v>12.812096781482326</v>
      </c>
      <c r="AG162" s="152">
        <v>12.820454839694522</v>
      </c>
      <c r="AH162" s="152">
        <v>12.815345078290729</v>
      </c>
      <c r="AI162" s="152">
        <v>12.815711468242117</v>
      </c>
      <c r="AJ162" s="152">
        <v>12.812372588661209</v>
      </c>
      <c r="AK162" s="152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3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3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46"/>
        <v>0.62705212360064444</v>
      </c>
      <c r="H163" s="48">
        <f t="shared" si="47"/>
        <v>0.62705212360064444</v>
      </c>
      <c r="I163" s="48">
        <f t="shared" si="47"/>
        <v>0.62705212360064444</v>
      </c>
      <c r="J163" s="48">
        <f t="shared" si="47"/>
        <v>0.62705212360064444</v>
      </c>
      <c r="K163" s="48">
        <f t="shared" si="47"/>
        <v>0.62705212360064444</v>
      </c>
      <c r="L163" s="48">
        <f t="shared" si="47"/>
        <v>0.62705212360064444</v>
      </c>
      <c r="M163" s="48">
        <f t="shared" si="47"/>
        <v>0.62705212360064444</v>
      </c>
      <c r="N163" s="212"/>
      <c r="O163" s="108">
        <v>161</v>
      </c>
      <c r="P163" s="108">
        <v>0</v>
      </c>
      <c r="Q163" s="152">
        <v>0.62712970811613922</v>
      </c>
      <c r="R163" s="152">
        <v>0.62643242664315246</v>
      </c>
      <c r="S163" s="152">
        <v>0.62653853064688692</v>
      </c>
      <c r="T163" s="152">
        <v>0.6328047547232748</v>
      </c>
      <c r="U163" s="152">
        <v>0.6266420475927259</v>
      </c>
      <c r="V163" s="152">
        <v>0.62645281025512112</v>
      </c>
      <c r="W163" s="152">
        <v>0.62777892695115167</v>
      </c>
      <c r="X163" s="187">
        <v>0.62722193683244376</v>
      </c>
      <c r="Y163" s="152">
        <v>0.62665786861574369</v>
      </c>
      <c r="Z163" s="152">
        <v>0.6293676487913592</v>
      </c>
      <c r="AA163" s="152">
        <v>0.63118119214696933</v>
      </c>
      <c r="AB163" s="152">
        <v>0.62748695413763633</v>
      </c>
      <c r="AC163" s="152">
        <v>0.62625791288463828</v>
      </c>
      <c r="AD163" s="152">
        <v>0.62821524004612495</v>
      </c>
      <c r="AE163" s="152">
        <v>0.62671730298834671</v>
      </c>
      <c r="AF163" s="152">
        <v>0.62771962840268625</v>
      </c>
      <c r="AG163" s="152">
        <v>0.62649571916465363</v>
      </c>
      <c r="AH163" s="152">
        <v>0.62607624823750918</v>
      </c>
      <c r="AI163" s="152">
        <v>0.62209521131343637</v>
      </c>
      <c r="AJ163" s="152">
        <v>0.62704150513783619</v>
      </c>
      <c r="AK163" s="152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3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3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46"/>
        <v>0.44683231305323856</v>
      </c>
      <c r="H164" s="48">
        <f t="shared" si="47"/>
        <v>0.44683231305323856</v>
      </c>
      <c r="I164" s="48">
        <f t="shared" si="47"/>
        <v>0.44683231305323856</v>
      </c>
      <c r="J164" s="48">
        <f t="shared" si="47"/>
        <v>0.44683231305323856</v>
      </c>
      <c r="K164" s="48">
        <f t="shared" si="47"/>
        <v>0.44683231305323856</v>
      </c>
      <c r="L164" s="48">
        <f t="shared" si="47"/>
        <v>0.44683231305323856</v>
      </c>
      <c r="M164" s="48">
        <f t="shared" si="47"/>
        <v>0.44683231305323856</v>
      </c>
      <c r="N164" s="212"/>
      <c r="O164" s="108">
        <v>162</v>
      </c>
      <c r="P164" s="108">
        <v>0</v>
      </c>
      <c r="Q164" s="152">
        <v>0.42381762023795266</v>
      </c>
      <c r="R164" s="152">
        <v>0.45713993689039062</v>
      </c>
      <c r="S164" s="152">
        <v>0.4439023607460244</v>
      </c>
      <c r="T164" s="152">
        <v>0.44057142147939932</v>
      </c>
      <c r="U164" s="152">
        <v>0.44477792881448552</v>
      </c>
      <c r="V164" s="152">
        <v>0.43873386187248575</v>
      </c>
      <c r="W164" s="152">
        <v>0.44479564805494209</v>
      </c>
      <c r="X164" s="187">
        <v>0.44755158910340032</v>
      </c>
      <c r="Y164" s="152">
        <v>0.44524665751828291</v>
      </c>
      <c r="Z164" s="152">
        <v>0.44061715082506375</v>
      </c>
      <c r="AA164" s="152">
        <v>0.44745410998208301</v>
      </c>
      <c r="AB164" s="152">
        <v>0.44313835605104801</v>
      </c>
      <c r="AC164" s="152">
        <v>0.4358896076051535</v>
      </c>
      <c r="AD164" s="152">
        <v>0.42638488478866743</v>
      </c>
      <c r="AE164" s="152">
        <v>0.45244742162916041</v>
      </c>
      <c r="AF164" s="152">
        <v>0.45271762057555354</v>
      </c>
      <c r="AG164" s="152">
        <v>0.44521613602173082</v>
      </c>
      <c r="AH164" s="152">
        <v>0.44682826788847246</v>
      </c>
      <c r="AI164" s="152">
        <v>0.45201542149564689</v>
      </c>
      <c r="AJ164" s="152">
        <v>0.4464027375197227</v>
      </c>
      <c r="AK164" s="152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3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3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46"/>
        <v>0.15925517629622021</v>
      </c>
      <c r="H165" s="48">
        <f t="shared" si="47"/>
        <v>0.15925517629622021</v>
      </c>
      <c r="I165" s="48">
        <f t="shared" si="47"/>
        <v>0.15925517629622021</v>
      </c>
      <c r="J165" s="48">
        <f t="shared" si="47"/>
        <v>0.15925517629622021</v>
      </c>
      <c r="K165" s="48">
        <f t="shared" si="47"/>
        <v>0.15925517629622021</v>
      </c>
      <c r="L165" s="48">
        <f t="shared" si="47"/>
        <v>0.15925517629622021</v>
      </c>
      <c r="M165" s="48">
        <f t="shared" si="47"/>
        <v>0.15925517629622021</v>
      </c>
      <c r="N165" s="212"/>
      <c r="O165" s="108">
        <v>163</v>
      </c>
      <c r="P165" s="108">
        <v>0</v>
      </c>
      <c r="Q165" s="152">
        <v>0.19096276480396263</v>
      </c>
      <c r="R165" s="152">
        <v>0.15665784699970534</v>
      </c>
      <c r="S165" s="152">
        <v>0.1617444919555816</v>
      </c>
      <c r="T165" s="152">
        <v>0.16082604962565611</v>
      </c>
      <c r="U165" s="152">
        <v>0.15980624732477092</v>
      </c>
      <c r="V165" s="152">
        <v>0.16310337583390586</v>
      </c>
      <c r="W165" s="152">
        <v>0.16252049393951762</v>
      </c>
      <c r="X165" s="187">
        <v>0.15481466094418173</v>
      </c>
      <c r="Y165" s="152">
        <v>0.15517605381023231</v>
      </c>
      <c r="Z165" s="152">
        <v>0.16553001458055727</v>
      </c>
      <c r="AA165" s="152">
        <v>0.16256292839174574</v>
      </c>
      <c r="AB165" s="152">
        <v>0.16819202909035297</v>
      </c>
      <c r="AC165" s="152">
        <v>0.16831921619179602</v>
      </c>
      <c r="AD165" s="152">
        <v>0.16915297456674111</v>
      </c>
      <c r="AE165" s="152">
        <v>0.16696938333937167</v>
      </c>
      <c r="AF165" s="152">
        <v>0.15509730054549328</v>
      </c>
      <c r="AG165" s="152">
        <v>0.15784576240515069</v>
      </c>
      <c r="AH165" s="152">
        <v>0.16157425539342624</v>
      </c>
      <c r="AI165" s="152">
        <v>0.15455513331555285</v>
      </c>
      <c r="AJ165" s="152">
        <v>0.16160336889525384</v>
      </c>
      <c r="AK165" s="152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3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3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46"/>
        <v>0.1042627293398468</v>
      </c>
      <c r="H166" s="48">
        <f t="shared" si="47"/>
        <v>0.1042627293398468</v>
      </c>
      <c r="I166" s="48">
        <f t="shared" si="47"/>
        <v>0.1042627293398468</v>
      </c>
      <c r="J166" s="48">
        <f t="shared" si="47"/>
        <v>0.1042627293398468</v>
      </c>
      <c r="K166" s="48">
        <f t="shared" si="47"/>
        <v>0.1042627293398468</v>
      </c>
      <c r="L166" s="48">
        <f t="shared" si="47"/>
        <v>0.1042627293398468</v>
      </c>
      <c r="M166" s="48">
        <f t="shared" si="47"/>
        <v>0.1042627293398468</v>
      </c>
      <c r="N166" s="212"/>
      <c r="O166" s="108">
        <v>164</v>
      </c>
      <c r="P166" s="108">
        <v>0</v>
      </c>
      <c r="Q166" s="152">
        <v>9.4677511393098171E-2</v>
      </c>
      <c r="R166" s="152">
        <v>0.11095634019827018</v>
      </c>
      <c r="S166" s="152">
        <v>9.9479524361308885E-2</v>
      </c>
      <c r="T166" s="152">
        <v>0.11006314761137045</v>
      </c>
      <c r="U166" s="152">
        <v>0.10505984096412749</v>
      </c>
      <c r="V166" s="152">
        <v>0.10907159670629264</v>
      </c>
      <c r="W166" s="152">
        <v>0.10179342606131343</v>
      </c>
      <c r="X166" s="187">
        <v>0.10977007445625103</v>
      </c>
      <c r="Y166" s="152">
        <v>0.10876831095024361</v>
      </c>
      <c r="Z166" s="152">
        <v>0.10466523755598584</v>
      </c>
      <c r="AA166" s="152">
        <v>0.10661130436832145</v>
      </c>
      <c r="AB166" s="152">
        <v>0.1018364785179439</v>
      </c>
      <c r="AC166" s="152">
        <v>0.10745367871077752</v>
      </c>
      <c r="AD166" s="152">
        <v>0.11285150840872868</v>
      </c>
      <c r="AE166" s="152">
        <v>8.6397660773184212E-2</v>
      </c>
      <c r="AF166" s="152">
        <v>0.1057203064698805</v>
      </c>
      <c r="AG166" s="152">
        <v>0.10302773180002736</v>
      </c>
      <c r="AH166" s="152">
        <v>0.10431420693070237</v>
      </c>
      <c r="AI166" s="152">
        <v>9.2676138236125125E-2</v>
      </c>
      <c r="AJ166" s="152">
        <v>0.10612395466848289</v>
      </c>
      <c r="AK166" s="152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3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3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46"/>
        <v>0.12567133584468748</v>
      </c>
      <c r="H167" s="48">
        <f t="shared" si="47"/>
        <v>0.12567133584468748</v>
      </c>
      <c r="I167" s="48">
        <f t="shared" si="47"/>
        <v>0.12567133584468748</v>
      </c>
      <c r="J167" s="48">
        <f t="shared" si="47"/>
        <v>0.12567133584468748</v>
      </c>
      <c r="K167" s="48">
        <f t="shared" si="47"/>
        <v>0.12567133584468748</v>
      </c>
      <c r="L167" s="48">
        <f t="shared" si="47"/>
        <v>0.12567133584468748</v>
      </c>
      <c r="M167" s="48">
        <f t="shared" si="47"/>
        <v>0.12567133584468748</v>
      </c>
      <c r="N167" s="212"/>
      <c r="O167" s="108">
        <v>165</v>
      </c>
      <c r="P167" s="108">
        <v>0</v>
      </c>
      <c r="Q167" s="152">
        <v>0.12150468166324147</v>
      </c>
      <c r="R167" s="152">
        <v>0.12359159685608501</v>
      </c>
      <c r="S167" s="152">
        <v>0.12324787238901624</v>
      </c>
      <c r="T167" s="152">
        <v>0.13217376575351314</v>
      </c>
      <c r="U167" s="152">
        <v>0.12013030694372406</v>
      </c>
      <c r="V167" s="152">
        <v>0.12288769765677032</v>
      </c>
      <c r="W167" s="152">
        <v>0.12919440994006814</v>
      </c>
      <c r="X167" s="187">
        <v>0.12487470386764654</v>
      </c>
      <c r="Y167" s="152">
        <v>0.12097350377727345</v>
      </c>
      <c r="Z167" s="152">
        <v>0.12794174119086588</v>
      </c>
      <c r="AA167" s="152">
        <v>0.13706018401500897</v>
      </c>
      <c r="AB167" s="152">
        <v>0.12870964222518633</v>
      </c>
      <c r="AC167" s="152">
        <v>0.12189278087833144</v>
      </c>
      <c r="AD167" s="152">
        <v>0.13726772631351714</v>
      </c>
      <c r="AE167" s="152">
        <v>0.12198175940059586</v>
      </c>
      <c r="AF167" s="152">
        <v>0.12676771898688943</v>
      </c>
      <c r="AG167" s="152">
        <v>0.12173752796686821</v>
      </c>
      <c r="AH167" s="152">
        <v>0.12171966210426044</v>
      </c>
      <c r="AI167" s="152">
        <v>0.11428480170755995</v>
      </c>
      <c r="AJ167" s="152">
        <v>0.12321666434535516</v>
      </c>
      <c r="AK167" s="152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3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3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46"/>
        <v>-0.39025396151577973</v>
      </c>
      <c r="H168" s="48">
        <f t="shared" si="47"/>
        <v>-0.39025396151577973</v>
      </c>
      <c r="I168" s="48">
        <f t="shared" si="47"/>
        <v>-0.39025396151577973</v>
      </c>
      <c r="J168" s="48">
        <f t="shared" si="47"/>
        <v>-0.39025396151577973</v>
      </c>
      <c r="K168" s="48">
        <f t="shared" si="47"/>
        <v>-0.39025396151577973</v>
      </c>
      <c r="L168" s="48">
        <f t="shared" si="47"/>
        <v>-0.39025396151577973</v>
      </c>
      <c r="M168" s="48">
        <f t="shared" si="47"/>
        <v>-0.39025396151577973</v>
      </c>
      <c r="N168" s="212"/>
      <c r="O168" s="108">
        <v>166</v>
      </c>
      <c r="P168" s="108">
        <v>0</v>
      </c>
      <c r="Q168" s="152">
        <v>-0.37229165620323451</v>
      </c>
      <c r="R168" s="152">
        <v>-0.40029655329034286</v>
      </c>
      <c r="S168" s="152">
        <v>-0.35409746395880048</v>
      </c>
      <c r="T168" s="152">
        <v>-0.38079269995727272</v>
      </c>
      <c r="U168" s="152">
        <v>-0.36934413846152148</v>
      </c>
      <c r="V168" s="152">
        <v>-0.37238802143178218</v>
      </c>
      <c r="W168" s="152">
        <v>-0.3479372427761262</v>
      </c>
      <c r="X168" s="187">
        <v>-0.39556858220062985</v>
      </c>
      <c r="Y168" s="152">
        <v>-0.41443878646004056</v>
      </c>
      <c r="Z168" s="152">
        <v>-0.42901924253101764</v>
      </c>
      <c r="AA168" s="152">
        <v>-0.33467907529638907</v>
      </c>
      <c r="AB168" s="152">
        <v>-0.39218484854447522</v>
      </c>
      <c r="AC168" s="152">
        <v>-0.34925812609869589</v>
      </c>
      <c r="AD168" s="152">
        <v>-0.36636745662078835</v>
      </c>
      <c r="AE168" s="152">
        <v>-0.45925238847230287</v>
      </c>
      <c r="AF168" s="152">
        <v>-0.37266565684339747</v>
      </c>
      <c r="AG168" s="152">
        <v>-0.43179131955659478</v>
      </c>
      <c r="AH168" s="152">
        <v>-0.37734922005510918</v>
      </c>
      <c r="AI168" s="152">
        <v>-0.35842476957809133</v>
      </c>
      <c r="AJ168" s="152">
        <v>-0.35454392671765556</v>
      </c>
      <c r="AK168" s="152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3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3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46"/>
        <v>0.19466101229742394</v>
      </c>
      <c r="H169" s="48">
        <f t="shared" si="47"/>
        <v>0.19466101229742394</v>
      </c>
      <c r="I169" s="48">
        <f t="shared" si="47"/>
        <v>0.19466101229742394</v>
      </c>
      <c r="J169" s="48">
        <f t="shared" si="47"/>
        <v>0.19466101229742394</v>
      </c>
      <c r="K169" s="48">
        <f t="shared" si="47"/>
        <v>0.19466101229742394</v>
      </c>
      <c r="L169" s="48">
        <f t="shared" si="47"/>
        <v>0.19466101229742394</v>
      </c>
      <c r="M169" s="48">
        <f t="shared" si="47"/>
        <v>0.19466101229742394</v>
      </c>
      <c r="N169" s="212"/>
      <c r="O169" s="108">
        <v>167</v>
      </c>
      <c r="P169" s="108">
        <v>0</v>
      </c>
      <c r="Q169" s="152">
        <v>0.25107352360474089</v>
      </c>
      <c r="R169" s="152">
        <v>0.22272730217267106</v>
      </c>
      <c r="S169" s="152">
        <v>0.21300959127088095</v>
      </c>
      <c r="T169" s="152">
        <v>0.17335542337902538</v>
      </c>
      <c r="U169" s="152">
        <v>0.19756385978967794</v>
      </c>
      <c r="V169" s="152">
        <v>0.18996236641101552</v>
      </c>
      <c r="W169" s="152">
        <v>0.20381579665316127</v>
      </c>
      <c r="X169" s="187">
        <v>0.25152891820417489</v>
      </c>
      <c r="Y169" s="152">
        <v>0.17811555362105094</v>
      </c>
      <c r="Z169" s="152">
        <v>0.16844599337173957</v>
      </c>
      <c r="AA169" s="152">
        <v>0.20463766697671296</v>
      </c>
      <c r="AB169" s="152">
        <v>0.16958826570242688</v>
      </c>
      <c r="AC169" s="152">
        <v>0.20491353114258057</v>
      </c>
      <c r="AD169" s="152">
        <v>0.18249730011161983</v>
      </c>
      <c r="AE169" s="152">
        <v>0.15794361855622402</v>
      </c>
      <c r="AF169" s="152">
        <v>0.11632977868088479</v>
      </c>
      <c r="AG169" s="152">
        <v>0.1251282609437471</v>
      </c>
      <c r="AH169" s="152">
        <v>0.18855649782772993</v>
      </c>
      <c r="AI169" s="152">
        <v>0.21778015067159809</v>
      </c>
      <c r="AJ169" s="152">
        <v>0.1956193740023032</v>
      </c>
      <c r="AK169" s="152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3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3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46"/>
        <v>0.16202335231267001</v>
      </c>
      <c r="H170" s="48">
        <f t="shared" si="47"/>
        <v>0.16202335231267001</v>
      </c>
      <c r="I170" s="48">
        <f t="shared" si="47"/>
        <v>0.16202335231267001</v>
      </c>
      <c r="J170" s="48">
        <f t="shared" si="47"/>
        <v>0.16202335231267001</v>
      </c>
      <c r="K170" s="48">
        <f t="shared" si="47"/>
        <v>0.16202335231267001</v>
      </c>
      <c r="L170" s="48">
        <f t="shared" si="47"/>
        <v>0.16202335231267001</v>
      </c>
      <c r="M170" s="48">
        <f t="shared" si="47"/>
        <v>0.16202335231267001</v>
      </c>
      <c r="N170" s="212"/>
      <c r="O170" s="108">
        <v>168</v>
      </c>
      <c r="P170" s="108">
        <v>0</v>
      </c>
      <c r="Q170" s="152">
        <v>0.14596830485981666</v>
      </c>
      <c r="R170" s="152">
        <v>0.17177849581388829</v>
      </c>
      <c r="S170" s="152">
        <v>0.15483886501318267</v>
      </c>
      <c r="T170" s="152">
        <v>0.17794974498286584</v>
      </c>
      <c r="U170" s="152">
        <v>0.16646675427234686</v>
      </c>
      <c r="V170" s="152">
        <v>0.17188676846649997</v>
      </c>
      <c r="W170" s="152">
        <v>0.16001913836834675</v>
      </c>
      <c r="X170" s="187">
        <v>0.17826995710647331</v>
      </c>
      <c r="Y170" s="152">
        <v>0.17432798980667397</v>
      </c>
      <c r="Z170" s="152">
        <v>0.16437855724120906</v>
      </c>
      <c r="AA170" s="152">
        <v>0.16941256687878514</v>
      </c>
      <c r="AB170" s="152">
        <v>0.15529711493754556</v>
      </c>
      <c r="AC170" s="152">
        <v>0.16731089891616763</v>
      </c>
      <c r="AD170" s="152">
        <v>0.18664684042524549</v>
      </c>
      <c r="AE170" s="152">
        <v>0.1547561951000799</v>
      </c>
      <c r="AF170" s="152">
        <v>0.14311942948519987</v>
      </c>
      <c r="AG170" s="152">
        <v>0.15578145602833682</v>
      </c>
      <c r="AH170" s="152">
        <v>0.16396621973346462</v>
      </c>
      <c r="AI170" s="152">
        <v>0.13416837582546362</v>
      </c>
      <c r="AJ170" s="152">
        <v>0.16890950559847798</v>
      </c>
      <c r="AK170" s="152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3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3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46"/>
        <v>5.4452989613549385E-2</v>
      </c>
      <c r="H171" s="48">
        <f t="shared" si="47"/>
        <v>5.4452989613549385E-2</v>
      </c>
      <c r="I171" s="48">
        <f t="shared" si="47"/>
        <v>5.4452989613549385E-2</v>
      </c>
      <c r="J171" s="48">
        <f t="shared" si="47"/>
        <v>5.4452989613549385E-2</v>
      </c>
      <c r="K171" s="48">
        <f t="shared" si="47"/>
        <v>5.4452989613549385E-2</v>
      </c>
      <c r="L171" s="48">
        <f t="shared" si="47"/>
        <v>5.4452989613549385E-2</v>
      </c>
      <c r="M171" s="48">
        <f t="shared" si="47"/>
        <v>5.4452989613549385E-2</v>
      </c>
      <c r="N171" s="212"/>
      <c r="O171" s="108">
        <v>169</v>
      </c>
      <c r="P171" s="108">
        <v>0</v>
      </c>
      <c r="Q171" s="152">
        <v>5.503990155228089E-2</v>
      </c>
      <c r="R171" s="152">
        <v>4.916034883349274E-2</v>
      </c>
      <c r="S171" s="152">
        <v>5.3284587002275452E-2</v>
      </c>
      <c r="T171" s="152">
        <v>4.6438770495822568E-2</v>
      </c>
      <c r="U171" s="152">
        <v>5.378123107436461E-2</v>
      </c>
      <c r="V171" s="152">
        <v>5.4123928392651788E-2</v>
      </c>
      <c r="W171" s="152">
        <v>5.3204514285881799E-2</v>
      </c>
      <c r="X171" s="187">
        <v>5.3512745703827136E-2</v>
      </c>
      <c r="Y171" s="152">
        <v>5.2580154946279323E-2</v>
      </c>
      <c r="Z171" s="152">
        <v>5.4667101446115196E-2</v>
      </c>
      <c r="AA171" s="152">
        <v>5.0296776035877011E-2</v>
      </c>
      <c r="AB171" s="152">
        <v>5.4182273542130122E-2</v>
      </c>
      <c r="AC171" s="152">
        <v>5.5403825613348445E-2</v>
      </c>
      <c r="AD171" s="152">
        <v>5.13127303109433E-2</v>
      </c>
      <c r="AE171" s="152">
        <v>5.288435121579127E-2</v>
      </c>
      <c r="AF171" s="152">
        <v>5.147941371628928E-2</v>
      </c>
      <c r="AG171" s="152">
        <v>5.3175575741781445E-2</v>
      </c>
      <c r="AH171" s="152">
        <v>5.4158651158093707E-2</v>
      </c>
      <c r="AI171" s="152">
        <v>5.8419685387726017E-2</v>
      </c>
      <c r="AJ171" s="152">
        <v>5.3813202937880944E-2</v>
      </c>
      <c r="AK171" s="152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3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3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46"/>
        <v>9.9897516161615574E-3</v>
      </c>
      <c r="H172" s="48">
        <f t="shared" si="47"/>
        <v>9.9897516161615574E-3</v>
      </c>
      <c r="I172" s="48">
        <f t="shared" si="47"/>
        <v>9.9897516161615574E-3</v>
      </c>
      <c r="J172" s="48">
        <f t="shared" si="47"/>
        <v>9.9897516161615574E-3</v>
      </c>
      <c r="K172" s="48">
        <f t="shared" si="47"/>
        <v>9.9897516161615574E-3</v>
      </c>
      <c r="L172" s="48">
        <f t="shared" si="47"/>
        <v>9.9897516161615574E-3</v>
      </c>
      <c r="M172" s="48">
        <f t="shared" si="47"/>
        <v>9.9897516161615574E-3</v>
      </c>
      <c r="N172" s="212"/>
      <c r="O172" s="108">
        <v>170</v>
      </c>
      <c r="P172" s="108">
        <v>0</v>
      </c>
      <c r="Q172" s="152">
        <v>8.1411608494639243E-3</v>
      </c>
      <c r="R172" s="152">
        <v>8.3780809469955475E-3</v>
      </c>
      <c r="S172" s="152">
        <v>9.7871670027535052E-3</v>
      </c>
      <c r="T172" s="152">
        <v>1.635269041024201E-2</v>
      </c>
      <c r="U172" s="152">
        <v>9.1957660950107156E-3</v>
      </c>
      <c r="V172" s="152">
        <v>9.421783718003951E-3</v>
      </c>
      <c r="W172" s="152">
        <v>1.0619573680694994E-2</v>
      </c>
      <c r="X172" s="187">
        <v>9.2589979425976576E-3</v>
      </c>
      <c r="Y172" s="152">
        <v>1.0484673502828501E-2</v>
      </c>
      <c r="Z172" s="152">
        <v>7.9388349901480249E-3</v>
      </c>
      <c r="AA172" s="152">
        <v>1.3605974269170984E-2</v>
      </c>
      <c r="AB172" s="152">
        <v>9.5944400375493899E-3</v>
      </c>
      <c r="AC172" s="152">
        <v>8.3371804494174473E-3</v>
      </c>
      <c r="AD172" s="152">
        <v>1.0491982213276518E-2</v>
      </c>
      <c r="AE172" s="152">
        <v>1.0884982180299985E-2</v>
      </c>
      <c r="AF172" s="152">
        <v>1.1006053941147842E-2</v>
      </c>
      <c r="AG172" s="152">
        <v>9.7635545924857903E-3</v>
      </c>
      <c r="AH172" s="152">
        <v>9.4711672338345654E-3</v>
      </c>
      <c r="AI172" s="152">
        <v>8.0165151496298659E-3</v>
      </c>
      <c r="AJ172" s="152">
        <v>9.6281305977349296E-3</v>
      </c>
      <c r="AK172" s="152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3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3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46"/>
        <v>-7.2531054784727433E-4</v>
      </c>
      <c r="H173" s="48">
        <f t="shared" si="47"/>
        <v>-7.2531054784727433E-4</v>
      </c>
      <c r="I173" s="48">
        <f t="shared" si="47"/>
        <v>-7.2531054784727433E-4</v>
      </c>
      <c r="J173" s="48">
        <f t="shared" si="47"/>
        <v>-7.2531054784727433E-4</v>
      </c>
      <c r="K173" s="48">
        <f t="shared" si="47"/>
        <v>-7.2531054784727433E-4</v>
      </c>
      <c r="L173" s="48">
        <f t="shared" si="47"/>
        <v>-7.2531054784727433E-4</v>
      </c>
      <c r="M173" s="48">
        <f t="shared" si="47"/>
        <v>-7.2531054784727433E-4</v>
      </c>
      <c r="N173" s="212"/>
      <c r="O173" s="108">
        <v>171</v>
      </c>
      <c r="P173" s="108">
        <v>0</v>
      </c>
      <c r="Q173" s="152">
        <v>4.0338828404695715E-4</v>
      </c>
      <c r="R173" s="152">
        <v>5.9946940642715829E-3</v>
      </c>
      <c r="S173" s="152">
        <v>-6.5025914175914634E-4</v>
      </c>
      <c r="T173" s="152">
        <v>1.6759843612100256E-3</v>
      </c>
      <c r="U173" s="152">
        <v>2.7663053736157184E-4</v>
      </c>
      <c r="V173" s="152">
        <v>-2.6035614297739706E-4</v>
      </c>
      <c r="W173" s="152">
        <v>-2.2490720512663431E-4</v>
      </c>
      <c r="X173" s="187">
        <v>8.5376572339093681E-4</v>
      </c>
      <c r="Y173" s="152">
        <v>-9.4108140005183527E-4</v>
      </c>
      <c r="Z173" s="152">
        <v>6.1302371553551005E-5</v>
      </c>
      <c r="AA173" s="152">
        <v>6.8268178762295739E-4</v>
      </c>
      <c r="AB173" s="152">
        <v>3.4373713503621506E-5</v>
      </c>
      <c r="AC173" s="152">
        <v>-5.7365548392321331E-4</v>
      </c>
      <c r="AD173" s="152">
        <v>2.2701363569527511E-3</v>
      </c>
      <c r="AE173" s="152">
        <v>-3.2346528351723247E-4</v>
      </c>
      <c r="AF173" s="152">
        <v>1.140042255446172E-3</v>
      </c>
      <c r="AG173" s="152">
        <v>-5.9075973229821832E-4</v>
      </c>
      <c r="AH173" s="152">
        <v>-2.1441362403668007E-4</v>
      </c>
      <c r="AI173" s="152">
        <v>-2.3827479727646372E-3</v>
      </c>
      <c r="AJ173" s="152">
        <v>-1.5707053355296097E-5</v>
      </c>
      <c r="AK173" s="152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3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3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46"/>
        <v>0.14463975314387012</v>
      </c>
      <c r="H174" s="48">
        <f t="shared" si="47"/>
        <v>0.14463975314387012</v>
      </c>
      <c r="I174" s="48">
        <f t="shared" si="47"/>
        <v>0.14463975314387012</v>
      </c>
      <c r="J174" s="48">
        <f t="shared" si="47"/>
        <v>0.14463975314387012</v>
      </c>
      <c r="K174" s="48">
        <f t="shared" si="47"/>
        <v>0.14463975314387012</v>
      </c>
      <c r="L174" s="48">
        <f t="shared" si="47"/>
        <v>0.14463975314387012</v>
      </c>
      <c r="M174" s="48">
        <f t="shared" si="47"/>
        <v>0.14463975314387012</v>
      </c>
      <c r="N174" s="212"/>
      <c r="O174" s="108">
        <v>172</v>
      </c>
      <c r="P174" s="108">
        <v>0</v>
      </c>
      <c r="Q174" s="152">
        <v>0.10194906102051043</v>
      </c>
      <c r="R174" s="152">
        <v>0.13797223539543702</v>
      </c>
      <c r="S174" s="152">
        <v>0.11557135318483555</v>
      </c>
      <c r="T174" s="152">
        <v>0.15689125870107565</v>
      </c>
      <c r="U174" s="152">
        <v>0.13550366426895094</v>
      </c>
      <c r="V174" s="152">
        <v>0.1420445459839475</v>
      </c>
      <c r="W174" s="152">
        <v>0.11784423877075456</v>
      </c>
      <c r="X174" s="187">
        <v>0.12466894617253094</v>
      </c>
      <c r="Y174" s="152">
        <v>0.16991427230225328</v>
      </c>
      <c r="Z174" s="152">
        <v>0.17821776452137159</v>
      </c>
      <c r="AA174" s="152">
        <v>0.11405953951133221</v>
      </c>
      <c r="AB174" s="152">
        <v>0.15457317439348905</v>
      </c>
      <c r="AC174" s="152">
        <v>0.12037419191948384</v>
      </c>
      <c r="AD174" s="152">
        <v>0.14857425884810532</v>
      </c>
      <c r="AE174" s="152">
        <v>0.20277109741824062</v>
      </c>
      <c r="AF174" s="152">
        <v>0.16927832986658353</v>
      </c>
      <c r="AG174" s="152">
        <v>0.19844147105488796</v>
      </c>
      <c r="AH174" s="152">
        <v>0.14169574192628809</v>
      </c>
      <c r="AI174" s="152">
        <v>0.10564678612297607</v>
      </c>
      <c r="AJ174" s="152">
        <v>0.12594028554582348</v>
      </c>
      <c r="AK174" s="152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3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3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46"/>
        <v>7.6790539792661316E-2</v>
      </c>
      <c r="H175" s="48">
        <f t="shared" si="47"/>
        <v>7.6790539792661316E-2</v>
      </c>
      <c r="I175" s="48">
        <f t="shared" si="47"/>
        <v>7.6790539792661316E-2</v>
      </c>
      <c r="J175" s="48">
        <f t="shared" si="47"/>
        <v>7.6790539792661316E-2</v>
      </c>
      <c r="K175" s="48">
        <f t="shared" si="47"/>
        <v>7.6790539792661316E-2</v>
      </c>
      <c r="L175" s="48">
        <f t="shared" si="47"/>
        <v>7.6790539792661316E-2</v>
      </c>
      <c r="M175" s="48">
        <f t="shared" si="47"/>
        <v>7.6790539792661316E-2</v>
      </c>
      <c r="N175" s="212"/>
      <c r="O175" s="108">
        <v>173</v>
      </c>
      <c r="P175" s="108">
        <v>0</v>
      </c>
      <c r="Q175" s="152">
        <v>9.1189738655948011E-2</v>
      </c>
      <c r="R175" s="152">
        <v>0.10143528458581824</v>
      </c>
      <c r="S175" s="152">
        <v>7.0267007453026831E-2</v>
      </c>
      <c r="T175" s="152">
        <v>5.232124614429616E-2</v>
      </c>
      <c r="U175" s="152">
        <v>6.6108571896744822E-2</v>
      </c>
      <c r="V175" s="152">
        <v>6.003319427512703E-2</v>
      </c>
      <c r="W175" s="152">
        <v>6.051504417461831E-2</v>
      </c>
      <c r="X175" s="187">
        <v>0.10565182817113133</v>
      </c>
      <c r="Y175" s="152">
        <v>7.102823441438598E-2</v>
      </c>
      <c r="Z175" s="152">
        <v>7.7925564110140705E-2</v>
      </c>
      <c r="AA175" s="152">
        <v>5.0262202405579666E-2</v>
      </c>
      <c r="AB175" s="152">
        <v>6.6071035432867714E-2</v>
      </c>
      <c r="AC175" s="152">
        <v>5.8429286772212735E-2</v>
      </c>
      <c r="AD175" s="152">
        <v>4.3348258892874789E-2</v>
      </c>
      <c r="AE175" s="152">
        <v>8.7725060705797123E-2</v>
      </c>
      <c r="AF175" s="152">
        <v>3.6828671976821645E-2</v>
      </c>
      <c r="AG175" s="152">
        <v>7.1961549152193563E-2</v>
      </c>
      <c r="AH175" s="152">
        <v>6.7324079211322413E-2</v>
      </c>
      <c r="AI175" s="152">
        <v>8.8855714342797237E-2</v>
      </c>
      <c r="AJ175" s="152">
        <v>5.8278593670142348E-2</v>
      </c>
      <c r="AK175" s="152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3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3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46"/>
        <v>-0.20575368498050087</v>
      </c>
      <c r="H176" s="48">
        <f t="shared" si="47"/>
        <v>-0.20575368498050087</v>
      </c>
      <c r="I176" s="48">
        <f t="shared" si="47"/>
        <v>-0.20575368498050087</v>
      </c>
      <c r="J176" s="48">
        <f t="shared" si="47"/>
        <v>-0.20575368498050087</v>
      </c>
      <c r="K176" s="48">
        <f t="shared" si="47"/>
        <v>-0.20575368498050087</v>
      </c>
      <c r="L176" s="48">
        <f t="shared" si="47"/>
        <v>-0.20575368498050087</v>
      </c>
      <c r="M176" s="48">
        <f t="shared" si="47"/>
        <v>-0.20575368498050087</v>
      </c>
      <c r="N176" s="212"/>
      <c r="O176" s="108">
        <v>174</v>
      </c>
      <c r="P176" s="108">
        <v>0</v>
      </c>
      <c r="Q176" s="152">
        <v>-0.20663672686964946</v>
      </c>
      <c r="R176" s="152">
        <v>-0.23963911110966085</v>
      </c>
      <c r="S176" s="152">
        <v>-0.19377556722487993</v>
      </c>
      <c r="T176" s="152">
        <v>-0.19667267056573109</v>
      </c>
      <c r="U176" s="152">
        <v>-0.19982454385291665</v>
      </c>
      <c r="V176" s="152">
        <v>-0.19832146792901736</v>
      </c>
      <c r="W176" s="152">
        <v>-0.18759065264887106</v>
      </c>
      <c r="X176" s="187">
        <v>-0.24875118665730625</v>
      </c>
      <c r="Y176" s="152">
        <v>-0.21250333013948025</v>
      </c>
      <c r="Z176" s="152">
        <v>-0.20941867398814357</v>
      </c>
      <c r="AA176" s="152">
        <v>-0.18345276323003798</v>
      </c>
      <c r="AB176" s="152">
        <v>-0.18794898767840035</v>
      </c>
      <c r="AC176" s="152">
        <v>-0.19208104501518797</v>
      </c>
      <c r="AD176" s="152">
        <v>-0.1965192649703878</v>
      </c>
      <c r="AE176" s="152">
        <v>-0.21876341378886505</v>
      </c>
      <c r="AF176" s="152">
        <v>-0.15025749458548762</v>
      </c>
      <c r="AG176" s="152">
        <v>-0.19453034814682924</v>
      </c>
      <c r="AH176" s="152">
        <v>-0.19831640106704812</v>
      </c>
      <c r="AI176" s="152">
        <v>-0.19063932476945222</v>
      </c>
      <c r="AJ176" s="152">
        <v>-0.19298885908759725</v>
      </c>
      <c r="AK176" s="152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3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3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46"/>
        <v>0.28615083352883275</v>
      </c>
      <c r="H177" s="48">
        <f t="shared" si="47"/>
        <v>0.28615083352883275</v>
      </c>
      <c r="I177" s="48">
        <f t="shared" si="47"/>
        <v>0.28615083352883275</v>
      </c>
      <c r="J177" s="48">
        <f t="shared" si="47"/>
        <v>0.28615083352883275</v>
      </c>
      <c r="K177" s="48">
        <f t="shared" si="47"/>
        <v>0.28615083352883275</v>
      </c>
      <c r="L177" s="48">
        <f t="shared" si="47"/>
        <v>0.28615083352883275</v>
      </c>
      <c r="M177" s="48">
        <f t="shared" si="47"/>
        <v>0.28615083352883275</v>
      </c>
      <c r="N177" s="212"/>
      <c r="O177" s="108">
        <v>175</v>
      </c>
      <c r="P177" s="108">
        <v>0</v>
      </c>
      <c r="Q177" s="152">
        <v>0.28772900710890736</v>
      </c>
      <c r="R177" s="152">
        <v>0.27092696230975616</v>
      </c>
      <c r="S177" s="152">
        <v>0.2899842608063613</v>
      </c>
      <c r="T177" s="152">
        <v>0.28298512422600247</v>
      </c>
      <c r="U177" s="152">
        <v>0.28707892412431502</v>
      </c>
      <c r="V177" s="152">
        <v>0.2851490113700737</v>
      </c>
      <c r="W177" s="152">
        <v>0.28500958184648895</v>
      </c>
      <c r="X177" s="187">
        <v>0.28370267151158091</v>
      </c>
      <c r="Y177" s="152">
        <v>0.28674139316725961</v>
      </c>
      <c r="Z177" s="152">
        <v>0.28379003825737037</v>
      </c>
      <c r="AA177" s="152">
        <v>0.28175998233412042</v>
      </c>
      <c r="AB177" s="152">
        <v>0.2816386059607896</v>
      </c>
      <c r="AC177" s="152">
        <v>0.28420139449902559</v>
      </c>
      <c r="AD177" s="152">
        <v>0.28483022925532114</v>
      </c>
      <c r="AE177" s="152">
        <v>0.29049857880350527</v>
      </c>
      <c r="AF177" s="152">
        <v>0.28273774566805199</v>
      </c>
      <c r="AG177" s="152">
        <v>0.29120275902466158</v>
      </c>
      <c r="AH177" s="152">
        <v>0.2827376505232107</v>
      </c>
      <c r="AI177" s="152">
        <v>0.29843590380536777</v>
      </c>
      <c r="AJ177" s="152">
        <v>0.28144827104784864</v>
      </c>
      <c r="AK177" s="152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3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3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46"/>
        <v>1.6206708644970012E-2</v>
      </c>
      <c r="H178" s="48">
        <f t="shared" si="47"/>
        <v>1.6206708644970012E-2</v>
      </c>
      <c r="I178" s="48">
        <f t="shared" si="47"/>
        <v>1.6206708644970012E-2</v>
      </c>
      <c r="J178" s="48">
        <f t="shared" si="47"/>
        <v>1.6206708644970012E-2</v>
      </c>
      <c r="K178" s="48">
        <f t="shared" si="47"/>
        <v>1.6206708644970012E-2</v>
      </c>
      <c r="L178" s="48">
        <f t="shared" si="47"/>
        <v>1.6206708644970012E-2</v>
      </c>
      <c r="M178" s="48">
        <f t="shared" si="47"/>
        <v>1.6206708644970012E-2</v>
      </c>
      <c r="N178" s="212"/>
      <c r="O178" s="108">
        <v>176</v>
      </c>
      <c r="P178" s="108">
        <v>0</v>
      </c>
      <c r="Q178" s="152">
        <v>1.7069606512678453E-2</v>
      </c>
      <c r="R178" s="152">
        <v>1.6552268024858856E-2</v>
      </c>
      <c r="S178" s="152">
        <v>1.6884808980926914E-2</v>
      </c>
      <c r="T178" s="152">
        <v>1.6313376266207182E-2</v>
      </c>
      <c r="U178" s="152">
        <v>1.6151696019241348E-2</v>
      </c>
      <c r="V178" s="152">
        <v>1.6393943148746228E-2</v>
      </c>
      <c r="W178" s="152">
        <v>1.6487334535780412E-2</v>
      </c>
      <c r="X178" s="187">
        <v>1.7042358123801227E-2</v>
      </c>
      <c r="Y178" s="152">
        <v>1.6397049080020095E-2</v>
      </c>
      <c r="Z178" s="152">
        <v>1.7164879005947407E-2</v>
      </c>
      <c r="AA178" s="152">
        <v>1.7148540698927305E-2</v>
      </c>
      <c r="AB178" s="152">
        <v>1.6568226227378101E-2</v>
      </c>
      <c r="AC178" s="152">
        <v>1.5919092215677562E-2</v>
      </c>
      <c r="AD178" s="152">
        <v>1.4944986467434054E-2</v>
      </c>
      <c r="AE178" s="152">
        <v>1.7398767402179435E-2</v>
      </c>
      <c r="AF178" s="152">
        <v>1.6514003246118299E-2</v>
      </c>
      <c r="AG178" s="152">
        <v>1.4787566347912307E-2</v>
      </c>
      <c r="AH178" s="152">
        <v>1.6099577033044595E-2</v>
      </c>
      <c r="AI178" s="152">
        <v>1.749210972384746E-2</v>
      </c>
      <c r="AJ178" s="152">
        <v>1.7776288552165551E-2</v>
      </c>
      <c r="AK178" s="152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3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3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46"/>
        <v>1.6836736100497216E-2</v>
      </c>
      <c r="H179" s="48">
        <f t="shared" si="47"/>
        <v>1.6836736100497216E-2</v>
      </c>
      <c r="I179" s="48">
        <f t="shared" si="47"/>
        <v>1.6836736100497216E-2</v>
      </c>
      <c r="J179" s="48">
        <f t="shared" si="47"/>
        <v>1.6836736100497216E-2</v>
      </c>
      <c r="K179" s="48">
        <f t="shared" si="47"/>
        <v>1.6836736100497216E-2</v>
      </c>
      <c r="L179" s="48">
        <f t="shared" si="47"/>
        <v>1.6836736100497216E-2</v>
      </c>
      <c r="M179" s="48">
        <f t="shared" si="47"/>
        <v>1.6836736100497216E-2</v>
      </c>
      <c r="N179" s="212"/>
      <c r="O179" s="108">
        <v>177</v>
      </c>
      <c r="P179" s="108">
        <v>0</v>
      </c>
      <c r="Q179" s="152">
        <v>1.6786752067508934E-2</v>
      </c>
      <c r="R179" s="152">
        <v>1.6747525564226536E-2</v>
      </c>
      <c r="S179" s="152">
        <v>1.7009932059591473E-2</v>
      </c>
      <c r="T179" s="152">
        <v>1.6955520913816583E-2</v>
      </c>
      <c r="U179" s="152">
        <v>1.7203225696670724E-2</v>
      </c>
      <c r="V179" s="152">
        <v>1.7086999661839512E-2</v>
      </c>
      <c r="W179" s="152">
        <v>1.690720112802924E-2</v>
      </c>
      <c r="X179" s="187">
        <v>1.7168498267042372E-2</v>
      </c>
      <c r="Y179" s="152">
        <v>1.7428216497280095E-2</v>
      </c>
      <c r="Z179" s="152">
        <v>1.695041636105039E-2</v>
      </c>
      <c r="AA179" s="152">
        <v>1.7414061292593028E-2</v>
      </c>
      <c r="AB179" s="152">
        <v>1.720622198906013E-2</v>
      </c>
      <c r="AC179" s="152">
        <v>1.6996314400266339E-2</v>
      </c>
      <c r="AD179" s="152">
        <v>1.7313247671871868E-2</v>
      </c>
      <c r="AE179" s="152">
        <v>1.6956025473438538E-2</v>
      </c>
      <c r="AF179" s="152">
        <v>1.7117255131705159E-2</v>
      </c>
      <c r="AG179" s="152">
        <v>1.6814518779379978E-2</v>
      </c>
      <c r="AH179" s="152">
        <v>1.7069436046277635E-2</v>
      </c>
      <c r="AI179" s="152">
        <v>1.6939413316907893E-2</v>
      </c>
      <c r="AJ179" s="152">
        <v>1.719346265690247E-2</v>
      </c>
      <c r="AK179" s="152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3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3">
      <c r="A180" s="3"/>
      <c r="B180" s="9">
        <v>166</v>
      </c>
      <c r="C180" s="3"/>
      <c r="D180" s="3"/>
      <c r="E180" s="36"/>
      <c r="M180" s="87"/>
      <c r="O180" s="108">
        <v>178</v>
      </c>
      <c r="P180" s="108">
        <v>0</v>
      </c>
      <c r="Q180" s="152"/>
      <c r="R180" s="152"/>
      <c r="S180" s="152"/>
      <c r="T180" s="152"/>
      <c r="U180" s="152"/>
      <c r="V180" s="152"/>
      <c r="W180" s="152"/>
      <c r="X180" s="187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3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3">
      <c r="A181" s="3"/>
      <c r="B181" s="9">
        <v>167</v>
      </c>
      <c r="C181" s="27" t="s">
        <v>143</v>
      </c>
      <c r="D181" s="27"/>
      <c r="E181" s="36"/>
      <c r="M181" s="87"/>
      <c r="O181" s="108">
        <v>179</v>
      </c>
      <c r="P181" s="108">
        <v>0</v>
      </c>
      <c r="Q181" s="152"/>
      <c r="R181" s="152"/>
      <c r="S181" s="152"/>
      <c r="T181" s="152"/>
      <c r="U181" s="152"/>
      <c r="V181" s="152"/>
      <c r="W181" s="152"/>
      <c r="X181" s="187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3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3">
      <c r="A182" s="3"/>
      <c r="B182" s="9">
        <v>168</v>
      </c>
      <c r="C182" s="3"/>
      <c r="D182" s="3"/>
      <c r="E182" s="36"/>
      <c r="M182" s="87"/>
      <c r="O182" s="108">
        <v>180</v>
      </c>
      <c r="P182" s="108">
        <v>0</v>
      </c>
      <c r="Q182" s="152"/>
      <c r="R182" s="152"/>
      <c r="S182" s="152"/>
      <c r="T182" s="152"/>
      <c r="U182" s="152"/>
      <c r="V182" s="152"/>
      <c r="W182" s="152"/>
      <c r="X182" s="187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3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3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2"/>
      <c r="O183" s="108">
        <v>181</v>
      </c>
      <c r="P183" s="108">
        <v>0</v>
      </c>
      <c r="Q183" s="152">
        <v>1</v>
      </c>
      <c r="R183" s="152">
        <v>1</v>
      </c>
      <c r="S183" s="152">
        <v>1</v>
      </c>
      <c r="T183" s="152">
        <v>1</v>
      </c>
      <c r="U183" s="152">
        <v>1</v>
      </c>
      <c r="V183" s="152">
        <v>1</v>
      </c>
      <c r="W183" s="152">
        <v>1</v>
      </c>
      <c r="X183" s="187">
        <v>1</v>
      </c>
      <c r="Y183" s="152">
        <v>1</v>
      </c>
      <c r="Z183" s="152">
        <v>1</v>
      </c>
      <c r="AA183" s="152">
        <v>1</v>
      </c>
      <c r="AB183" s="152">
        <v>1</v>
      </c>
      <c r="AC183" s="152">
        <v>1</v>
      </c>
      <c r="AD183" s="152">
        <v>1</v>
      </c>
      <c r="AE183" s="152">
        <v>1</v>
      </c>
      <c r="AF183" s="152">
        <v>1</v>
      </c>
      <c r="AG183" s="152">
        <v>1</v>
      </c>
      <c r="AH183" s="152">
        <v>1</v>
      </c>
      <c r="AI183" s="152">
        <v>1</v>
      </c>
      <c r="AJ183" s="152">
        <v>1</v>
      </c>
      <c r="AK183" s="152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3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3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2"/>
      <c r="O184" s="108">
        <v>182</v>
      </c>
      <c r="P184" s="108">
        <v>0</v>
      </c>
      <c r="Q184" s="152">
        <v>0.16439999999999999</v>
      </c>
      <c r="R184" s="152">
        <v>0.16439999999999999</v>
      </c>
      <c r="S184" s="152">
        <v>0.16439999999999999</v>
      </c>
      <c r="T184" s="152">
        <v>0.16439999999999999</v>
      </c>
      <c r="U184" s="152">
        <v>0.16439999999999999</v>
      </c>
      <c r="V184" s="152">
        <v>0.16439999999999999</v>
      </c>
      <c r="W184" s="152">
        <v>0.16439999999999999</v>
      </c>
      <c r="X184" s="187">
        <v>0.16439999999999999</v>
      </c>
      <c r="Y184" s="152">
        <v>0.16439999999999999</v>
      </c>
      <c r="Z184" s="152">
        <v>0.16439999999999999</v>
      </c>
      <c r="AA184" s="152">
        <v>0.16439999999999999</v>
      </c>
      <c r="AB184" s="152">
        <v>0.16439999999999999</v>
      </c>
      <c r="AC184" s="152">
        <v>0.16439999999999999</v>
      </c>
      <c r="AD184" s="152">
        <v>0.16439999999999999</v>
      </c>
      <c r="AE184" s="152">
        <v>0.16439999999999999</v>
      </c>
      <c r="AF184" s="152">
        <v>0.16439999999999999</v>
      </c>
      <c r="AG184" s="152">
        <v>0.16439999999999999</v>
      </c>
      <c r="AH184" s="152">
        <v>0.16439999999999999</v>
      </c>
      <c r="AI184" s="152">
        <v>0.16439999999999999</v>
      </c>
      <c r="AJ184" s="152">
        <v>0.16439999999999999</v>
      </c>
      <c r="AK184" s="152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3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3">
      <c r="A185" s="3"/>
      <c r="B185" s="9">
        <v>171</v>
      </c>
      <c r="C185" s="7"/>
      <c r="D185" s="7"/>
      <c r="E185" s="50" t="s">
        <v>127</v>
      </c>
      <c r="F185" s="10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2"/>
      <c r="O185" s="108">
        <v>183</v>
      </c>
      <c r="P185" s="108">
        <v>0</v>
      </c>
      <c r="Q185" s="152">
        <v>63422.311800000003</v>
      </c>
      <c r="R185" s="152">
        <v>63422.311800000003</v>
      </c>
      <c r="S185" s="152">
        <v>63422.311800000003</v>
      </c>
      <c r="T185" s="152">
        <v>63422.311800000003</v>
      </c>
      <c r="U185" s="152">
        <v>63422.311800000003</v>
      </c>
      <c r="V185" s="152">
        <v>63422.311800000003</v>
      </c>
      <c r="W185" s="152">
        <v>63422.311800000003</v>
      </c>
      <c r="X185" s="187">
        <v>63422.311800000003</v>
      </c>
      <c r="Y185" s="152">
        <v>63422.311800000003</v>
      </c>
      <c r="Z185" s="152">
        <v>63422.311800000003</v>
      </c>
      <c r="AA185" s="152">
        <v>63422.311800000003</v>
      </c>
      <c r="AB185" s="152">
        <v>63422.311800000003</v>
      </c>
      <c r="AC185" s="152">
        <v>63422.311800000003</v>
      </c>
      <c r="AD185" s="152">
        <v>63422.311800000003</v>
      </c>
      <c r="AE185" s="152">
        <v>63422.311800000003</v>
      </c>
      <c r="AF185" s="152">
        <v>63422.311800000003</v>
      </c>
      <c r="AG185" s="152">
        <v>63422.311800000003</v>
      </c>
      <c r="AH185" s="152">
        <v>63422.311800000003</v>
      </c>
      <c r="AI185" s="152">
        <v>63422.311800000003</v>
      </c>
      <c r="AJ185" s="152">
        <v>63422.311800000003</v>
      </c>
      <c r="AK185" s="152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3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3">
      <c r="A186" s="3"/>
      <c r="B186" s="9">
        <v>172</v>
      </c>
      <c r="C186" s="7"/>
      <c r="D186" s="7"/>
      <c r="E186" s="50" t="s">
        <v>128</v>
      </c>
      <c r="F186" s="10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2"/>
      <c r="O186" s="108">
        <v>184</v>
      </c>
      <c r="P186" s="108">
        <v>0</v>
      </c>
      <c r="Q186" s="152">
        <v>345129.01459999999</v>
      </c>
      <c r="R186" s="152">
        <v>345129.01459999999</v>
      </c>
      <c r="S186" s="152">
        <v>345129.01459999999</v>
      </c>
      <c r="T186" s="152">
        <v>345129.01459999999</v>
      </c>
      <c r="U186" s="152">
        <v>345129.01459999999</v>
      </c>
      <c r="V186" s="152">
        <v>345129.01459999999</v>
      </c>
      <c r="W186" s="152">
        <v>345129.01459999999</v>
      </c>
      <c r="X186" s="187">
        <v>345129.01459999999</v>
      </c>
      <c r="Y186" s="152">
        <v>345129.01459999999</v>
      </c>
      <c r="Z186" s="152">
        <v>345129.01459999999</v>
      </c>
      <c r="AA186" s="152">
        <v>345129.01459999999</v>
      </c>
      <c r="AB186" s="152">
        <v>345129.01459999999</v>
      </c>
      <c r="AC186" s="152">
        <v>345129.01459999999</v>
      </c>
      <c r="AD186" s="152">
        <v>345129.01459999999</v>
      </c>
      <c r="AE186" s="152">
        <v>345129.01459999999</v>
      </c>
      <c r="AF186" s="152">
        <v>345129.01459999999</v>
      </c>
      <c r="AG186" s="152">
        <v>345129.01459999999</v>
      </c>
      <c r="AH186" s="152">
        <v>345129.01459999999</v>
      </c>
      <c r="AI186" s="152">
        <v>345129.01459999999</v>
      </c>
      <c r="AJ186" s="152">
        <v>345129.01459999999</v>
      </c>
      <c r="AK186" s="152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3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3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4"/>
      <c r="O187" s="108">
        <v>185</v>
      </c>
      <c r="P187" s="108">
        <v>0</v>
      </c>
      <c r="Q187" s="152">
        <v>1630327994.0632999</v>
      </c>
      <c r="R187" s="152">
        <v>1630327994.0632999</v>
      </c>
      <c r="S187" s="152">
        <v>1630327994.0632999</v>
      </c>
      <c r="T187" s="152">
        <v>1630327994.0632999</v>
      </c>
      <c r="U187" s="152">
        <v>1630327994.0632999</v>
      </c>
      <c r="V187" s="152">
        <v>1630327994.0632999</v>
      </c>
      <c r="W187" s="152">
        <v>1630327994.0632999</v>
      </c>
      <c r="X187" s="187">
        <v>1630327994.0632999</v>
      </c>
      <c r="Y187" s="152">
        <v>1630327994.0632999</v>
      </c>
      <c r="Z187" s="152">
        <v>1630327994.0632999</v>
      </c>
      <c r="AA187" s="152">
        <v>1630327994.0632999</v>
      </c>
      <c r="AB187" s="152">
        <v>1630327994.0632999</v>
      </c>
      <c r="AC187" s="152">
        <v>1630327994.0632999</v>
      </c>
      <c r="AD187" s="152">
        <v>1630327994.0632999</v>
      </c>
      <c r="AE187" s="152">
        <v>1630327994.0632999</v>
      </c>
      <c r="AF187" s="152">
        <v>1630327994.0632999</v>
      </c>
      <c r="AG187" s="152">
        <v>1630327994.0632999</v>
      </c>
      <c r="AH187" s="152">
        <v>1630327994.0632999</v>
      </c>
      <c r="AI187" s="152">
        <v>1630327994.0632999</v>
      </c>
      <c r="AJ187" s="152">
        <v>1630327994.0632999</v>
      </c>
      <c r="AK187" s="152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3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3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2"/>
      <c r="O188" s="108">
        <v>186</v>
      </c>
      <c r="P188" s="108">
        <v>0</v>
      </c>
      <c r="Q188" s="152">
        <v>1</v>
      </c>
      <c r="R188" s="152">
        <v>1</v>
      </c>
      <c r="S188" s="152">
        <v>1</v>
      </c>
      <c r="T188" s="152">
        <v>1</v>
      </c>
      <c r="U188" s="152">
        <v>1</v>
      </c>
      <c r="V188" s="152">
        <v>1</v>
      </c>
      <c r="W188" s="152">
        <v>1</v>
      </c>
      <c r="X188" s="187">
        <v>1</v>
      </c>
      <c r="Y188" s="152">
        <v>1</v>
      </c>
      <c r="Z188" s="152">
        <v>1</v>
      </c>
      <c r="AA188" s="152">
        <v>1</v>
      </c>
      <c r="AB188" s="152">
        <v>1</v>
      </c>
      <c r="AC188" s="152">
        <v>1</v>
      </c>
      <c r="AD188" s="152">
        <v>1</v>
      </c>
      <c r="AE188" s="152">
        <v>1</v>
      </c>
      <c r="AF188" s="152">
        <v>1</v>
      </c>
      <c r="AG188" s="152">
        <v>1</v>
      </c>
      <c r="AH188" s="152">
        <v>1</v>
      </c>
      <c r="AI188" s="152">
        <v>1</v>
      </c>
      <c r="AJ188" s="152">
        <v>1</v>
      </c>
      <c r="AK188" s="152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3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3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2"/>
      <c r="O189" s="108">
        <v>187</v>
      </c>
      <c r="P189" s="108">
        <v>0</v>
      </c>
      <c r="Q189" s="152">
        <v>1</v>
      </c>
      <c r="R189" s="152">
        <v>1</v>
      </c>
      <c r="S189" s="152">
        <v>1</v>
      </c>
      <c r="T189" s="152">
        <v>1</v>
      </c>
      <c r="U189" s="152">
        <v>1</v>
      </c>
      <c r="V189" s="152">
        <v>1</v>
      </c>
      <c r="W189" s="152">
        <v>1</v>
      </c>
      <c r="X189" s="187">
        <v>1</v>
      </c>
      <c r="Y189" s="152">
        <v>1</v>
      </c>
      <c r="Z189" s="152">
        <v>1</v>
      </c>
      <c r="AA189" s="152">
        <v>1</v>
      </c>
      <c r="AB189" s="152">
        <v>1</v>
      </c>
      <c r="AC189" s="152">
        <v>1</v>
      </c>
      <c r="AD189" s="152">
        <v>1</v>
      </c>
      <c r="AE189" s="152">
        <v>1</v>
      </c>
      <c r="AF189" s="152">
        <v>1</v>
      </c>
      <c r="AG189" s="152">
        <v>1</v>
      </c>
      <c r="AH189" s="152">
        <v>1</v>
      </c>
      <c r="AI189" s="152">
        <v>1</v>
      </c>
      <c r="AJ189" s="152">
        <v>1</v>
      </c>
      <c r="AK189" s="152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3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3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2"/>
      <c r="O190" s="108">
        <v>188</v>
      </c>
      <c r="P190" s="108">
        <v>0</v>
      </c>
      <c r="Q190" s="152">
        <v>1</v>
      </c>
      <c r="R190" s="152">
        <v>1</v>
      </c>
      <c r="S190" s="152">
        <v>1</v>
      </c>
      <c r="T190" s="152">
        <v>1</v>
      </c>
      <c r="U190" s="152">
        <v>1</v>
      </c>
      <c r="V190" s="152">
        <v>1</v>
      </c>
      <c r="W190" s="152">
        <v>1</v>
      </c>
      <c r="X190" s="187">
        <v>1</v>
      </c>
      <c r="Y190" s="152">
        <v>1</v>
      </c>
      <c r="Z190" s="152">
        <v>1</v>
      </c>
      <c r="AA190" s="152">
        <v>1</v>
      </c>
      <c r="AB190" s="152">
        <v>1</v>
      </c>
      <c r="AC190" s="152">
        <v>1</v>
      </c>
      <c r="AD190" s="152">
        <v>1</v>
      </c>
      <c r="AE190" s="152">
        <v>1</v>
      </c>
      <c r="AF190" s="152">
        <v>1</v>
      </c>
      <c r="AG190" s="152">
        <v>1</v>
      </c>
      <c r="AH190" s="152">
        <v>1</v>
      </c>
      <c r="AI190" s="152">
        <v>1</v>
      </c>
      <c r="AJ190" s="152">
        <v>1</v>
      </c>
      <c r="AK190" s="152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3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3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2"/>
      <c r="O191" s="108">
        <v>189</v>
      </c>
      <c r="P191" s="108">
        <v>0</v>
      </c>
      <c r="Q191" s="152">
        <v>1</v>
      </c>
      <c r="R191" s="152">
        <v>1</v>
      </c>
      <c r="S191" s="152">
        <v>1</v>
      </c>
      <c r="T191" s="152">
        <v>1</v>
      </c>
      <c r="U191" s="152">
        <v>1</v>
      </c>
      <c r="V191" s="152">
        <v>1</v>
      </c>
      <c r="W191" s="152">
        <v>1</v>
      </c>
      <c r="X191" s="187">
        <v>1</v>
      </c>
      <c r="Y191" s="152">
        <v>1</v>
      </c>
      <c r="Z191" s="152">
        <v>1</v>
      </c>
      <c r="AA191" s="152">
        <v>1</v>
      </c>
      <c r="AB191" s="152">
        <v>1</v>
      </c>
      <c r="AC191" s="152">
        <v>1</v>
      </c>
      <c r="AD191" s="152">
        <v>1</v>
      </c>
      <c r="AE191" s="152">
        <v>1</v>
      </c>
      <c r="AF191" s="152">
        <v>1</v>
      </c>
      <c r="AG191" s="152">
        <v>1</v>
      </c>
      <c r="AH191" s="152">
        <v>1</v>
      </c>
      <c r="AI191" s="152">
        <v>1</v>
      </c>
      <c r="AJ191" s="152">
        <v>1</v>
      </c>
      <c r="AK191" s="152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3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3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2"/>
      <c r="O192" s="108">
        <v>190</v>
      </c>
      <c r="P192" s="108">
        <v>0</v>
      </c>
      <c r="Q192" s="152">
        <v>1</v>
      </c>
      <c r="R192" s="152">
        <v>1</v>
      </c>
      <c r="S192" s="152">
        <v>1</v>
      </c>
      <c r="T192" s="152">
        <v>1</v>
      </c>
      <c r="U192" s="152">
        <v>1</v>
      </c>
      <c r="V192" s="152">
        <v>1</v>
      </c>
      <c r="W192" s="152">
        <v>1</v>
      </c>
      <c r="X192" s="187">
        <v>1</v>
      </c>
      <c r="Y192" s="152">
        <v>1</v>
      </c>
      <c r="Z192" s="152">
        <v>1</v>
      </c>
      <c r="AA192" s="152">
        <v>1</v>
      </c>
      <c r="AB192" s="152">
        <v>1</v>
      </c>
      <c r="AC192" s="152">
        <v>1</v>
      </c>
      <c r="AD192" s="152">
        <v>1</v>
      </c>
      <c r="AE192" s="152">
        <v>1</v>
      </c>
      <c r="AF192" s="152">
        <v>1</v>
      </c>
      <c r="AG192" s="152">
        <v>1</v>
      </c>
      <c r="AH192" s="152">
        <v>1</v>
      </c>
      <c r="AI192" s="152">
        <v>1</v>
      </c>
      <c r="AJ192" s="152">
        <v>1</v>
      </c>
      <c r="AK192" s="152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3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3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2"/>
      <c r="O193" s="108">
        <v>191</v>
      </c>
      <c r="P193" s="108">
        <v>0</v>
      </c>
      <c r="Q193" s="152">
        <v>1</v>
      </c>
      <c r="R193" s="152">
        <v>1</v>
      </c>
      <c r="S193" s="152">
        <v>1</v>
      </c>
      <c r="T193" s="152">
        <v>1</v>
      </c>
      <c r="U193" s="152">
        <v>1</v>
      </c>
      <c r="V193" s="152">
        <v>1</v>
      </c>
      <c r="W193" s="152">
        <v>1</v>
      </c>
      <c r="X193" s="187">
        <v>1</v>
      </c>
      <c r="Y193" s="152">
        <v>1</v>
      </c>
      <c r="Z193" s="152">
        <v>1</v>
      </c>
      <c r="AA193" s="152">
        <v>1</v>
      </c>
      <c r="AB193" s="152">
        <v>1</v>
      </c>
      <c r="AC193" s="152">
        <v>1</v>
      </c>
      <c r="AD193" s="152">
        <v>1</v>
      </c>
      <c r="AE193" s="152">
        <v>1</v>
      </c>
      <c r="AF193" s="152">
        <v>1</v>
      </c>
      <c r="AG193" s="152">
        <v>1</v>
      </c>
      <c r="AH193" s="152">
        <v>1</v>
      </c>
      <c r="AI193" s="152">
        <v>1</v>
      </c>
      <c r="AJ193" s="152">
        <v>1</v>
      </c>
      <c r="AK193" s="152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3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3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2"/>
      <c r="O194" s="108">
        <v>192</v>
      </c>
      <c r="P194" s="108">
        <v>0</v>
      </c>
      <c r="Q194" s="152">
        <v>1</v>
      </c>
      <c r="R194" s="152">
        <v>1</v>
      </c>
      <c r="S194" s="152">
        <v>1</v>
      </c>
      <c r="T194" s="152">
        <v>1</v>
      </c>
      <c r="U194" s="152">
        <v>1</v>
      </c>
      <c r="V194" s="152">
        <v>1</v>
      </c>
      <c r="W194" s="152">
        <v>1</v>
      </c>
      <c r="X194" s="187">
        <v>1</v>
      </c>
      <c r="Y194" s="152">
        <v>1</v>
      </c>
      <c r="Z194" s="152">
        <v>1</v>
      </c>
      <c r="AA194" s="152">
        <v>1</v>
      </c>
      <c r="AB194" s="152">
        <v>1</v>
      </c>
      <c r="AC194" s="152">
        <v>1</v>
      </c>
      <c r="AD194" s="152">
        <v>1</v>
      </c>
      <c r="AE194" s="152">
        <v>1</v>
      </c>
      <c r="AF194" s="152">
        <v>1</v>
      </c>
      <c r="AG194" s="152">
        <v>1</v>
      </c>
      <c r="AH194" s="152">
        <v>1</v>
      </c>
      <c r="AI194" s="152">
        <v>1</v>
      </c>
      <c r="AJ194" s="152">
        <v>1</v>
      </c>
      <c r="AK194" s="152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3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3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2"/>
      <c r="O195" s="108">
        <v>193</v>
      </c>
      <c r="P195" s="108">
        <v>0</v>
      </c>
      <c r="Q195" s="152">
        <v>1</v>
      </c>
      <c r="R195" s="152">
        <v>1</v>
      </c>
      <c r="S195" s="152">
        <v>1</v>
      </c>
      <c r="T195" s="152">
        <v>1</v>
      </c>
      <c r="U195" s="152">
        <v>1</v>
      </c>
      <c r="V195" s="152">
        <v>1</v>
      </c>
      <c r="W195" s="152">
        <v>1</v>
      </c>
      <c r="X195" s="187">
        <v>1</v>
      </c>
      <c r="Y195" s="152">
        <v>1</v>
      </c>
      <c r="Z195" s="152">
        <v>1</v>
      </c>
      <c r="AA195" s="152">
        <v>1</v>
      </c>
      <c r="AB195" s="152">
        <v>1</v>
      </c>
      <c r="AC195" s="152">
        <v>1</v>
      </c>
      <c r="AD195" s="152">
        <v>1</v>
      </c>
      <c r="AE195" s="152">
        <v>1</v>
      </c>
      <c r="AF195" s="152">
        <v>1</v>
      </c>
      <c r="AG195" s="152">
        <v>1</v>
      </c>
      <c r="AH195" s="152">
        <v>1</v>
      </c>
      <c r="AI195" s="152">
        <v>1</v>
      </c>
      <c r="AJ195" s="152">
        <v>1</v>
      </c>
      <c r="AK195" s="152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3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3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2"/>
      <c r="O196" s="108">
        <v>194</v>
      </c>
      <c r="P196" s="108">
        <v>0</v>
      </c>
      <c r="Q196" s="152">
        <v>1</v>
      </c>
      <c r="R196" s="152">
        <v>1</v>
      </c>
      <c r="S196" s="152">
        <v>1</v>
      </c>
      <c r="T196" s="152">
        <v>1</v>
      </c>
      <c r="U196" s="152">
        <v>1</v>
      </c>
      <c r="V196" s="152">
        <v>1</v>
      </c>
      <c r="W196" s="152">
        <v>1</v>
      </c>
      <c r="X196" s="187">
        <v>1</v>
      </c>
      <c r="Y196" s="152">
        <v>1</v>
      </c>
      <c r="Z196" s="152">
        <v>1</v>
      </c>
      <c r="AA196" s="152">
        <v>1</v>
      </c>
      <c r="AB196" s="152">
        <v>1</v>
      </c>
      <c r="AC196" s="152">
        <v>1</v>
      </c>
      <c r="AD196" s="152">
        <v>1</v>
      </c>
      <c r="AE196" s="152">
        <v>1</v>
      </c>
      <c r="AF196" s="152">
        <v>1</v>
      </c>
      <c r="AG196" s="152">
        <v>1</v>
      </c>
      <c r="AH196" s="152">
        <v>1</v>
      </c>
      <c r="AI196" s="152">
        <v>1</v>
      </c>
      <c r="AJ196" s="152">
        <v>1</v>
      </c>
      <c r="AK196" s="152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3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3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2"/>
      <c r="O197" s="108">
        <v>195</v>
      </c>
      <c r="P197" s="108">
        <v>0</v>
      </c>
      <c r="Q197" s="152">
        <v>1</v>
      </c>
      <c r="R197" s="152">
        <v>1</v>
      </c>
      <c r="S197" s="152">
        <v>1</v>
      </c>
      <c r="T197" s="152">
        <v>1</v>
      </c>
      <c r="U197" s="152">
        <v>1</v>
      </c>
      <c r="V197" s="152">
        <v>1</v>
      </c>
      <c r="W197" s="152">
        <v>1</v>
      </c>
      <c r="X197" s="187">
        <v>1</v>
      </c>
      <c r="Y197" s="152">
        <v>1</v>
      </c>
      <c r="Z197" s="152">
        <v>1</v>
      </c>
      <c r="AA197" s="152">
        <v>1</v>
      </c>
      <c r="AB197" s="152">
        <v>1</v>
      </c>
      <c r="AC197" s="152">
        <v>1</v>
      </c>
      <c r="AD197" s="152">
        <v>1</v>
      </c>
      <c r="AE197" s="152">
        <v>1</v>
      </c>
      <c r="AF197" s="152">
        <v>1</v>
      </c>
      <c r="AG197" s="152">
        <v>1</v>
      </c>
      <c r="AH197" s="152">
        <v>1</v>
      </c>
      <c r="AI197" s="152">
        <v>1</v>
      </c>
      <c r="AJ197" s="152">
        <v>1</v>
      </c>
      <c r="AK197" s="152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3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3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4"/>
      <c r="O198" s="108">
        <v>196</v>
      </c>
      <c r="P198" s="108">
        <v>0</v>
      </c>
      <c r="Q198" s="152">
        <v>2722.7979999999998</v>
      </c>
      <c r="R198" s="152">
        <v>2722.7979999999998</v>
      </c>
      <c r="S198" s="152">
        <v>2722.7979999999998</v>
      </c>
      <c r="T198" s="152">
        <v>2722.7979999999998</v>
      </c>
      <c r="U198" s="152">
        <v>2722.7979999999998</v>
      </c>
      <c r="V198" s="152">
        <v>2722.7979999999998</v>
      </c>
      <c r="W198" s="152">
        <v>2722.7979999999998</v>
      </c>
      <c r="X198" s="187">
        <v>2722.7979999999998</v>
      </c>
      <c r="Y198" s="152">
        <v>2722.7979999999998</v>
      </c>
      <c r="Z198" s="152">
        <v>2722.7979999999998</v>
      </c>
      <c r="AA198" s="152">
        <v>2722.7979999999998</v>
      </c>
      <c r="AB198" s="152">
        <v>2722.7979999999998</v>
      </c>
      <c r="AC198" s="152">
        <v>2722.7979999999998</v>
      </c>
      <c r="AD198" s="152">
        <v>2722.7979999999998</v>
      </c>
      <c r="AE198" s="152">
        <v>2722.7979999999998</v>
      </c>
      <c r="AF198" s="152">
        <v>2722.7979999999998</v>
      </c>
      <c r="AG198" s="152">
        <v>2722.7979999999998</v>
      </c>
      <c r="AH198" s="152">
        <v>2722.7979999999998</v>
      </c>
      <c r="AI198" s="152">
        <v>2722.7979999999998</v>
      </c>
      <c r="AJ198" s="152">
        <v>2722.7979999999998</v>
      </c>
      <c r="AK198" s="152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3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3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2"/>
      <c r="O199" s="108">
        <v>197</v>
      </c>
      <c r="P199" s="108">
        <v>0</v>
      </c>
      <c r="Q199" s="152">
        <v>0.12859999999999999</v>
      </c>
      <c r="R199" s="152">
        <v>0.12859999999999999</v>
      </c>
      <c r="S199" s="152">
        <v>0.12859999999999999</v>
      </c>
      <c r="T199" s="152">
        <v>0.12859999999999999</v>
      </c>
      <c r="U199" s="152">
        <v>0.12859999999999999</v>
      </c>
      <c r="V199" s="152">
        <v>0.12859999999999999</v>
      </c>
      <c r="W199" s="152">
        <v>0.12859999999999999</v>
      </c>
      <c r="X199" s="187">
        <v>0.12859999999999999</v>
      </c>
      <c r="Y199" s="152">
        <v>0.12859999999999999</v>
      </c>
      <c r="Z199" s="152">
        <v>0.12859999999999999</v>
      </c>
      <c r="AA199" s="152">
        <v>0.12859999999999999</v>
      </c>
      <c r="AB199" s="152">
        <v>0.12859999999999999</v>
      </c>
      <c r="AC199" s="152">
        <v>0.12859999999999999</v>
      </c>
      <c r="AD199" s="152">
        <v>0.12859999999999999</v>
      </c>
      <c r="AE199" s="152">
        <v>0.12859999999999999</v>
      </c>
      <c r="AF199" s="152">
        <v>0.12859999999999999</v>
      </c>
      <c r="AG199" s="152">
        <v>0.12859999999999999</v>
      </c>
      <c r="AH199" s="152">
        <v>0.12859999999999999</v>
      </c>
      <c r="AI199" s="152">
        <v>0.12859999999999999</v>
      </c>
      <c r="AJ199" s="152">
        <v>0.12859999999999999</v>
      </c>
      <c r="AK199" s="152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3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3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2"/>
      <c r="O200" s="108">
        <v>198</v>
      </c>
      <c r="P200" s="108">
        <v>0</v>
      </c>
      <c r="Q200" s="152"/>
      <c r="R200" s="152"/>
      <c r="S200" s="152"/>
      <c r="T200" s="152"/>
      <c r="U200" s="152"/>
      <c r="V200" s="152"/>
      <c r="W200" s="152"/>
      <c r="X200" s="187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3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3">
      <c r="A201" s="3"/>
      <c r="B201" s="9">
        <v>187</v>
      </c>
      <c r="C201" s="3"/>
      <c r="D201" s="3"/>
      <c r="E201" s="36"/>
      <c r="M201" s="87"/>
      <c r="O201" s="108">
        <v>199</v>
      </c>
      <c r="P201" s="108">
        <v>0</v>
      </c>
      <c r="Q201" s="152"/>
      <c r="R201" s="152"/>
      <c r="S201" s="152"/>
      <c r="T201" s="152"/>
      <c r="U201" s="152"/>
      <c r="V201" s="152"/>
      <c r="W201" s="152"/>
      <c r="X201" s="187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3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3">
      <c r="A202" s="3"/>
      <c r="B202" s="9">
        <v>188</v>
      </c>
      <c r="C202" s="3"/>
      <c r="D202" s="3"/>
      <c r="E202" s="36"/>
      <c r="M202" s="87"/>
      <c r="O202" s="108">
        <v>200</v>
      </c>
      <c r="P202" s="108">
        <v>0</v>
      </c>
      <c r="Q202" s="152"/>
      <c r="R202" s="152"/>
      <c r="S202" s="152"/>
      <c r="T202" s="152"/>
      <c r="U202" s="152"/>
      <c r="V202" s="152"/>
      <c r="W202" s="152"/>
      <c r="X202" s="187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3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3">
      <c r="A203" s="3"/>
      <c r="B203" s="9">
        <v>189</v>
      </c>
      <c r="C203" s="27" t="s">
        <v>145</v>
      </c>
      <c r="D203" s="27"/>
      <c r="E203" s="36"/>
      <c r="M203" s="87"/>
      <c r="O203" s="108">
        <v>201</v>
      </c>
      <c r="P203" s="108">
        <v>0</v>
      </c>
      <c r="Q203" s="152"/>
      <c r="R203" s="152"/>
      <c r="S203" s="152"/>
      <c r="T203" s="152"/>
      <c r="U203" s="152"/>
      <c r="V203" s="152"/>
      <c r="W203" s="152"/>
      <c r="X203" s="187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3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3">
      <c r="A204" s="3"/>
      <c r="B204" s="9">
        <v>190</v>
      </c>
      <c r="C204" s="3"/>
      <c r="D204" s="3"/>
      <c r="E204" s="36"/>
      <c r="M204" s="87"/>
      <c r="O204" s="108">
        <v>202</v>
      </c>
      <c r="P204" s="108">
        <v>0</v>
      </c>
      <c r="Q204" s="152"/>
      <c r="R204" s="152"/>
      <c r="S204" s="152"/>
      <c r="T204" s="152"/>
      <c r="U204" s="152"/>
      <c r="V204" s="152"/>
      <c r="W204" s="152"/>
      <c r="X204" s="187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3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3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3"/>
      <c r="O205" s="108">
        <v>203</v>
      </c>
      <c r="P205" s="108">
        <v>0</v>
      </c>
      <c r="Q205" s="152">
        <v>1</v>
      </c>
      <c r="R205" s="152">
        <v>1</v>
      </c>
      <c r="S205" s="152">
        <v>1</v>
      </c>
      <c r="T205" s="152">
        <v>1</v>
      </c>
      <c r="U205" s="152">
        <v>1</v>
      </c>
      <c r="V205" s="152">
        <v>1</v>
      </c>
      <c r="W205" s="152">
        <v>1</v>
      </c>
      <c r="X205" s="187">
        <v>1</v>
      </c>
      <c r="Y205" s="152">
        <v>1</v>
      </c>
      <c r="Z205" s="152">
        <v>1</v>
      </c>
      <c r="AA205" s="152">
        <v>1</v>
      </c>
      <c r="AB205" s="152">
        <v>1</v>
      </c>
      <c r="AC205" s="152">
        <v>1</v>
      </c>
      <c r="AD205" s="152">
        <v>1</v>
      </c>
      <c r="AE205" s="152">
        <v>1</v>
      </c>
      <c r="AF205" s="152">
        <v>1</v>
      </c>
      <c r="AG205" s="152">
        <v>1</v>
      </c>
      <c r="AH205" s="152">
        <v>1</v>
      </c>
      <c r="AI205" s="152">
        <v>1</v>
      </c>
      <c r="AJ205" s="152">
        <v>1</v>
      </c>
      <c r="AK205" s="152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3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3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-0.15152417844127011</v>
      </c>
      <c r="H206" s="47">
        <f t="shared" ref="H206:K209" si="51">LN(H152/H184)</f>
        <v>-0.16046699343356488</v>
      </c>
      <c r="I206" s="47">
        <f t="shared" si="51"/>
        <v>-0.16940980842585934</v>
      </c>
      <c r="J206" s="47">
        <f t="shared" si="51"/>
        <v>-0.17835262341815389</v>
      </c>
      <c r="K206" s="47">
        <f t="shared" si="51"/>
        <v>-0.18729543841044863</v>
      </c>
      <c r="L206" s="47">
        <f t="shared" ref="L206:M206" si="52">LN(L152/L184)</f>
        <v>-0.1962382534027434</v>
      </c>
      <c r="M206" s="47">
        <f t="shared" si="52"/>
        <v>-0.2051810683950383</v>
      </c>
      <c r="N206" s="213"/>
      <c r="O206" s="108">
        <v>204</v>
      </c>
      <c r="P206" s="108">
        <v>0</v>
      </c>
      <c r="Q206" s="152">
        <v>-0.31183610416745128</v>
      </c>
      <c r="R206" s="152">
        <v>-8.0039684705149744E-2</v>
      </c>
      <c r="S206" s="152">
        <v>-0.13985829620617085</v>
      </c>
      <c r="T206" s="152">
        <v>-0.21930946434561574</v>
      </c>
      <c r="U206" s="152">
        <v>-0.15524366017548177</v>
      </c>
      <c r="V206" s="152">
        <v>-0.27169581891914757</v>
      </c>
      <c r="W206" s="152">
        <v>-0.14135074203949197</v>
      </c>
      <c r="X206" s="187">
        <v>-0.20429583752511904</v>
      </c>
      <c r="Y206" s="152">
        <v>-0.152894851631204</v>
      </c>
      <c r="Z206" s="152">
        <v>-0.10543024881456373</v>
      </c>
      <c r="AA206" s="152">
        <v>-0.30412260037816879</v>
      </c>
      <c r="AB206" s="152">
        <v>-0.33510444355350016</v>
      </c>
      <c r="AC206" s="152">
        <v>-0.24270810720249281</v>
      </c>
      <c r="AD206" s="152">
        <v>-0.17369912687138933</v>
      </c>
      <c r="AE206" s="152">
        <v>-0.33510444355350016</v>
      </c>
      <c r="AF206" s="152">
        <v>-0.1797186907943899</v>
      </c>
      <c r="AG206" s="152">
        <v>-0.152894851631204</v>
      </c>
      <c r="AH206" s="152">
        <v>-0.33510444355350016</v>
      </c>
      <c r="AI206" s="152">
        <v>-0.1563560479840595</v>
      </c>
      <c r="AJ206" s="152">
        <v>-0.13985829620617085</v>
      </c>
      <c r="AK206" s="152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3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3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-2.8134997293554593</v>
      </c>
      <c r="H207" s="47">
        <f t="shared" si="51"/>
        <v>-2.8069509174765539</v>
      </c>
      <c r="I207" s="47">
        <f t="shared" si="51"/>
        <v>-2.8051249094042934</v>
      </c>
      <c r="J207" s="47">
        <f t="shared" si="51"/>
        <v>-2.7986305366627859</v>
      </c>
      <c r="K207" s="47">
        <f t="shared" si="51"/>
        <v>-2.7916549229263605</v>
      </c>
      <c r="L207" s="47">
        <f t="shared" ref="L207:M207" si="53">LN(L153/L185)</f>
        <v>-2.7846793091899351</v>
      </c>
      <c r="M207" s="47">
        <f t="shared" si="53"/>
        <v>-2.7777036954535097</v>
      </c>
      <c r="N207" s="213"/>
      <c r="O207" s="108">
        <v>205</v>
      </c>
      <c r="P207" s="108">
        <v>0</v>
      </c>
      <c r="Q207" s="152">
        <v>2.7490027436787368</v>
      </c>
      <c r="R207" s="152">
        <v>-1.6884336159280655</v>
      </c>
      <c r="S207" s="152">
        <v>-3.6575614824885534</v>
      </c>
      <c r="T207" s="152">
        <v>-0.54728422729040105</v>
      </c>
      <c r="U207" s="152">
        <v>-0.46331409134113644</v>
      </c>
      <c r="V207" s="152">
        <v>6.8809242063329196E-2</v>
      </c>
      <c r="W207" s="152">
        <v>-0.77407290847942123</v>
      </c>
      <c r="X207" s="187">
        <v>-2.2007676429228682</v>
      </c>
      <c r="Y207" s="152">
        <v>-3.9608496211564854</v>
      </c>
      <c r="Z207" s="152">
        <v>-1.2928858499955764</v>
      </c>
      <c r="AA207" s="152">
        <v>-3.3147350442204968</v>
      </c>
      <c r="AB207" s="152">
        <v>-1.631151974082975</v>
      </c>
      <c r="AC207" s="152">
        <v>3.0767698003231397E-2</v>
      </c>
      <c r="AD207" s="152">
        <v>-6.9113797488166498E-2</v>
      </c>
      <c r="AE207" s="152">
        <v>0.33857342749506164</v>
      </c>
      <c r="AF207" s="152">
        <v>-1.1927203307300358</v>
      </c>
      <c r="AG207" s="152">
        <v>-2.9549845742604561</v>
      </c>
      <c r="AH207" s="152">
        <v>-0.74808514784529445</v>
      </c>
      <c r="AI207" s="152">
        <v>-1.0878744470047821</v>
      </c>
      <c r="AJ207" s="152">
        <v>-2.8293941036999257</v>
      </c>
      <c r="AK207" s="152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3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3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-2.9592852014545277</v>
      </c>
      <c r="H208" s="47">
        <f t="shared" si="51"/>
        <v>-2.9592852014545277</v>
      </c>
      <c r="I208" s="47">
        <f t="shared" si="51"/>
        <v>-2.9592852014545277</v>
      </c>
      <c r="J208" s="47">
        <f t="shared" si="51"/>
        <v>-2.9592852014545277</v>
      </c>
      <c r="K208" s="47">
        <f t="shared" si="51"/>
        <v>-2.9592852014545277</v>
      </c>
      <c r="L208" s="47">
        <f t="shared" ref="L208:M208" si="54">LN(L154/L186)</f>
        <v>-2.9592852014545277</v>
      </c>
      <c r="M208" s="47">
        <f t="shared" si="54"/>
        <v>-2.9592852014545277</v>
      </c>
      <c r="N208" s="213"/>
      <c r="O208" s="108">
        <v>206</v>
      </c>
      <c r="P208" s="108">
        <v>0</v>
      </c>
      <c r="Q208" s="152">
        <v>2.8237614228197381</v>
      </c>
      <c r="R208" s="152">
        <v>-1.9860347431623011</v>
      </c>
      <c r="S208" s="152">
        <v>-3.6780697330692242</v>
      </c>
      <c r="T208" s="152">
        <v>-0.45318585197698569</v>
      </c>
      <c r="U208" s="152">
        <v>-0.55771906477201194</v>
      </c>
      <c r="V208" s="152">
        <v>9.5436827819632281E-2</v>
      </c>
      <c r="W208" s="152">
        <v>-1.0821889109311928</v>
      </c>
      <c r="X208" s="187">
        <v>-2.1564147945557934</v>
      </c>
      <c r="Y208" s="152">
        <v>-3.6602293644396093</v>
      </c>
      <c r="Z208" s="152">
        <v>-1.5879794047418916</v>
      </c>
      <c r="AA208" s="152">
        <v>-3.8627789121003433</v>
      </c>
      <c r="AB208" s="152">
        <v>-1.6601596964395595</v>
      </c>
      <c r="AC208" s="152">
        <v>0.10264040169574182</v>
      </c>
      <c r="AD208" s="152">
        <v>-9.3016900672931627E-2</v>
      </c>
      <c r="AE208" s="152">
        <v>0.6433089907071281</v>
      </c>
      <c r="AF208" s="152">
        <v>-1.1554829143376621</v>
      </c>
      <c r="AG208" s="152">
        <v>-3.0972886194201137</v>
      </c>
      <c r="AH208" s="152">
        <v>-0.87814091403536998</v>
      </c>
      <c r="AI208" s="152">
        <v>-1.1283433445232467</v>
      </c>
      <c r="AJ208" s="152">
        <v>-2.9069280489595708</v>
      </c>
      <c r="AK208" s="152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3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3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-2.7999285664353746</v>
      </c>
      <c r="H209" s="47">
        <f t="shared" si="51"/>
        <v>-2.8036094026435046</v>
      </c>
      <c r="I209" s="47">
        <f t="shared" si="51"/>
        <v>-2.8020349791127499</v>
      </c>
      <c r="J209" s="47">
        <f t="shared" si="51"/>
        <v>-2.7945923349261639</v>
      </c>
      <c r="K209" s="47">
        <f t="shared" si="51"/>
        <v>-2.7943708199420301</v>
      </c>
      <c r="L209" s="47">
        <f t="shared" ref="L209:M209" si="55">LN(L155/L187)</f>
        <v>-2.7938694411398499</v>
      </c>
      <c r="M209" s="47">
        <f t="shared" si="55"/>
        <v>-2.7933683135924041</v>
      </c>
      <c r="N209" s="213"/>
      <c r="O209" s="108">
        <v>207</v>
      </c>
      <c r="P209" s="108">
        <v>0</v>
      </c>
      <c r="Q209" s="152">
        <v>2.7412438646153894</v>
      </c>
      <c r="R209" s="152">
        <v>-1.9849409906392934</v>
      </c>
      <c r="S209" s="152">
        <v>-4.0045119533866425</v>
      </c>
      <c r="T209" s="152">
        <v>-0.50363325442534623</v>
      </c>
      <c r="U209" s="152">
        <v>-0.51595737702342637</v>
      </c>
      <c r="V209" s="152">
        <v>-2.6874568426791059E-2</v>
      </c>
      <c r="W209" s="152">
        <v>-1.2364399579251588</v>
      </c>
      <c r="X209" s="187">
        <v>-2.4393384340729325</v>
      </c>
      <c r="Y209" s="152">
        <v>-4.2090195418330865</v>
      </c>
      <c r="Z209" s="152">
        <v>-1.6676199752723506</v>
      </c>
      <c r="AA209" s="152">
        <v>-4.0277421695419156</v>
      </c>
      <c r="AB209" s="152">
        <v>-1.8965911845735921</v>
      </c>
      <c r="AC209" s="152">
        <v>3.7761241172142725E-2</v>
      </c>
      <c r="AD209" s="152">
        <v>-0.29658413258313582</v>
      </c>
      <c r="AE209" s="152">
        <v>0.3987077893972733</v>
      </c>
      <c r="AF209" s="152">
        <v>-1.1684018661498428</v>
      </c>
      <c r="AG209" s="152">
        <v>-3.3634273802794379</v>
      </c>
      <c r="AH209" s="152">
        <v>-1.1540218367352346</v>
      </c>
      <c r="AI209" s="152">
        <v>-0.98314804878554685</v>
      </c>
      <c r="AJ209" s="152">
        <v>-3.1018100605668026</v>
      </c>
      <c r="AK209" s="152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3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3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1.1479788326150934E-2</v>
      </c>
      <c r="H210" s="47">
        <f t="shared" ref="H210:K213" si="56">H206*H206/2</f>
        <v>1.2874827990803877E-2</v>
      </c>
      <c r="I210" s="47">
        <f t="shared" si="56"/>
        <v>1.4349841595443181E-2</v>
      </c>
      <c r="J210" s="47">
        <f t="shared" si="56"/>
        <v>1.5904829140068907E-2</v>
      </c>
      <c r="K210" s="47">
        <f t="shared" si="56"/>
        <v>1.7539790624681077E-2</v>
      </c>
      <c r="L210" s="47">
        <f t="shared" ref="L210:M210" si="57">L206*L206/2</f>
        <v>1.9254726049279663E-2</v>
      </c>
      <c r="M210" s="47">
        <f t="shared" si="57"/>
        <v>2.1049635413864693E-2</v>
      </c>
      <c r="N210" s="213"/>
      <c r="O210" s="108">
        <v>208</v>
      </c>
      <c r="P210" s="108">
        <v>0</v>
      </c>
      <c r="Q210" s="152">
        <v>4.8620877931166762E-2</v>
      </c>
      <c r="R210" s="152">
        <v>3.2031755638498908E-3</v>
      </c>
      <c r="S210" s="152">
        <v>9.7801715088465125E-3</v>
      </c>
      <c r="T210" s="152">
        <v>2.4048320575780449E-2</v>
      </c>
      <c r="U210" s="152">
        <v>1.2050297012340233E-2</v>
      </c>
      <c r="V210" s="152">
        <v>3.6909309009073112E-2</v>
      </c>
      <c r="W210" s="152">
        <v>9.990016137557501E-3</v>
      </c>
      <c r="X210" s="187">
        <v>2.086839461504492E-2</v>
      </c>
      <c r="Y210" s="152">
        <v>1.1688417827663942E-2</v>
      </c>
      <c r="Z210" s="152">
        <v>5.5577686825504079E-3</v>
      </c>
      <c r="AA210" s="152">
        <v>4.6245278030389678E-2</v>
      </c>
      <c r="AB210" s="152">
        <v>5.6147494044650491E-2</v>
      </c>
      <c r="AC210" s="152">
        <v>2.9453612650908369E-2</v>
      </c>
      <c r="AD210" s="152">
        <v>1.5085693337941504E-2</v>
      </c>
      <c r="AE210" s="152">
        <v>5.6147494044650491E-2</v>
      </c>
      <c r="AF210" s="152">
        <v>1.6149403910424763E-2</v>
      </c>
      <c r="AG210" s="152">
        <v>1.1688417827663942E-2</v>
      </c>
      <c r="AH210" s="152">
        <v>5.6147494044650491E-2</v>
      </c>
      <c r="AI210" s="152">
        <v>1.2223606870596758E-2</v>
      </c>
      <c r="AJ210" s="152">
        <v>9.7801715088465125E-3</v>
      </c>
      <c r="AK210" s="152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3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3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3.9578903635416216</v>
      </c>
      <c r="H211" s="47">
        <f t="shared" si="56"/>
        <v>3.9394867265612339</v>
      </c>
      <c r="I211" s="47">
        <f t="shared" si="56"/>
        <v>3.9343628786802225</v>
      </c>
      <c r="J211" s="47">
        <f t="shared" si="56"/>
        <v>3.9161664403707168</v>
      </c>
      <c r="K211" s="47">
        <f t="shared" si="56"/>
        <v>3.8966686043494918</v>
      </c>
      <c r="L211" s="47">
        <f t="shared" ref="L211:M211" si="58">L207*L207/2</f>
        <v>3.8772194275152669</v>
      </c>
      <c r="M211" s="47">
        <f t="shared" si="58"/>
        <v>3.8578189098680422</v>
      </c>
      <c r="N211" s="213"/>
      <c r="O211" s="108">
        <v>209</v>
      </c>
      <c r="P211" s="108">
        <v>0</v>
      </c>
      <c r="Q211" s="152">
        <v>3.7785080423766111</v>
      </c>
      <c r="R211" s="152">
        <v>1.4254040376979611</v>
      </c>
      <c r="S211" s="152">
        <v>6.6888779990919325</v>
      </c>
      <c r="T211" s="152">
        <v>0.14976001272042569</v>
      </c>
      <c r="U211" s="152">
        <v>0.10732997361763146</v>
      </c>
      <c r="V211" s="152">
        <v>2.3673558966649162E-3</v>
      </c>
      <c r="W211" s="152">
        <v>0.29959443382089523</v>
      </c>
      <c r="X211" s="187">
        <v>2.4216891090681387</v>
      </c>
      <c r="Y211" s="152">
        <v>7.8441648607077372</v>
      </c>
      <c r="Z211" s="152">
        <v>0.83577691055939207</v>
      </c>
      <c r="AA211" s="152">
        <v>5.4937342066917294</v>
      </c>
      <c r="AB211" s="152">
        <v>1.3303283812773932</v>
      </c>
      <c r="AC211" s="152">
        <v>4.7332562020902468E-4</v>
      </c>
      <c r="AD211" s="152">
        <v>2.3883585016176447E-3</v>
      </c>
      <c r="AE211" s="152">
        <v>5.7315982902876879E-2</v>
      </c>
      <c r="AF211" s="152">
        <v>0.71129089366838305</v>
      </c>
      <c r="AG211" s="152">
        <v>4.3659669170586248</v>
      </c>
      <c r="AH211" s="152">
        <v>0.279815694213358</v>
      </c>
      <c r="AI211" s="152">
        <v>0.59173540622298026</v>
      </c>
      <c r="AJ211" s="152">
        <v>4.0027354970259532</v>
      </c>
      <c r="AK211" s="152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3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3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4.3786844517738821</v>
      </c>
      <c r="H212" s="47">
        <f t="shared" si="56"/>
        <v>4.3786844517738821</v>
      </c>
      <c r="I212" s="47">
        <f t="shared" si="56"/>
        <v>4.3786844517738821</v>
      </c>
      <c r="J212" s="47">
        <f t="shared" si="56"/>
        <v>4.3786844517738821</v>
      </c>
      <c r="K212" s="47">
        <f t="shared" si="56"/>
        <v>4.3786844517738821</v>
      </c>
      <c r="L212" s="47">
        <f t="shared" ref="L212:M212" si="59">L208*L208/2</f>
        <v>4.3786844517738821</v>
      </c>
      <c r="M212" s="47">
        <f t="shared" si="59"/>
        <v>4.3786844517738821</v>
      </c>
      <c r="N212" s="213"/>
      <c r="O212" s="108">
        <v>210</v>
      </c>
      <c r="P212" s="108">
        <v>0</v>
      </c>
      <c r="Q212" s="152">
        <v>3.9868142865024758</v>
      </c>
      <c r="R212" s="152">
        <v>1.9721670005238736</v>
      </c>
      <c r="S212" s="152">
        <v>6.7640984806599569</v>
      </c>
      <c r="T212" s="152">
        <v>0.10268870821605319</v>
      </c>
      <c r="U212" s="152">
        <v>0.15552527760508383</v>
      </c>
      <c r="V212" s="152">
        <v>4.5540940521370688E-3</v>
      </c>
      <c r="W212" s="152">
        <v>0.58556641947122068</v>
      </c>
      <c r="X212" s="187">
        <v>2.3250623830895525</v>
      </c>
      <c r="Y212" s="152">
        <v>6.6986395001529928</v>
      </c>
      <c r="Z212" s="152">
        <v>1.2608392949422063</v>
      </c>
      <c r="AA212" s="152">
        <v>7.4605304618835557</v>
      </c>
      <c r="AB212" s="152">
        <v>1.3780651088411453</v>
      </c>
      <c r="AC212" s="152">
        <v>5.2675260301316201E-3</v>
      </c>
      <c r="AD212" s="152">
        <v>4.3260719053990144E-3</v>
      </c>
      <c r="AE212" s="152">
        <v>0.20692322876231192</v>
      </c>
      <c r="AF212" s="152">
        <v>0.66757038266312851</v>
      </c>
      <c r="AG212" s="152">
        <v>4.7965983959946765</v>
      </c>
      <c r="AH212" s="152">
        <v>0.38556573245143755</v>
      </c>
      <c r="AI212" s="152">
        <v>0.63657935156495304</v>
      </c>
      <c r="AJ212" s="152">
        <v>4.2251153409139484</v>
      </c>
      <c r="AK212" s="152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3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3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3.9197999885704258</v>
      </c>
      <c r="H213" s="47">
        <f t="shared" si="56"/>
        <v>3.9301128412955344</v>
      </c>
      <c r="I213" s="47">
        <f t="shared" si="56"/>
        <v>3.9257000120856942</v>
      </c>
      <c r="J213" s="47">
        <f t="shared" si="56"/>
        <v>3.9048731592140342</v>
      </c>
      <c r="K213" s="47">
        <f t="shared" si="56"/>
        <v>3.9042541396717465</v>
      </c>
      <c r="L213" s="47">
        <f t="shared" ref="L213:M213" si="60">L209*L209/2</f>
        <v>3.9028532270675487</v>
      </c>
      <c r="M213" s="47">
        <f t="shared" si="60"/>
        <v>3.9014532676910361</v>
      </c>
      <c r="N213" s="213"/>
      <c r="O213" s="108">
        <v>211</v>
      </c>
      <c r="P213" s="108">
        <v>0</v>
      </c>
      <c r="Q213" s="152">
        <v>3.7572089626457577</v>
      </c>
      <c r="R213" s="152">
        <v>1.9699953681600497</v>
      </c>
      <c r="S213" s="152">
        <v>8.0180579924082522</v>
      </c>
      <c r="T213" s="152">
        <v>0.12682322748153277</v>
      </c>
      <c r="U213" s="152">
        <v>0.13310600745244708</v>
      </c>
      <c r="V213" s="152">
        <v>3.6112121406313744E-4</v>
      </c>
      <c r="W213" s="152">
        <v>0.76439188477698428</v>
      </c>
      <c r="X213" s="187">
        <v>2.9751859979726931</v>
      </c>
      <c r="Y213" s="152">
        <v>8.8579227517664023</v>
      </c>
      <c r="Z213" s="152">
        <v>1.3904781909636776</v>
      </c>
      <c r="AA213" s="152">
        <v>8.1113534921531087</v>
      </c>
      <c r="AB213" s="152">
        <v>1.7985290607011306</v>
      </c>
      <c r="AC213" s="152">
        <v>7.129556674303634E-4</v>
      </c>
      <c r="AD213" s="152">
        <v>4.3981073850045543E-2</v>
      </c>
      <c r="AE213" s="152">
        <v>7.9483950663030226E-2</v>
      </c>
      <c r="AF213" s="152">
        <v>0.68258146041121759</v>
      </c>
      <c r="AG213" s="152">
        <v>5.6563218712067016</v>
      </c>
      <c r="AH213" s="152">
        <v>0.66588319983088229</v>
      </c>
      <c r="AI213" s="152">
        <v>0.483290042915414</v>
      </c>
      <c r="AJ213" s="152">
        <v>4.8106128259167162</v>
      </c>
      <c r="AK213" s="152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3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3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0.42631323503532181</v>
      </c>
      <c r="H214" s="47">
        <f t="shared" ref="H214:K214" si="61">H206*H207</f>
        <v>0.45042297444304907</v>
      </c>
      <c r="I214" s="47">
        <f t="shared" si="61"/>
        <v>0.47521567351278737</v>
      </c>
      <c r="J214" s="47">
        <f t="shared" si="61"/>
        <v>0.49914309819196379</v>
      </c>
      <c r="K214" s="47">
        <f t="shared" si="61"/>
        <v>0.5228642326801799</v>
      </c>
      <c r="L214" s="47">
        <f t="shared" ref="L214:M214" si="62">L206*L207</f>
        <v>0.54646060392219087</v>
      </c>
      <c r="M214" s="47">
        <f t="shared" si="62"/>
        <v>0.56993221191799726</v>
      </c>
      <c r="N214" s="213"/>
      <c r="O214" s="108">
        <v>212</v>
      </c>
      <c r="P214" s="108">
        <v>0</v>
      </c>
      <c r="Q214" s="152">
        <v>-0.85723830593441197</v>
      </c>
      <c r="R214" s="152">
        <v>0.13514169426445827</v>
      </c>
      <c r="S214" s="152">
        <v>0.51154031721016546</v>
      </c>
      <c r="T214" s="152">
        <v>0.12002461073186207</v>
      </c>
      <c r="U214" s="152">
        <v>7.1926575350675509E-2</v>
      </c>
      <c r="V214" s="152">
        <v>-1.869518337160208E-2</v>
      </c>
      <c r="W214" s="152">
        <v>0.10941578000623395</v>
      </c>
      <c r="X214" s="187">
        <v>0.44960766880910946</v>
      </c>
      <c r="Y214" s="152">
        <v>0.60559351516023141</v>
      </c>
      <c r="Z214" s="152">
        <v>0.13630927685386235</v>
      </c>
      <c r="AA214" s="152">
        <v>1.0080858412129818</v>
      </c>
      <c r="AB214" s="152">
        <v>0.54660627462626865</v>
      </c>
      <c r="AC214" s="152">
        <v>-7.4675697453422101E-3</v>
      </c>
      <c r="AD214" s="152">
        <v>1.2005006278460541E-2</v>
      </c>
      <c r="AE214" s="152">
        <v>-0.11345746002273396</v>
      </c>
      <c r="AF214" s="152">
        <v>0.21435413632265377</v>
      </c>
      <c r="AG214" s="152">
        <v>0.45180192805404895</v>
      </c>
      <c r="AH214" s="152">
        <v>0.25068665719933531</v>
      </c>
      <c r="AI214" s="152">
        <v>0.17009574923651191</v>
      </c>
      <c r="AJ214" s="152">
        <v>0.39571423863925748</v>
      </c>
      <c r="AK214" s="152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3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3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0.44840325892380584</v>
      </c>
      <c r="H215" s="47">
        <f t="shared" ref="H215:K215" si="63">H206*H208</f>
        <v>0.47486759898984943</v>
      </c>
      <c r="I215" s="47">
        <f t="shared" si="63"/>
        <v>0.50133193905589213</v>
      </c>
      <c r="J215" s="47">
        <f t="shared" si="63"/>
        <v>0.52779627912193505</v>
      </c>
      <c r="K215" s="47">
        <f t="shared" si="63"/>
        <v>0.55426061918797853</v>
      </c>
      <c r="L215" s="47">
        <f t="shared" ref="L215:M215" si="64">L206*L208</f>
        <v>0.58072495925402212</v>
      </c>
      <c r="M215" s="47">
        <f t="shared" si="64"/>
        <v>0.60718929932006616</v>
      </c>
      <c r="N215" s="213"/>
      <c r="O215" s="108">
        <v>213</v>
      </c>
      <c r="P215" s="108">
        <v>0</v>
      </c>
      <c r="Q215" s="152">
        <v>-0.88055076119044629</v>
      </c>
      <c r="R215" s="152">
        <v>0.15896159465618362</v>
      </c>
      <c r="S215" s="152">
        <v>0.51440856619454733</v>
      </c>
      <c r="T215" s="152">
        <v>9.938794644608423E-2</v>
      </c>
      <c r="U215" s="152">
        <v>8.6582348964853728E-2</v>
      </c>
      <c r="V215" s="152">
        <v>-2.5929787089500677E-2</v>
      </c>
      <c r="W215" s="152">
        <v>0.15296820558703378</v>
      </c>
      <c r="X215" s="187">
        <v>0.4405465665053333</v>
      </c>
      <c r="Y215" s="152">
        <v>0.55963022561217024</v>
      </c>
      <c r="Z215" s="152">
        <v>0.16742106375434043</v>
      </c>
      <c r="AA215" s="152">
        <v>1.1747583674339104</v>
      </c>
      <c r="AB215" s="152">
        <v>0.55632689128532631</v>
      </c>
      <c r="AC215" s="152">
        <v>-2.4911657618077031E-2</v>
      </c>
      <c r="AD215" s="152">
        <v>1.6156954431170972E-2</v>
      </c>
      <c r="AE215" s="152">
        <v>-0.21557570136387597</v>
      </c>
      <c r="AF215" s="152">
        <v>0.20766187660005081</v>
      </c>
      <c r="AG215" s="152">
        <v>0.47355948392525499</v>
      </c>
      <c r="AH215" s="152">
        <v>0.29426892235938468</v>
      </c>
      <c r="AI215" s="152">
        <v>0.17642330611877094</v>
      </c>
      <c r="AJ215" s="152">
        <v>0.40655800412141396</v>
      </c>
      <c r="AK215" s="152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3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3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0.42425687572336329</v>
      </c>
      <c r="H216" s="47">
        <f t="shared" ref="H216:K216" si="65">H206*H209</f>
        <v>0.44988677160427598</v>
      </c>
      <c r="I216" s="47">
        <f t="shared" si="65"/>
        <v>0.47469220901404774</v>
      </c>
      <c r="J216" s="47">
        <f t="shared" si="65"/>
        <v>0.49842287431834548</v>
      </c>
      <c r="K216" s="47">
        <f t="shared" si="65"/>
        <v>0.52337290780240731</v>
      </c>
      <c r="L216" s="47">
        <f t="shared" ref="L216:M216" si="66">L206*L209</f>
        <v>0.54826405936458289</v>
      </c>
      <c r="M216" s="47">
        <f t="shared" si="66"/>
        <v>0.57314629500373582</v>
      </c>
      <c r="N216" s="213"/>
      <c r="O216" s="108">
        <v>214</v>
      </c>
      <c r="P216" s="108">
        <v>0</v>
      </c>
      <c r="Q216" s="152">
        <v>-0.85481880731459126</v>
      </c>
      <c r="R216" s="152">
        <v>0.15887405104909663</v>
      </c>
      <c r="S216" s="152">
        <v>0.56006421893790093</v>
      </c>
      <c r="T216" s="152">
        <v>0.11045153925466189</v>
      </c>
      <c r="U216" s="152">
        <v>8.009911170365773E-2</v>
      </c>
      <c r="V216" s="152">
        <v>7.3017078768156645E-3</v>
      </c>
      <c r="W216" s="152">
        <v>0.17477170553999943</v>
      </c>
      <c r="X216" s="187">
        <v>0.4983466883961421</v>
      </c>
      <c r="Y216" s="152">
        <v>0.64353741836140799</v>
      </c>
      <c r="Z216" s="152">
        <v>0.17581758892110053</v>
      </c>
      <c r="AA216" s="152">
        <v>1.2249274222538946</v>
      </c>
      <c r="AB216" s="152">
        <v>0.63555613355500729</v>
      </c>
      <c r="AC216" s="152">
        <v>-9.1649593705076023E-3</v>
      </c>
      <c r="AD216" s="152">
        <v>5.1516404873599063E-2</v>
      </c>
      <c r="AE216" s="152">
        <v>-0.13360875190641941</v>
      </c>
      <c r="AF216" s="152">
        <v>0.20998365370617172</v>
      </c>
      <c r="AG216" s="152">
        <v>0.51425073028015378</v>
      </c>
      <c r="AH216" s="152">
        <v>0.38671784544774901</v>
      </c>
      <c r="AI216" s="152">
        <v>0.15372114349134744</v>
      </c>
      <c r="AJ216" s="152">
        <v>0.43381387022603263</v>
      </c>
      <c r="AK216" s="152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3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3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8.3259481133779296</v>
      </c>
      <c r="H217" s="47">
        <f t="shared" ref="H217:K217" si="67">H207*H208</f>
        <v>8.3065683112975748</v>
      </c>
      <c r="I217" s="47">
        <f t="shared" si="67"/>
        <v>8.3011646326315986</v>
      </c>
      <c r="J217" s="47">
        <f t="shared" si="67"/>
        <v>8.2819459314849251</v>
      </c>
      <c r="K217" s="47">
        <f t="shared" si="67"/>
        <v>8.2613031009836586</v>
      </c>
      <c r="L217" s="47">
        <f t="shared" ref="L217:M217" si="68">L207*L208</f>
        <v>8.2406602704823921</v>
      </c>
      <c r="M217" s="47">
        <f t="shared" si="68"/>
        <v>8.2200174399811257</v>
      </c>
      <c r="N217" s="213"/>
      <c r="O217" s="108">
        <v>215</v>
      </c>
      <c r="P217" s="108">
        <v>0</v>
      </c>
      <c r="Q217" s="152">
        <v>7.7625278988256339</v>
      </c>
      <c r="R217" s="152">
        <v>3.353287822756291</v>
      </c>
      <c r="S217" s="152">
        <v>13.45276618558095</v>
      </c>
      <c r="T217" s="152">
        <v>0.24802146881816667</v>
      </c>
      <c r="U217" s="152">
        <v>0.25839910171847313</v>
      </c>
      <c r="V217" s="152">
        <v>6.5669357871973475E-3</v>
      </c>
      <c r="W217" s="152">
        <v>0.83769311780868583</v>
      </c>
      <c r="X217" s="187">
        <v>4.745767904578555</v>
      </c>
      <c r="Y217" s="152">
        <v>14.497618091486469</v>
      </c>
      <c r="Z217" s="152">
        <v>2.05307610247519</v>
      </c>
      <c r="AA217" s="152">
        <v>12.804088628014934</v>
      </c>
      <c r="AB217" s="152">
        <v>2.7079727661403798</v>
      </c>
      <c r="AC217" s="152">
        <v>3.1580088823049439E-3</v>
      </c>
      <c r="AD217" s="152">
        <v>6.4287512360858947E-3</v>
      </c>
      <c r="AE217" s="152">
        <v>0.21780732992210111</v>
      </c>
      <c r="AF217" s="152">
        <v>1.3781679637417221</v>
      </c>
      <c r="AG217" s="152">
        <v>9.1524400924189013</v>
      </c>
      <c r="AH217" s="152">
        <v>0.65692417550515181</v>
      </c>
      <c r="AI217" s="152">
        <v>1.2274958919547534</v>
      </c>
      <c r="AJ217" s="152">
        <v>8.2248450816061389</v>
      </c>
      <c r="AK217" s="152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3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3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7.8775982638805457</v>
      </c>
      <c r="H218" s="47">
        <f t="shared" ref="H218:K218" si="69">H207*H209</f>
        <v>7.8695939849960785</v>
      </c>
      <c r="I218" s="47">
        <f t="shared" si="69"/>
        <v>7.860058116931314</v>
      </c>
      <c r="J218" s="47">
        <f t="shared" si="69"/>
        <v>7.8210314460481181</v>
      </c>
      <c r="K218" s="47">
        <f t="shared" si="69"/>
        <v>7.8009190559729387</v>
      </c>
      <c r="L218" s="47">
        <f t="shared" ref="L218:M218" si="70">L207*L209</f>
        <v>7.7800304253201871</v>
      </c>
      <c r="M218" s="47">
        <f t="shared" si="70"/>
        <v>7.7591494874283589</v>
      </c>
      <c r="N218" s="213"/>
      <c r="O218" s="108">
        <v>216</v>
      </c>
      <c r="P218" s="108">
        <v>0</v>
      </c>
      <c r="Q218" s="152">
        <v>7.5356869049202091</v>
      </c>
      <c r="R218" s="152">
        <v>3.3514410942289388</v>
      </c>
      <c r="S218" s="152">
        <v>14.646748676871981</v>
      </c>
      <c r="T218" s="152">
        <v>0.27563053648592556</v>
      </c>
      <c r="U218" s="152">
        <v>0.23905032330636494</v>
      </c>
      <c r="V218" s="152">
        <v>-1.8492186842265701E-3</v>
      </c>
      <c r="W218" s="152">
        <v>0.95709467439130091</v>
      </c>
      <c r="X218" s="187">
        <v>5.3684170958458477</v>
      </c>
      <c r="Y218" s="152">
        <v>16.671293457709826</v>
      </c>
      <c r="Z218" s="152">
        <v>2.1560422691995953</v>
      </c>
      <c r="AA218" s="152">
        <v>13.350898118465281</v>
      </c>
      <c r="AB218" s="152">
        <v>3.0936284547455828</v>
      </c>
      <c r="AC218" s="152">
        <v>1.161826464611675E-3</v>
      </c>
      <c r="AD218" s="152">
        <v>2.0498055677554371E-2</v>
      </c>
      <c r="AE218" s="152">
        <v>0.13499186282521403</v>
      </c>
      <c r="AF218" s="152">
        <v>1.3935766602198314</v>
      </c>
      <c r="AG218" s="152">
        <v>9.9388760253709965</v>
      </c>
      <c r="AH218" s="152">
        <v>0.86330659635077622</v>
      </c>
      <c r="AI218" s="152">
        <v>1.0695416398964073</v>
      </c>
      <c r="AJ218" s="152">
        <v>8.776243096164821</v>
      </c>
      <c r="AK218" s="152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3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3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8.285787171781994</v>
      </c>
      <c r="H219" s="47">
        <f t="shared" ref="H219:K219" si="71">H208*H209</f>
        <v>8.2966798159016921</v>
      </c>
      <c r="I219" s="47">
        <f t="shared" si="71"/>
        <v>8.2920206476463072</v>
      </c>
      <c r="J219" s="47">
        <f t="shared" si="71"/>
        <v>8.2699957408452516</v>
      </c>
      <c r="K219" s="47">
        <f t="shared" si="71"/>
        <v>8.2693402148308035</v>
      </c>
      <c r="L219" s="47">
        <f t="shared" ref="L219:M219" si="72">L208*L209</f>
        <v>8.2678564919611901</v>
      </c>
      <c r="M219" s="47">
        <f t="shared" si="72"/>
        <v>8.2663735126259912</v>
      </c>
      <c r="N219" s="213"/>
      <c r="O219" s="108">
        <v>217</v>
      </c>
      <c r="P219" s="108">
        <v>0</v>
      </c>
      <c r="Q219" s="152">
        <v>7.7406186754422297</v>
      </c>
      <c r="R219" s="152">
        <v>3.9421617705366327</v>
      </c>
      <c r="S219" s="152">
        <v>14.728874211465326</v>
      </c>
      <c r="T219" s="152">
        <v>0.22823946549069252</v>
      </c>
      <c r="U219" s="152">
        <v>0.28775926577572569</v>
      </c>
      <c r="V219" s="152">
        <v>-2.5648235596745844E-3</v>
      </c>
      <c r="W219" s="152">
        <v>1.3380616114988375</v>
      </c>
      <c r="X219" s="187">
        <v>5.2602254881634334</v>
      </c>
      <c r="Y219" s="152">
        <v>15.405976922517613</v>
      </c>
      <c r="Z219" s="152">
        <v>2.6481461756686753</v>
      </c>
      <c r="AA219" s="152">
        <v>15.558277515883796</v>
      </c>
      <c r="AB219" s="152">
        <v>3.1486442452516394</v>
      </c>
      <c r="AC219" s="152">
        <v>3.8758289624385139E-3</v>
      </c>
      <c r="AD219" s="152">
        <v>2.758733680165313E-2</v>
      </c>
      <c r="AE219" s="152">
        <v>0.25649230558423008</v>
      </c>
      <c r="AF219" s="152">
        <v>1.3500683934163833</v>
      </c>
      <c r="AG219" s="152">
        <v>10.417505347185509</v>
      </c>
      <c r="AH219" s="152">
        <v>1.0133937905274555</v>
      </c>
      <c r="AI219" s="152">
        <v>1.1093285575281879</v>
      </c>
      <c r="AJ219" s="152">
        <v>9.0167386676066243</v>
      </c>
      <c r="AK219" s="152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3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3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-3.3730279305653577</v>
      </c>
      <c r="H220" s="47">
        <f t="shared" ref="H220:K220" si="73">LN(H156/H198)</f>
        <v>-3.2943336183602479</v>
      </c>
      <c r="I220" s="47">
        <f t="shared" si="73"/>
        <v>-3.2302159335097689</v>
      </c>
      <c r="J220" s="47">
        <f t="shared" si="73"/>
        <v>-3.1768658318561021</v>
      </c>
      <c r="K220" s="47">
        <f t="shared" si="73"/>
        <v>-3.1317208567087134</v>
      </c>
      <c r="L220" s="47">
        <f t="shared" ref="L220:M220" si="74">LN(L156/L198)</f>
        <v>-3.0908775947909013</v>
      </c>
      <c r="M220" s="47">
        <f t="shared" si="74"/>
        <v>-3.0537773397464885</v>
      </c>
      <c r="N220" s="213"/>
      <c r="O220" s="108">
        <v>218</v>
      </c>
      <c r="P220" s="108">
        <v>0</v>
      </c>
      <c r="Q220" s="152">
        <v>1.9367231906524163</v>
      </c>
      <c r="R220" s="152">
        <v>-0.39110193168855406</v>
      </c>
      <c r="S220" s="152">
        <v>-3.3866681103253065</v>
      </c>
      <c r="T220" s="152">
        <v>-1.2599127564811914</v>
      </c>
      <c r="U220" s="152">
        <v>-1.6912840106060423</v>
      </c>
      <c r="V220" s="152">
        <v>-0.57516659276131454</v>
      </c>
      <c r="W220" s="152">
        <v>-1.0152937224040661</v>
      </c>
      <c r="X220" s="187">
        <v>-2.9149891047253447</v>
      </c>
      <c r="Y220" s="152">
        <v>-4.5973706308043685</v>
      </c>
      <c r="Z220" s="152">
        <v>-2.0972181618747756</v>
      </c>
      <c r="AA220" s="152">
        <v>-4.519853990003182</v>
      </c>
      <c r="AB220" s="152">
        <v>-2.9092265453114496</v>
      </c>
      <c r="AC220" s="152">
        <v>-0.57744244017012136</v>
      </c>
      <c r="AD220" s="152">
        <v>-0.83901110700490678</v>
      </c>
      <c r="AE220" s="152">
        <v>-0.54538998007747608</v>
      </c>
      <c r="AF220" s="152">
        <v>-2.1222653411870125</v>
      </c>
      <c r="AG220" s="152">
        <v>-2.9870328018732044</v>
      </c>
      <c r="AH220" s="152">
        <v>-1.7863679557454457</v>
      </c>
      <c r="AI220" s="152">
        <v>-2.3119306062986231</v>
      </c>
      <c r="AJ220" s="152">
        <v>-3.5216697624277713</v>
      </c>
      <c r="AK220" s="152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3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3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0.59392742206902316</v>
      </c>
      <c r="H221" s="30">
        <f t="shared" ref="H221:K221" si="75">H157/H199</f>
        <v>0.53110419906687401</v>
      </c>
      <c r="I221" s="30">
        <f t="shared" si="75"/>
        <v>0.53110419906687401</v>
      </c>
      <c r="J221" s="30">
        <f t="shared" si="75"/>
        <v>0.53110419906687401</v>
      </c>
      <c r="K221" s="30">
        <f t="shared" si="75"/>
        <v>0.53110419906687401</v>
      </c>
      <c r="L221" s="30">
        <f t="shared" ref="L221:M221" si="76">L157/L199</f>
        <v>0.53110419906687401</v>
      </c>
      <c r="M221" s="30">
        <f t="shared" si="76"/>
        <v>0.53110419906687401</v>
      </c>
      <c r="N221" s="211"/>
      <c r="O221" s="108">
        <v>219</v>
      </c>
      <c r="P221" s="108">
        <v>0</v>
      </c>
      <c r="Q221" s="152">
        <v>1.1371050289635196</v>
      </c>
      <c r="R221" s="152">
        <v>8.9927562677162329E-2</v>
      </c>
      <c r="S221" s="152">
        <v>-0.18558591328683788</v>
      </c>
      <c r="T221" s="152">
        <v>0.10155368986851439</v>
      </c>
      <c r="U221" s="152">
        <v>0.50466610713472126</v>
      </c>
      <c r="V221" s="152">
        <v>0.64489514857638075</v>
      </c>
      <c r="W221" s="152">
        <v>0.23502362617459771</v>
      </c>
      <c r="X221" s="187">
        <v>0.87879592386595273</v>
      </c>
      <c r="Y221" s="152">
        <v>-0.73974406020468197</v>
      </c>
      <c r="Z221" s="152">
        <v>1.6328245183329819</v>
      </c>
      <c r="AA221" s="152">
        <v>1.482108659049137</v>
      </c>
      <c r="AB221" s="152">
        <v>1.1170055824485536</v>
      </c>
      <c r="AC221" s="152">
        <v>2.540698898361665</v>
      </c>
      <c r="AD221" s="152">
        <v>0.55365282938972749</v>
      </c>
      <c r="AE221" s="152">
        <v>0.3981546203978783</v>
      </c>
      <c r="AF221" s="152">
        <v>1.3928177871265517</v>
      </c>
      <c r="AG221" s="152">
        <v>-0.10680749157033483</v>
      </c>
      <c r="AH221" s="152">
        <v>0.5810668431788294</v>
      </c>
      <c r="AI221" s="152">
        <v>0.79187884341904979</v>
      </c>
      <c r="AJ221" s="152">
        <v>-0.49754279937014201</v>
      </c>
      <c r="AK221" s="152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3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3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13"/>
      <c r="O222" s="108">
        <v>220</v>
      </c>
      <c r="P222" s="108">
        <v>0</v>
      </c>
      <c r="Q222" s="152">
        <v>12</v>
      </c>
      <c r="R222" s="152">
        <v>12</v>
      </c>
      <c r="S222" s="152">
        <v>12</v>
      </c>
      <c r="T222" s="152">
        <v>12</v>
      </c>
      <c r="U222" s="152">
        <v>12</v>
      </c>
      <c r="V222" s="152">
        <v>12</v>
      </c>
      <c r="W222" s="152">
        <v>12</v>
      </c>
      <c r="X222" s="187">
        <v>12</v>
      </c>
      <c r="Y222" s="152">
        <v>12</v>
      </c>
      <c r="Z222" s="152">
        <v>12</v>
      </c>
      <c r="AA222" s="152">
        <v>12</v>
      </c>
      <c r="AB222" s="152">
        <v>12</v>
      </c>
      <c r="AC222" s="152">
        <v>12</v>
      </c>
      <c r="AD222" s="152">
        <v>12</v>
      </c>
      <c r="AE222" s="152">
        <v>12</v>
      </c>
      <c r="AF222" s="152">
        <v>12</v>
      </c>
      <c r="AG222" s="152">
        <v>12</v>
      </c>
      <c r="AH222" s="152">
        <v>12</v>
      </c>
      <c r="AI222" s="152">
        <v>12</v>
      </c>
      <c r="AJ222" s="152">
        <v>12</v>
      </c>
      <c r="AK222" s="152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3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3">
      <c r="A223" s="3"/>
      <c r="B223" s="9">
        <v>209</v>
      </c>
      <c r="C223" s="3"/>
      <c r="D223" s="3"/>
      <c r="E223" s="36"/>
      <c r="M223" s="87"/>
      <c r="O223" s="108">
        <v>221</v>
      </c>
      <c r="P223" s="108">
        <v>0</v>
      </c>
      <c r="Q223" s="152"/>
      <c r="R223" s="152"/>
      <c r="S223" s="152"/>
      <c r="T223" s="152"/>
      <c r="U223" s="152"/>
      <c r="V223" s="152"/>
      <c r="W223" s="152"/>
      <c r="X223" s="187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3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3">
      <c r="A224" s="3"/>
      <c r="B224" s="9">
        <v>210</v>
      </c>
      <c r="C224" s="27" t="s">
        <v>146</v>
      </c>
      <c r="D224" s="27"/>
      <c r="E224" s="36"/>
      <c r="M224" s="87"/>
      <c r="O224" s="108">
        <v>222</v>
      </c>
      <c r="P224" s="108">
        <v>0</v>
      </c>
      <c r="Q224" s="152"/>
      <c r="R224" s="152"/>
      <c r="S224" s="152"/>
      <c r="T224" s="152"/>
      <c r="U224" s="152"/>
      <c r="V224" s="152"/>
      <c r="W224" s="152"/>
      <c r="X224" s="187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3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3">
      <c r="A225" s="3"/>
      <c r="B225" s="9">
        <v>211</v>
      </c>
      <c r="C225" s="3"/>
      <c r="D225" s="3"/>
      <c r="E225" s="36"/>
      <c r="M225" s="87"/>
      <c r="O225" s="108">
        <v>223</v>
      </c>
      <c r="P225" s="108">
        <v>0</v>
      </c>
      <c r="Q225" s="152"/>
      <c r="R225" s="152"/>
      <c r="S225" s="152"/>
      <c r="T225" s="152"/>
      <c r="U225" s="152"/>
      <c r="V225" s="152"/>
      <c r="W225" s="152"/>
      <c r="X225" s="187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3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3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12.815289735331385</v>
      </c>
      <c r="H226" s="49">
        <f t="shared" ref="H226:K241" si="80">H162*H205</f>
        <v>12.815289735331385</v>
      </c>
      <c r="I226" s="49">
        <f t="shared" si="80"/>
        <v>12.815289735331385</v>
      </c>
      <c r="J226" s="49">
        <f t="shared" si="80"/>
        <v>12.815289735331385</v>
      </c>
      <c r="K226" s="49">
        <f t="shared" si="80"/>
        <v>12.815289735331385</v>
      </c>
      <c r="L226" s="49">
        <f t="shared" ref="L226:M226" si="81">L162*L205</f>
        <v>12.815289735331385</v>
      </c>
      <c r="M226" s="49">
        <f t="shared" si="81"/>
        <v>12.815289735331385</v>
      </c>
      <c r="N226" s="214"/>
      <c r="O226" s="108">
        <v>224</v>
      </c>
      <c r="P226" s="108">
        <v>0</v>
      </c>
      <c r="Q226" s="152">
        <v>12.817219145404639</v>
      </c>
      <c r="R226" s="152">
        <v>12.809732041092667</v>
      </c>
      <c r="S226" s="152">
        <v>12.815667288766317</v>
      </c>
      <c r="T226" s="152">
        <v>12.814549938113361</v>
      </c>
      <c r="U226" s="152">
        <v>12.81527413480965</v>
      </c>
      <c r="V226" s="152">
        <v>12.816805233884939</v>
      </c>
      <c r="W226" s="152">
        <v>12.81288440307239</v>
      </c>
      <c r="X226" s="187">
        <v>12.81331330994302</v>
      </c>
      <c r="Y226" s="152">
        <v>12.814736982825067</v>
      </c>
      <c r="Z226" s="152">
        <v>12.812338831390388</v>
      </c>
      <c r="AA226" s="152">
        <v>12.810934558134596</v>
      </c>
      <c r="AB226" s="152">
        <v>12.811148202512005</v>
      </c>
      <c r="AC226" s="152">
        <v>12.816571389915095</v>
      </c>
      <c r="AD226" s="152">
        <v>12.821412544937436</v>
      </c>
      <c r="AE226" s="152">
        <v>12.819095782593745</v>
      </c>
      <c r="AF226" s="152">
        <v>12.812096781482326</v>
      </c>
      <c r="AG226" s="152">
        <v>12.820454839694522</v>
      </c>
      <c r="AH226" s="152">
        <v>12.815345078290729</v>
      </c>
      <c r="AI226" s="152">
        <v>12.815711468242117</v>
      </c>
      <c r="AJ226" s="152">
        <v>12.812372588661209</v>
      </c>
      <c r="AK226" s="152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3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3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-9.5013557868441414E-2</v>
      </c>
      <c r="H227" s="49">
        <f t="shared" si="80"/>
        <v>-0.10062116900032753</v>
      </c>
      <c r="I227" s="49">
        <f t="shared" si="80"/>
        <v>-0.10622878013221344</v>
      </c>
      <c r="J227" s="49">
        <f t="shared" si="80"/>
        <v>-0.11183639126409943</v>
      </c>
      <c r="K227" s="49">
        <f t="shared" si="80"/>
        <v>-0.11744400239598553</v>
      </c>
      <c r="L227" s="49">
        <f t="shared" ref="L227:M227" si="82">L163*L206</f>
        <v>-0.12305161352787164</v>
      </c>
      <c r="M227" s="49">
        <f t="shared" si="82"/>
        <v>-0.12865922465975785</v>
      </c>
      <c r="N227" s="214"/>
      <c r="O227" s="108">
        <v>225</v>
      </c>
      <c r="P227" s="108">
        <v>0</v>
      </c>
      <c r="Q227" s="152">
        <v>-0.1955616849866077</v>
      </c>
      <c r="R227" s="152">
        <v>-5.0139453917599767E-2</v>
      </c>
      <c r="S227" s="152">
        <v>-8.7626611403791368E-2</v>
      </c>
      <c r="T227" s="152">
        <v>-0.13878007179372015</v>
      </c>
      <c r="U227" s="152">
        <v>-9.7282205088153217E-2</v>
      </c>
      <c r="V227" s="152">
        <v>-0.1702046092964665</v>
      </c>
      <c r="W227" s="152">
        <v>-8.8737017161301307E-2</v>
      </c>
      <c r="X227" s="187">
        <v>-0.12813883089931141</v>
      </c>
      <c r="Y227" s="152">
        <v>-9.581276184553067E-2</v>
      </c>
      <c r="Z227" s="152">
        <v>-6.6354387807909962E-2</v>
      </c>
      <c r="AA227" s="152">
        <v>-0.19195646546552891</v>
      </c>
      <c r="AB227" s="152">
        <v>-0.21027366660337329</v>
      </c>
      <c r="AC227" s="152">
        <v>-0.15199787265681419</v>
      </c>
      <c r="AD227" s="152">
        <v>-0.10912043868331216</v>
      </c>
      <c r="AE227" s="152">
        <v>-0.21001575308326029</v>
      </c>
      <c r="AF227" s="152">
        <v>-0.1128129498024717</v>
      </c>
      <c r="AG227" s="152">
        <v>-9.5787970029264174E-2</v>
      </c>
      <c r="AH227" s="152">
        <v>-0.20980093278769354</v>
      </c>
      <c r="AI227" s="152">
        <v>-9.7268348710777289E-2</v>
      </c>
      <c r="AJ227" s="152">
        <v>-8.7696956559130693E-2</v>
      </c>
      <c r="AK227" s="152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3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3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-1.2571625918425606</v>
      </c>
      <c r="H228" s="49">
        <f t="shared" si="80"/>
        <v>-1.2542363710829587</v>
      </c>
      <c r="I228" s="49">
        <f t="shared" si="80"/>
        <v>-1.2534204516723766</v>
      </c>
      <c r="J228" s="49">
        <f t="shared" si="80"/>
        <v>-1.2505185560784591</v>
      </c>
      <c r="K228" s="49">
        <f t="shared" si="80"/>
        <v>-1.2474016264576462</v>
      </c>
      <c r="L228" s="49">
        <f t="shared" ref="L228:M228" si="83">L164*L207</f>
        <v>-1.2442846968368333</v>
      </c>
      <c r="M228" s="49">
        <f t="shared" si="83"/>
        <v>-1.2411677672160202</v>
      </c>
      <c r="N228" s="214"/>
      <c r="O228" s="108">
        <v>226</v>
      </c>
      <c r="P228" s="108">
        <v>0</v>
      </c>
      <c r="Q228" s="152">
        <v>1.1650758008535247</v>
      </c>
      <c r="R228" s="152">
        <v>-0.7718504366289699</v>
      </c>
      <c r="S228" s="152">
        <v>-1.6236001766503976</v>
      </c>
      <c r="T228" s="152">
        <v>-0.24111778997058667</v>
      </c>
      <c r="U228" s="152">
        <v>-0.20607188193727602</v>
      </c>
      <c r="V228" s="152">
        <v>3.0188944502963107E-2</v>
      </c>
      <c r="W228" s="152">
        <v>-0.34430426096887806</v>
      </c>
      <c r="X228" s="187">
        <v>-0.98495705583747428</v>
      </c>
      <c r="Y228" s="152">
        <v>-1.7635550547524823</v>
      </c>
      <c r="Z228" s="152">
        <v>-0.56966767956709163</v>
      </c>
      <c r="AA228" s="152">
        <v>-1.483191819038103</v>
      </c>
      <c r="AB228" s="152">
        <v>-0.72282600426455124</v>
      </c>
      <c r="AC228" s="152">
        <v>1.3411319809542398E-2</v>
      </c>
      <c r="AD228" s="152">
        <v>-2.9469078579299163E-2</v>
      </c>
      <c r="AE228" s="152">
        <v>0.15318667430228813</v>
      </c>
      <c r="AF228" s="152">
        <v>-0.53996551014018912</v>
      </c>
      <c r="AG228" s="152">
        <v>-1.3156068141560595</v>
      </c>
      <c r="AH228" s="152">
        <v>-0.33426559084480478</v>
      </c>
      <c r="AI228" s="152">
        <v>-0.49173602669721034</v>
      </c>
      <c r="AJ228" s="152">
        <v>-1.263049273413809</v>
      </c>
      <c r="AK228" s="152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3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3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-0.47128148646843637</v>
      </c>
      <c r="H229" s="49">
        <f t="shared" si="80"/>
        <v>-0.47128148646843637</v>
      </c>
      <c r="I229" s="49">
        <f t="shared" si="80"/>
        <v>-0.47128148646843637</v>
      </c>
      <c r="J229" s="49">
        <f t="shared" si="80"/>
        <v>-0.47128148646843637</v>
      </c>
      <c r="K229" s="49">
        <f t="shared" si="80"/>
        <v>-0.47128148646843637</v>
      </c>
      <c r="L229" s="49">
        <f t="shared" ref="L229:M229" si="84">L165*L208</f>
        <v>-0.47128148646843637</v>
      </c>
      <c r="M229" s="49">
        <f t="shared" si="84"/>
        <v>-0.47128148646843637</v>
      </c>
      <c r="N229" s="214"/>
      <c r="O229" s="108">
        <v>227</v>
      </c>
      <c r="P229" s="108">
        <v>0</v>
      </c>
      <c r="Q229" s="152">
        <v>0.53923328844842855</v>
      </c>
      <c r="R229" s="152">
        <v>-0.31112792693041885</v>
      </c>
      <c r="S229" s="152">
        <v>-0.59490752035248329</v>
      </c>
      <c r="T229" s="152">
        <v>-7.2884090319695949E-2</v>
      </c>
      <c r="U229" s="152">
        <v>-8.9126990802696066E-2</v>
      </c>
      <c r="V229" s="152">
        <v>1.5566068796261245E-2</v>
      </c>
      <c r="W229" s="152">
        <v>-0.17587787634040611</v>
      </c>
      <c r="X229" s="187">
        <v>-0.33384462527417247</v>
      </c>
      <c r="Y229" s="152">
        <v>-0.56797994881407321</v>
      </c>
      <c r="Z229" s="152">
        <v>-0.26285825402054996</v>
      </c>
      <c r="AA229" s="152">
        <v>-0.62794465168091362</v>
      </c>
      <c r="AB229" s="152">
        <v>-0.27922562795819394</v>
      </c>
      <c r="AC229" s="152">
        <v>1.7276351963038353E-2</v>
      </c>
      <c r="AD229" s="152">
        <v>-1.5734085433805486E-2</v>
      </c>
      <c r="AE229" s="152">
        <v>0.10741290547504276</v>
      </c>
      <c r="AF229" s="152">
        <v>-0.17921228084021085</v>
      </c>
      <c r="AG229" s="152">
        <v>-0.48889388352116447</v>
      </c>
      <c r="AH229" s="152">
        <v>-0.14188496431576761</v>
      </c>
      <c r="AI229" s="152">
        <v>-0.17439125603850716</v>
      </c>
      <c r="AJ229" s="152">
        <v>-0.46976936584797402</v>
      </c>
      <c r="AK229" s="152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3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3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-0.29192819429315675</v>
      </c>
      <c r="H230" s="49">
        <f t="shared" si="80"/>
        <v>-0.29231196832246931</v>
      </c>
      <c r="I230" s="49">
        <f t="shared" si="80"/>
        <v>-0.29214781462801592</v>
      </c>
      <c r="J230" s="49">
        <f t="shared" si="80"/>
        <v>-0.29137182423161712</v>
      </c>
      <c r="K230" s="49">
        <f t="shared" si="80"/>
        <v>-0.29134872847478166</v>
      </c>
      <c r="L230" s="49">
        <f t="shared" ref="L230:M230" si="85">L166*L209</f>
        <v>-0.2912964533524332</v>
      </c>
      <c r="M230" s="49">
        <f t="shared" si="85"/>
        <v>-0.29124420442658916</v>
      </c>
      <c r="N230" s="214"/>
      <c r="O230" s="108">
        <v>228</v>
      </c>
      <c r="P230" s="108">
        <v>0</v>
      </c>
      <c r="Q230" s="152">
        <v>0.25953414722338397</v>
      </c>
      <c r="R230" s="152">
        <v>-0.22024178783086487</v>
      </c>
      <c r="S230" s="152">
        <v>-0.39836694442207915</v>
      </c>
      <c r="T230" s="152">
        <v>-5.5431461223811776E-2</v>
      </c>
      <c r="U230" s="152">
        <v>-5.4206399974349541E-2</v>
      </c>
      <c r="V230" s="152">
        <v>-2.9312520891026199E-3</v>
      </c>
      <c r="W230" s="152">
        <v>-0.12586145943630814</v>
      </c>
      <c r="X230" s="187">
        <v>-0.26776636153218059</v>
      </c>
      <c r="Y230" s="152">
        <v>-0.45780794632175303</v>
      </c>
      <c r="Z230" s="152">
        <v>-0.17454184086498781</v>
      </c>
      <c r="AA230" s="152">
        <v>-0.42940284635415654</v>
      </c>
      <c r="AB230" s="152">
        <v>-0.19314216742515039</v>
      </c>
      <c r="AC230" s="152">
        <v>4.0575842766316077E-3</v>
      </c>
      <c r="AD230" s="152">
        <v>-3.3469966732101251E-2</v>
      </c>
      <c r="AE230" s="152">
        <v>3.4447420335971791E-2</v>
      </c>
      <c r="AF230" s="152">
        <v>-0.12352380336934167</v>
      </c>
      <c r="AG230" s="152">
        <v>-0.34652629406429858</v>
      </c>
      <c r="AH230" s="152">
        <v>-0.12038087267974849</v>
      </c>
      <c r="AI230" s="152">
        <v>-9.1114364475826021E-2</v>
      </c>
      <c r="AJ230" s="152">
        <v>-0.32917635025783554</v>
      </c>
      <c r="AK230" s="152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3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3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1.4426803341616367E-3</v>
      </c>
      <c r="H231" s="49">
        <f t="shared" si="80"/>
        <v>1.6179968323748969E-3</v>
      </c>
      <c r="I231" s="49">
        <f t="shared" si="80"/>
        <v>1.803363762459006E-3</v>
      </c>
      <c r="J231" s="49">
        <f t="shared" si="80"/>
        <v>1.9987811244139716E-3</v>
      </c>
      <c r="K231" s="49">
        <f t="shared" si="80"/>
        <v>2.2042489182397965E-3</v>
      </c>
      <c r="L231" s="49">
        <f t="shared" ref="L231:M231" si="86">L167*L210</f>
        <v>2.4197671439364771E-3</v>
      </c>
      <c r="M231" s="49">
        <f t="shared" si="86"/>
        <v>2.6453358015040172E-3</v>
      </c>
      <c r="N231" s="214"/>
      <c r="O231" s="108">
        <v>229</v>
      </c>
      <c r="P231" s="108">
        <v>0</v>
      </c>
      <c r="Q231" s="152">
        <v>5.9076642952137397E-3</v>
      </c>
      <c r="R231" s="152">
        <v>3.958855829465985E-4</v>
      </c>
      <c r="S231" s="152">
        <v>1.2053853300650075E-3</v>
      </c>
      <c r="T231" s="152">
        <v>3.1785570905485954E-3</v>
      </c>
      <c r="U231" s="152">
        <v>1.4476058788554732E-3</v>
      </c>
      <c r="V231" s="152">
        <v>4.5357000062272853E-3</v>
      </c>
      <c r="W231" s="152">
        <v>1.2906542401835001E-3</v>
      </c>
      <c r="X231" s="187">
        <v>2.6059345977469243E-3</v>
      </c>
      <c r="Y231" s="152">
        <v>1.4139888582252542E-3</v>
      </c>
      <c r="Z231" s="152">
        <v>7.1107060238156385E-4</v>
      </c>
      <c r="AA231" s="152">
        <v>6.3383863166704604E-3</v>
      </c>
      <c r="AB231" s="152">
        <v>7.2267238703277448E-3</v>
      </c>
      <c r="AC231" s="152">
        <v>3.5901827529324247E-3</v>
      </c>
      <c r="AD231" s="152">
        <v>2.0707788243622032E-3</v>
      </c>
      <c r="AE231" s="152">
        <v>6.848970109500945E-3</v>
      </c>
      <c r="AF231" s="152">
        <v>2.0472230967224997E-3</v>
      </c>
      <c r="AG231" s="152">
        <v>1.4229190921836801E-3</v>
      </c>
      <c r="AH231" s="152">
        <v>6.8342540031158328E-3</v>
      </c>
      <c r="AI231" s="152">
        <v>1.3969724873573177E-3</v>
      </c>
      <c r="AJ231" s="152">
        <v>1.2050801100455465E-3</v>
      </c>
      <c r="AK231" s="152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3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3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-1.5445823936172474</v>
      </c>
      <c r="H232" s="49">
        <f t="shared" si="80"/>
        <v>-1.5374003013793529</v>
      </c>
      <c r="I232" s="49">
        <f t="shared" si="80"/>
        <v>-1.535400699445584</v>
      </c>
      <c r="J232" s="49">
        <f t="shared" si="80"/>
        <v>-1.5282994673098218</v>
      </c>
      <c r="K232" s="49">
        <f t="shared" si="80"/>
        <v>-1.5206903595615537</v>
      </c>
      <c r="L232" s="49">
        <f t="shared" ref="L232:M232" si="87">L168*L211</f>
        <v>-1.5131002412537766</v>
      </c>
      <c r="M232" s="49">
        <f t="shared" si="87"/>
        <v>-1.5055291123864902</v>
      </c>
      <c r="N232" s="214"/>
      <c r="O232" s="108">
        <v>230</v>
      </c>
      <c r="P232" s="108">
        <v>0</v>
      </c>
      <c r="Q232" s="152">
        <v>-1.40670701707363</v>
      </c>
      <c r="R232" s="152">
        <v>-0.57058432333663178</v>
      </c>
      <c r="S232" s="152">
        <v>-2.3685147362082692</v>
      </c>
      <c r="T232" s="152">
        <v>-5.7027519589446407E-2</v>
      </c>
      <c r="U232" s="152">
        <v>-3.9641696636901917E-2</v>
      </c>
      <c r="V232" s="152">
        <v>-8.8157497838391077E-4</v>
      </c>
      <c r="W232" s="152">
        <v>-0.1042400612547169</v>
      </c>
      <c r="X232" s="187">
        <v>-0.95794412740479007</v>
      </c>
      <c r="Y232" s="152">
        <v>-3.2509261656642079</v>
      </c>
      <c r="Z232" s="152">
        <v>-0.35856437709310446</v>
      </c>
      <c r="AA232" s="152">
        <v>-1.8386378842197295</v>
      </c>
      <c r="AB232" s="152">
        <v>-0.52173463472569137</v>
      </c>
      <c r="AC232" s="152">
        <v>-1.6531281914870699E-4</v>
      </c>
      <c r="AD232" s="152">
        <v>-8.7501682973629351E-4</v>
      </c>
      <c r="AE232" s="152">
        <v>-2.6322502045783881E-2</v>
      </c>
      <c r="AF232" s="152">
        <v>-0.26507368809565518</v>
      </c>
      <c r="AG232" s="152">
        <v>-1.8851866162571815</v>
      </c>
      <c r="AH232" s="152">
        <v>-0.10558823397058957</v>
      </c>
      <c r="AI232" s="152">
        <v>-0.21209262662666997</v>
      </c>
      <c r="AJ232" s="152">
        <v>-1.4191455607277281</v>
      </c>
      <c r="AK232" s="152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3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3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0.8523591479132947</v>
      </c>
      <c r="H233" s="49">
        <f t="shared" si="80"/>
        <v>0.8523591479132947</v>
      </c>
      <c r="I233" s="49">
        <f t="shared" si="80"/>
        <v>0.8523591479132947</v>
      </c>
      <c r="J233" s="49">
        <f t="shared" si="80"/>
        <v>0.8523591479132947</v>
      </c>
      <c r="K233" s="49">
        <f t="shared" si="80"/>
        <v>0.8523591479132947</v>
      </c>
      <c r="L233" s="49">
        <f t="shared" ref="L233:M233" si="88">L169*L212</f>
        <v>0.8523591479132947</v>
      </c>
      <c r="M233" s="49">
        <f t="shared" si="88"/>
        <v>0.8523591479132947</v>
      </c>
      <c r="N233" s="214"/>
      <c r="O233" s="108">
        <v>231</v>
      </c>
      <c r="P233" s="108">
        <v>0</v>
      </c>
      <c r="Q233" s="152">
        <v>1.0009835108698977</v>
      </c>
      <c r="R233" s="152">
        <v>0.4392554354606511</v>
      </c>
      <c r="S233" s="152">
        <v>1.4408178526813642</v>
      </c>
      <c r="T233" s="152">
        <v>1.7801644489039103E-2</v>
      </c>
      <c r="U233" s="152">
        <v>3.0726174138521523E-2</v>
      </c>
      <c r="V233" s="152">
        <v>8.6510648300228826E-4</v>
      </c>
      <c r="W233" s="152">
        <v>0.11934768627786604</v>
      </c>
      <c r="X233" s="187">
        <v>0.58482042597573602</v>
      </c>
      <c r="Y233" s="152">
        <v>1.1931318830775903</v>
      </c>
      <c r="Z233" s="152">
        <v>0.21238332751866368</v>
      </c>
      <c r="AA233" s="152">
        <v>1.5267055481285496</v>
      </c>
      <c r="AB233" s="152">
        <v>0.23370367183339597</v>
      </c>
      <c r="AC233" s="152">
        <v>1.0793873592197295E-3</v>
      </c>
      <c r="AD233" s="152">
        <v>7.8949644282405097E-4</v>
      </c>
      <c r="AE233" s="152">
        <v>3.268220351405688E-2</v>
      </c>
      <c r="AF233" s="152">
        <v>7.7658314869115314E-2</v>
      </c>
      <c r="AG233" s="152">
        <v>0.60019001573638064</v>
      </c>
      <c r="AH233" s="152">
        <v>7.270092419342658E-2</v>
      </c>
      <c r="AI233" s="152">
        <v>0.13863434709824368</v>
      </c>
      <c r="AJ233" s="152">
        <v>0.82651441807711445</v>
      </c>
      <c r="AK233" s="152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3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3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0.63509913454334599</v>
      </c>
      <c r="H234" s="49">
        <f t="shared" si="80"/>
        <v>0.63677005751377491</v>
      </c>
      <c r="I234" s="49">
        <f t="shared" si="80"/>
        <v>0.6360550761320134</v>
      </c>
      <c r="J234" s="49">
        <f t="shared" si="80"/>
        <v>0.63268063961162424</v>
      </c>
      <c r="K234" s="49">
        <f t="shared" si="80"/>
        <v>0.63258034399023577</v>
      </c>
      <c r="L234" s="49">
        <f t="shared" ref="L234:M234" si="89">L170*L213</f>
        <v>0.63235336343380655</v>
      </c>
      <c r="M234" s="49">
        <f t="shared" si="89"/>
        <v>0.63212653732252244</v>
      </c>
      <c r="N234" s="214"/>
      <c r="O234" s="108">
        <v>232</v>
      </c>
      <c r="P234" s="108">
        <v>0</v>
      </c>
      <c r="Q234" s="152">
        <v>0.54843342328151146</v>
      </c>
      <c r="R234" s="152">
        <v>0.33840284110286045</v>
      </c>
      <c r="S234" s="152">
        <v>1.2415069991543719</v>
      </c>
      <c r="T234" s="152">
        <v>2.2568160988242738E-2</v>
      </c>
      <c r="U234" s="152">
        <v>2.2157725034759677E-2</v>
      </c>
      <c r="V234" s="152">
        <v>6.2071958510011876E-5</v>
      </c>
      <c r="W234" s="152">
        <v>0.12231733077776961</v>
      </c>
      <c r="X234" s="187">
        <v>0.530386280242372</v>
      </c>
      <c r="Y234" s="152">
        <v>1.5441838671782389</v>
      </c>
      <c r="Z234" s="152">
        <v>0.2285647989059757</v>
      </c>
      <c r="AA234" s="152">
        <v>1.374165215966856</v>
      </c>
      <c r="AB234" s="152">
        <v>0.2793063742582193</v>
      </c>
      <c r="AC234" s="152">
        <v>1.1928525360515036E-4</v>
      </c>
      <c r="AD234" s="152">
        <v>8.208928472620388E-3</v>
      </c>
      <c r="AE234" s="152">
        <v>1.2300633776133031E-2</v>
      </c>
      <c r="AF234" s="152">
        <v>9.7690669191228E-2</v>
      </c>
      <c r="AG234" s="152">
        <v>0.8811500568615066</v>
      </c>
      <c r="AH234" s="152">
        <v>0.10918235106029298</v>
      </c>
      <c r="AI234" s="152">
        <v>6.4842240110579707E-2</v>
      </c>
      <c r="AJ234" s="152">
        <v>0.81255823405128957</v>
      </c>
      <c r="AK234" s="152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3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3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2.3214030159497016E-2</v>
      </c>
      <c r="H235" s="49">
        <f t="shared" si="80"/>
        <v>2.4526877549051373E-2</v>
      </c>
      <c r="I235" s="49">
        <f t="shared" si="80"/>
        <v>2.5876914133987686E-2</v>
      </c>
      <c r="J235" s="49">
        <f t="shared" si="80"/>
        <v>2.7179833941521864E-2</v>
      </c>
      <c r="K235" s="49">
        <f t="shared" si="80"/>
        <v>2.8471520631430304E-2</v>
      </c>
      <c r="L235" s="49">
        <f t="shared" ref="L235:M235" si="90">L171*L214</f>
        <v>2.9756413589588984E-2</v>
      </c>
      <c r="M235" s="49">
        <f t="shared" si="90"/>
        <v>3.1034512815997933E-2</v>
      </c>
      <c r="N235" s="214"/>
      <c r="O235" s="108">
        <v>233</v>
      </c>
      <c r="P235" s="108">
        <v>0</v>
      </c>
      <c r="Q235" s="152">
        <v>-4.718231196547408E-2</v>
      </c>
      <c r="R235" s="152">
        <v>6.6436128319899935E-3</v>
      </c>
      <c r="S235" s="152">
        <v>2.7257214537556643E-2</v>
      </c>
      <c r="T235" s="152">
        <v>5.5737953516273855E-3</v>
      </c>
      <c r="U235" s="152">
        <v>3.8682997693223775E-3</v>
      </c>
      <c r="V235" s="152">
        <v>-1.0118567660920854E-3</v>
      </c>
      <c r="W235" s="152">
        <v>5.8214134304425741E-3</v>
      </c>
      <c r="X235" s="187">
        <v>2.4059740847472408E-2</v>
      </c>
      <c r="Y235" s="152">
        <v>3.1842200861586921E-2</v>
      </c>
      <c r="Z235" s="152">
        <v>7.451633065816695E-3</v>
      </c>
      <c r="AA235" s="152">
        <v>5.0703467780428023E-2</v>
      </c>
      <c r="AB235" s="152">
        <v>2.9616370691645189E-2</v>
      </c>
      <c r="AC235" s="152">
        <v>-4.1373193192645666E-4</v>
      </c>
      <c r="AD235" s="152">
        <v>6.1600964954782681E-4</v>
      </c>
      <c r="AE235" s="152">
        <v>-6.0001241638938602E-3</v>
      </c>
      <c r="AF235" s="152">
        <v>1.1034825265551764E-2</v>
      </c>
      <c r="AG235" s="152">
        <v>2.4024827645520972E-2</v>
      </c>
      <c r="AH235" s="152">
        <v>1.3576851217247421E-2</v>
      </c>
      <c r="AI235" s="152">
        <v>9.9369401561865637E-3</v>
      </c>
      <c r="AJ235" s="152">
        <v>2.129465062930341E-2</v>
      </c>
      <c r="AK235" s="152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3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3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4.4794371805261983E-3</v>
      </c>
      <c r="H236" s="49">
        <f t="shared" si="80"/>
        <v>4.7438093644716064E-3</v>
      </c>
      <c r="I236" s="49">
        <f t="shared" si="80"/>
        <v>5.0081815484170058E-3</v>
      </c>
      <c r="J236" s="49">
        <f t="shared" si="80"/>
        <v>5.272553732362407E-3</v>
      </c>
      <c r="K236" s="49">
        <f t="shared" si="80"/>
        <v>5.5369259163078142E-3</v>
      </c>
      <c r="L236" s="49">
        <f t="shared" ref="L236:M236" si="91">L172*L215</f>
        <v>5.8012981002532223E-3</v>
      </c>
      <c r="M236" s="49">
        <f t="shared" si="91"/>
        <v>6.0656702841986347E-3</v>
      </c>
      <c r="N236" s="214"/>
      <c r="O236" s="108">
        <v>234</v>
      </c>
      <c r="P236" s="108">
        <v>0</v>
      </c>
      <c r="Q236" s="152">
        <v>-7.1687053829693186E-3</v>
      </c>
      <c r="R236" s="152">
        <v>1.3317931074930012E-3</v>
      </c>
      <c r="S236" s="152">
        <v>5.034602544993016E-3</v>
      </c>
      <c r="T236" s="152">
        <v>1.6252603187425281E-3</v>
      </c>
      <c r="U236" s="152">
        <v>7.9619102903738808E-4</v>
      </c>
      <c r="V236" s="152">
        <v>-2.4430484581116653E-4</v>
      </c>
      <c r="W236" s="152">
        <v>1.6244571300352048E-3</v>
      </c>
      <c r="X236" s="187">
        <v>4.0790197528913436E-3</v>
      </c>
      <c r="Y236" s="152">
        <v>5.8675401978578569E-3</v>
      </c>
      <c r="Z236" s="152">
        <v>1.329128199020761E-3</v>
      </c>
      <c r="AA236" s="152">
        <v>1.5983732119799098E-2</v>
      </c>
      <c r="AB236" s="152">
        <v>5.3376449997133216E-3</v>
      </c>
      <c r="AC236" s="152">
        <v>-2.0769298485601303E-4</v>
      </c>
      <c r="AD236" s="152">
        <v>1.6951847851256506E-4</v>
      </c>
      <c r="AE236" s="152">
        <v>-2.3465376678514609E-3</v>
      </c>
      <c r="AF236" s="152">
        <v>2.285537815380146E-3</v>
      </c>
      <c r="AG236" s="152">
        <v>4.6236238740936242E-3</v>
      </c>
      <c r="AH236" s="152">
        <v>2.7870701753860117E-3</v>
      </c>
      <c r="AI236" s="152">
        <v>1.4143001062489147E-3</v>
      </c>
      <c r="AJ236" s="152">
        <v>3.9143935592354292E-3</v>
      </c>
      <c r="AK236" s="152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3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3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-3.077179869588856E-4</v>
      </c>
      <c r="H237" s="49">
        <f t="shared" si="80"/>
        <v>-3.2630762078153899E-4</v>
      </c>
      <c r="I237" s="49">
        <f t="shared" si="80"/>
        <v>-3.442992661788118E-4</v>
      </c>
      <c r="J237" s="49">
        <f t="shared" si="80"/>
        <v>-3.6151136803145233E-4</v>
      </c>
      <c r="K237" s="49">
        <f t="shared" si="80"/>
        <v>-3.7960789048658504E-4</v>
      </c>
      <c r="L237" s="49">
        <f t="shared" ref="L237:M237" si="92">L173*L216</f>
        <v>-3.9766170526269617E-4</v>
      </c>
      <c r="M237" s="49">
        <f t="shared" si="92"/>
        <v>-4.1570905322579514E-4</v>
      </c>
      <c r="N237" s="214"/>
      <c r="O237" s="108">
        <v>235</v>
      </c>
      <c r="P237" s="108">
        <v>0</v>
      </c>
      <c r="Q237" s="152">
        <v>-3.4482389185369947E-4</v>
      </c>
      <c r="R237" s="152">
        <v>9.5240133079079999E-4</v>
      </c>
      <c r="S237" s="152">
        <v>-3.6418687833656609E-4</v>
      </c>
      <c r="T237" s="152">
        <v>1.8511505246238856E-4</v>
      </c>
      <c r="U237" s="152">
        <v>2.2157860312767404E-5</v>
      </c>
      <c r="V237" s="152">
        <v>-1.9010444999554056E-6</v>
      </c>
      <c r="W237" s="152">
        <v>-3.9307415828216385E-5</v>
      </c>
      <c r="X237" s="187">
        <v>4.2547132091801001E-4</v>
      </c>
      <c r="Y237" s="152">
        <v>-6.056210946572975E-4</v>
      </c>
      <c r="Z237" s="152">
        <v>1.0778035161690797E-5</v>
      </c>
      <c r="AA237" s="152">
        <v>8.3623564233266997E-4</v>
      </c>
      <c r="AB237" s="152">
        <v>2.1846424450289227E-5</v>
      </c>
      <c r="AC237" s="152">
        <v>5.2575292028251269E-6</v>
      </c>
      <c r="AD237" s="152">
        <v>1.1694926368305512E-4</v>
      </c>
      <c r="AE237" s="152">
        <v>4.3217792815793528E-5</v>
      </c>
      <c r="AF237" s="152">
        <v>2.3939023817801195E-4</v>
      </c>
      <c r="AG237" s="152">
        <v>-3.0379862375446689E-4</v>
      </c>
      <c r="AH237" s="152">
        <v>-8.2917574722108601E-5</v>
      </c>
      <c r="AI237" s="152">
        <v>-3.6627874302507001E-4</v>
      </c>
      <c r="AJ237" s="152">
        <v>-6.8139376059077915E-6</v>
      </c>
      <c r="AK237" s="152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3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3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1.2042630798076548</v>
      </c>
      <c r="H238" s="49">
        <f t="shared" si="80"/>
        <v>1.2014599900187752</v>
      </c>
      <c r="I238" s="49">
        <f t="shared" si="80"/>
        <v>1.2006784032704598</v>
      </c>
      <c r="J238" s="49">
        <f t="shared" si="80"/>
        <v>1.197898615080859</v>
      </c>
      <c r="K238" s="49">
        <f t="shared" si="80"/>
        <v>1.194912841172965</v>
      </c>
      <c r="L238" s="49">
        <f t="shared" ref="L238:M238" si="93">L174*L217</f>
        <v>1.1919270672650712</v>
      </c>
      <c r="M238" s="49">
        <f t="shared" si="93"/>
        <v>1.1889412933571772</v>
      </c>
      <c r="N238" s="214"/>
      <c r="O238" s="108">
        <v>236</v>
      </c>
      <c r="P238" s="108">
        <v>0</v>
      </c>
      <c r="Q238" s="152">
        <v>0.79138243043078915</v>
      </c>
      <c r="R238" s="152">
        <v>0.46266061682998344</v>
      </c>
      <c r="S238" s="152">
        <v>1.554754392146789</v>
      </c>
      <c r="T238" s="152">
        <v>3.8912400427771755E-2</v>
      </c>
      <c r="U238" s="152">
        <v>3.5014025126658486E-2</v>
      </c>
      <c r="V238" s="152">
        <v>9.3279741239818414E-4</v>
      </c>
      <c r="W238" s="152">
        <v>9.8717307791664599E-2</v>
      </c>
      <c r="X238" s="187">
        <v>0.59164988344322877</v>
      </c>
      <c r="Y238" s="152">
        <v>2.4633522281309053</v>
      </c>
      <c r="Z238" s="152">
        <v>0.36589463337537875</v>
      </c>
      <c r="AA238" s="152">
        <v>1.4604284527736688</v>
      </c>
      <c r="AB238" s="152">
        <v>0.4185799466334359</v>
      </c>
      <c r="AC238" s="152">
        <v>3.8014276728200999E-4</v>
      </c>
      <c r="AD238" s="152">
        <v>9.5514695022030276E-4</v>
      </c>
      <c r="AE238" s="152">
        <v>4.4165031314041238E-2</v>
      </c>
      <c r="AF238" s="152">
        <v>0.23329397117782896</v>
      </c>
      <c r="AG238" s="152">
        <v>1.8162236756813415</v>
      </c>
      <c r="AH238" s="152">
        <v>9.3083358437517569E-2</v>
      </c>
      <c r="AI238" s="152">
        <v>0.12968099596417557</v>
      </c>
      <c r="AJ238" s="152">
        <v>1.035839338147639</v>
      </c>
      <c r="AK238" s="152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3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3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0.60492502295311879</v>
      </c>
      <c r="H239" s="49">
        <f t="shared" si="80"/>
        <v>0.60431037005692956</v>
      </c>
      <c r="I239" s="49">
        <f t="shared" si="80"/>
        <v>0.60357810560084468</v>
      </c>
      <c r="J239" s="49">
        <f t="shared" si="80"/>
        <v>0.60058122647741352</v>
      </c>
      <c r="K239" s="49">
        <f t="shared" si="80"/>
        <v>0.59903678518701986</v>
      </c>
      <c r="L239" s="49">
        <f t="shared" ref="L239:M239" si="94">L175*L218</f>
        <v>0.59743273596366553</v>
      </c>
      <c r="M239" s="49">
        <f t="shared" si="94"/>
        <v>0.5958292774715751</v>
      </c>
      <c r="N239" s="214"/>
      <c r="O239" s="108">
        <v>237</v>
      </c>
      <c r="P239" s="108">
        <v>0</v>
      </c>
      <c r="Q239" s="152">
        <v>0.68717731945272365</v>
      </c>
      <c r="R239" s="152">
        <v>0.33995438116571847</v>
      </c>
      <c r="S239" s="152">
        <v>1.0291831984403743</v>
      </c>
      <c r="T239" s="152">
        <v>1.4421333144364515E-2</v>
      </c>
      <c r="U239" s="152">
        <v>1.5803275485238921E-2</v>
      </c>
      <c r="V239" s="152">
        <v>-1.1101450452736847E-4</v>
      </c>
      <c r="W239" s="152">
        <v>5.7918626500081505E-2</v>
      </c>
      <c r="X239" s="187">
        <v>0.56718308056126943</v>
      </c>
      <c r="Y239" s="152">
        <v>1.1841325397052329</v>
      </c>
      <c r="Z239" s="152">
        <v>0.16801081007268631</v>
      </c>
      <c r="AA239" s="152">
        <v>0.67104554352657464</v>
      </c>
      <c r="AB239" s="152">
        <v>0.2043992352496232</v>
      </c>
      <c r="AC239" s="152">
        <v>6.7884691680341626E-5</v>
      </c>
      <c r="AD239" s="152">
        <v>8.8855502431118888E-4</v>
      </c>
      <c r="AE239" s="152">
        <v>1.1842169361130538E-2</v>
      </c>
      <c r="AF239" s="152">
        <v>5.1323577693790805E-2</v>
      </c>
      <c r="AG239" s="152">
        <v>0.71521691561729317</v>
      </c>
      <c r="AH239" s="152">
        <v>5.8121321676376805E-2</v>
      </c>
      <c r="AI239" s="152">
        <v>9.5034886432362076E-2</v>
      </c>
      <c r="AJ239" s="152">
        <v>0.51146710535178164</v>
      </c>
      <c r="AK239" s="152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3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3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-1.7048312435583075</v>
      </c>
      <c r="H240" s="49">
        <f t="shared" si="80"/>
        <v>-1.7070724452251167</v>
      </c>
      <c r="I240" s="49">
        <f t="shared" si="80"/>
        <v>-1.7061138041876271</v>
      </c>
      <c r="J240" s="49">
        <f t="shared" si="80"/>
        <v>-1.7015820984519578</v>
      </c>
      <c r="K240" s="49">
        <f t="shared" si="80"/>
        <v>-1.7014472215588845</v>
      </c>
      <c r="L240" s="49">
        <f t="shared" ref="L240:M240" si="95">L176*L219</f>
        <v>-1.7011419401109718</v>
      </c>
      <c r="M240" s="49">
        <f t="shared" si="95"/>
        <v>-1.7008368116480046</v>
      </c>
      <c r="N240" s="214"/>
      <c r="O240" s="108">
        <v>238</v>
      </c>
      <c r="P240" s="108">
        <v>0</v>
      </c>
      <c r="Q240" s="152">
        <v>-1.5994961070394638</v>
      </c>
      <c r="R240" s="152">
        <v>-0.9446961425418855</v>
      </c>
      <c r="S240" s="152">
        <v>-2.8540959549105995</v>
      </c>
      <c r="T240" s="152">
        <v>-4.4888465206549523E-2</v>
      </c>
      <c r="U240" s="152">
        <v>-5.7501364023084596E-2</v>
      </c>
      <c r="V240" s="152">
        <v>5.0865957333359128E-4</v>
      </c>
      <c r="W240" s="152">
        <v>-0.25100785098546707</v>
      </c>
      <c r="X240" s="187">
        <v>-1.3084873322656621</v>
      </c>
      <c r="Y240" s="152">
        <v>-3.2738214000869745</v>
      </c>
      <c r="Z240" s="152">
        <v>-0.55457126063530748</v>
      </c>
      <c r="AA240" s="152">
        <v>-2.8542090013886536</v>
      </c>
      <c r="AB240" s="152">
        <v>-0.59178449845446657</v>
      </c>
      <c r="AC240" s="152">
        <v>-7.4447327740532142E-4</v>
      </c>
      <c r="AD240" s="152">
        <v>-5.4214431507514024E-3</v>
      </c>
      <c r="AE240" s="152">
        <v>-5.6111132380182949E-2</v>
      </c>
      <c r="AF240" s="152">
        <v>-0.20285789431380019</v>
      </c>
      <c r="AG240" s="152">
        <v>-2.0265209420094523</v>
      </c>
      <c r="AH240" s="152">
        <v>-0.20097260940109901</v>
      </c>
      <c r="AI240" s="152">
        <v>-0.21148164715464418</v>
      </c>
      <c r="AJ240" s="152">
        <v>-1.7401301081524241</v>
      </c>
      <c r="AK240" s="152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3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3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-0.9651947538473109</v>
      </c>
      <c r="H241" s="49">
        <f t="shared" si="80"/>
        <v>-0.94267631081584047</v>
      </c>
      <c r="I241" s="49">
        <f t="shared" si="80"/>
        <v>-0.9243289818519369</v>
      </c>
      <c r="J241" s="49">
        <f t="shared" si="80"/>
        <v>-0.90906280579489218</v>
      </c>
      <c r="K241" s="49">
        <f t="shared" si="80"/>
        <v>-0.89614453352682855</v>
      </c>
      <c r="L241" s="49">
        <f t="shared" ref="L241:M241" si="96">L177*L220</f>
        <v>-0.88445720008501016</v>
      </c>
      <c r="M241" s="49">
        <f t="shared" si="96"/>
        <v>-0.87384093117991912</v>
      </c>
      <c r="N241" s="214"/>
      <c r="O241" s="108">
        <v>239</v>
      </c>
      <c r="P241" s="108">
        <v>0</v>
      </c>
      <c r="Q241" s="152">
        <v>0.55725144069121479</v>
      </c>
      <c r="R241" s="152">
        <v>-0.10596005830585771</v>
      </c>
      <c r="S241" s="152">
        <v>-0.98208044856916044</v>
      </c>
      <c r="T241" s="152">
        <v>-0.35653656790675514</v>
      </c>
      <c r="U241" s="152">
        <v>-0.48553199415343923</v>
      </c>
      <c r="V241" s="152">
        <v>-0.16400818529898264</v>
      </c>
      <c r="W241" s="152">
        <v>-0.28936843927374811</v>
      </c>
      <c r="X241" s="187">
        <v>-0.82699019643773175</v>
      </c>
      <c r="Y241" s="152">
        <v>-1.3182564595830877</v>
      </c>
      <c r="Z241" s="152">
        <v>-0.59516962239249449</v>
      </c>
      <c r="AA241" s="152">
        <v>-1.2735139803761002</v>
      </c>
      <c r="AB241" s="152">
        <v>-0.81935050864564063</v>
      </c>
      <c r="AC241" s="152">
        <v>-0.16410994673926865</v>
      </c>
      <c r="AD241" s="152">
        <v>-0.23897572595596839</v>
      </c>
      <c r="AE241" s="152">
        <v>-0.15843501410617886</v>
      </c>
      <c r="AF241" s="152">
        <v>-0.60004451827665506</v>
      </c>
      <c r="AG241" s="152">
        <v>-0.86983219320264249</v>
      </c>
      <c r="AH241" s="152">
        <v>-0.50507347877741815</v>
      </c>
      <c r="AI241" s="152">
        <v>-0.68996310002602146</v>
      </c>
      <c r="AJ241" s="152">
        <v>-0.99116786583678407</v>
      </c>
      <c r="AK241" s="152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3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3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9.6256086857307906E-3</v>
      </c>
      <c r="H242" s="49">
        <f t="shared" ref="H242:K243" si="97">H178*H221</f>
        <v>8.6074510143969805E-3</v>
      </c>
      <c r="I242" s="49">
        <f t="shared" si="97"/>
        <v>8.6074510143969805E-3</v>
      </c>
      <c r="J242" s="49">
        <f t="shared" si="97"/>
        <v>8.6074510143969805E-3</v>
      </c>
      <c r="K242" s="49">
        <f t="shared" si="97"/>
        <v>8.6074510143969805E-3</v>
      </c>
      <c r="L242" s="49">
        <f t="shared" ref="L242:M242" si="98">L178*L221</f>
        <v>8.6074510143969805E-3</v>
      </c>
      <c r="M242" s="49">
        <f t="shared" si="98"/>
        <v>8.6074510143969805E-3</v>
      </c>
      <c r="N242" s="214"/>
      <c r="O242" s="108">
        <v>240</v>
      </c>
      <c r="P242" s="108">
        <v>0</v>
      </c>
      <c r="Q242" s="152">
        <v>1.9409935407995117E-2</v>
      </c>
      <c r="R242" s="152">
        <v>1.4885051202546847E-3</v>
      </c>
      <c r="S242" s="152">
        <v>-3.1335826953991235E-3</v>
      </c>
      <c r="T242" s="152">
        <v>1.6566835540467873E-3</v>
      </c>
      <c r="U242" s="152">
        <v>8.1512135536539049E-3</v>
      </c>
      <c r="V242" s="152">
        <v>1.0572374402663438E-2</v>
      </c>
      <c r="W242" s="152">
        <v>3.8749131485527901E-3</v>
      </c>
      <c r="X242" s="187">
        <v>1.4976754852260323E-2</v>
      </c>
      <c r="Y242" s="152">
        <v>-1.2129619661829511E-2</v>
      </c>
      <c r="Z242" s="152">
        <v>2.8027235295129987E-2</v>
      </c>
      <c r="AA242" s="152">
        <v>2.54160006599367E-2</v>
      </c>
      <c r="AB242" s="152">
        <v>1.8506801187251877E-2</v>
      </c>
      <c r="AC242" s="152">
        <v>4.044562005528974E-2</v>
      </c>
      <c r="AD242" s="152">
        <v>8.2743340428860519E-3</v>
      </c>
      <c r="AE242" s="152">
        <v>6.9273996304057318E-3</v>
      </c>
      <c r="AF242" s="152">
        <v>2.300099745785918E-2</v>
      </c>
      <c r="AG242" s="152">
        <v>-1.5794228680504107E-3</v>
      </c>
      <c r="AH242" s="152">
        <v>9.3549304031056071E-3</v>
      </c>
      <c r="AI242" s="152">
        <v>1.3851631617079441E-2</v>
      </c>
      <c r="AJ242" s="152">
        <v>-8.8444643686558574E-3</v>
      </c>
      <c r="AK242" s="152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3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3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0.20204083320596661</v>
      </c>
      <c r="H243" s="49">
        <f t="shared" si="97"/>
        <v>0.21887756930646382</v>
      </c>
      <c r="I243" s="49">
        <f t="shared" si="97"/>
        <v>0.23571430540696103</v>
      </c>
      <c r="J243" s="49">
        <f t="shared" si="97"/>
        <v>0.25255104150745822</v>
      </c>
      <c r="K243" s="49">
        <f t="shared" si="97"/>
        <v>0.26938777760795546</v>
      </c>
      <c r="L243" s="49">
        <f t="shared" ref="L243:M243" si="99">L179*L222</f>
        <v>0.2862245137084527</v>
      </c>
      <c r="M243" s="49">
        <f t="shared" si="99"/>
        <v>0.30306124980894988</v>
      </c>
      <c r="N243" s="214"/>
      <c r="O243" s="108">
        <v>241</v>
      </c>
      <c r="P243" s="108">
        <v>0</v>
      </c>
      <c r="Q243" s="152">
        <v>0.20144102481010723</v>
      </c>
      <c r="R243" s="152">
        <v>0.20097030677071842</v>
      </c>
      <c r="S243" s="152">
        <v>0.20411918471509766</v>
      </c>
      <c r="T243" s="152">
        <v>0.20346625096579901</v>
      </c>
      <c r="U243" s="152">
        <v>0.20643870836004868</v>
      </c>
      <c r="V243" s="152">
        <v>0.20504399594207415</v>
      </c>
      <c r="W243" s="152">
        <v>0.2028864135363509</v>
      </c>
      <c r="X243" s="187">
        <v>0.20602197920450846</v>
      </c>
      <c r="Y243" s="152">
        <v>0.20913859796736115</v>
      </c>
      <c r="Z243" s="152">
        <v>0.20340499633260467</v>
      </c>
      <c r="AA243" s="152">
        <v>0.20896873551111633</v>
      </c>
      <c r="AB243" s="152">
        <v>0.20647466386872154</v>
      </c>
      <c r="AC243" s="152">
        <v>0.20395577280319607</v>
      </c>
      <c r="AD243" s="152">
        <v>0.20775897206246241</v>
      </c>
      <c r="AE243" s="152">
        <v>0.20347230568126246</v>
      </c>
      <c r="AF243" s="152">
        <v>0.2054070615804619</v>
      </c>
      <c r="AG243" s="152">
        <v>0.20177422535255973</v>
      </c>
      <c r="AH243" s="152">
        <v>0.20483323255533162</v>
      </c>
      <c r="AI243" s="152">
        <v>0.20327295980289473</v>
      </c>
      <c r="AJ243" s="152">
        <v>0.20632155188282963</v>
      </c>
      <c r="AK243" s="152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3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3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2"/>
      <c r="R244" s="152"/>
      <c r="S244" s="152"/>
      <c r="T244" s="152"/>
      <c r="U244" s="152"/>
      <c r="V244" s="152"/>
      <c r="W244" s="152"/>
      <c r="X244" s="187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3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3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10.022436770632263</v>
      </c>
      <c r="H245" s="43">
        <f t="shared" ref="H245:K245" si="100">SUM(H226:H243)</f>
        <v>10.062636644985634</v>
      </c>
      <c r="I245" s="43">
        <f t="shared" si="100"/>
        <v>10.095704366461852</v>
      </c>
      <c r="J245" s="43">
        <f t="shared" si="100"/>
        <v>10.130104884767412</v>
      </c>
      <c r="K245" s="43">
        <f t="shared" si="100"/>
        <v>10.162249211348623</v>
      </c>
      <c r="L245" s="43">
        <f t="shared" ref="L245:M245" si="101">SUM(L226:L243)</f>
        <v>10.193160200123252</v>
      </c>
      <c r="M245" s="43">
        <f t="shared" si="101"/>
        <v>10.222984964082558</v>
      </c>
      <c r="N245" s="209"/>
      <c r="O245" s="108">
        <v>243</v>
      </c>
      <c r="P245" s="108">
        <v>0</v>
      </c>
      <c r="Q245" s="152">
        <v>15.336588480829429</v>
      </c>
      <c r="R245" s="152">
        <v>11.627187690903845</v>
      </c>
      <c r="S245" s="152">
        <v>9.406855956226412</v>
      </c>
      <c r="T245" s="152">
        <v>12.157273173485441</v>
      </c>
      <c r="U245" s="152">
        <v>12.11033697843016</v>
      </c>
      <c r="V245" s="152">
        <v>12.745686254138505</v>
      </c>
      <c r="W245" s="152">
        <v>12.047246933068681</v>
      </c>
      <c r="X245" s="187">
        <v>10.531393351090099</v>
      </c>
      <c r="Y245" s="152">
        <v>8.7069048509774696</v>
      </c>
      <c r="Z245" s="152">
        <v>11.446399820411763</v>
      </c>
      <c r="AA245" s="152">
        <v>9.4526692280373457</v>
      </c>
      <c r="AB245" s="152">
        <v>10.875984373451724</v>
      </c>
      <c r="AC245" s="152">
        <v>12.783321148767294</v>
      </c>
      <c r="AD245" s="152">
        <v>12.618195478783893</v>
      </c>
      <c r="AE245" s="152">
        <v>12.973193650439249</v>
      </c>
      <c r="AF245" s="152">
        <v>11.492587705030125</v>
      </c>
      <c r="AG245" s="152">
        <v>10.034843164823535</v>
      </c>
      <c r="AH245" s="152">
        <v>11.767769771660685</v>
      </c>
      <c r="AI245" s="152">
        <v>11.505363093544563</v>
      </c>
      <c r="AJ245" s="152">
        <v>9.9225006013684993</v>
      </c>
      <c r="AK245" s="152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3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3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22526.254410635269</v>
      </c>
      <c r="H246" s="7">
        <f t="shared" ref="H246:K246" si="102">EXP(H245)</f>
        <v>23450.254928943523</v>
      </c>
      <c r="I246" s="7">
        <f t="shared" si="102"/>
        <v>24238.665049753981</v>
      </c>
      <c r="J246" s="7">
        <f t="shared" si="102"/>
        <v>25086.99553716294</v>
      </c>
      <c r="K246" s="7">
        <f t="shared" si="102"/>
        <v>25906.500774514712</v>
      </c>
      <c r="L246" s="7">
        <f t="shared" ref="L246:M246" si="103">EXP(L245)</f>
        <v>26719.801537206786</v>
      </c>
      <c r="M246" s="7">
        <f t="shared" si="103"/>
        <v>27528.716194425528</v>
      </c>
      <c r="N246" s="203"/>
      <c r="O246" s="108">
        <v>244</v>
      </c>
      <c r="P246" s="108">
        <v>0</v>
      </c>
      <c r="Q246" s="152">
        <v>4577156.3584540142</v>
      </c>
      <c r="R246" s="152">
        <v>112104.60536926478</v>
      </c>
      <c r="S246" s="152">
        <v>12171.542891674004</v>
      </c>
      <c r="T246" s="152">
        <v>190474.41755581286</v>
      </c>
      <c r="U246" s="152">
        <v>181740.83694748979</v>
      </c>
      <c r="V246" s="152">
        <v>343068.78799744573</v>
      </c>
      <c r="W246" s="152">
        <v>170629.00771220317</v>
      </c>
      <c r="X246" s="187">
        <v>37473.651978016365</v>
      </c>
      <c r="Y246" s="152">
        <v>6044.5048618074197</v>
      </c>
      <c r="Z246" s="152">
        <v>93563.89215016448</v>
      </c>
      <c r="AA246" s="152">
        <v>12742.131566427977</v>
      </c>
      <c r="AB246" s="152">
        <v>52890.783274526802</v>
      </c>
      <c r="AC246" s="152">
        <v>356226.18128085841</v>
      </c>
      <c r="AD246" s="152">
        <v>302003.9811191599</v>
      </c>
      <c r="AE246" s="152">
        <v>430711.44789844676</v>
      </c>
      <c r="AF246" s="152">
        <v>97986.765736667905</v>
      </c>
      <c r="AG246" s="152">
        <v>22807.464799020738</v>
      </c>
      <c r="AH246" s="152">
        <v>129026.07202721431</v>
      </c>
      <c r="AI246" s="152">
        <v>99246.615135987027</v>
      </c>
      <c r="AJ246" s="152">
        <v>20383.898956693323</v>
      </c>
      <c r="AK246" s="152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3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3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126.57244217470141</v>
      </c>
      <c r="H247" s="20">
        <f t="shared" ref="H247:K247" si="104">H137</f>
        <v>129.77021170163755</v>
      </c>
      <c r="I247" s="20">
        <f t="shared" si="104"/>
        <v>133.04877077305673</v>
      </c>
      <c r="J247" s="20">
        <f t="shared" si="104"/>
        <v>136.41016048367914</v>
      </c>
      <c r="K247" s="20">
        <f t="shared" si="104"/>
        <v>139.85647349514099</v>
      </c>
      <c r="L247" s="20">
        <f t="shared" ref="L247:M247" si="105">L137</f>
        <v>143.38985533879875</v>
      </c>
      <c r="M247" s="20">
        <f t="shared" si="105"/>
        <v>147.01250575144789</v>
      </c>
      <c r="N247" s="202"/>
      <c r="O247" s="108">
        <v>245</v>
      </c>
      <c r="P247" s="108">
        <v>0</v>
      </c>
      <c r="Q247" s="152">
        <v>148.5804757052604</v>
      </c>
      <c r="R247" s="152">
        <v>117.84029975935469</v>
      </c>
      <c r="S247" s="152">
        <v>125.10444237512081</v>
      </c>
      <c r="T247" s="152">
        <v>135.44966503841732</v>
      </c>
      <c r="U247" s="152">
        <v>127.04410268398206</v>
      </c>
      <c r="V247" s="152">
        <v>142.73452696871527</v>
      </c>
      <c r="W247" s="152">
        <v>125.29129337669033</v>
      </c>
      <c r="X247" s="187">
        <v>133.43126398830893</v>
      </c>
      <c r="Y247" s="152">
        <v>126.74605058078812</v>
      </c>
      <c r="Z247" s="152">
        <v>120.87063966651004</v>
      </c>
      <c r="AA247" s="152">
        <v>147.4388084309023</v>
      </c>
      <c r="AB247" s="152">
        <v>152.07823232390956</v>
      </c>
      <c r="AC247" s="152">
        <v>138.65637338359778</v>
      </c>
      <c r="AD247" s="152">
        <v>129.41053048716657</v>
      </c>
      <c r="AE247" s="152">
        <v>152.07823232390956</v>
      </c>
      <c r="AF247" s="152">
        <v>130.19187476431208</v>
      </c>
      <c r="AG247" s="152">
        <v>126.74605058078812</v>
      </c>
      <c r="AH247" s="152">
        <v>152.07823232390956</v>
      </c>
      <c r="AI247" s="152">
        <v>127.18550362672097</v>
      </c>
      <c r="AJ247" s="152">
        <v>125.10444237512081</v>
      </c>
      <c r="AK247" s="152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3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3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2851203.0338027449</v>
      </c>
      <c r="H248" s="7">
        <f t="shared" ref="H248:K248" si="106">H246*H247</f>
        <v>3043144.5465863706</v>
      </c>
      <c r="I248" s="7">
        <f t="shared" si="106"/>
        <v>3224924.5900496193</v>
      </c>
      <c r="J248" s="7">
        <f t="shared" si="106"/>
        <v>3422121.0872777388</v>
      </c>
      <c r="K248" s="7">
        <f t="shared" si="106"/>
        <v>3623191.8389227665</v>
      </c>
      <c r="L248" s="7">
        <f t="shared" ref="L248:M248" si="107">L246*L247</f>
        <v>3831348.4771014936</v>
      </c>
      <c r="M248" s="7">
        <f t="shared" si="107"/>
        <v>4047065.5478629596</v>
      </c>
      <c r="N248" s="203"/>
      <c r="O248" s="108">
        <v>246</v>
      </c>
      <c r="P248" s="108">
        <v>0</v>
      </c>
      <c r="Q248" s="152">
        <v>680076069.11645484</v>
      </c>
      <c r="R248" s="152">
        <v>13210440.301118325</v>
      </c>
      <c r="S248" s="152">
        <v>1522714.0863077417</v>
      </c>
      <c r="T248" s="152">
        <v>25799696.056322489</v>
      </c>
      <c r="U248" s="152">
        <v>23089101.551029734</v>
      </c>
      <c r="V248" s="152">
        <v>48967761.17254588</v>
      </c>
      <c r="W248" s="152">
        <v>21378329.063843206</v>
      </c>
      <c r="X248" s="187">
        <v>5000156.7496847166</v>
      </c>
      <c r="Y248" s="152">
        <v>766117.1189504629</v>
      </c>
      <c r="Z248" s="152">
        <v>11309127.493878739</v>
      </c>
      <c r="AA248" s="152">
        <v>1878684.6950239276</v>
      </c>
      <c r="AB248" s="152">
        <v>8043536.8266170369</v>
      </c>
      <c r="AC248" s="152">
        <v>49393030.400691897</v>
      </c>
      <c r="AD248" s="152">
        <v>39082495.40586672</v>
      </c>
      <c r="AE248" s="152">
        <v>65501835.638067454</v>
      </c>
      <c r="AF248" s="152">
        <v>12757080.733348254</v>
      </c>
      <c r="AG248" s="152">
        <v>2890756.0870362269</v>
      </c>
      <c r="AH248" s="152">
        <v>19622056.957596187</v>
      </c>
      <c r="AI248" s="152">
        <v>12622730.729317859</v>
      </c>
      <c r="AJ248" s="152">
        <v>2550116.3124079253</v>
      </c>
      <c r="AK248" s="152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3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3">
      <c r="A249" s="3"/>
      <c r="B249" s="9">
        <v>235</v>
      </c>
      <c r="C249" s="3"/>
      <c r="D249" s="3"/>
      <c r="M249" s="87"/>
      <c r="O249" s="108">
        <v>247</v>
      </c>
      <c r="P249" s="108">
        <v>0</v>
      </c>
      <c r="Q249" s="152"/>
      <c r="R249" s="152"/>
      <c r="S249" s="152"/>
      <c r="T249" s="152"/>
      <c r="U249" s="152"/>
      <c r="V249" s="152"/>
      <c r="W249" s="152"/>
      <c r="X249" s="187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3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3">
      <c r="A250" s="3"/>
      <c r="B250" s="9">
        <v>236</v>
      </c>
      <c r="C250" s="3"/>
      <c r="D250" s="3"/>
      <c r="E250" s="36"/>
      <c r="M250" s="87"/>
      <c r="O250" s="108">
        <v>248</v>
      </c>
      <c r="P250" s="108">
        <v>0</v>
      </c>
      <c r="Q250" s="152"/>
      <c r="R250" s="152"/>
      <c r="S250" s="152"/>
      <c r="T250" s="152"/>
      <c r="U250" s="152"/>
      <c r="V250" s="152"/>
      <c r="W250" s="152"/>
      <c r="X250" s="187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3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3">
      <c r="A251" s="3"/>
      <c r="B251" s="3"/>
      <c r="C251" s="3"/>
      <c r="D251" s="3"/>
      <c r="E251" s="36"/>
      <c r="M251" s="87"/>
      <c r="O251" s="108">
        <v>249</v>
      </c>
      <c r="P251" s="108">
        <v>0</v>
      </c>
      <c r="Q251" s="152"/>
      <c r="R251" s="152"/>
      <c r="S251" s="152"/>
      <c r="T251" s="152"/>
      <c r="U251" s="152"/>
      <c r="V251" s="152"/>
      <c r="W251" s="152"/>
      <c r="X251" s="187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3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3">
      <c r="A252" s="3"/>
      <c r="B252" s="3"/>
      <c r="C252" s="3"/>
      <c r="D252" s="3"/>
      <c r="E252" s="36"/>
      <c r="O252" s="108">
        <v>250</v>
      </c>
      <c r="P252" s="108">
        <v>0</v>
      </c>
      <c r="Q252" s="152"/>
      <c r="R252" s="152"/>
      <c r="S252" s="152"/>
      <c r="T252" s="152"/>
      <c r="U252" s="152"/>
      <c r="V252" s="152"/>
      <c r="W252" s="152"/>
      <c r="X252" s="187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3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35">
      <c r="A253" s="283" t="s">
        <v>151</v>
      </c>
      <c r="B253" s="283"/>
      <c r="C253" s="283"/>
      <c r="D253" s="283"/>
      <c r="E253" s="283"/>
      <c r="F253" s="283"/>
      <c r="G253" s="283"/>
      <c r="H253" s="283"/>
      <c r="I253" s="283"/>
      <c r="J253" s="283"/>
      <c r="K253" s="283"/>
      <c r="L253" s="283"/>
      <c r="M253" s="7"/>
      <c r="N253" s="203"/>
      <c r="O253" s="108">
        <v>251</v>
      </c>
      <c r="P253" s="108">
        <v>0</v>
      </c>
      <c r="Q253" s="152"/>
      <c r="R253" s="152"/>
      <c r="S253" s="152"/>
      <c r="T253" s="152"/>
      <c r="U253" s="152"/>
      <c r="V253" s="152"/>
      <c r="W253" s="152"/>
      <c r="X253" s="187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3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3"/>
      <c r="O254" s="108">
        <v>252</v>
      </c>
      <c r="P254" s="108">
        <v>0</v>
      </c>
      <c r="Q254" s="152"/>
      <c r="R254" s="152"/>
      <c r="S254" s="152"/>
      <c r="T254" s="152"/>
      <c r="U254" s="152"/>
      <c r="V254" s="152"/>
      <c r="W254" s="152"/>
      <c r="X254" s="187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3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3"/>
      <c r="O255" s="108">
        <v>253</v>
      </c>
      <c r="P255" s="108">
        <v>0</v>
      </c>
      <c r="Q255" s="152"/>
      <c r="R255" s="152"/>
      <c r="S255" s="152"/>
      <c r="T255" s="152"/>
      <c r="U255" s="152"/>
      <c r="V255" s="152"/>
      <c r="W255" s="152"/>
      <c r="X255" s="187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3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3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3111224.3741063187</v>
      </c>
      <c r="H256" s="59">
        <f t="shared" ref="H256:K256" si="109">H121</f>
        <v>3242138.0991413984</v>
      </c>
      <c r="I256" s="59">
        <f t="shared" si="109"/>
        <v>3376747.0631768554</v>
      </c>
      <c r="J256" s="59">
        <f t="shared" si="109"/>
        <v>3417818.5379149481</v>
      </c>
      <c r="K256" s="59">
        <f t="shared" si="109"/>
        <v>3509817.095079123</v>
      </c>
      <c r="L256" s="59">
        <f t="shared" ref="L256:M256" si="110">L121</f>
        <v>3554233.5172871249</v>
      </c>
      <c r="M256" s="59">
        <f t="shared" si="110"/>
        <v>1587023.2179677396</v>
      </c>
      <c r="N256" s="215"/>
      <c r="O256" s="108">
        <v>254</v>
      </c>
      <c r="P256" s="108">
        <v>0</v>
      </c>
      <c r="Q256" s="152">
        <v>675489361.22490299</v>
      </c>
      <c r="R256" s="152">
        <v>25574111.68164584</v>
      </c>
      <c r="S256" s="152">
        <v>1675460.1896857019</v>
      </c>
      <c r="T256" s="152">
        <v>26767728.831873819</v>
      </c>
      <c r="U256" s="152">
        <v>21022776.179534219</v>
      </c>
      <c r="V256" s="152">
        <v>42620319.773439072</v>
      </c>
      <c r="W256" s="152">
        <v>25353417.629236817</v>
      </c>
      <c r="X256" s="187">
        <v>4986175.2064291537</v>
      </c>
      <c r="Y256" s="152">
        <v>975438.20420847007</v>
      </c>
      <c r="Z256" s="152">
        <v>9323478.4364677593</v>
      </c>
      <c r="AA256" s="152">
        <v>1199837.1789430627</v>
      </c>
      <c r="AB256" s="152">
        <v>4988845.2740728278</v>
      </c>
      <c r="AC256" s="152">
        <v>43320500.93061386</v>
      </c>
      <c r="AD256" s="152">
        <v>33295990.110588793</v>
      </c>
      <c r="AE256" s="152">
        <v>63763754.832226202</v>
      </c>
      <c r="AF256" s="152">
        <v>13053904.028289329</v>
      </c>
      <c r="AG256" s="152">
        <v>2256378.7822468029</v>
      </c>
      <c r="AH256" s="152">
        <v>17347521.053120323</v>
      </c>
      <c r="AI256" s="152">
        <v>14068956.005412698</v>
      </c>
      <c r="AJ256" s="152">
        <v>2530123.444096637</v>
      </c>
      <c r="AK256" s="152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3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3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2851203.0338027449</v>
      </c>
      <c r="H257" s="59">
        <f t="shared" ref="H257:K257" si="112">H248</f>
        <v>3043144.5465863706</v>
      </c>
      <c r="I257" s="59">
        <f t="shared" si="112"/>
        <v>3224924.5900496193</v>
      </c>
      <c r="J257" s="59">
        <f t="shared" si="112"/>
        <v>3422121.0872777388</v>
      </c>
      <c r="K257" s="59">
        <f t="shared" si="112"/>
        <v>3623191.8389227665</v>
      </c>
      <c r="L257" s="59">
        <f t="shared" ref="L257:M257" si="113">L248</f>
        <v>3831348.4771014936</v>
      </c>
      <c r="M257" s="59">
        <f t="shared" si="113"/>
        <v>4047065.5478629596</v>
      </c>
      <c r="N257" s="215"/>
      <c r="O257" s="108">
        <v>255</v>
      </c>
      <c r="P257" s="108">
        <v>0</v>
      </c>
      <c r="Q257" s="152">
        <v>680076069.11645484</v>
      </c>
      <c r="R257" s="152">
        <v>13210440.301118325</v>
      </c>
      <c r="S257" s="152">
        <v>1522714.0863077417</v>
      </c>
      <c r="T257" s="152">
        <v>25799696.056322489</v>
      </c>
      <c r="U257" s="152">
        <v>23089101.551029734</v>
      </c>
      <c r="V257" s="152">
        <v>48967761.17254588</v>
      </c>
      <c r="W257" s="152">
        <v>21378329.063843206</v>
      </c>
      <c r="X257" s="187">
        <v>5000156.7496847166</v>
      </c>
      <c r="Y257" s="152">
        <v>766117.1189504629</v>
      </c>
      <c r="Z257" s="152">
        <v>11309127.493878739</v>
      </c>
      <c r="AA257" s="152">
        <v>1878684.6950239276</v>
      </c>
      <c r="AB257" s="152">
        <v>8043536.8266170369</v>
      </c>
      <c r="AC257" s="152">
        <v>49393030.400691897</v>
      </c>
      <c r="AD257" s="152">
        <v>39082495.40586672</v>
      </c>
      <c r="AE257" s="152">
        <v>65501835.638067454</v>
      </c>
      <c r="AF257" s="152">
        <v>12757080.733348254</v>
      </c>
      <c r="AG257" s="152">
        <v>2890756.0870362269</v>
      </c>
      <c r="AH257" s="152">
        <v>19622056.957596187</v>
      </c>
      <c r="AI257" s="152">
        <v>12622730.729317859</v>
      </c>
      <c r="AJ257" s="152">
        <v>2550116.3124079253</v>
      </c>
      <c r="AK257" s="152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3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3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260021.34030357376</v>
      </c>
      <c r="H258" s="24">
        <f t="shared" ref="H258:K258" si="115">H256-H257</f>
        <v>198993.55255502788</v>
      </c>
      <c r="I258" s="24">
        <f t="shared" si="115"/>
        <v>151822.47312723612</v>
      </c>
      <c r="J258" s="24">
        <f t="shared" si="115"/>
        <v>-4302.5493627907708</v>
      </c>
      <c r="K258" s="24">
        <f t="shared" si="115"/>
        <v>-113374.74384364346</v>
      </c>
      <c r="L258" s="24">
        <f t="shared" ref="L258:M258" si="116">L256-L257</f>
        <v>-277114.95981436875</v>
      </c>
      <c r="M258" s="24">
        <f t="shared" si="116"/>
        <v>-2460042.3298952198</v>
      </c>
      <c r="N258" s="204"/>
      <c r="O258" s="108">
        <v>256</v>
      </c>
      <c r="P258" s="108">
        <v>0</v>
      </c>
      <c r="Q258" s="152">
        <v>-4586707.8915518522</v>
      </c>
      <c r="R258" s="152">
        <v>12363671.380527515</v>
      </c>
      <c r="S258" s="152">
        <v>152746.10337796016</v>
      </c>
      <c r="T258" s="152">
        <v>968032.7755513303</v>
      </c>
      <c r="U258" s="152">
        <v>-2066325.3714955151</v>
      </c>
      <c r="V258" s="152">
        <v>-6347441.399106808</v>
      </c>
      <c r="W258" s="152">
        <v>3975088.5653936118</v>
      </c>
      <c r="X258" s="187">
        <v>-13981.543255562894</v>
      </c>
      <c r="Y258" s="152">
        <v>209321.08525800717</v>
      </c>
      <c r="Z258" s="152">
        <v>-1985649.0574109796</v>
      </c>
      <c r="AA258" s="152">
        <v>-678847.51608086494</v>
      </c>
      <c r="AB258" s="152">
        <v>-3054691.5525442092</v>
      </c>
      <c r="AC258" s="152">
        <v>-6072529.4700780362</v>
      </c>
      <c r="AD258" s="152">
        <v>-5786505.2952779271</v>
      </c>
      <c r="AE258" s="152">
        <v>-1738080.8058412522</v>
      </c>
      <c r="AF258" s="152">
        <v>296823.29494107515</v>
      </c>
      <c r="AG258" s="152">
        <v>-634377.30478942394</v>
      </c>
      <c r="AH258" s="152">
        <v>-2274535.904475864</v>
      </c>
      <c r="AI258" s="152">
        <v>1446225.276094839</v>
      </c>
      <c r="AJ258" s="152">
        <v>-19992.868311288301</v>
      </c>
      <c r="AK258" s="152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3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3">
      <c r="A259" s="37"/>
      <c r="B259" s="37">
        <v>240</v>
      </c>
      <c r="C259" s="3" t="s">
        <v>153</v>
      </c>
      <c r="F259" s="60"/>
      <c r="G259" s="60">
        <f>G258/G257</f>
        <v>9.1197062159678821E-2</v>
      </c>
      <c r="H259" s="60">
        <f t="shared" ref="H259:K259" si="117">H258/H257</f>
        <v>6.5390765870207423E-2</v>
      </c>
      <c r="I259" s="60">
        <f t="shared" si="117"/>
        <v>4.7077836671182489E-2</v>
      </c>
      <c r="J259" s="60">
        <f t="shared" si="117"/>
        <v>-1.2572756057014345E-3</v>
      </c>
      <c r="K259" s="60">
        <f t="shared" si="117"/>
        <v>-3.1291399650908797E-2</v>
      </c>
      <c r="L259" s="60">
        <f t="shared" ref="L259:M259" si="118">L258/L257</f>
        <v>-7.2328309855023365E-2</v>
      </c>
      <c r="M259" s="60">
        <f t="shared" si="118"/>
        <v>-0.60785828665271746</v>
      </c>
      <c r="N259" s="194"/>
      <c r="O259" s="108">
        <v>257</v>
      </c>
      <c r="P259" s="108">
        <v>0</v>
      </c>
      <c r="Q259" s="152">
        <v>-6.744404192182263E-3</v>
      </c>
      <c r="R259" s="152">
        <v>0.93590153686859878</v>
      </c>
      <c r="S259" s="152">
        <v>0.10031174253358162</v>
      </c>
      <c r="T259" s="152">
        <v>3.7521092242251572E-2</v>
      </c>
      <c r="U259" s="152">
        <v>-8.9493537326633676E-2</v>
      </c>
      <c r="V259" s="152">
        <v>-0.12962490518487388</v>
      </c>
      <c r="W259" s="152">
        <v>0.18594009632476888</v>
      </c>
      <c r="X259" s="187">
        <v>-2.7962209897608704E-3</v>
      </c>
      <c r="Y259" s="152">
        <v>0.27322334938131287</v>
      </c>
      <c r="Z259" s="152">
        <v>-0.17557933257766761</v>
      </c>
      <c r="AA259" s="152">
        <v>-0.36134191004958333</v>
      </c>
      <c r="AB259" s="152">
        <v>-0.37976969813028827</v>
      </c>
      <c r="AC259" s="152">
        <v>-0.12294304319487497</v>
      </c>
      <c r="AD259" s="152">
        <v>-0.14805874689386667</v>
      </c>
      <c r="AE259" s="152">
        <v>-2.6534841182849819E-2</v>
      </c>
      <c r="AF259" s="152">
        <v>2.3267336873172721E-2</v>
      </c>
      <c r="AG259" s="152">
        <v>-0.21945030493382955</v>
      </c>
      <c r="AH259" s="152">
        <v>-0.11591730211522674</v>
      </c>
      <c r="AI259" s="152">
        <v>0.11457309096642625</v>
      </c>
      <c r="AJ259" s="152">
        <v>-7.8399829113716818E-3</v>
      </c>
      <c r="AK259" s="152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3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35">
      <c r="A260" s="3"/>
      <c r="B260" s="37">
        <v>241</v>
      </c>
      <c r="M260" s="87"/>
      <c r="O260" s="108">
        <v>258</v>
      </c>
      <c r="P260" s="108">
        <v>0</v>
      </c>
      <c r="Q260" s="152"/>
      <c r="R260" s="152"/>
      <c r="S260" s="152"/>
      <c r="T260" s="152"/>
      <c r="U260" s="152"/>
      <c r="V260" s="152"/>
      <c r="W260" s="152"/>
      <c r="X260" s="187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3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1" customFormat="1" ht="13.5" thickBot="1" x14ac:dyDescent="0.35">
      <c r="A261" s="29"/>
      <c r="B261" s="37">
        <v>242</v>
      </c>
      <c r="C261" s="189" t="s">
        <v>154</v>
      </c>
      <c r="D261" s="190"/>
      <c r="E261" s="190"/>
      <c r="F261" s="61"/>
      <c r="G261" s="61">
        <f t="shared" ref="G261:K261" si="119">LN(G256/G257)</f>
        <v>8.7275315801089132E-2</v>
      </c>
      <c r="H261" s="61">
        <f t="shared" si="119"/>
        <v>6.3341648174114112E-2</v>
      </c>
      <c r="I261" s="61">
        <f t="shared" si="119"/>
        <v>4.6003271695502841E-2</v>
      </c>
      <c r="J261" s="61">
        <f t="shared" si="119"/>
        <v>-1.2580666397771939E-3</v>
      </c>
      <c r="K261" s="61">
        <f t="shared" si="119"/>
        <v>-3.1791434351270437E-2</v>
      </c>
      <c r="L261" s="61">
        <f t="shared" ref="L261:M261" si="120">LN(L256/L257)</f>
        <v>-7.507739096297418E-2</v>
      </c>
      <c r="M261" s="61">
        <f t="shared" si="120"/>
        <v>-0.93613199088095922</v>
      </c>
      <c r="N261" s="216"/>
      <c r="O261" s="192">
        <v>259</v>
      </c>
      <c r="P261" s="192">
        <v>0</v>
      </c>
      <c r="Q261" s="186">
        <v>-6.7672504670865437E-3</v>
      </c>
      <c r="R261" s="186">
        <v>0.66057312850554384</v>
      </c>
      <c r="S261" s="186">
        <v>9.559354195673378E-2</v>
      </c>
      <c r="T261" s="186">
        <v>3.6834302788116932E-2</v>
      </c>
      <c r="U261" s="186">
        <v>-9.3754281900766998E-2</v>
      </c>
      <c r="V261" s="186">
        <v>-0.13883101678348378</v>
      </c>
      <c r="W261" s="186">
        <v>0.17053579029887306</v>
      </c>
      <c r="X261" s="188">
        <v>-2.8001377187363758E-3</v>
      </c>
      <c r="Y261" s="186">
        <v>0.24155175538842397</v>
      </c>
      <c r="Z261" s="186">
        <v>-0.19307436062658731</v>
      </c>
      <c r="AA261" s="186">
        <v>-0.4483860383060369</v>
      </c>
      <c r="AB261" s="186">
        <v>-0.47766441528662357</v>
      </c>
      <c r="AC261" s="186">
        <v>-0.13118334367303955</v>
      </c>
      <c r="AD261" s="186">
        <v>-0.16023770628346737</v>
      </c>
      <c r="AE261" s="186">
        <v>-2.6893244417793071E-2</v>
      </c>
      <c r="AF261" s="186">
        <v>2.3000779196439725E-2</v>
      </c>
      <c r="AG261" s="186">
        <v>-0.24775687024487569</v>
      </c>
      <c r="AH261" s="186">
        <v>-0.12320467107657999</v>
      </c>
      <c r="AI261" s="186">
        <v>0.10847145353854716</v>
      </c>
      <c r="AJ261" s="186">
        <v>-7.8708771569075374E-3</v>
      </c>
      <c r="AK261" s="186">
        <v>7.6140422612958253E-2</v>
      </c>
      <c r="AL261" s="186">
        <v>-0.27647306171757707</v>
      </c>
      <c r="AM261" s="186">
        <v>-2.2761367546868562E-2</v>
      </c>
      <c r="AN261" s="186">
        <v>-0.29151340026801986</v>
      </c>
      <c r="AO261" s="186">
        <v>-0.21299880948856922</v>
      </c>
      <c r="AP261" s="186">
        <v>-0.15435074148231448</v>
      </c>
      <c r="AQ261" s="186">
        <v>-0.57659660670458412</v>
      </c>
      <c r="AR261" s="186">
        <v>0.1599439079302731</v>
      </c>
      <c r="AS261" s="186">
        <v>0.18231453200353245</v>
      </c>
      <c r="AT261" s="186">
        <v>-2.2330564442644099E-2</v>
      </c>
      <c r="AU261" s="186">
        <v>-9.8668585944893958E-2</v>
      </c>
      <c r="AV261" s="186">
        <v>1.255278982614313E-2</v>
      </c>
      <c r="AW261" s="186">
        <v>-0.1923847197764629</v>
      </c>
      <c r="AX261" s="186">
        <v>-0.20985794951884912</v>
      </c>
      <c r="AY261" s="186">
        <v>-9.2470479709290454E-2</v>
      </c>
      <c r="AZ261" s="186">
        <v>-5.8883753821959539E-2</v>
      </c>
      <c r="BA261" s="186"/>
      <c r="BB261" s="186">
        <v>-0.17353299422013507</v>
      </c>
      <c r="BC261" s="186">
        <v>-0.10018715109223296</v>
      </c>
      <c r="BD261" s="186">
        <v>1.2722268251887889E-2</v>
      </c>
      <c r="BE261" s="186">
        <v>-5.1762674360192364E-2</v>
      </c>
      <c r="BF261" s="186">
        <v>3.2871165743072903E-2</v>
      </c>
      <c r="BG261" s="186">
        <v>-0.37347368955381871</v>
      </c>
      <c r="BH261" s="186">
        <v>1.0010852944333569E-2</v>
      </c>
      <c r="BI261" s="186">
        <v>-0.20003458519954234</v>
      </c>
      <c r="BJ261" s="186">
        <v>-5.6650616611175993E-2</v>
      </c>
      <c r="BK261" s="186">
        <v>-0.14448629176665168</v>
      </c>
      <c r="BL261" s="186">
        <v>-0.21911245789754569</v>
      </c>
      <c r="BM261" s="186">
        <v>5.797526128895579E-2</v>
      </c>
      <c r="BN261" s="186">
        <v>8.1650757706730567E-2</v>
      </c>
      <c r="BO261" s="186">
        <v>7.2308948513432877E-2</v>
      </c>
      <c r="BP261" s="186">
        <v>-9.404932931141699E-2</v>
      </c>
      <c r="BQ261" s="186">
        <v>-0.16916290238625717</v>
      </c>
      <c r="BR261" s="186"/>
      <c r="BS261" s="186">
        <v>9.3482768835928959E-2</v>
      </c>
      <c r="BT261" s="186">
        <v>3.2266265180271286E-2</v>
      </c>
      <c r="BU261" s="186">
        <v>0.52967500191875216</v>
      </c>
      <c r="BV261" s="186">
        <v>-4.5873021111753877E-2</v>
      </c>
      <c r="BW261" s="186">
        <v>-0.46737681479801951</v>
      </c>
      <c r="BX261" s="194">
        <v>9.7026758670746019E-2</v>
      </c>
      <c r="BY261" s="186">
        <v>-0.24022901853235762</v>
      </c>
      <c r="BZ261" s="186">
        <v>8.7275315801089132E-2</v>
      </c>
      <c r="CA261" s="186">
        <v>0.26506430253982199</v>
      </c>
      <c r="CB261" s="186">
        <v>-8.4840149794422878E-2</v>
      </c>
      <c r="CC261" s="186">
        <v>-7.6267481216492822E-2</v>
      </c>
      <c r="CD261" s="155"/>
      <c r="CE261" s="155"/>
      <c r="CG261" s="191">
        <v>4.5367050329651368E-2</v>
      </c>
      <c r="CH261" s="191">
        <v>0.68933259749771869</v>
      </c>
      <c r="CI261" s="191">
        <v>0.1259040951320283</v>
      </c>
      <c r="CJ261" s="191">
        <v>4.0005293791986606E-2</v>
      </c>
      <c r="CK261" s="191">
        <v>-8.2365765740685132E-2</v>
      </c>
      <c r="CL261" s="191">
        <v>-0.11911862981757558</v>
      </c>
      <c r="CM261" s="191">
        <v>0.11167797899859878</v>
      </c>
      <c r="CN261" s="191">
        <v>1.0289293438666823E-2</v>
      </c>
      <c r="CO261" s="191">
        <v>0.17017583857315138</v>
      </c>
      <c r="CP261" s="191">
        <v>-0.18400886803332583</v>
      </c>
      <c r="CQ261" s="191">
        <v>-0.41062960410939753</v>
      </c>
      <c r="CR261" s="191">
        <v>-0.44472131879639099</v>
      </c>
      <c r="CS261" s="191">
        <v>-0.11115123769332692</v>
      </c>
      <c r="CT261" s="191">
        <v>-0.17516502062973122</v>
      </c>
      <c r="CU261" s="191">
        <v>5.3009560568334758E-2</v>
      </c>
      <c r="CV261" s="191">
        <v>7.8100495895402341E-2</v>
      </c>
      <c r="CW261" s="191">
        <v>-0.23080743238259485</v>
      </c>
      <c r="CX261" s="191">
        <v>-0.1412729855282201</v>
      </c>
      <c r="CY261" s="191">
        <v>8.8072947085392747E-2</v>
      </c>
      <c r="CZ261" s="191">
        <v>2.4312200014364814E-2</v>
      </c>
      <c r="DA261" s="191">
        <v>7.1088368407897409E-2</v>
      </c>
      <c r="DB261" s="191">
        <v>-0.2494463748605496</v>
      </c>
      <c r="DC261" s="191">
        <v>-3.5323407065295964E-2</v>
      </c>
      <c r="DD261" s="191">
        <v>-0.28379343140248919</v>
      </c>
      <c r="DE261" s="191">
        <v>-0.20133203636505317</v>
      </c>
      <c r="DF261" s="191">
        <v>-0.23046700501020001</v>
      </c>
      <c r="DG261" s="191">
        <v>-0.56301113228127964</v>
      </c>
      <c r="DH261" s="191">
        <v>0.16983472745278344</v>
      </c>
      <c r="DI261" s="191">
        <v>0.16517118532726821</v>
      </c>
      <c r="DJ261" s="191">
        <v>4.6849462680324805E-2</v>
      </c>
      <c r="DK261" s="191">
        <v>-9.2030290387265207E-2</v>
      </c>
      <c r="DL261" s="191">
        <v>-1.3597057165973493E-2</v>
      </c>
      <c r="DM261" s="191">
        <v>-0.19886788067098882</v>
      </c>
      <c r="DN261" s="191">
        <v>-0.23517395268724575</v>
      </c>
      <c r="DO261" s="191">
        <v>-0.16138079865080168</v>
      </c>
      <c r="DP261" s="191">
        <v>-7.092120646301206E-2</v>
      </c>
      <c r="DQ261" s="191">
        <v>0.11363781750916124</v>
      </c>
      <c r="DR261" s="191">
        <v>-0.14351244814584868</v>
      </c>
      <c r="DS261" s="191">
        <v>-0.12207388187310986</v>
      </c>
      <c r="DT261" s="191">
        <v>4.8630427941724147E-2</v>
      </c>
      <c r="DU261" s="191">
        <v>-9.1667349480746396E-2</v>
      </c>
      <c r="DV261" s="191">
        <v>5.4827970423291836E-2</v>
      </c>
      <c r="DW261" s="191">
        <v>-0.35990777494756127</v>
      </c>
      <c r="DX261" s="191">
        <v>2.5742769970603607E-2</v>
      </c>
      <c r="DY261" s="191">
        <v>-0.1427372608489357</v>
      </c>
      <c r="DZ261" s="191">
        <v>-3.8394035908504931E-2</v>
      </c>
      <c r="EA261" s="191">
        <v>-0.16264805507018759</v>
      </c>
      <c r="EB261" s="191">
        <v>-0.10367969672271901</v>
      </c>
      <c r="EC261" s="191">
        <v>8.2460970620447563E-2</v>
      </c>
      <c r="ED261" s="191">
        <v>0.11244761129122202</v>
      </c>
      <c r="EE261" s="191">
        <v>7.6920313206913921E-2</v>
      </c>
      <c r="EF261" s="191">
        <v>-4.1485979966266094E-2</v>
      </c>
      <c r="EG261" s="191">
        <v>-7.9287415644441098E-2</v>
      </c>
      <c r="EH261" s="191">
        <v>-0.14830049709061152</v>
      </c>
      <c r="EI261" s="191">
        <v>0.11189635873102806</v>
      </c>
      <c r="EJ261" s="191">
        <v>-1.1501696373013277E-2</v>
      </c>
      <c r="EK261" s="191">
        <v>0.52944574365265096</v>
      </c>
      <c r="EL261" s="191">
        <v>-3.1013643732482783E-2</v>
      </c>
      <c r="EM261" s="191">
        <v>-0.45657017682524337</v>
      </c>
      <c r="EN261" s="191">
        <v>9.5339226117957004E-2</v>
      </c>
      <c r="EO261" s="191">
        <v>-0.19594661765466731</v>
      </c>
      <c r="EP261" s="191">
        <v>0.1274813872531238</v>
      </c>
      <c r="EQ261" s="191">
        <v>0.26802324138088135</v>
      </c>
      <c r="ER261" s="191">
        <v>-1.5373478811613703E-2</v>
      </c>
      <c r="ES261" s="191">
        <v>-2.1033004704942824E-2</v>
      </c>
    </row>
    <row r="262" spans="1:149" hidden="1" x14ac:dyDescent="0.3">
      <c r="A262" s="27"/>
      <c r="B262" s="37">
        <v>243</v>
      </c>
      <c r="D262" s="31">
        <v>186</v>
      </c>
      <c r="E262" s="3"/>
      <c r="M262" s="87"/>
      <c r="O262" s="108">
        <v>260</v>
      </c>
      <c r="P262" s="108">
        <v>0</v>
      </c>
      <c r="Q262" s="152">
        <v>-6.7672504670865437E-3</v>
      </c>
      <c r="R262" s="152">
        <v>0.66057312850554384</v>
      </c>
      <c r="S262" s="152">
        <v>9.559354195673378E-2</v>
      </c>
      <c r="T262" s="152">
        <v>3.6834302788116932E-2</v>
      </c>
      <c r="U262" s="152">
        <v>-9.3754281900766998E-2</v>
      </c>
      <c r="V262" s="152">
        <v>-0.13883101678348378</v>
      </c>
      <c r="W262" s="152">
        <v>0.17053579029887306</v>
      </c>
      <c r="X262" s="187">
        <v>-2.8001377187363758E-3</v>
      </c>
      <c r="Y262" s="152">
        <v>0.24155175538842397</v>
      </c>
      <c r="Z262" s="152">
        <v>-0.19307436062658731</v>
      </c>
      <c r="AA262" s="152">
        <v>-0.4483860383060369</v>
      </c>
      <c r="AB262" s="152">
        <v>-0.47766441528662357</v>
      </c>
      <c r="AC262" s="152">
        <v>-0.13118334367303955</v>
      </c>
      <c r="AD262" s="152">
        <v>-0.16023770628346737</v>
      </c>
      <c r="AE262" s="152">
        <v>-2.6893244417793071E-2</v>
      </c>
      <c r="AF262" s="152">
        <v>2.3000779196439725E-2</v>
      </c>
      <c r="AG262" s="152">
        <v>-0.24775687024487569</v>
      </c>
      <c r="AH262" s="152">
        <v>-0.12320467107657999</v>
      </c>
      <c r="AI262" s="152">
        <v>0.10847145353854716</v>
      </c>
      <c r="AJ262" s="152">
        <v>-7.8708771569075374E-3</v>
      </c>
      <c r="AK262" s="152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5">
        <v>-2.6780322903377264E-2</v>
      </c>
      <c r="CE262" s="155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3">
      <c r="A263" s="3"/>
      <c r="B263" s="37">
        <v>244</v>
      </c>
      <c r="D263" s="3"/>
      <c r="E263" s="3"/>
      <c r="M263" s="87"/>
      <c r="O263" s="108">
        <v>261</v>
      </c>
      <c r="P263" s="108">
        <v>0</v>
      </c>
      <c r="Q263" s="152">
        <v>0</v>
      </c>
      <c r="R263" s="152">
        <v>0</v>
      </c>
      <c r="S263" s="152">
        <v>0</v>
      </c>
      <c r="T263" s="152">
        <v>0</v>
      </c>
      <c r="U263" s="152">
        <v>0</v>
      </c>
      <c r="V263" s="152">
        <v>0</v>
      </c>
      <c r="W263" s="152">
        <v>0</v>
      </c>
      <c r="X263" s="187">
        <v>0</v>
      </c>
      <c r="Y263" s="152">
        <v>0</v>
      </c>
      <c r="Z263" s="152">
        <v>0</v>
      </c>
      <c r="AA263" s="152">
        <v>0</v>
      </c>
      <c r="AB263" s="152">
        <v>0</v>
      </c>
      <c r="AC263" s="152">
        <v>0</v>
      </c>
      <c r="AD263" s="152">
        <v>0</v>
      </c>
      <c r="AE263" s="152">
        <v>0</v>
      </c>
      <c r="AF263" s="152">
        <v>0</v>
      </c>
      <c r="AG263" s="152">
        <v>0</v>
      </c>
      <c r="AH263" s="152">
        <v>0</v>
      </c>
      <c r="AI263" s="152">
        <v>0</v>
      </c>
      <c r="AJ263" s="152">
        <v>0</v>
      </c>
      <c r="AK263" s="152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5">
        <v>0</v>
      </c>
      <c r="CE263" s="155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3">
      <c r="A264" s="3"/>
      <c r="B264" s="37">
        <v>245</v>
      </c>
      <c r="C264" s="3"/>
      <c r="D264" s="3"/>
      <c r="E264" s="36"/>
      <c r="M264" s="87"/>
      <c r="O264" s="108">
        <v>262</v>
      </c>
      <c r="P264" s="108">
        <v>0</v>
      </c>
      <c r="Q264" s="152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CG264">
        <v>0</v>
      </c>
    </row>
    <row r="265" spans="1:149" hidden="1" x14ac:dyDescent="0.3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2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CG265">
        <v>0</v>
      </c>
    </row>
    <row r="266" spans="1:149" hidden="1" x14ac:dyDescent="0.3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4"/>
      <c r="O266" s="108">
        <v>264</v>
      </c>
      <c r="Q266" s="152">
        <v>-6.7672504670865437E-3</v>
      </c>
      <c r="R266" s="118">
        <v>0.66057312850554384</v>
      </c>
      <c r="S266" s="118">
        <v>9.559354195673378E-2</v>
      </c>
      <c r="T266" s="118">
        <v>3.6834302788116932E-2</v>
      </c>
      <c r="U266" s="118">
        <v>-9.3754281900766998E-2</v>
      </c>
      <c r="V266" s="118">
        <v>-0.13883101678348378</v>
      </c>
      <c r="W266" s="118">
        <v>0.17053579029887306</v>
      </c>
      <c r="X266" s="118">
        <v>-2.8001377187363758E-3</v>
      </c>
      <c r="Y266" s="118">
        <v>0.24155175538842397</v>
      </c>
      <c r="Z266" s="118">
        <v>-0.19307436062658731</v>
      </c>
      <c r="AA266" s="118">
        <v>-0.4483860383060369</v>
      </c>
      <c r="AB266" s="118">
        <v>-0.47766441528662357</v>
      </c>
      <c r="AC266" s="118">
        <v>-0.13118334367303955</v>
      </c>
      <c r="AD266" s="118">
        <v>-0.16023770628346737</v>
      </c>
      <c r="AE266" s="118">
        <v>-2.6893244417793071E-2</v>
      </c>
      <c r="AF266" s="118">
        <v>2.3000779196439725E-2</v>
      </c>
      <c r="AG266" s="118">
        <v>-0.24775687024487569</v>
      </c>
      <c r="AH266" s="118">
        <v>-0.12320467107657999</v>
      </c>
      <c r="AI266" s="118">
        <v>0.10847145353854716</v>
      </c>
      <c r="AJ266" s="118">
        <v>-7.8708771569075374E-3</v>
      </c>
      <c r="AK266" s="118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3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1"/>
      <c r="O267" s="108">
        <v>265</v>
      </c>
      <c r="Q267" s="152">
        <v>4.5367050329651368E-2</v>
      </c>
      <c r="R267" s="118">
        <v>0.68933259749771869</v>
      </c>
      <c r="S267" s="118">
        <v>0.1259040951320283</v>
      </c>
      <c r="T267" s="118">
        <v>4.0005293791986606E-2</v>
      </c>
      <c r="U267" s="118">
        <v>-8.2365765740685132E-2</v>
      </c>
      <c r="V267" s="118">
        <v>-0.11911862981757558</v>
      </c>
      <c r="W267" s="118">
        <v>0.11167797899859878</v>
      </c>
      <c r="X267" s="118">
        <v>1.0289293438666823E-2</v>
      </c>
      <c r="Y267" s="118">
        <v>0.17017583857315138</v>
      </c>
      <c r="Z267" s="118">
        <v>-0.18400886803332583</v>
      </c>
      <c r="AA267" s="118">
        <v>-0.41062960410939753</v>
      </c>
      <c r="AB267" s="118">
        <v>-0.44472131879639099</v>
      </c>
      <c r="AC267" s="118">
        <v>-0.11115123769332692</v>
      </c>
      <c r="AD267" s="118">
        <v>-0.17516502062973122</v>
      </c>
      <c r="AE267" s="118">
        <v>5.3009560568334758E-2</v>
      </c>
      <c r="AF267" s="118">
        <v>7.8100495895402341E-2</v>
      </c>
      <c r="AG267" s="118">
        <v>-0.23080743238259485</v>
      </c>
      <c r="AH267" s="118">
        <v>-0.1412729855282201</v>
      </c>
      <c r="AI267" s="118">
        <v>8.8072947085392747E-2</v>
      </c>
      <c r="AJ267" s="118">
        <v>2.4312200014364814E-2</v>
      </c>
      <c r="AK267" s="118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3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1"/>
      <c r="O268" s="108">
        <v>266</v>
      </c>
      <c r="Q268" s="152">
        <v>1.8544502808292482E-3</v>
      </c>
      <c r="R268" s="118">
        <v>0.69753664058569687</v>
      </c>
      <c r="S268" s="118">
        <v>0.1185744297966774</v>
      </c>
      <c r="T268" s="118">
        <v>2.0582024902304496E-2</v>
      </c>
      <c r="U268" s="118">
        <v>-4.3633329541489248E-2</v>
      </c>
      <c r="V268" s="118">
        <v>-0.11131026593277424</v>
      </c>
      <c r="W268" s="118">
        <v>0.135325906277316</v>
      </c>
      <c r="X268" s="118">
        <v>4.2686784785720385E-3</v>
      </c>
      <c r="Y268" s="118">
        <v>0.21017910101009249</v>
      </c>
      <c r="Z268" s="118">
        <v>-0.1317651130903405</v>
      </c>
      <c r="AA268" s="118">
        <v>-0.38188091724152129</v>
      </c>
      <c r="AB268" s="118">
        <v>-0.39445143950061579</v>
      </c>
      <c r="AC268" s="118">
        <v>-9.8981010167422667E-2</v>
      </c>
      <c r="AD268" s="118">
        <v>-0.15709734392501937</v>
      </c>
      <c r="AE268" s="118">
        <v>9.6056461718184813E-2</v>
      </c>
      <c r="AF268" s="118">
        <v>6.7827698772099765E-2</v>
      </c>
      <c r="AG268" s="118">
        <v>-0.20854398605540175</v>
      </c>
      <c r="AH268" s="118">
        <v>-0.14315834076282447</v>
      </c>
      <c r="AI268" s="118">
        <v>0.13430049909877317</v>
      </c>
      <c r="AJ268" s="118">
        <v>6.8351028518996521E-2</v>
      </c>
      <c r="AK268" s="118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35">
      <c r="A269" s="42"/>
      <c r="B269" s="37">
        <v>250</v>
      </c>
      <c r="C269" s="42"/>
      <c r="D269" s="42"/>
      <c r="E269" s="63" t="s">
        <v>159</v>
      </c>
      <c r="F269" s="64"/>
      <c r="G269" s="64"/>
      <c r="H269" s="64"/>
      <c r="I269" s="64"/>
      <c r="J269" s="64"/>
      <c r="K269" s="64"/>
      <c r="L269" s="64"/>
      <c r="M269" s="64"/>
      <c r="N269" s="217"/>
      <c r="O269" s="108">
        <v>267</v>
      </c>
      <c r="Q269" s="152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3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3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3">
      <c r="A272" s="27"/>
      <c r="B272" s="37">
        <v>253</v>
      </c>
      <c r="C272" s="27"/>
      <c r="D272" s="27"/>
      <c r="E272" s="55"/>
      <c r="Q272" s="119">
        <v>1.3484750047798024E-2</v>
      </c>
      <c r="R272" s="119">
        <v>0.68248078886298646</v>
      </c>
      <c r="S272" s="119">
        <v>0.11335735562847982</v>
      </c>
      <c r="T272" s="119">
        <v>3.2473873827469343E-2</v>
      </c>
      <c r="U272" s="119">
        <v>-7.3251125727647123E-2</v>
      </c>
      <c r="V272" s="119">
        <v>-0.12308663751127787</v>
      </c>
      <c r="W272" s="119">
        <v>0.1391798918582626</v>
      </c>
      <c r="X272" s="119">
        <v>3.9192780661674951E-3</v>
      </c>
      <c r="Y272" s="119">
        <v>0.20730223165722261</v>
      </c>
      <c r="Z272" s="119">
        <v>-0.16961611391675122</v>
      </c>
      <c r="AA272" s="119">
        <v>-0.41363218655231854</v>
      </c>
      <c r="AB272" s="119">
        <v>-0.43894572452787678</v>
      </c>
      <c r="AC272" s="119">
        <v>-0.11377186384459637</v>
      </c>
      <c r="AD272" s="119">
        <v>-0.154426155091968</v>
      </c>
      <c r="AE272" s="119">
        <v>4.0724259289575501E-2</v>
      </c>
      <c r="AF272" s="119">
        <v>5.6309657954647284E-2</v>
      </c>
      <c r="AG272" s="119">
        <v>-0.22903609622762411</v>
      </c>
      <c r="AH272" s="119">
        <v>-0.13587866578920818</v>
      </c>
      <c r="AI272" s="119">
        <v>0.11028163324090436</v>
      </c>
      <c r="AJ272" s="119">
        <v>2.82641171254846E-2</v>
      </c>
      <c r="AK272" s="119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3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6" customFormat="1" x14ac:dyDescent="0.3">
      <c r="E274" s="65"/>
      <c r="F274" s="3"/>
      <c r="N274" s="197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3">
      <c r="Q275" s="118">
        <f>G261</f>
        <v>8.7275315801089132E-2</v>
      </c>
      <c r="R275" s="118">
        <f>Q275</f>
        <v>8.7275315801089132E-2</v>
      </c>
      <c r="S275" s="118">
        <f t="shared" ref="S275:CC275" si="121">R275</f>
        <v>8.7275315801089132E-2</v>
      </c>
      <c r="T275" s="118">
        <f t="shared" si="121"/>
        <v>8.7275315801089132E-2</v>
      </c>
      <c r="U275" s="118">
        <f t="shared" si="121"/>
        <v>8.7275315801089132E-2</v>
      </c>
      <c r="V275" s="118">
        <f t="shared" si="121"/>
        <v>8.7275315801089132E-2</v>
      </c>
      <c r="W275" s="118">
        <f t="shared" si="121"/>
        <v>8.7275315801089132E-2</v>
      </c>
      <c r="X275" s="118">
        <f t="shared" si="121"/>
        <v>8.7275315801089132E-2</v>
      </c>
      <c r="Y275" s="118">
        <f t="shared" si="121"/>
        <v>8.7275315801089132E-2</v>
      </c>
      <c r="Z275" s="118">
        <f t="shared" si="121"/>
        <v>8.7275315801089132E-2</v>
      </c>
      <c r="AA275" s="118">
        <f t="shared" si="121"/>
        <v>8.7275315801089132E-2</v>
      </c>
      <c r="AB275" s="118">
        <f t="shared" si="121"/>
        <v>8.7275315801089132E-2</v>
      </c>
      <c r="AC275" s="118">
        <f t="shared" si="121"/>
        <v>8.7275315801089132E-2</v>
      </c>
      <c r="AD275" s="118">
        <f t="shared" si="121"/>
        <v>8.7275315801089132E-2</v>
      </c>
      <c r="AE275" s="118">
        <f t="shared" si="121"/>
        <v>8.7275315801089132E-2</v>
      </c>
      <c r="AF275" s="118">
        <f t="shared" si="121"/>
        <v>8.7275315801089132E-2</v>
      </c>
      <c r="AG275" s="118">
        <f t="shared" si="121"/>
        <v>8.7275315801089132E-2</v>
      </c>
      <c r="AH275" s="118">
        <f t="shared" si="121"/>
        <v>8.7275315801089132E-2</v>
      </c>
      <c r="AI275" s="118">
        <f t="shared" si="121"/>
        <v>8.7275315801089132E-2</v>
      </c>
      <c r="AJ275" s="118">
        <f t="shared" si="121"/>
        <v>8.7275315801089132E-2</v>
      </c>
      <c r="AK275" s="118">
        <f t="shared" si="121"/>
        <v>8.7275315801089132E-2</v>
      </c>
      <c r="AL275" s="118">
        <f t="shared" si="121"/>
        <v>8.7275315801089132E-2</v>
      </c>
      <c r="AM275" s="118">
        <f t="shared" si="121"/>
        <v>8.7275315801089132E-2</v>
      </c>
      <c r="AN275" s="118">
        <f t="shared" si="121"/>
        <v>8.7275315801089132E-2</v>
      </c>
      <c r="AO275" s="118">
        <f t="shared" si="121"/>
        <v>8.7275315801089132E-2</v>
      </c>
      <c r="AP275" s="118">
        <f t="shared" si="121"/>
        <v>8.7275315801089132E-2</v>
      </c>
      <c r="AQ275" s="118">
        <f t="shared" si="121"/>
        <v>8.7275315801089132E-2</v>
      </c>
      <c r="AR275" s="118">
        <f t="shared" si="121"/>
        <v>8.7275315801089132E-2</v>
      </c>
      <c r="AS275" s="118">
        <f t="shared" si="121"/>
        <v>8.7275315801089132E-2</v>
      </c>
      <c r="AT275" s="118">
        <f t="shared" si="121"/>
        <v>8.7275315801089132E-2</v>
      </c>
      <c r="AU275" s="118">
        <f t="shared" si="121"/>
        <v>8.7275315801089132E-2</v>
      </c>
      <c r="AV275" s="118">
        <f t="shared" si="121"/>
        <v>8.7275315801089132E-2</v>
      </c>
      <c r="AW275" s="118">
        <f t="shared" si="121"/>
        <v>8.7275315801089132E-2</v>
      </c>
      <c r="AX275" s="118">
        <f t="shared" si="121"/>
        <v>8.7275315801089132E-2</v>
      </c>
      <c r="AY275" s="118">
        <f t="shared" si="121"/>
        <v>8.7275315801089132E-2</v>
      </c>
      <c r="AZ275" s="118">
        <f t="shared" si="121"/>
        <v>8.7275315801089132E-2</v>
      </c>
      <c r="BA275" s="118">
        <f t="shared" si="121"/>
        <v>8.7275315801089132E-2</v>
      </c>
      <c r="BB275" s="118">
        <f t="shared" si="121"/>
        <v>8.7275315801089132E-2</v>
      </c>
      <c r="BC275" s="118">
        <f t="shared" si="121"/>
        <v>8.7275315801089132E-2</v>
      </c>
      <c r="BD275" s="118">
        <f t="shared" si="121"/>
        <v>8.7275315801089132E-2</v>
      </c>
      <c r="BE275" s="118">
        <f t="shared" si="121"/>
        <v>8.7275315801089132E-2</v>
      </c>
      <c r="BF275" s="118">
        <f t="shared" si="121"/>
        <v>8.7275315801089132E-2</v>
      </c>
      <c r="BG275" s="118">
        <f t="shared" si="121"/>
        <v>8.7275315801089132E-2</v>
      </c>
      <c r="BH275" s="118">
        <f t="shared" si="121"/>
        <v>8.7275315801089132E-2</v>
      </c>
      <c r="BI275" s="118">
        <f t="shared" si="121"/>
        <v>8.7275315801089132E-2</v>
      </c>
      <c r="BJ275" s="118">
        <f t="shared" si="121"/>
        <v>8.7275315801089132E-2</v>
      </c>
      <c r="BK275" s="118">
        <f t="shared" si="121"/>
        <v>8.7275315801089132E-2</v>
      </c>
      <c r="BL275" s="118">
        <f t="shared" si="121"/>
        <v>8.7275315801089132E-2</v>
      </c>
      <c r="BM275" s="118">
        <f t="shared" si="121"/>
        <v>8.7275315801089132E-2</v>
      </c>
      <c r="BN275" s="118">
        <f t="shared" si="121"/>
        <v>8.7275315801089132E-2</v>
      </c>
      <c r="BO275" s="118">
        <f t="shared" si="121"/>
        <v>8.7275315801089132E-2</v>
      </c>
      <c r="BP275" s="118">
        <f t="shared" si="121"/>
        <v>8.7275315801089132E-2</v>
      </c>
      <c r="BQ275" s="118">
        <f t="shared" si="121"/>
        <v>8.7275315801089132E-2</v>
      </c>
      <c r="BR275" s="118">
        <f t="shared" si="121"/>
        <v>8.7275315801089132E-2</v>
      </c>
      <c r="BS275" s="118">
        <f t="shared" si="121"/>
        <v>8.7275315801089132E-2</v>
      </c>
      <c r="BT275" s="118">
        <f t="shared" si="121"/>
        <v>8.7275315801089132E-2</v>
      </c>
      <c r="BU275" s="118">
        <f t="shared" si="121"/>
        <v>8.7275315801089132E-2</v>
      </c>
      <c r="BV275" s="118">
        <f t="shared" si="121"/>
        <v>8.7275315801089132E-2</v>
      </c>
      <c r="BW275" s="118">
        <f t="shared" si="121"/>
        <v>8.7275315801089132E-2</v>
      </c>
      <c r="BX275" s="118">
        <f t="shared" si="121"/>
        <v>8.7275315801089132E-2</v>
      </c>
      <c r="BY275" s="118">
        <f t="shared" si="121"/>
        <v>8.7275315801089132E-2</v>
      </c>
      <c r="BZ275" s="118">
        <f t="shared" si="121"/>
        <v>8.7275315801089132E-2</v>
      </c>
      <c r="CA275" s="118">
        <f t="shared" si="121"/>
        <v>8.7275315801089132E-2</v>
      </c>
      <c r="CB275" s="118">
        <f t="shared" si="121"/>
        <v>8.7275315801089132E-2</v>
      </c>
      <c r="CC275" s="118">
        <f t="shared" si="121"/>
        <v>8.7275315801089132E-2</v>
      </c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</row>
    <row r="276" spans="5:94" x14ac:dyDescent="0.3">
      <c r="G276" s="39"/>
    </row>
    <row r="282" spans="5:94" x14ac:dyDescent="0.3">
      <c r="Q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Normal="100" workbookViewId="0">
      <selection activeCell="L6" sqref="L6"/>
    </sheetView>
  </sheetViews>
  <sheetFormatPr defaultRowHeight="15.5" x14ac:dyDescent="0.3"/>
  <cols>
    <col min="1" max="1" width="3.90625" style="230" customWidth="1"/>
    <col min="2" max="2" width="39.7265625" style="230" bestFit="1" customWidth="1"/>
    <col min="3" max="6" width="10.81640625" style="230" bestFit="1" customWidth="1"/>
    <col min="7" max="7" width="12.26953125" style="230" bestFit="1" customWidth="1"/>
    <col min="8" max="10" width="10.81640625" style="230" bestFit="1" customWidth="1"/>
    <col min="11" max="12" width="9.36328125" style="230" bestFit="1" customWidth="1"/>
    <col min="13" max="16384" width="8.7265625" style="230"/>
  </cols>
  <sheetData>
    <row r="2" spans="2:16" ht="18.5" x14ac:dyDescent="0.3">
      <c r="B2" s="290" t="s">
        <v>168</v>
      </c>
      <c r="C2" s="290"/>
      <c r="D2" s="290"/>
      <c r="E2" s="290"/>
      <c r="F2" s="290"/>
      <c r="G2" s="290"/>
      <c r="H2" s="290"/>
      <c r="I2" s="290"/>
      <c r="J2" s="290"/>
    </row>
    <row r="3" spans="2:16" ht="23.25" customHeight="1" x14ac:dyDescent="0.3">
      <c r="B3" s="291" t="str">
        <f>'Model Inputs'!F5</f>
        <v>Wellington North Power Inc.</v>
      </c>
      <c r="C3" s="291"/>
      <c r="D3" s="291"/>
      <c r="E3" s="291"/>
      <c r="F3" s="291"/>
      <c r="G3" s="291"/>
      <c r="H3" s="291"/>
      <c r="I3" s="291"/>
      <c r="J3" s="291"/>
    </row>
    <row r="4" spans="2:16" x14ac:dyDescent="0.3">
      <c r="B4" s="231"/>
      <c r="C4" s="231"/>
      <c r="D4" s="231"/>
      <c r="E4" s="231"/>
      <c r="F4" s="231"/>
      <c r="G4" s="231"/>
      <c r="H4" s="231"/>
      <c r="I4" s="231"/>
      <c r="J4" s="231"/>
    </row>
    <row r="5" spans="2:16" ht="16" thickBot="1" x14ac:dyDescent="0.35"/>
    <row r="6" spans="2:16" x14ac:dyDescent="0.3">
      <c r="C6" s="232">
        <v>2016</v>
      </c>
      <c r="D6" s="232">
        <f>'Benchmarking Calculations'!F5</f>
        <v>2017</v>
      </c>
      <c r="E6" s="232">
        <f>'Benchmarking Calculations'!G5</f>
        <v>2018</v>
      </c>
      <c r="F6" s="231">
        <f>E6+1</f>
        <v>2019</v>
      </c>
      <c r="G6" s="233">
        <f t="shared" ref="G6:J6" si="0">F6+1</f>
        <v>2020</v>
      </c>
      <c r="H6" s="234">
        <f t="shared" si="0"/>
        <v>2021</v>
      </c>
      <c r="I6" s="231">
        <f t="shared" si="0"/>
        <v>2022</v>
      </c>
      <c r="J6" s="231">
        <f t="shared" si="0"/>
        <v>2023</v>
      </c>
      <c r="K6" s="235"/>
      <c r="L6" s="235"/>
      <c r="M6" s="235"/>
    </row>
    <row r="7" spans="2:16" x14ac:dyDescent="0.3">
      <c r="C7" s="236" t="s">
        <v>272</v>
      </c>
      <c r="D7" s="236" t="s">
        <v>272</v>
      </c>
      <c r="E7" s="236" t="s">
        <v>272</v>
      </c>
      <c r="F7" s="237" t="s">
        <v>273</v>
      </c>
      <c r="G7" s="238" t="s">
        <v>274</v>
      </c>
      <c r="H7" s="239" t="s">
        <v>185</v>
      </c>
      <c r="I7" s="237" t="s">
        <v>273</v>
      </c>
      <c r="J7" s="237" t="s">
        <v>273</v>
      </c>
      <c r="K7" s="240"/>
      <c r="L7" s="240"/>
      <c r="M7" s="240"/>
      <c r="N7" s="240"/>
    </row>
    <row r="8" spans="2:16" x14ac:dyDescent="0.3">
      <c r="B8" s="241" t="s">
        <v>163</v>
      </c>
      <c r="C8" s="242"/>
      <c r="D8" s="242"/>
      <c r="E8" s="243"/>
      <c r="F8" s="244"/>
      <c r="G8" s="245"/>
      <c r="H8" s="246"/>
      <c r="I8" s="244"/>
      <c r="J8" s="244"/>
      <c r="K8" s="240"/>
      <c r="L8" s="240"/>
      <c r="M8" s="240"/>
      <c r="N8" s="240"/>
    </row>
    <row r="9" spans="2:16" x14ac:dyDescent="0.3">
      <c r="C9" s="247"/>
      <c r="D9" s="247"/>
      <c r="E9" s="236"/>
      <c r="F9" s="237"/>
      <c r="G9" s="238"/>
      <c r="H9" s="239"/>
      <c r="I9" s="237"/>
      <c r="J9" s="237"/>
      <c r="K9" s="240"/>
      <c r="L9" s="240"/>
      <c r="M9" s="240"/>
      <c r="N9" s="240"/>
    </row>
    <row r="10" spans="2:16" ht="18.75" customHeight="1" x14ac:dyDescent="0.3">
      <c r="B10" s="230" t="s">
        <v>162</v>
      </c>
      <c r="C10" s="248">
        <v>3133690.6504128994</v>
      </c>
      <c r="D10" s="248">
        <v>3061505</v>
      </c>
      <c r="E10" s="248">
        <f>'Benchmarking Calculations'!G121</f>
        <v>3111224.3741063187</v>
      </c>
      <c r="F10" s="249">
        <f>'Benchmarking Calculations'!H121</f>
        <v>3242138.0991413984</v>
      </c>
      <c r="G10" s="250">
        <f>'Benchmarking Calculations'!I121</f>
        <v>3376747.0631768554</v>
      </c>
      <c r="H10" s="251">
        <f>IF(ISNUMBER(H12),'Benchmarking Calculations'!J121,"na")</f>
        <v>3417818.5379149481</v>
      </c>
      <c r="I10" s="249">
        <f>IF(ISNUMBER(I12),'Benchmarking Calculations'!K121,"na")</f>
        <v>3509817.095079123</v>
      </c>
      <c r="J10" s="249">
        <f>IF(ISNUMBER(J12),'Benchmarking Calculations'!L121,"na")</f>
        <v>3554233.5172871249</v>
      </c>
      <c r="K10" s="252"/>
      <c r="L10" s="252"/>
      <c r="M10" s="252"/>
      <c r="N10" s="252"/>
      <c r="O10" s="253"/>
      <c r="P10" s="253"/>
    </row>
    <row r="11" spans="2:16" ht="18.75" customHeight="1" x14ac:dyDescent="0.3">
      <c r="C11" s="247"/>
      <c r="D11" s="247"/>
      <c r="E11" s="248"/>
      <c r="F11" s="249"/>
      <c r="G11" s="250"/>
      <c r="H11" s="251"/>
      <c r="I11" s="249"/>
      <c r="J11" s="249"/>
      <c r="K11" s="252"/>
      <c r="L11" s="252"/>
      <c r="M11" s="252"/>
      <c r="N11" s="252"/>
      <c r="O11" s="253"/>
      <c r="P11" s="253"/>
    </row>
    <row r="12" spans="2:16" ht="18.75" customHeight="1" x14ac:dyDescent="0.3">
      <c r="B12" s="230" t="s">
        <v>150</v>
      </c>
      <c r="C12" s="248">
        <v>2666162.5556992032</v>
      </c>
      <c r="D12" s="248">
        <v>2695072</v>
      </c>
      <c r="E12" s="248">
        <f>'Benchmarking Calculations'!G257</f>
        <v>2851203.0338027449</v>
      </c>
      <c r="F12" s="249">
        <f>'Benchmarking Calculations'!H257</f>
        <v>3043144.5465863706</v>
      </c>
      <c r="G12" s="250">
        <f>'Benchmarking Calculations'!I257</f>
        <v>3224924.5900496193</v>
      </c>
      <c r="H12" s="251">
        <f>IF(ISNUMBER('Benchmarking Calculations'!J257),'Benchmarking Calculations'!J257,"na")</f>
        <v>3422121.0872777388</v>
      </c>
      <c r="I12" s="249">
        <f>IF(ISNUMBER('Benchmarking Calculations'!K257),'Benchmarking Calculations'!K257,"na")</f>
        <v>3623191.8389227665</v>
      </c>
      <c r="J12" s="249">
        <f>IF(ISNUMBER('Benchmarking Calculations'!L257),'Benchmarking Calculations'!L257,"na")</f>
        <v>3831348.4771014936</v>
      </c>
      <c r="K12" s="252"/>
      <c r="L12" s="252"/>
      <c r="M12" s="252"/>
      <c r="N12" s="252"/>
      <c r="O12" s="253"/>
      <c r="P12" s="253"/>
    </row>
    <row r="13" spans="2:16" ht="18.75" customHeight="1" x14ac:dyDescent="0.3">
      <c r="C13" s="247"/>
      <c r="D13" s="247"/>
      <c r="E13" s="248"/>
      <c r="F13" s="249"/>
      <c r="G13" s="250"/>
      <c r="H13" s="251"/>
      <c r="I13" s="249"/>
      <c r="J13" s="249"/>
      <c r="K13" s="252"/>
      <c r="L13" s="252"/>
      <c r="M13" s="252"/>
      <c r="N13" s="252"/>
      <c r="O13" s="253"/>
      <c r="P13" s="253"/>
    </row>
    <row r="14" spans="2:16" ht="18.75" customHeight="1" x14ac:dyDescent="0.3">
      <c r="B14" s="230" t="s">
        <v>160</v>
      </c>
      <c r="C14" s="248">
        <f t="shared" ref="C14:D14" si="1">C10-C12</f>
        <v>467528.09471369628</v>
      </c>
      <c r="D14" s="248">
        <f t="shared" si="1"/>
        <v>366433</v>
      </c>
      <c r="E14" s="248">
        <f t="shared" ref="E14:G14" si="2">E10-E12</f>
        <v>260021.34030357376</v>
      </c>
      <c r="F14" s="249">
        <f t="shared" si="2"/>
        <v>198993.55255502788</v>
      </c>
      <c r="G14" s="250">
        <f t="shared" si="2"/>
        <v>151822.47312723612</v>
      </c>
      <c r="H14" s="251">
        <f>IF(ISNUMBER(H12),H10-H12,"na")</f>
        <v>-4302.5493627907708</v>
      </c>
      <c r="I14" s="249">
        <f t="shared" ref="I14:J14" si="3">IF(ISNUMBER(I12),I10-I12,"na")</f>
        <v>-113374.74384364346</v>
      </c>
      <c r="J14" s="249">
        <f t="shared" si="3"/>
        <v>-277114.95981436875</v>
      </c>
      <c r="K14" s="252"/>
      <c r="L14" s="252"/>
      <c r="M14" s="252"/>
      <c r="N14" s="252"/>
      <c r="O14" s="253"/>
      <c r="P14" s="253"/>
    </row>
    <row r="15" spans="2:16" ht="18.75" customHeight="1" x14ac:dyDescent="0.3">
      <c r="C15" s="248"/>
      <c r="D15" s="248"/>
      <c r="E15" s="248"/>
      <c r="F15" s="249"/>
      <c r="G15" s="250"/>
      <c r="H15" s="251"/>
      <c r="I15" s="249"/>
      <c r="J15" s="249"/>
      <c r="K15" s="252"/>
      <c r="L15" s="252"/>
      <c r="M15" s="252"/>
      <c r="N15" s="252"/>
      <c r="O15" s="253"/>
      <c r="P15" s="253"/>
    </row>
    <row r="16" spans="2:16" ht="18.75" customHeight="1" x14ac:dyDescent="0.3">
      <c r="B16" s="254" t="s">
        <v>184</v>
      </c>
      <c r="C16" s="255">
        <f t="shared" ref="C16:D16" si="4">LN(C10/C12)</f>
        <v>0.16157123794359185</v>
      </c>
      <c r="D16" s="255">
        <f t="shared" si="4"/>
        <v>0.12748170497579239</v>
      </c>
      <c r="E16" s="255">
        <f>LN(E10/E12)</f>
        <v>8.7275315801089132E-2</v>
      </c>
      <c r="F16" s="256">
        <f t="shared" ref="F16:G16" si="5">LN(F10/F12)</f>
        <v>6.3341648174114112E-2</v>
      </c>
      <c r="G16" s="257">
        <f t="shared" si="5"/>
        <v>4.6003271695502841E-2</v>
      </c>
      <c r="H16" s="258">
        <f>IF(ISNUMBER(H14),LN(H10/H12),"na")</f>
        <v>-1.2580666397771939E-3</v>
      </c>
      <c r="I16" s="259">
        <f t="shared" ref="I16:J16" si="6">IF(ISNUMBER(I14),LN(I10/I12),"na")</f>
        <v>-3.1791434351270437E-2</v>
      </c>
      <c r="J16" s="259">
        <f t="shared" si="6"/>
        <v>-7.507739096297418E-2</v>
      </c>
      <c r="K16" s="240"/>
      <c r="L16" s="240"/>
      <c r="M16" s="240"/>
      <c r="N16" s="240"/>
    </row>
    <row r="17" spans="2:14" ht="18.75" customHeight="1" x14ac:dyDescent="0.3">
      <c r="C17" s="247"/>
      <c r="D17" s="247"/>
      <c r="E17" s="260"/>
      <c r="F17" s="261"/>
      <c r="G17" s="262"/>
      <c r="H17" s="263"/>
      <c r="I17" s="264"/>
      <c r="J17" s="264"/>
      <c r="K17" s="240"/>
      <c r="L17" s="240"/>
      <c r="M17" s="240"/>
      <c r="N17" s="240"/>
    </row>
    <row r="18" spans="2:14" ht="18.75" customHeight="1" x14ac:dyDescent="0.3">
      <c r="B18" s="230" t="s">
        <v>181</v>
      </c>
      <c r="C18" s="247"/>
      <c r="D18" s="247"/>
      <c r="E18" s="265"/>
      <c r="F18" s="266"/>
      <c r="G18" s="267">
        <f>AVERAGE(E16:G16)</f>
        <v>6.5540078556902026E-2</v>
      </c>
      <c r="H18" s="268">
        <f>IF(ISNUMBER(H16),AVERAGE(F16:H16),"na")</f>
        <v>3.6028951076613254E-2</v>
      </c>
      <c r="I18" s="269">
        <f t="shared" ref="I18:J18" si="7">IF(ISNUMBER(I16),AVERAGE(G16:I16),"na")</f>
        <v>4.3179235681517379E-3</v>
      </c>
      <c r="J18" s="269">
        <f t="shared" si="7"/>
        <v>-3.6042297318007267E-2</v>
      </c>
      <c r="K18" s="240"/>
      <c r="L18" s="240"/>
      <c r="M18" s="240"/>
      <c r="N18" s="240"/>
    </row>
    <row r="19" spans="2:14" ht="18.75" customHeight="1" x14ac:dyDescent="0.3">
      <c r="C19" s="247"/>
      <c r="D19" s="247"/>
      <c r="E19" s="236"/>
      <c r="F19" s="237"/>
      <c r="G19" s="238"/>
      <c r="H19" s="239"/>
      <c r="I19" s="237"/>
      <c r="J19" s="237"/>
      <c r="K19" s="240"/>
      <c r="L19" s="240"/>
      <c r="M19" s="240"/>
      <c r="N19" s="240"/>
    </row>
    <row r="20" spans="2:14" ht="18.75" customHeight="1" x14ac:dyDescent="0.3">
      <c r="B20" s="230" t="s">
        <v>161</v>
      </c>
      <c r="C20" s="247"/>
      <c r="D20" s="247"/>
      <c r="E20" s="236"/>
      <c r="F20" s="237"/>
      <c r="G20" s="238"/>
      <c r="H20" s="239"/>
      <c r="I20" s="237"/>
      <c r="J20" s="237"/>
      <c r="K20" s="240"/>
      <c r="L20" s="240"/>
      <c r="M20" s="240"/>
      <c r="N20" s="240"/>
    </row>
    <row r="21" spans="2:14" x14ac:dyDescent="0.3">
      <c r="C21" s="247"/>
      <c r="D21" s="247"/>
      <c r="E21" s="270"/>
      <c r="F21" s="235"/>
      <c r="G21" s="238"/>
      <c r="H21" s="239"/>
      <c r="I21" s="235"/>
      <c r="J21" s="235"/>
    </row>
    <row r="22" spans="2:14" x14ac:dyDescent="0.3">
      <c r="B22" s="230" t="s">
        <v>182</v>
      </c>
      <c r="C22" s="271">
        <v>4</v>
      </c>
      <c r="D22" s="271">
        <v>4</v>
      </c>
      <c r="E22" s="271">
        <v>4</v>
      </c>
      <c r="F22" s="272">
        <f t="shared" ref="F22" si="8">IF(F16&lt;-0.25,1,IF(F16&lt;-0.1,2,IF(F16&lt;0.1,3,IF(F16&lt;0.25,4,5))))</f>
        <v>3</v>
      </c>
      <c r="G22" s="273">
        <f>IF($G$16&lt;-0.25,1,IF($G$16&lt;-0.1,2,IF($G$16&lt;0.1,3,IF($G$16&lt;0.25,4,5))))</f>
        <v>3</v>
      </c>
      <c r="H22" s="274">
        <f>IF(ISNUMBER(H16),IF(H16&lt;-0.25,1,IF(H16&lt;-0.1,2,IF(H16&lt;0.1,3,IF(H16&lt;0.25,4,5)))),"na")</f>
        <v>3</v>
      </c>
      <c r="I22" s="272">
        <f t="shared" ref="I22:J22" si="9">IF(ISNUMBER(I16),IF(I16&lt;-0.25,1,IF(I16&lt;-0.1,2,IF(I16&lt;0.1,3,IF(I16&lt;0.25,4,5)))),"na")</f>
        <v>3</v>
      </c>
      <c r="J22" s="272">
        <f t="shared" si="9"/>
        <v>3</v>
      </c>
    </row>
    <row r="23" spans="2:14" x14ac:dyDescent="0.3">
      <c r="C23" s="247"/>
      <c r="D23" s="247"/>
      <c r="E23" s="270"/>
      <c r="F23" s="235"/>
      <c r="G23" s="238"/>
      <c r="H23" s="239"/>
      <c r="I23" s="235"/>
      <c r="J23" s="235"/>
    </row>
    <row r="24" spans="2:14" ht="16" thickBot="1" x14ac:dyDescent="0.35">
      <c r="B24" s="230" t="s">
        <v>155</v>
      </c>
      <c r="C24" s="247"/>
      <c r="D24" s="247"/>
      <c r="E24" s="270"/>
      <c r="F24" s="235"/>
      <c r="G24" s="275">
        <f>IF(G$18&lt;-0.25,1,IF(G$18&lt;-0.1,2,IF(G$18&lt;0.1,3,IF(G$18&lt;0.25,4,5))))</f>
        <v>3</v>
      </c>
      <c r="H24" s="276">
        <f t="shared" ref="H24:J24" si="10">IF(H$18&lt;-0.25,1,IF(H$18&lt;-0.1,2,IF(H$18&lt;0.1,3,IF(H$18&lt;0.25,4,5))))</f>
        <v>3</v>
      </c>
      <c r="I24" s="272">
        <f t="shared" si="10"/>
        <v>3</v>
      </c>
      <c r="J24" s="272">
        <f t="shared" si="10"/>
        <v>3</v>
      </c>
    </row>
    <row r="29" spans="2:14" x14ac:dyDescent="0.3">
      <c r="E29" s="277"/>
    </row>
  </sheetData>
  <mergeCells count="2">
    <mergeCell ref="B2:J2"/>
    <mergeCell ref="B3:J3"/>
  </mergeCells>
  <pageMargins left="0.7" right="0.7" top="0.75" bottom="0.75" header="0.3" footer="0.3"/>
  <pageSetup scale="6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Results!Print_Area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Richard Bucknall</cp:lastModifiedBy>
  <cp:lastPrinted>2018-07-25T01:09:59Z</cp:lastPrinted>
  <dcterms:created xsi:type="dcterms:W3CDTF">2016-07-20T15:58:10Z</dcterms:created>
  <dcterms:modified xsi:type="dcterms:W3CDTF">2020-10-30T03:45:04Z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